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\final\"/>
    </mc:Choice>
  </mc:AlternateContent>
  <xr:revisionPtr revIDLastSave="0" documentId="13_ncr:1_{F1C350D2-6801-48B4-990F-D6A7B9A4697E}" xr6:coauthVersionLast="47" xr6:coauthVersionMax="47" xr10:uidLastSave="{00000000-0000-0000-0000-000000000000}"/>
  <bookViews>
    <workbookView xWindow="0" yWindow="4425" windowWidth="21600" windowHeight="11055" tabRatio="500" firstSheet="2" activeTab="3" xr2:uid="{00000000-000D-0000-FFFF-FFFF00000000}"/>
  </bookViews>
  <sheets>
    <sheet name="Settings" sheetId="1" r:id="rId1"/>
    <sheet name="Manual inputs" sheetId="9" r:id="rId2"/>
    <sheet name="CPAT_National" sheetId="16" r:id="rId3"/>
    <sheet name="CPAT_Results" sheetId="20" r:id="rId4"/>
    <sheet name="Scenarios" sheetId="10" r:id="rId5"/>
    <sheet name="Mitigation_Industry" sheetId="2" r:id="rId6"/>
    <sheet name="Emissions_Industry" sheetId="12" r:id="rId7"/>
    <sheet name="Rebate_Industry" sheetId="13" r:id="rId8"/>
    <sheet name="Fund_Industry" sheetId="14" r:id="rId9"/>
    <sheet name="IPPU_Industry" sheetId="15" r:id="rId10"/>
    <sheet name="Table2_Industry" sheetId="17" r:id="rId11"/>
    <sheet name="CarveOut_Table2" sheetId="18" r:id="rId12"/>
    <sheet name="Table2_Final" sheetId="19" r:id="rId13"/>
    <sheet name="MTInputs" sheetId="3" r:id="rId14"/>
    <sheet name="Data_Energy" sheetId="4" r:id="rId15"/>
    <sheet name="Data_Prices" sheetId="5" r:id="rId16"/>
    <sheet name="Data_Macro" sheetId="6" r:id="rId17"/>
    <sheet name="Data_Elast" sheetId="7" r:id="rId18"/>
    <sheet name="Data_EF" sheetId="11" r:id="rId19"/>
    <sheet name="Check" sheetId="8" r:id="rId20"/>
  </sheets>
  <externalReferences>
    <externalReference r:id="rId21"/>
  </externalReferences>
  <definedNames>
    <definedName name="CPATStartYear">[1]Dashboard!$J$7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3" i="16" l="1"/>
  <c r="L47" i="16"/>
  <c r="L52" i="16"/>
  <c r="L74" i="16"/>
  <c r="L82" i="16"/>
  <c r="L89" i="16"/>
  <c r="L96" i="16"/>
  <c r="L99" i="16"/>
  <c r="L100" i="16"/>
  <c r="L102" i="16"/>
  <c r="L104" i="16"/>
  <c r="L107" i="16"/>
  <c r="L111" i="16"/>
  <c r="L112" i="16"/>
  <c r="L115" i="16"/>
  <c r="L117" i="16"/>
  <c r="L118" i="16"/>
  <c r="L119" i="16"/>
  <c r="L122" i="16"/>
  <c r="L124" i="16"/>
  <c r="L125" i="16"/>
  <c r="L126" i="16"/>
  <c r="L129" i="16"/>
  <c r="L130" i="16"/>
  <c r="L131" i="16"/>
  <c r="L132" i="16"/>
  <c r="L133" i="16"/>
  <c r="K1" i="20"/>
  <c r="D1937" i="8"/>
  <c r="D1936" i="8"/>
  <c r="D1931" i="8"/>
  <c r="B61" i="19"/>
  <c r="B60" i="19"/>
  <c r="B59" i="19"/>
  <c r="B58" i="19"/>
  <c r="B57" i="19"/>
  <c r="B56" i="19"/>
  <c r="B55" i="19"/>
  <c r="B54" i="19"/>
  <c r="I48" i="19"/>
  <c r="H48" i="19"/>
  <c r="G48" i="19"/>
  <c r="F48" i="19"/>
  <c r="E48" i="19"/>
  <c r="D48" i="19"/>
  <c r="I47" i="19"/>
  <c r="H47" i="19"/>
  <c r="G47" i="19"/>
  <c r="F47" i="19"/>
  <c r="E47" i="19"/>
  <c r="D47" i="19"/>
  <c r="I14" i="19"/>
  <c r="I40" i="19" s="1"/>
  <c r="H14" i="19"/>
  <c r="H40" i="19" s="1"/>
  <c r="G14" i="19"/>
  <c r="G40" i="19" s="1"/>
  <c r="F14" i="19"/>
  <c r="F40" i="19" s="1"/>
  <c r="E14" i="19"/>
  <c r="E40" i="19" s="1"/>
  <c r="D14" i="19"/>
  <c r="D40" i="19" s="1"/>
  <c r="I13" i="19"/>
  <c r="I39" i="19" s="1"/>
  <c r="H13" i="19"/>
  <c r="H39" i="19" s="1"/>
  <c r="G13" i="19"/>
  <c r="G39" i="19" s="1"/>
  <c r="F13" i="19"/>
  <c r="F39" i="19" s="1"/>
  <c r="E13" i="19"/>
  <c r="E39" i="19" s="1"/>
  <c r="D13" i="19"/>
  <c r="D39" i="19" s="1"/>
  <c r="I12" i="19"/>
  <c r="I38" i="19" s="1"/>
  <c r="H12" i="19"/>
  <c r="H38" i="19" s="1"/>
  <c r="G12" i="19"/>
  <c r="G38" i="19" s="1"/>
  <c r="F12" i="19"/>
  <c r="F38" i="19" s="1"/>
  <c r="E12" i="19"/>
  <c r="E38" i="19" s="1"/>
  <c r="D12" i="19"/>
  <c r="D38" i="19" s="1"/>
  <c r="I11" i="19"/>
  <c r="I37" i="19" s="1"/>
  <c r="H11" i="19"/>
  <c r="H37" i="19" s="1"/>
  <c r="G11" i="19"/>
  <c r="G37" i="19" s="1"/>
  <c r="F11" i="19"/>
  <c r="F37" i="19" s="1"/>
  <c r="E11" i="19"/>
  <c r="E37" i="19" s="1"/>
  <c r="D11" i="19"/>
  <c r="D37" i="19" s="1"/>
  <c r="I10" i="19"/>
  <c r="I36" i="19" s="1"/>
  <c r="H10" i="19"/>
  <c r="H36" i="19" s="1"/>
  <c r="G10" i="19"/>
  <c r="G36" i="19" s="1"/>
  <c r="F10" i="19"/>
  <c r="F36" i="19" s="1"/>
  <c r="E10" i="19"/>
  <c r="E36" i="19" s="1"/>
  <c r="D10" i="19"/>
  <c r="D36" i="19" s="1"/>
  <c r="I9" i="19"/>
  <c r="I35" i="19" s="1"/>
  <c r="H9" i="19"/>
  <c r="H35" i="19" s="1"/>
  <c r="G9" i="19"/>
  <c r="G35" i="19" s="1"/>
  <c r="F9" i="19"/>
  <c r="F35" i="19" s="1"/>
  <c r="E9" i="19"/>
  <c r="E35" i="19" s="1"/>
  <c r="D9" i="19"/>
  <c r="D35" i="19" s="1"/>
  <c r="I8" i="19"/>
  <c r="I34" i="19" s="1"/>
  <c r="H8" i="19"/>
  <c r="H34" i="19" s="1"/>
  <c r="G8" i="19"/>
  <c r="G34" i="19" s="1"/>
  <c r="F8" i="19"/>
  <c r="F34" i="19" s="1"/>
  <c r="E8" i="19"/>
  <c r="E34" i="19" s="1"/>
  <c r="D8" i="19"/>
  <c r="D34" i="19" s="1"/>
  <c r="I7" i="19"/>
  <c r="I33" i="19" s="1"/>
  <c r="H7" i="19"/>
  <c r="H33" i="19" s="1"/>
  <c r="G7" i="19"/>
  <c r="G33" i="19" s="1"/>
  <c r="F7" i="19"/>
  <c r="F33" i="19" s="1"/>
  <c r="E7" i="19"/>
  <c r="E33" i="19" s="1"/>
  <c r="D7" i="19"/>
  <c r="D33" i="19" s="1"/>
  <c r="I6" i="19"/>
  <c r="I32" i="19" s="1"/>
  <c r="H6" i="19"/>
  <c r="H32" i="19" s="1"/>
  <c r="G6" i="19"/>
  <c r="G32" i="19" s="1"/>
  <c r="F6" i="19"/>
  <c r="F32" i="19" s="1"/>
  <c r="E6" i="19"/>
  <c r="E32" i="19" s="1"/>
  <c r="D6" i="19"/>
  <c r="D32" i="19" s="1"/>
  <c r="D1924" i="8"/>
  <c r="G694" i="2"/>
  <c r="Q694" i="2" s="1"/>
  <c r="I682" i="2"/>
  <c r="C61" i="19" s="1"/>
  <c r="G682" i="2"/>
  <c r="F682" i="2"/>
  <c r="N682" i="2" s="1"/>
  <c r="G693" i="2"/>
  <c r="N693" i="2" s="1"/>
  <c r="I681" i="2"/>
  <c r="C60" i="19" s="1"/>
  <c r="G681" i="2"/>
  <c r="F681" i="2"/>
  <c r="N681" i="2" s="1"/>
  <c r="G692" i="2"/>
  <c r="P692" i="2" s="1"/>
  <c r="I680" i="2"/>
  <c r="C59" i="19" s="1"/>
  <c r="G680" i="2"/>
  <c r="F680" i="2"/>
  <c r="N680" i="2" s="1"/>
  <c r="G691" i="2"/>
  <c r="L691" i="2" s="1"/>
  <c r="I679" i="2"/>
  <c r="C58" i="19" s="1"/>
  <c r="G679" i="2"/>
  <c r="F679" i="2"/>
  <c r="N679" i="2" s="1"/>
  <c r="G690" i="2"/>
  <c r="S690" i="2" s="1"/>
  <c r="I678" i="2"/>
  <c r="C57" i="19" s="1"/>
  <c r="G678" i="2"/>
  <c r="F678" i="2"/>
  <c r="G689" i="2"/>
  <c r="X689" i="2" s="1"/>
  <c r="I677" i="2"/>
  <c r="C56" i="19" s="1"/>
  <c r="G677" i="2"/>
  <c r="F677" i="2"/>
  <c r="N677" i="2" s="1"/>
  <c r="G688" i="2"/>
  <c r="P688" i="2" s="1"/>
  <c r="I676" i="2"/>
  <c r="C55" i="19" s="1"/>
  <c r="G676" i="2"/>
  <c r="F676" i="2"/>
  <c r="N676" i="2" s="1"/>
  <c r="G687" i="2"/>
  <c r="P687" i="2" s="1"/>
  <c r="I675" i="2"/>
  <c r="C54" i="19" s="1"/>
  <c r="G675" i="2"/>
  <c r="F675" i="2"/>
  <c r="G295" i="2"/>
  <c r="Q295" i="2" s="1"/>
  <c r="I283" i="2"/>
  <c r="G283" i="2"/>
  <c r="F283" i="2"/>
  <c r="N283" i="2" s="1"/>
  <c r="G294" i="2"/>
  <c r="S294" i="2" s="1"/>
  <c r="I282" i="2"/>
  <c r="G282" i="2"/>
  <c r="F282" i="2"/>
  <c r="N282" i="2" s="1"/>
  <c r="G293" i="2"/>
  <c r="O293" i="2" s="1"/>
  <c r="O648" i="8" s="1"/>
  <c r="O649" i="8" s="1"/>
  <c r="I281" i="2"/>
  <c r="G281" i="2"/>
  <c r="F281" i="2"/>
  <c r="N281" i="2" s="1"/>
  <c r="G292" i="2"/>
  <c r="W292" i="2" s="1"/>
  <c r="I280" i="2"/>
  <c r="G280" i="2"/>
  <c r="F280" i="2"/>
  <c r="N280" i="2" s="1"/>
  <c r="G291" i="2"/>
  <c r="M291" i="2" s="1"/>
  <c r="I279" i="2"/>
  <c r="G279" i="2"/>
  <c r="F279" i="2"/>
  <c r="N279" i="2" s="1"/>
  <c r="G290" i="2"/>
  <c r="S290" i="2" s="1"/>
  <c r="I278" i="2"/>
  <c r="G278" i="2"/>
  <c r="F278" i="2"/>
  <c r="N278" i="2" s="1"/>
  <c r="G289" i="2"/>
  <c r="X289" i="2" s="1"/>
  <c r="I277" i="2"/>
  <c r="G277" i="2"/>
  <c r="F277" i="2"/>
  <c r="N277" i="2" s="1"/>
  <c r="G288" i="2"/>
  <c r="Q288" i="2" s="1"/>
  <c r="I276" i="2"/>
  <c r="G276" i="2"/>
  <c r="F276" i="2"/>
  <c r="N276" i="2" s="1"/>
  <c r="D26" i="18"/>
  <c r="N39" i="18" s="1"/>
  <c r="D20" i="18"/>
  <c r="D18" i="18"/>
  <c r="F1910" i="8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D19" i="18" s="1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8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Q691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L103" i="16" l="1"/>
  <c r="M98" i="16"/>
  <c r="L84" i="16"/>
  <c r="M59" i="16"/>
  <c r="M55" i="16"/>
  <c r="L33" i="16"/>
  <c r="L1" i="20"/>
  <c r="L6" i="16"/>
  <c r="L13" i="16"/>
  <c r="M6" i="16"/>
  <c r="M13" i="16"/>
  <c r="L11" i="16"/>
  <c r="L18" i="16"/>
  <c r="L25" i="16"/>
  <c r="L32" i="16"/>
  <c r="L39" i="16"/>
  <c r="L46" i="16"/>
  <c r="L53" i="16"/>
  <c r="L60" i="16"/>
  <c r="M11" i="16"/>
  <c r="L9" i="16"/>
  <c r="L16" i="16"/>
  <c r="M9" i="16"/>
  <c r="M16" i="16"/>
  <c r="L7" i="16"/>
  <c r="L14" i="16"/>
  <c r="M7" i="16"/>
  <c r="M14" i="16"/>
  <c r="L12" i="16"/>
  <c r="M12" i="16"/>
  <c r="L10" i="16"/>
  <c r="L17" i="16"/>
  <c r="M10" i="16"/>
  <c r="M17" i="16"/>
  <c r="L8" i="16"/>
  <c r="L15" i="16"/>
  <c r="M8" i="16"/>
  <c r="M15" i="16"/>
  <c r="L21" i="16"/>
  <c r="L24" i="16"/>
  <c r="L27" i="16"/>
  <c r="M30" i="16"/>
  <c r="M33" i="16"/>
  <c r="M36" i="16"/>
  <c r="M71" i="16"/>
  <c r="M78" i="16"/>
  <c r="M18" i="16"/>
  <c r="M21" i="16"/>
  <c r="M24" i="16"/>
  <c r="M27" i="16"/>
  <c r="L58" i="16"/>
  <c r="L61" i="16"/>
  <c r="L64" i="16"/>
  <c r="L69" i="16"/>
  <c r="L76" i="16"/>
  <c r="L28" i="16"/>
  <c r="L31" i="16"/>
  <c r="L34" i="16"/>
  <c r="M37" i="16"/>
  <c r="M40" i="16"/>
  <c r="M43" i="16"/>
  <c r="M67" i="16"/>
  <c r="M74" i="16"/>
  <c r="L19" i="16"/>
  <c r="L22" i="16"/>
  <c r="M25" i="16"/>
  <c r="M28" i="16"/>
  <c r="M31" i="16"/>
  <c r="M34" i="16"/>
  <c r="L65" i="16"/>
  <c r="L72" i="16"/>
  <c r="M19" i="16"/>
  <c r="M22" i="16"/>
  <c r="L56" i="16"/>
  <c r="L59" i="16"/>
  <c r="L62" i="16"/>
  <c r="M65" i="16"/>
  <c r="M72" i="16"/>
  <c r="M79" i="16"/>
  <c r="L23" i="16"/>
  <c r="L26" i="16"/>
  <c r="L29" i="16"/>
  <c r="M32" i="16"/>
  <c r="M35" i="16"/>
  <c r="M38" i="16"/>
  <c r="M41" i="16"/>
  <c r="L68" i="16"/>
  <c r="L75" i="16"/>
  <c r="L20" i="16"/>
  <c r="M23" i="16"/>
  <c r="M26" i="16"/>
  <c r="M29" i="16"/>
  <c r="L63" i="16"/>
  <c r="M68" i="16"/>
  <c r="M75" i="16"/>
  <c r="L35" i="16"/>
  <c r="L70" i="16"/>
  <c r="L78" i="16"/>
  <c r="M85" i="16"/>
  <c r="M92" i="16"/>
  <c r="M70" i="16"/>
  <c r="L83" i="16"/>
  <c r="L90" i="16"/>
  <c r="L97" i="16"/>
  <c r="L37" i="16"/>
  <c r="L51" i="16"/>
  <c r="L54" i="16"/>
  <c r="L57" i="16"/>
  <c r="M60" i="16"/>
  <c r="M63" i="16"/>
  <c r="L66" i="16"/>
  <c r="L73" i="16"/>
  <c r="L77" i="16"/>
  <c r="M83" i="16"/>
  <c r="L30" i="16"/>
  <c r="L42" i="16"/>
  <c r="L45" i="16"/>
  <c r="L48" i="16"/>
  <c r="M51" i="16"/>
  <c r="M54" i="16"/>
  <c r="M57" i="16"/>
  <c r="M66" i="16"/>
  <c r="M73" i="16"/>
  <c r="M77" i="16"/>
  <c r="L81" i="16"/>
  <c r="L88" i="16"/>
  <c r="L95" i="16"/>
  <c r="M39" i="16"/>
  <c r="M69" i="16"/>
  <c r="M76" i="16"/>
  <c r="L86" i="16"/>
  <c r="L93" i="16"/>
  <c r="M86" i="16"/>
  <c r="M93" i="16"/>
  <c r="M100" i="16"/>
  <c r="M107" i="16"/>
  <c r="L38" i="16"/>
  <c r="M82" i="16"/>
  <c r="M89" i="16"/>
  <c r="M96" i="16"/>
  <c r="M103" i="16"/>
  <c r="L71" i="16"/>
  <c r="L80" i="16"/>
  <c r="L87" i="16"/>
  <c r="L94" i="16"/>
  <c r="L101" i="16"/>
  <c r="L108" i="16"/>
  <c r="L127" i="16"/>
  <c r="L120" i="16"/>
  <c r="L113" i="16"/>
  <c r="L110" i="16"/>
  <c r="M102" i="16"/>
  <c r="L98" i="16"/>
  <c r="L91" i="16"/>
  <c r="L55" i="16"/>
  <c r="M48" i="16"/>
  <c r="L41" i="16"/>
  <c r="M124" i="16"/>
  <c r="M117" i="16"/>
  <c r="L109" i="16"/>
  <c r="L92" i="16"/>
  <c r="L85" i="16"/>
  <c r="L44" i="16"/>
  <c r="L40" i="16"/>
  <c r="L36" i="16"/>
  <c r="M20" i="16"/>
  <c r="L67" i="16"/>
  <c r="L50" i="16"/>
  <c r="M46" i="16"/>
  <c r="L128" i="16"/>
  <c r="L121" i="16"/>
  <c r="L114" i="16"/>
  <c r="M106" i="16"/>
  <c r="M123" i="16"/>
  <c r="M116" i="16"/>
  <c r="L106" i="16"/>
  <c r="M105" i="16"/>
  <c r="M97" i="16"/>
  <c r="M90" i="16"/>
  <c r="L79" i="16"/>
  <c r="M53" i="16"/>
  <c r="M49" i="16"/>
  <c r="L123" i="16"/>
  <c r="L116" i="16"/>
  <c r="M111" i="16"/>
  <c r="L105" i="16"/>
  <c r="M81" i="16"/>
  <c r="L49" i="16"/>
  <c r="M42" i="16"/>
  <c r="P290" i="2"/>
  <c r="P636" i="8" s="1"/>
  <c r="P637" i="8" s="1"/>
  <c r="AD294" i="2"/>
  <c r="AD652" i="8" s="1"/>
  <c r="AD653" i="8" s="1"/>
  <c r="AB294" i="2"/>
  <c r="AB652" i="8" s="1"/>
  <c r="AB653" i="8" s="1"/>
  <c r="Y692" i="2"/>
  <c r="Y1044" i="8" s="1"/>
  <c r="Y1045" i="8" s="1"/>
  <c r="X294" i="2"/>
  <c r="X652" i="8" s="1"/>
  <c r="X653" i="8" s="1"/>
  <c r="U692" i="2"/>
  <c r="U1044" i="8" s="1"/>
  <c r="U1045" i="8" s="1"/>
  <c r="AC294" i="2"/>
  <c r="AC652" i="8" s="1"/>
  <c r="AC653" i="8" s="1"/>
  <c r="Z692" i="2"/>
  <c r="Z1044" i="8" s="1"/>
  <c r="Z1045" i="8" s="1"/>
  <c r="W294" i="2"/>
  <c r="W652" i="8" s="1"/>
  <c r="W653" i="8" s="1"/>
  <c r="M692" i="2"/>
  <c r="M1044" i="8" s="1"/>
  <c r="M1045" i="8" s="1"/>
  <c r="P294" i="2"/>
  <c r="P652" i="8" s="1"/>
  <c r="P653" i="8" s="1"/>
  <c r="L692" i="2"/>
  <c r="L1044" i="8" s="1"/>
  <c r="L1045" i="8" s="1"/>
  <c r="AA692" i="2"/>
  <c r="AA1044" i="8" s="1"/>
  <c r="AA1045" i="8" s="1"/>
  <c r="O294" i="2"/>
  <c r="O652" i="8" s="1"/>
  <c r="O653" i="8" s="1"/>
  <c r="N294" i="2"/>
  <c r="N652" i="8" s="1"/>
  <c r="N653" i="8" s="1"/>
  <c r="Z293" i="2"/>
  <c r="M293" i="2"/>
  <c r="AD691" i="2"/>
  <c r="AD1040" i="8" s="1"/>
  <c r="AD1041" i="8" s="1"/>
  <c r="AD290" i="2"/>
  <c r="AD636" i="8" s="1"/>
  <c r="AD637" i="8" s="1"/>
  <c r="Y691" i="2"/>
  <c r="Y1040" i="8" s="1"/>
  <c r="Y1041" i="8" s="1"/>
  <c r="S293" i="2"/>
  <c r="S648" i="8" s="1"/>
  <c r="S649" i="8" s="1"/>
  <c r="N293" i="2"/>
  <c r="N648" i="8" s="1"/>
  <c r="N649" i="8" s="1"/>
  <c r="X691" i="2"/>
  <c r="X1040" i="8" s="1"/>
  <c r="X1041" i="8" s="1"/>
  <c r="V691" i="2"/>
  <c r="V1040" i="8" s="1"/>
  <c r="V1041" i="8" s="1"/>
  <c r="S691" i="2"/>
  <c r="S1040" i="8" s="1"/>
  <c r="S1041" i="8" s="1"/>
  <c r="W691" i="2"/>
  <c r="W1040" i="8" s="1"/>
  <c r="W1041" i="8" s="1"/>
  <c r="AB293" i="2"/>
  <c r="AB648" i="8" s="1"/>
  <c r="AB649" i="8" s="1"/>
  <c r="R691" i="2"/>
  <c r="R1040" i="8" s="1"/>
  <c r="R1041" i="8" s="1"/>
  <c r="Y293" i="2"/>
  <c r="Y648" i="8" s="1"/>
  <c r="Y649" i="8" s="1"/>
  <c r="W293" i="2"/>
  <c r="W648" i="8" s="1"/>
  <c r="W649" i="8" s="1"/>
  <c r="V293" i="2"/>
  <c r="V648" i="8" s="1"/>
  <c r="V649" i="8" s="1"/>
  <c r="U293" i="2"/>
  <c r="U648" i="8" s="1"/>
  <c r="U649" i="8" s="1"/>
  <c r="S289" i="2"/>
  <c r="S632" i="8" s="1"/>
  <c r="S633" i="8" s="1"/>
  <c r="AC689" i="2"/>
  <c r="AC1032" i="8" s="1"/>
  <c r="AC1033" i="8" s="1"/>
  <c r="AB689" i="2"/>
  <c r="AB1032" i="8" s="1"/>
  <c r="AB1033" i="8" s="1"/>
  <c r="R291" i="2"/>
  <c r="R640" i="8" s="1"/>
  <c r="R641" i="8" s="1"/>
  <c r="Q291" i="2"/>
  <c r="Q640" i="8" s="1"/>
  <c r="Q641" i="8" s="1"/>
  <c r="T689" i="2"/>
  <c r="T1032" i="8" s="1"/>
  <c r="T1033" i="8" s="1"/>
  <c r="Z291" i="2"/>
  <c r="Z640" i="8" s="1"/>
  <c r="Z641" i="8" s="1"/>
  <c r="N689" i="2"/>
  <c r="N1032" i="8" s="1"/>
  <c r="N1033" i="8" s="1"/>
  <c r="Y291" i="2"/>
  <c r="Y640" i="8" s="1"/>
  <c r="Y641" i="8" s="1"/>
  <c r="M687" i="2"/>
  <c r="M1024" i="8" s="1"/>
  <c r="M1025" i="8" s="1"/>
  <c r="U689" i="2"/>
  <c r="U1032" i="8" s="1"/>
  <c r="U1033" i="8" s="1"/>
  <c r="R689" i="2"/>
  <c r="R1032" i="8" s="1"/>
  <c r="R1033" i="8" s="1"/>
  <c r="O689" i="2"/>
  <c r="O1032" i="8" s="1"/>
  <c r="O1033" i="8" s="1"/>
  <c r="X291" i="2"/>
  <c r="X640" i="8" s="1"/>
  <c r="X641" i="8" s="1"/>
  <c r="W291" i="2"/>
  <c r="W640" i="8" s="1"/>
  <c r="W641" i="8" s="1"/>
  <c r="M288" i="2"/>
  <c r="M628" i="8" s="1"/>
  <c r="M629" i="8" s="1"/>
  <c r="Q689" i="2"/>
  <c r="Q1032" i="8" s="1"/>
  <c r="Q1033" i="8" s="1"/>
  <c r="U291" i="2"/>
  <c r="U640" i="8" s="1"/>
  <c r="U641" i="8" s="1"/>
  <c r="N694" i="2"/>
  <c r="N1052" i="8" s="1"/>
  <c r="N1053" i="8" s="1"/>
  <c r="L291" i="2"/>
  <c r="L640" i="8" s="1"/>
  <c r="L641" i="8" s="1"/>
  <c r="W689" i="2"/>
  <c r="W1032" i="8" s="1"/>
  <c r="W1033" i="8" s="1"/>
  <c r="AE291" i="2"/>
  <c r="AE640" i="8" s="1"/>
  <c r="AE641" i="8" s="1"/>
  <c r="T291" i="2"/>
  <c r="T640" i="8" s="1"/>
  <c r="T641" i="8" s="1"/>
  <c r="AE689" i="2"/>
  <c r="AE1032" i="8" s="1"/>
  <c r="AE1033" i="8" s="1"/>
  <c r="AA293" i="2"/>
  <c r="AA648" i="8" s="1"/>
  <c r="AA649" i="8" s="1"/>
  <c r="AE691" i="2"/>
  <c r="AE1040" i="8" s="1"/>
  <c r="AE1041" i="8" s="1"/>
  <c r="T293" i="2"/>
  <c r="T648" i="8" s="1"/>
  <c r="T649" i="8" s="1"/>
  <c r="V693" i="2"/>
  <c r="V1048" i="8" s="1"/>
  <c r="V1049" i="8" s="1"/>
  <c r="T691" i="2"/>
  <c r="T1040" i="8" s="1"/>
  <c r="T1041" i="8" s="1"/>
  <c r="M295" i="2"/>
  <c r="M656" i="8" s="1"/>
  <c r="M657" i="8" s="1"/>
  <c r="L293" i="2"/>
  <c r="L648" i="8" s="1"/>
  <c r="L649" i="8" s="1"/>
  <c r="P691" i="2"/>
  <c r="P1040" i="8" s="1"/>
  <c r="P1041" i="8" s="1"/>
  <c r="R292" i="2"/>
  <c r="R644" i="8" s="1"/>
  <c r="R645" i="8" s="1"/>
  <c r="Y288" i="2"/>
  <c r="Y628" i="8" s="1"/>
  <c r="Y629" i="8" s="1"/>
  <c r="AA690" i="2"/>
  <c r="AA1036" i="8" s="1"/>
  <c r="AA1037" i="8" s="1"/>
  <c r="S693" i="2"/>
  <c r="S1048" i="8" s="1"/>
  <c r="S1049" i="8" s="1"/>
  <c r="V288" i="2"/>
  <c r="V628" i="8" s="1"/>
  <c r="V629" i="8" s="1"/>
  <c r="L694" i="2"/>
  <c r="L1052" i="8" s="1"/>
  <c r="L1053" i="8" s="1"/>
  <c r="N288" i="2"/>
  <c r="N628" i="8" s="1"/>
  <c r="N629" i="8" s="1"/>
  <c r="Y693" i="2"/>
  <c r="Y1048" i="8" s="1"/>
  <c r="Y1049" i="8" s="1"/>
  <c r="M694" i="2"/>
  <c r="M1052" i="8" s="1"/>
  <c r="M1053" i="8" s="1"/>
  <c r="AA687" i="2"/>
  <c r="AA1024" i="8" s="1"/>
  <c r="AA1025" i="8" s="1"/>
  <c r="Z687" i="2"/>
  <c r="Z1024" i="8" s="1"/>
  <c r="Z1025" i="8" s="1"/>
  <c r="Y687" i="2"/>
  <c r="Y1024" i="8" s="1"/>
  <c r="Y1025" i="8" s="1"/>
  <c r="L687" i="2"/>
  <c r="L1024" i="8" s="1"/>
  <c r="L1025" i="8" s="1"/>
  <c r="AB694" i="2"/>
  <c r="AB1052" i="8" s="1"/>
  <c r="AB1053" i="8" s="1"/>
  <c r="U289" i="2"/>
  <c r="U632" i="8" s="1"/>
  <c r="U633" i="8" s="1"/>
  <c r="AA694" i="2"/>
  <c r="AA1052" i="8" s="1"/>
  <c r="AA1053" i="8" s="1"/>
  <c r="T289" i="2"/>
  <c r="T632" i="8" s="1"/>
  <c r="T633" i="8" s="1"/>
  <c r="Z694" i="2"/>
  <c r="Z1052" i="8" s="1"/>
  <c r="Z1053" i="8" s="1"/>
  <c r="T292" i="2"/>
  <c r="T644" i="8" s="1"/>
  <c r="T645" i="8" s="1"/>
  <c r="W289" i="2"/>
  <c r="W632" i="8" s="1"/>
  <c r="W633" i="8" s="1"/>
  <c r="AD694" i="2"/>
  <c r="AD1052" i="8" s="1"/>
  <c r="AD1053" i="8" s="1"/>
  <c r="P694" i="2"/>
  <c r="P1052" i="8" s="1"/>
  <c r="P1053" i="8" s="1"/>
  <c r="AC690" i="2"/>
  <c r="AC1036" i="8" s="1"/>
  <c r="AC1037" i="8" s="1"/>
  <c r="AC687" i="2"/>
  <c r="AC1024" i="8" s="1"/>
  <c r="AC1025" i="8" s="1"/>
  <c r="O687" i="2"/>
  <c r="O1024" i="8" s="1"/>
  <c r="O1025" i="8" s="1"/>
  <c r="S292" i="2"/>
  <c r="S644" i="8" s="1"/>
  <c r="S645" i="8" s="1"/>
  <c r="V289" i="2"/>
  <c r="V632" i="8" s="1"/>
  <c r="V633" i="8" s="1"/>
  <c r="AC694" i="2"/>
  <c r="AC1052" i="8" s="1"/>
  <c r="AC1053" i="8" s="1"/>
  <c r="O694" i="2"/>
  <c r="O1052" i="8" s="1"/>
  <c r="O1053" i="8" s="1"/>
  <c r="AB690" i="2"/>
  <c r="AB1036" i="8" s="1"/>
  <c r="AB1037" i="8" s="1"/>
  <c r="AB687" i="2"/>
  <c r="AB1024" i="8" s="1"/>
  <c r="AB1025" i="8" s="1"/>
  <c r="N687" i="2"/>
  <c r="N1024" i="8" s="1"/>
  <c r="N1025" i="8" s="1"/>
  <c r="O292" i="2"/>
  <c r="O644" i="8" s="1"/>
  <c r="O645" i="8" s="1"/>
  <c r="R289" i="2"/>
  <c r="R632" i="8" s="1"/>
  <c r="R633" i="8" s="1"/>
  <c r="Y694" i="2"/>
  <c r="Y1052" i="8" s="1"/>
  <c r="Y1053" i="8" s="1"/>
  <c r="X690" i="2"/>
  <c r="X1036" i="8" s="1"/>
  <c r="X1037" i="8" s="1"/>
  <c r="X687" i="2"/>
  <c r="X1024" i="8" s="1"/>
  <c r="X1025" i="8" s="1"/>
  <c r="N292" i="2"/>
  <c r="N644" i="8" s="1"/>
  <c r="N645" i="8" s="1"/>
  <c r="AE289" i="2"/>
  <c r="AE632" i="8" s="1"/>
  <c r="AE633" i="8" s="1"/>
  <c r="Q289" i="2"/>
  <c r="Q632" i="8" s="1"/>
  <c r="Q633" i="8" s="1"/>
  <c r="X694" i="2"/>
  <c r="X1052" i="8" s="1"/>
  <c r="X1053" i="8" s="1"/>
  <c r="X693" i="2"/>
  <c r="X1048" i="8" s="1"/>
  <c r="X1049" i="8" s="1"/>
  <c r="W690" i="2"/>
  <c r="W1036" i="8" s="1"/>
  <c r="W1037" i="8" s="1"/>
  <c r="W687" i="2"/>
  <c r="W1024" i="8" s="1"/>
  <c r="W1025" i="8" s="1"/>
  <c r="Y690" i="2"/>
  <c r="Y1036" i="8" s="1"/>
  <c r="Y1037" i="8" s="1"/>
  <c r="AE292" i="2"/>
  <c r="AE644" i="8" s="1"/>
  <c r="AE645" i="8" s="1"/>
  <c r="AD289" i="2"/>
  <c r="AD632" i="8" s="1"/>
  <c r="AD633" i="8" s="1"/>
  <c r="R690" i="2"/>
  <c r="R1036" i="8" s="1"/>
  <c r="R1037" i="8" s="1"/>
  <c r="U694" i="2"/>
  <c r="U1052" i="8" s="1"/>
  <c r="U1053" i="8" s="1"/>
  <c r="AA295" i="2"/>
  <c r="AA656" i="8" s="1"/>
  <c r="AA657" i="8" s="1"/>
  <c r="AB292" i="2"/>
  <c r="AB644" i="8" s="1"/>
  <c r="AB645" i="8" s="1"/>
  <c r="AA289" i="2"/>
  <c r="AA632" i="8" s="1"/>
  <c r="AA633" i="8" s="1"/>
  <c r="M289" i="2"/>
  <c r="M632" i="8" s="1"/>
  <c r="M633" i="8" s="1"/>
  <c r="T694" i="2"/>
  <c r="T1052" i="8" s="1"/>
  <c r="T1053" i="8" s="1"/>
  <c r="O690" i="2"/>
  <c r="O1036" i="8" s="1"/>
  <c r="O1037" i="8" s="1"/>
  <c r="AA688" i="2"/>
  <c r="AA1028" i="8" s="1"/>
  <c r="AA1029" i="8" s="1"/>
  <c r="S687" i="2"/>
  <c r="S1024" i="8" s="1"/>
  <c r="S1025" i="8" s="1"/>
  <c r="P292" i="2"/>
  <c r="P644" i="8" s="1"/>
  <c r="P645" i="8" s="1"/>
  <c r="P289" i="2"/>
  <c r="P632" i="8" s="1"/>
  <c r="P633" i="8" s="1"/>
  <c r="W694" i="2"/>
  <c r="W1052" i="8" s="1"/>
  <c r="W1053" i="8" s="1"/>
  <c r="Y295" i="2"/>
  <c r="Y656" i="8" s="1"/>
  <c r="Y657" i="8" s="1"/>
  <c r="AA292" i="2"/>
  <c r="AA644" i="8" s="1"/>
  <c r="AA645" i="8" s="1"/>
  <c r="Z289" i="2"/>
  <c r="Z632" i="8" s="1"/>
  <c r="Z633" i="8" s="1"/>
  <c r="L289" i="2"/>
  <c r="L632" i="8" s="1"/>
  <c r="L633" i="8" s="1"/>
  <c r="S694" i="2"/>
  <c r="S1052" i="8" s="1"/>
  <c r="S1053" i="8" s="1"/>
  <c r="N690" i="2"/>
  <c r="N1036" i="8" s="1"/>
  <c r="N1037" i="8" s="1"/>
  <c r="M688" i="2"/>
  <c r="M1028" i="8" s="1"/>
  <c r="M1029" i="8" s="1"/>
  <c r="R687" i="2"/>
  <c r="R1024" i="8" s="1"/>
  <c r="R1025" i="8" s="1"/>
  <c r="Q292" i="2"/>
  <c r="Q644" i="8" s="1"/>
  <c r="Q645" i="8" s="1"/>
  <c r="Z690" i="2"/>
  <c r="Z1036" i="8" s="1"/>
  <c r="Z1037" i="8" s="1"/>
  <c r="V687" i="2"/>
  <c r="V1024" i="8" s="1"/>
  <c r="V1025" i="8" s="1"/>
  <c r="AD292" i="2"/>
  <c r="AD644" i="8" s="1"/>
  <c r="AD645" i="8" s="1"/>
  <c r="O289" i="2"/>
  <c r="O632" i="8" s="1"/>
  <c r="O633" i="8" s="1"/>
  <c r="V694" i="2"/>
  <c r="V1052" i="8" s="1"/>
  <c r="V1053" i="8" s="1"/>
  <c r="Q690" i="2"/>
  <c r="Q1036" i="8" s="1"/>
  <c r="Q1037" i="8" s="1"/>
  <c r="U687" i="2"/>
  <c r="U1024" i="8" s="1"/>
  <c r="U1025" i="8" s="1"/>
  <c r="AB295" i="2"/>
  <c r="AB656" i="8" s="1"/>
  <c r="AB657" i="8" s="1"/>
  <c r="AC292" i="2"/>
  <c r="AC644" i="8" s="1"/>
  <c r="AC645" i="8" s="1"/>
  <c r="AB289" i="2"/>
  <c r="AB632" i="8" s="1"/>
  <c r="AB633" i="8" s="1"/>
  <c r="N289" i="2"/>
  <c r="N632" i="8" s="1"/>
  <c r="N633" i="8" s="1"/>
  <c r="P690" i="2"/>
  <c r="P1036" i="8" s="1"/>
  <c r="P1037" i="8" s="1"/>
  <c r="T687" i="2"/>
  <c r="T1024" i="8" s="1"/>
  <c r="T1025" i="8" s="1"/>
  <c r="V295" i="2"/>
  <c r="V656" i="8" s="1"/>
  <c r="V657" i="8" s="1"/>
  <c r="V292" i="2"/>
  <c r="V644" i="8" s="1"/>
  <c r="V645" i="8" s="1"/>
  <c r="Y289" i="2"/>
  <c r="Y632" i="8" s="1"/>
  <c r="Y633" i="8" s="1"/>
  <c r="AB288" i="2"/>
  <c r="AB628" i="8" s="1"/>
  <c r="AB629" i="8" s="1"/>
  <c r="R694" i="2"/>
  <c r="R1052" i="8" s="1"/>
  <c r="R1053" i="8" s="1"/>
  <c r="AE690" i="2"/>
  <c r="AE1036" i="8" s="1"/>
  <c r="AE1037" i="8" s="1"/>
  <c r="M690" i="2"/>
  <c r="M1036" i="8" s="1"/>
  <c r="M1037" i="8" s="1"/>
  <c r="AE687" i="2"/>
  <c r="AE1024" i="8" s="1"/>
  <c r="AE1025" i="8" s="1"/>
  <c r="Q687" i="2"/>
  <c r="Q1024" i="8" s="1"/>
  <c r="Q1025" i="8" s="1"/>
  <c r="M292" i="2"/>
  <c r="M644" i="8" s="1"/>
  <c r="M645" i="8" s="1"/>
  <c r="AC289" i="2"/>
  <c r="AC632" i="8" s="1"/>
  <c r="AC633" i="8" s="1"/>
  <c r="N295" i="2"/>
  <c r="N656" i="8" s="1"/>
  <c r="N657" i="8" s="1"/>
  <c r="U292" i="2"/>
  <c r="U644" i="8" s="1"/>
  <c r="U645" i="8" s="1"/>
  <c r="AA288" i="2"/>
  <c r="AA628" i="8" s="1"/>
  <c r="AA629" i="8" s="1"/>
  <c r="AE694" i="2"/>
  <c r="AE1052" i="8" s="1"/>
  <c r="AE1053" i="8" s="1"/>
  <c r="AD690" i="2"/>
  <c r="AD1036" i="8" s="1"/>
  <c r="AD1037" i="8" s="1"/>
  <c r="L690" i="2"/>
  <c r="L1036" i="8" s="1"/>
  <c r="L1037" i="8" s="1"/>
  <c r="AD687" i="2"/>
  <c r="AD1024" i="8" s="1"/>
  <c r="AD1025" i="8" s="1"/>
  <c r="R294" i="2"/>
  <c r="R652" i="8" s="1"/>
  <c r="R653" i="8" s="1"/>
  <c r="AC692" i="2"/>
  <c r="AC1044" i="8" s="1"/>
  <c r="AC1045" i="8" s="1"/>
  <c r="O692" i="2"/>
  <c r="O1044" i="8" s="1"/>
  <c r="O1045" i="8" s="1"/>
  <c r="AE294" i="2"/>
  <c r="AE652" i="8" s="1"/>
  <c r="AE653" i="8" s="1"/>
  <c r="Q294" i="2"/>
  <c r="Q652" i="8" s="1"/>
  <c r="Q653" i="8" s="1"/>
  <c r="AB692" i="2"/>
  <c r="AB1044" i="8" s="1"/>
  <c r="AB1045" i="8" s="1"/>
  <c r="N692" i="2"/>
  <c r="N1044" i="8" s="1"/>
  <c r="N1045" i="8" s="1"/>
  <c r="AA294" i="2"/>
  <c r="AA652" i="8" s="1"/>
  <c r="AA653" i="8" s="1"/>
  <c r="M294" i="2"/>
  <c r="M652" i="8" s="1"/>
  <c r="M653" i="8" s="1"/>
  <c r="X692" i="2"/>
  <c r="X1044" i="8" s="1"/>
  <c r="X1045" i="8" s="1"/>
  <c r="Z294" i="2"/>
  <c r="Z652" i="8" s="1"/>
  <c r="Z653" i="8" s="1"/>
  <c r="L294" i="2"/>
  <c r="L652" i="8" s="1"/>
  <c r="L653" i="8" s="1"/>
  <c r="W692" i="2"/>
  <c r="W1044" i="8" s="1"/>
  <c r="W1045" i="8" s="1"/>
  <c r="Y294" i="2"/>
  <c r="Y652" i="8" s="1"/>
  <c r="Y653" i="8" s="1"/>
  <c r="N32" i="13"/>
  <c r="V692" i="2"/>
  <c r="V1044" i="8" s="1"/>
  <c r="V1045" i="8" s="1"/>
  <c r="T692" i="2"/>
  <c r="T1044" i="8" s="1"/>
  <c r="T1045" i="8" s="1"/>
  <c r="V294" i="2"/>
  <c r="V652" i="8" s="1"/>
  <c r="V653" i="8" s="1"/>
  <c r="Z292" i="2"/>
  <c r="Z644" i="8" s="1"/>
  <c r="Z645" i="8" s="1"/>
  <c r="L292" i="2"/>
  <c r="L644" i="8" s="1"/>
  <c r="L645" i="8" s="1"/>
  <c r="S692" i="2"/>
  <c r="S1044" i="8" s="1"/>
  <c r="S1045" i="8" s="1"/>
  <c r="V690" i="2"/>
  <c r="V1036" i="8" s="1"/>
  <c r="V1037" i="8" s="1"/>
  <c r="U294" i="2"/>
  <c r="U652" i="8" s="1"/>
  <c r="U653" i="8" s="1"/>
  <c r="Y292" i="2"/>
  <c r="Y644" i="8" s="1"/>
  <c r="Y645" i="8" s="1"/>
  <c r="R692" i="2"/>
  <c r="R1044" i="8" s="1"/>
  <c r="R1045" i="8" s="1"/>
  <c r="U690" i="2"/>
  <c r="U1036" i="8" s="1"/>
  <c r="U1037" i="8" s="1"/>
  <c r="T294" i="2"/>
  <c r="T652" i="8" s="1"/>
  <c r="T653" i="8" s="1"/>
  <c r="X292" i="2"/>
  <c r="X644" i="8" s="1"/>
  <c r="X645" i="8" s="1"/>
  <c r="AE692" i="2"/>
  <c r="AE1044" i="8" s="1"/>
  <c r="AE1045" i="8" s="1"/>
  <c r="Q692" i="2"/>
  <c r="Q1044" i="8" s="1"/>
  <c r="Q1045" i="8" s="1"/>
  <c r="T690" i="2"/>
  <c r="T1036" i="8" s="1"/>
  <c r="T1037" i="8" s="1"/>
  <c r="AD692" i="2"/>
  <c r="AD1044" i="8" s="1"/>
  <c r="AD1045" i="8" s="1"/>
  <c r="D42" i="19"/>
  <c r="AD295" i="2"/>
  <c r="AD656" i="8" s="1"/>
  <c r="AD657" i="8" s="1"/>
  <c r="P295" i="2"/>
  <c r="P656" i="8" s="1"/>
  <c r="P657" i="8" s="1"/>
  <c r="R290" i="2"/>
  <c r="R636" i="8" s="1"/>
  <c r="R637" i="8" s="1"/>
  <c r="AD288" i="2"/>
  <c r="AD628" i="8" s="1"/>
  <c r="AD629" i="8" s="1"/>
  <c r="P288" i="2"/>
  <c r="P628" i="8" s="1"/>
  <c r="P629" i="8" s="1"/>
  <c r="AA693" i="2"/>
  <c r="AA1048" i="8" s="1"/>
  <c r="AA1049" i="8" s="1"/>
  <c r="M693" i="2"/>
  <c r="M1048" i="8" s="1"/>
  <c r="M1049" i="8" s="1"/>
  <c r="AC688" i="2"/>
  <c r="AC1028" i="8" s="1"/>
  <c r="AC1029" i="8" s="1"/>
  <c r="O688" i="2"/>
  <c r="O1028" i="8" s="1"/>
  <c r="O1029" i="8" s="1"/>
  <c r="AC295" i="2"/>
  <c r="AC656" i="8" s="1"/>
  <c r="AC657" i="8" s="1"/>
  <c r="O295" i="2"/>
  <c r="O656" i="8" s="1"/>
  <c r="O657" i="8" s="1"/>
  <c r="AE290" i="2"/>
  <c r="AE636" i="8" s="1"/>
  <c r="AE637" i="8" s="1"/>
  <c r="Q290" i="2"/>
  <c r="Q636" i="8" s="1"/>
  <c r="Q637" i="8" s="1"/>
  <c r="AC288" i="2"/>
  <c r="AC628" i="8" s="1"/>
  <c r="AC629" i="8" s="1"/>
  <c r="O288" i="2"/>
  <c r="O628" i="8" s="1"/>
  <c r="O629" i="8" s="1"/>
  <c r="Z693" i="2"/>
  <c r="Z1048" i="8" s="1"/>
  <c r="Z1049" i="8" s="1"/>
  <c r="L693" i="2"/>
  <c r="L1048" i="8" s="1"/>
  <c r="L1049" i="8" s="1"/>
  <c r="V689" i="2"/>
  <c r="V1032" i="8" s="1"/>
  <c r="V1033" i="8" s="1"/>
  <c r="AB688" i="2"/>
  <c r="AB1028" i="8" s="1"/>
  <c r="AB1029" i="8" s="1"/>
  <c r="N688" i="2"/>
  <c r="N1028" i="8" s="1"/>
  <c r="N1029" i="8" s="1"/>
  <c r="AC290" i="2"/>
  <c r="AC636" i="8" s="1"/>
  <c r="AC637" i="8" s="1"/>
  <c r="Z295" i="2"/>
  <c r="Z656" i="8" s="1"/>
  <c r="Z657" i="8" s="1"/>
  <c r="L295" i="2"/>
  <c r="L656" i="8" s="1"/>
  <c r="L657" i="8" s="1"/>
  <c r="X293" i="2"/>
  <c r="X648" i="8" s="1"/>
  <c r="X649" i="8" s="1"/>
  <c r="V291" i="2"/>
  <c r="V640" i="8" s="1"/>
  <c r="V641" i="8" s="1"/>
  <c r="AB290" i="2"/>
  <c r="AB636" i="8" s="1"/>
  <c r="AB637" i="8" s="1"/>
  <c r="N290" i="2"/>
  <c r="N636" i="8" s="1"/>
  <c r="N637" i="8" s="1"/>
  <c r="Z288" i="2"/>
  <c r="Z628" i="8" s="1"/>
  <c r="Z629" i="8" s="1"/>
  <c r="L288" i="2"/>
  <c r="L628" i="8" s="1"/>
  <c r="L629" i="8" s="1"/>
  <c r="W693" i="2"/>
  <c r="W1048" i="8" s="1"/>
  <c r="W1049" i="8" s="1"/>
  <c r="U691" i="2"/>
  <c r="U1040" i="8" s="1"/>
  <c r="U1041" i="8" s="1"/>
  <c r="S689" i="2"/>
  <c r="S1032" i="8" s="1"/>
  <c r="S1033" i="8" s="1"/>
  <c r="Y688" i="2"/>
  <c r="Y1028" i="8" s="1"/>
  <c r="Y1029" i="8" s="1"/>
  <c r="AA290" i="2"/>
  <c r="AA636" i="8" s="1"/>
  <c r="AA637" i="8" s="1"/>
  <c r="X688" i="2"/>
  <c r="X1028" i="8" s="1"/>
  <c r="X1029" i="8" s="1"/>
  <c r="L688" i="2"/>
  <c r="L1028" i="8" s="1"/>
  <c r="L1029" i="8" s="1"/>
  <c r="X288" i="2"/>
  <c r="X628" i="8" s="1"/>
  <c r="X629" i="8" s="1"/>
  <c r="U693" i="2"/>
  <c r="U1048" i="8" s="1"/>
  <c r="U1049" i="8" s="1"/>
  <c r="O290" i="2"/>
  <c r="O636" i="8" s="1"/>
  <c r="O637" i="8" s="1"/>
  <c r="Z688" i="2"/>
  <c r="Z1028" i="8" s="1"/>
  <c r="Z1029" i="8" s="1"/>
  <c r="M290" i="2"/>
  <c r="M636" i="8" s="1"/>
  <c r="M637" i="8" s="1"/>
  <c r="X295" i="2"/>
  <c r="X656" i="8" s="1"/>
  <c r="X657" i="8" s="1"/>
  <c r="Z290" i="2"/>
  <c r="Z636" i="8" s="1"/>
  <c r="Z637" i="8" s="1"/>
  <c r="L290" i="2"/>
  <c r="L636" i="8" s="1"/>
  <c r="L637" i="8" s="1"/>
  <c r="W688" i="2"/>
  <c r="W1028" i="8" s="1"/>
  <c r="W1029" i="8" s="1"/>
  <c r="W295" i="2"/>
  <c r="W656" i="8" s="1"/>
  <c r="W657" i="8" s="1"/>
  <c r="S291" i="2"/>
  <c r="S640" i="8" s="1"/>
  <c r="S641" i="8" s="1"/>
  <c r="Y290" i="2"/>
  <c r="Y636" i="8" s="1"/>
  <c r="Y637" i="8" s="1"/>
  <c r="W288" i="2"/>
  <c r="W628" i="8" s="1"/>
  <c r="W629" i="8" s="1"/>
  <c r="T693" i="2"/>
  <c r="T1048" i="8" s="1"/>
  <c r="T1049" i="8" s="1"/>
  <c r="AD689" i="2"/>
  <c r="AD1032" i="8" s="1"/>
  <c r="AD1033" i="8" s="1"/>
  <c r="P689" i="2"/>
  <c r="P1032" i="8" s="1"/>
  <c r="P1033" i="8" s="1"/>
  <c r="V688" i="2"/>
  <c r="V1028" i="8" s="1"/>
  <c r="V1029" i="8" s="1"/>
  <c r="X290" i="2"/>
  <c r="X636" i="8" s="1"/>
  <c r="X637" i="8" s="1"/>
  <c r="T295" i="2"/>
  <c r="T656" i="8" s="1"/>
  <c r="T657" i="8" s="1"/>
  <c r="R293" i="2"/>
  <c r="R648" i="8" s="1"/>
  <c r="R649" i="8" s="1"/>
  <c r="AD291" i="2"/>
  <c r="AD640" i="8" s="1"/>
  <c r="AD641" i="8" s="1"/>
  <c r="P291" i="2"/>
  <c r="P640" i="8" s="1"/>
  <c r="P641" i="8" s="1"/>
  <c r="V290" i="2"/>
  <c r="V636" i="8" s="1"/>
  <c r="V637" i="8" s="1"/>
  <c r="T288" i="2"/>
  <c r="T628" i="8" s="1"/>
  <c r="T629" i="8" s="1"/>
  <c r="AE693" i="2"/>
  <c r="AE1048" i="8" s="1"/>
  <c r="AE1049" i="8" s="1"/>
  <c r="Q693" i="2"/>
  <c r="Q1048" i="8" s="1"/>
  <c r="Q1049" i="8" s="1"/>
  <c r="AC691" i="2"/>
  <c r="AC1040" i="8" s="1"/>
  <c r="AC1041" i="8" s="1"/>
  <c r="O691" i="2"/>
  <c r="O1040" i="8" s="1"/>
  <c r="O1041" i="8" s="1"/>
  <c r="AA689" i="2"/>
  <c r="AA1032" i="8" s="1"/>
  <c r="AA1033" i="8" s="1"/>
  <c r="M689" i="2"/>
  <c r="M1032" i="8" s="1"/>
  <c r="M1033" i="8" s="1"/>
  <c r="S688" i="2"/>
  <c r="S1028" i="8" s="1"/>
  <c r="S1029" i="8" s="1"/>
  <c r="S295" i="2"/>
  <c r="S656" i="8" s="1"/>
  <c r="S657" i="8" s="1"/>
  <c r="AE293" i="2"/>
  <c r="AE648" i="8" s="1"/>
  <c r="AE649" i="8" s="1"/>
  <c r="Q293" i="2"/>
  <c r="Q648" i="8" s="1"/>
  <c r="Q649" i="8" s="1"/>
  <c r="AC291" i="2"/>
  <c r="AC640" i="8" s="1"/>
  <c r="AC641" i="8" s="1"/>
  <c r="O291" i="2"/>
  <c r="O640" i="8" s="1"/>
  <c r="O641" i="8" s="1"/>
  <c r="U290" i="2"/>
  <c r="U636" i="8" s="1"/>
  <c r="U637" i="8" s="1"/>
  <c r="S288" i="2"/>
  <c r="S628" i="8" s="1"/>
  <c r="S629" i="8" s="1"/>
  <c r="AD693" i="2"/>
  <c r="AD1048" i="8" s="1"/>
  <c r="AD1049" i="8" s="1"/>
  <c r="P693" i="2"/>
  <c r="P1048" i="8" s="1"/>
  <c r="P1049" i="8" s="1"/>
  <c r="AB691" i="2"/>
  <c r="AB1040" i="8" s="1"/>
  <c r="AB1041" i="8" s="1"/>
  <c r="N691" i="2"/>
  <c r="N1040" i="8" s="1"/>
  <c r="N1041" i="8" s="1"/>
  <c r="Z689" i="2"/>
  <c r="Z1032" i="8" s="1"/>
  <c r="Z1033" i="8" s="1"/>
  <c r="L689" i="2"/>
  <c r="L1032" i="8" s="1"/>
  <c r="L1033" i="8" s="1"/>
  <c r="R688" i="2"/>
  <c r="R1028" i="8" s="1"/>
  <c r="R1029" i="8" s="1"/>
  <c r="U688" i="2"/>
  <c r="U1028" i="8" s="1"/>
  <c r="U1029" i="8" s="1"/>
  <c r="U288" i="2"/>
  <c r="U628" i="8" s="1"/>
  <c r="U629" i="8" s="1"/>
  <c r="R295" i="2"/>
  <c r="R656" i="8" s="1"/>
  <c r="R657" i="8" s="1"/>
  <c r="AD293" i="2"/>
  <c r="AD648" i="8" s="1"/>
  <c r="AD649" i="8" s="1"/>
  <c r="P293" i="2"/>
  <c r="P648" i="8" s="1"/>
  <c r="P649" i="8" s="1"/>
  <c r="AB291" i="2"/>
  <c r="AB640" i="8" s="1"/>
  <c r="AB641" i="8" s="1"/>
  <c r="N291" i="2"/>
  <c r="N640" i="8" s="1"/>
  <c r="N641" i="8" s="1"/>
  <c r="T290" i="2"/>
  <c r="T636" i="8" s="1"/>
  <c r="T637" i="8" s="1"/>
  <c r="R288" i="2"/>
  <c r="R628" i="8" s="1"/>
  <c r="R629" i="8" s="1"/>
  <c r="AC693" i="2"/>
  <c r="AC1048" i="8" s="1"/>
  <c r="AC1049" i="8" s="1"/>
  <c r="O693" i="2"/>
  <c r="O1048" i="8" s="1"/>
  <c r="O1049" i="8" s="1"/>
  <c r="AA691" i="2"/>
  <c r="AA1040" i="8" s="1"/>
  <c r="AA1041" i="8" s="1"/>
  <c r="M691" i="2"/>
  <c r="M1040" i="8" s="1"/>
  <c r="M1041" i="8" s="1"/>
  <c r="Y689" i="2"/>
  <c r="Y1032" i="8" s="1"/>
  <c r="Y1033" i="8" s="1"/>
  <c r="AE688" i="2"/>
  <c r="AE1028" i="8" s="1"/>
  <c r="AE1029" i="8" s="1"/>
  <c r="Q688" i="2"/>
  <c r="Q1028" i="8" s="1"/>
  <c r="Q1029" i="8" s="1"/>
  <c r="U295" i="2"/>
  <c r="U656" i="8" s="1"/>
  <c r="U657" i="8" s="1"/>
  <c r="W290" i="2"/>
  <c r="W636" i="8" s="1"/>
  <c r="W637" i="8" s="1"/>
  <c r="R693" i="2"/>
  <c r="R1048" i="8" s="1"/>
  <c r="R1049" i="8" s="1"/>
  <c r="T688" i="2"/>
  <c r="T1028" i="8" s="1"/>
  <c r="T1029" i="8" s="1"/>
  <c r="AE295" i="2"/>
  <c r="AE656" i="8" s="1"/>
  <c r="AE657" i="8" s="1"/>
  <c r="AC293" i="2"/>
  <c r="AC648" i="8" s="1"/>
  <c r="AC649" i="8" s="1"/>
  <c r="AA291" i="2"/>
  <c r="AA640" i="8" s="1"/>
  <c r="AA641" i="8" s="1"/>
  <c r="AE288" i="2"/>
  <c r="AE628" i="8" s="1"/>
  <c r="AE629" i="8" s="1"/>
  <c r="AB693" i="2"/>
  <c r="AB1048" i="8" s="1"/>
  <c r="AB1049" i="8" s="1"/>
  <c r="Z691" i="2"/>
  <c r="Z1040" i="8" s="1"/>
  <c r="Z1041" i="8" s="1"/>
  <c r="AD688" i="2"/>
  <c r="AD1028" i="8" s="1"/>
  <c r="AD1029" i="8" s="1"/>
  <c r="N37" i="18"/>
  <c r="F1895" i="8"/>
  <c r="F1899" i="8"/>
  <c r="F1900" i="8"/>
  <c r="D14" i="17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M648" i="8"/>
  <c r="M64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V35" i="13"/>
  <c r="AB10" i="13"/>
  <c r="AB30" i="13" s="1"/>
  <c r="AE12" i="13"/>
  <c r="AE32" i="13" s="1"/>
  <c r="P13" i="13"/>
  <c r="P33" i="13" s="1"/>
  <c r="X632" i="8"/>
  <c r="X633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X15" i="13"/>
  <c r="X35" i="13" s="1"/>
  <c r="Z648" i="8"/>
  <c r="Z649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P36" i="13"/>
  <c r="O12" i="13"/>
  <c r="O32" i="13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Q1040" i="8"/>
  <c r="Q1041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Q1052" i="8"/>
  <c r="Q1053" i="8" s="1"/>
  <c r="W14" i="13"/>
  <c r="W34" i="13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O14" i="13"/>
  <c r="O34" i="13" s="1"/>
  <c r="X11" i="13"/>
  <c r="X31" i="13" s="1"/>
  <c r="N14" i="13"/>
  <c r="N34" i="13" s="1"/>
  <c r="P156" i="13"/>
  <c r="P1044" i="8"/>
  <c r="P1045" i="8" s="1"/>
  <c r="AC14" i="13"/>
  <c r="AC34" i="13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W644" i="8"/>
  <c r="W645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S1036" i="8"/>
  <c r="S1037" i="8" s="1"/>
  <c r="U11" i="13"/>
  <c r="U31" i="13" s="1"/>
  <c r="X13" i="13"/>
  <c r="X33" i="13" s="1"/>
  <c r="AD15" i="13"/>
  <c r="AD35" i="13" s="1"/>
  <c r="M16" i="13"/>
  <c r="M36" i="13" s="1"/>
  <c r="Q656" i="8"/>
  <c r="Q657" i="8" s="1"/>
  <c r="M640" i="8"/>
  <c r="M641" i="8" s="1"/>
  <c r="S636" i="8"/>
  <c r="S637" i="8" s="1"/>
  <c r="Q628" i="8"/>
  <c r="Q629" i="8" s="1"/>
  <c r="N1048" i="8"/>
  <c r="N1049" i="8" s="1"/>
  <c r="L1040" i="8"/>
  <c r="L1041" i="8" s="1"/>
  <c r="X1032" i="8"/>
  <c r="X1033" i="8" s="1"/>
  <c r="P1028" i="8"/>
  <c r="P1029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E54" i="19" s="1"/>
  <c r="V58" i="9"/>
  <c r="G368" i="2" s="1"/>
  <c r="F733" i="2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G736" i="2"/>
  <c r="F61" i="19" s="1"/>
  <c r="G731" i="2"/>
  <c r="F56" i="19" s="1"/>
  <c r="G735" i="2"/>
  <c r="E304" i="2"/>
  <c r="V351" i="2"/>
  <c r="G730" i="2"/>
  <c r="F55" i="19" s="1"/>
  <c r="G729" i="2"/>
  <c r="G333" i="2"/>
  <c r="N344" i="2" s="1"/>
  <c r="N804" i="8" s="1"/>
  <c r="N805" i="8" s="1"/>
  <c r="R129" i="2"/>
  <c r="G337" i="2"/>
  <c r="L308" i="2"/>
  <c r="G336" i="2"/>
  <c r="G331" i="2"/>
  <c r="G734" i="2"/>
  <c r="R308" i="2"/>
  <c r="T587" i="2"/>
  <c r="S308" i="2"/>
  <c r="S14" i="14" s="1"/>
  <c r="G335" i="2"/>
  <c r="J335" i="2" s="1"/>
  <c r="T308" i="2"/>
  <c r="M530" i="2"/>
  <c r="G330" i="2"/>
  <c r="N341" i="2" s="1"/>
  <c r="G733" i="2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E61" i="19" s="1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D8" i="18" s="1"/>
  <c r="K27" i="10"/>
  <c r="D18" i="17" s="1"/>
  <c r="J27" i="10"/>
  <c r="I27" i="10"/>
  <c r="H27" i="10"/>
  <c r="G27" i="10"/>
  <c r="D17" i="17" s="1"/>
  <c r="D9" i="18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E60" i="19" s="1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E59" i="19" s="1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E57" i="19" s="1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L1864" i="8" l="1"/>
  <c r="M91" i="16"/>
  <c r="M127" i="16"/>
  <c r="M1" i="20"/>
  <c r="M130" i="16"/>
  <c r="N106" i="16"/>
  <c r="M114" i="16"/>
  <c r="M121" i="16"/>
  <c r="M128" i="16"/>
  <c r="M50" i="16"/>
  <c r="M64" i="16"/>
  <c r="M108" i="16"/>
  <c r="M131" i="16"/>
  <c r="M44" i="16"/>
  <c r="M1864" i="8" s="1"/>
  <c r="M45" i="16"/>
  <c r="M84" i="16"/>
  <c r="M52" i="16"/>
  <c r="M56" i="16"/>
  <c r="M87" i="16"/>
  <c r="M61" i="16"/>
  <c r="M47" i="16"/>
  <c r="M101" i="16"/>
  <c r="M125" i="16"/>
  <c r="M62" i="16"/>
  <c r="M104" i="16"/>
  <c r="M112" i="16"/>
  <c r="M129" i="16"/>
  <c r="N51" i="16"/>
  <c r="M80" i="16"/>
  <c r="M118" i="16"/>
  <c r="M133" i="16"/>
  <c r="M122" i="16"/>
  <c r="N124" i="16"/>
  <c r="M88" i="16"/>
  <c r="M94" i="16"/>
  <c r="M99" i="16"/>
  <c r="M126" i="16"/>
  <c r="N126" i="16"/>
  <c r="M95" i="16"/>
  <c r="M109" i="16"/>
  <c r="M115" i="16"/>
  <c r="N117" i="16"/>
  <c r="N119" i="16"/>
  <c r="M58" i="16"/>
  <c r="M119" i="16"/>
  <c r="M132" i="16"/>
  <c r="M110" i="16"/>
  <c r="M120" i="16"/>
  <c r="M113" i="16"/>
  <c r="D1928" i="8"/>
  <c r="D1935" i="8"/>
  <c r="I61" i="19"/>
  <c r="K61" i="19" s="1"/>
  <c r="N746" i="2"/>
  <c r="F60" i="19"/>
  <c r="I60" i="19" s="1"/>
  <c r="K60" i="19" s="1"/>
  <c r="J734" i="2"/>
  <c r="F59" i="19"/>
  <c r="I59" i="19" s="1"/>
  <c r="K59" i="19" s="1"/>
  <c r="N743" i="2"/>
  <c r="N1200" i="8" s="1"/>
  <c r="N1201" i="8" s="1"/>
  <c r="F57" i="19"/>
  <c r="I57" i="19" s="1"/>
  <c r="K57" i="19" s="1"/>
  <c r="N733" i="2"/>
  <c r="N256" i="14" s="1"/>
  <c r="E58" i="19"/>
  <c r="J733" i="2"/>
  <c r="F58" i="19"/>
  <c r="N730" i="2"/>
  <c r="N253" i="14" s="1"/>
  <c r="E55" i="19"/>
  <c r="N740" i="2"/>
  <c r="N1188" i="8" s="1"/>
  <c r="N1189" i="8" s="1"/>
  <c r="F54" i="19"/>
  <c r="I54" i="19" s="1"/>
  <c r="K54" i="19" s="1"/>
  <c r="N731" i="2"/>
  <c r="N254" i="14" s="1"/>
  <c r="E56" i="19"/>
  <c r="E102" i="17"/>
  <c r="D10" i="18"/>
  <c r="D11" i="18" s="1"/>
  <c r="D93" i="18" s="1"/>
  <c r="B102" i="17"/>
  <c r="D6" i="18"/>
  <c r="F1898" i="8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7" i="18" s="1"/>
  <c r="D21" i="18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N58" i="16" l="1"/>
  <c r="N108" i="16"/>
  <c r="O110" i="16"/>
  <c r="N107" i="16"/>
  <c r="N128" i="16"/>
  <c r="O130" i="16"/>
  <c r="N112" i="16"/>
  <c r="N101" i="16"/>
  <c r="N120" i="16"/>
  <c r="N66" i="16"/>
  <c r="N133" i="16"/>
  <c r="N91" i="16"/>
  <c r="N59" i="16"/>
  <c r="N1" i="20"/>
  <c r="N33" i="16"/>
  <c r="N52" i="16"/>
  <c r="N43" i="16"/>
  <c r="N74" i="16"/>
  <c r="N77" i="16"/>
  <c r="N35" i="16"/>
  <c r="N48" i="16"/>
  <c r="N45" i="16"/>
  <c r="N47" i="16"/>
  <c r="N23" i="16"/>
  <c r="O45" i="16"/>
  <c r="N99" i="16"/>
  <c r="N20" i="16"/>
  <c r="N17" i="16"/>
  <c r="O57" i="16"/>
  <c r="N24" i="16"/>
  <c r="N28" i="16"/>
  <c r="N29" i="16"/>
  <c r="N16" i="16"/>
  <c r="N36" i="16"/>
  <c r="O46" i="16"/>
  <c r="N67" i="16"/>
  <c r="N70" i="16"/>
  <c r="N15" i="16"/>
  <c r="O16" i="16"/>
  <c r="N12" i="16"/>
  <c r="N46" i="16"/>
  <c r="N37" i="16"/>
  <c r="O129" i="16"/>
  <c r="N13" i="16"/>
  <c r="N62" i="16"/>
  <c r="N11" i="16"/>
  <c r="O14" i="16"/>
  <c r="N10" i="16"/>
  <c r="N34" i="16"/>
  <c r="N7" i="16"/>
  <c r="O51" i="16"/>
  <c r="N71" i="16"/>
  <c r="N18" i="16"/>
  <c r="O43" i="16"/>
  <c r="N8" i="16"/>
  <c r="O9" i="16"/>
  <c r="N30" i="16"/>
  <c r="N49" i="16"/>
  <c r="N40" i="16"/>
  <c r="N32" i="16"/>
  <c r="O28" i="16"/>
  <c r="N85" i="16"/>
  <c r="N60" i="16"/>
  <c r="O115" i="16"/>
  <c r="N27" i="16"/>
  <c r="O54" i="16"/>
  <c r="N21" i="16"/>
  <c r="N25" i="16"/>
  <c r="O56" i="16"/>
  <c r="O39" i="16"/>
  <c r="O27" i="16"/>
  <c r="O34" i="16"/>
  <c r="O80" i="16"/>
  <c r="N76" i="16"/>
  <c r="O62" i="16"/>
  <c r="N65" i="16"/>
  <c r="N41" i="16"/>
  <c r="N83" i="16"/>
  <c r="O75" i="16"/>
  <c r="N61" i="16"/>
  <c r="N123" i="16"/>
  <c r="O30" i="16"/>
  <c r="O58" i="16"/>
  <c r="N88" i="16"/>
  <c r="O38" i="16"/>
  <c r="N89" i="16"/>
  <c r="N9" i="16"/>
  <c r="O44" i="16"/>
  <c r="O98" i="16"/>
  <c r="O126" i="16"/>
  <c r="N73" i="16"/>
  <c r="N14" i="16"/>
  <c r="O61" i="16"/>
  <c r="O19" i="16"/>
  <c r="N110" i="16"/>
  <c r="O49" i="16"/>
  <c r="O18" i="16"/>
  <c r="O81" i="16"/>
  <c r="O7" i="16"/>
  <c r="O12" i="16"/>
  <c r="O50" i="16"/>
  <c r="N97" i="16"/>
  <c r="N81" i="16"/>
  <c r="O8" i="16"/>
  <c r="N55" i="16"/>
  <c r="O52" i="16"/>
  <c r="O26" i="16"/>
  <c r="O102" i="16"/>
  <c r="O91" i="16"/>
  <c r="O101" i="16"/>
  <c r="O82" i="16"/>
  <c r="O17" i="16"/>
  <c r="N39" i="16"/>
  <c r="N78" i="16"/>
  <c r="O70" i="16"/>
  <c r="O21" i="16"/>
  <c r="O15" i="16"/>
  <c r="O48" i="16"/>
  <c r="O76" i="16"/>
  <c r="N31" i="16"/>
  <c r="N95" i="16"/>
  <c r="O31" i="16"/>
  <c r="N96" i="16"/>
  <c r="N129" i="16"/>
  <c r="O125" i="16"/>
  <c r="O104" i="16"/>
  <c r="O6" i="16"/>
  <c r="O74" i="16"/>
  <c r="N50" i="16"/>
  <c r="N79" i="16"/>
  <c r="O94" i="16"/>
  <c r="N63" i="16"/>
  <c r="O29" i="16"/>
  <c r="O105" i="16"/>
  <c r="O119" i="16"/>
  <c r="N68" i="16"/>
  <c r="N86" i="16"/>
  <c r="N6" i="16"/>
  <c r="N122" i="16"/>
  <c r="O100" i="16"/>
  <c r="N105" i="16"/>
  <c r="N53" i="16"/>
  <c r="O99" i="16"/>
  <c r="O95" i="16"/>
  <c r="O84" i="16"/>
  <c r="N103" i="16"/>
  <c r="O97" i="16"/>
  <c r="N111" i="16"/>
  <c r="N125" i="16"/>
  <c r="N42" i="16"/>
  <c r="N38" i="16"/>
  <c r="N82" i="16"/>
  <c r="N44" i="16"/>
  <c r="N90" i="16"/>
  <c r="N69" i="16"/>
  <c r="N115" i="16"/>
  <c r="O112" i="16"/>
  <c r="N104" i="16"/>
  <c r="O73" i="16"/>
  <c r="N80" i="16"/>
  <c r="N116" i="16"/>
  <c r="O90" i="16"/>
  <c r="N26" i="16"/>
  <c r="N92" i="16"/>
  <c r="N93" i="16"/>
  <c r="N118" i="16"/>
  <c r="O63" i="16"/>
  <c r="O72" i="16"/>
  <c r="O111" i="16"/>
  <c r="N56" i="16"/>
  <c r="O25" i="16"/>
  <c r="N94" i="16"/>
  <c r="O68" i="16"/>
  <c r="O22" i="16"/>
  <c r="O60" i="16"/>
  <c r="O118" i="16"/>
  <c r="N22" i="16"/>
  <c r="N87" i="16"/>
  <c r="N72" i="16"/>
  <c r="O24" i="16"/>
  <c r="N114" i="16"/>
  <c r="N109" i="16"/>
  <c r="N84" i="16"/>
  <c r="N127" i="16"/>
  <c r="N19" i="16"/>
  <c r="O116" i="16"/>
  <c r="N100" i="16"/>
  <c r="N54" i="16"/>
  <c r="N131" i="16"/>
  <c r="N75" i="16"/>
  <c r="N121" i="16"/>
  <c r="O122" i="16"/>
  <c r="O113" i="16"/>
  <c r="O120" i="16"/>
  <c r="O128" i="16"/>
  <c r="N113" i="16"/>
  <c r="N64" i="16"/>
  <c r="O93" i="16"/>
  <c r="O123" i="16"/>
  <c r="N132" i="16"/>
  <c r="O71" i="16"/>
  <c r="O96" i="16"/>
  <c r="N98" i="16"/>
  <c r="O106" i="16"/>
  <c r="N57" i="16"/>
  <c r="N102" i="16"/>
  <c r="O131" i="16"/>
  <c r="O107" i="16"/>
  <c r="N130" i="16"/>
  <c r="N1160" i="8"/>
  <c r="N1161" i="8" s="1"/>
  <c r="N1156" i="8"/>
  <c r="N1157" i="8" s="1"/>
  <c r="N1168" i="8"/>
  <c r="N1169" i="8" s="1"/>
  <c r="I56" i="19"/>
  <c r="K56" i="19" s="1"/>
  <c r="I58" i="19"/>
  <c r="K58" i="19" s="1"/>
  <c r="I55" i="19"/>
  <c r="K55" i="19" s="1"/>
  <c r="D27" i="18"/>
  <c r="D64" i="19"/>
  <c r="D23" i="18"/>
  <c r="D22" i="18"/>
  <c r="AB287" i="14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D15" i="18" s="1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D12" i="18" s="1"/>
  <c r="Z26" i="17"/>
  <c r="Y25" i="17"/>
  <c r="Z25" i="17"/>
  <c r="M28" i="17"/>
  <c r="T29" i="17"/>
  <c r="D13" i="18" s="1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D14" i="18" s="1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D17" i="18" s="1"/>
  <c r="D33" i="18" s="1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P56" i="16" l="1"/>
  <c r="O59" i="16"/>
  <c r="O1" i="20"/>
  <c r="O23" i="16"/>
  <c r="O92" i="16"/>
  <c r="O85" i="16"/>
  <c r="O121" i="16"/>
  <c r="P115" i="16"/>
  <c r="P102" i="16"/>
  <c r="P121" i="16"/>
  <c r="O127" i="16"/>
  <c r="P31" i="16"/>
  <c r="O20" i="16"/>
  <c r="P108" i="16"/>
  <c r="O117" i="16"/>
  <c r="P86" i="16"/>
  <c r="O133" i="16"/>
  <c r="P34" i="16"/>
  <c r="O103" i="16"/>
  <c r="O124" i="16"/>
  <c r="O132" i="16"/>
  <c r="O37" i="16"/>
  <c r="O77" i="16"/>
  <c r="P80" i="16"/>
  <c r="P39" i="16"/>
  <c r="P69" i="16"/>
  <c r="O88" i="16"/>
  <c r="P117" i="16"/>
  <c r="P41" i="16"/>
  <c r="O33" i="16"/>
  <c r="P33" i="16"/>
  <c r="P79" i="16"/>
  <c r="O10" i="16"/>
  <c r="P61" i="16"/>
  <c r="O36" i="16"/>
  <c r="P106" i="16"/>
  <c r="P21" i="16"/>
  <c r="O79" i="16"/>
  <c r="P99" i="16"/>
  <c r="P22" i="16"/>
  <c r="P17" i="16"/>
  <c r="O114" i="16"/>
  <c r="P57" i="16"/>
  <c r="P74" i="16"/>
  <c r="P53" i="16"/>
  <c r="P10" i="16"/>
  <c r="O13" i="16"/>
  <c r="O42" i="16"/>
  <c r="O65" i="16"/>
  <c r="O87" i="16"/>
  <c r="P29" i="16"/>
  <c r="O64" i="16"/>
  <c r="P6" i="16"/>
  <c r="P35" i="16"/>
  <c r="O69" i="16"/>
  <c r="P12" i="16"/>
  <c r="P7" i="16"/>
  <c r="P116" i="16"/>
  <c r="O35" i="16"/>
  <c r="O1864" i="8" s="1"/>
  <c r="O66" i="16"/>
  <c r="O11" i="16"/>
  <c r="P103" i="16"/>
  <c r="O89" i="16"/>
  <c r="P55" i="16"/>
  <c r="O47" i="16"/>
  <c r="P49" i="16"/>
  <c r="P46" i="16"/>
  <c r="O108" i="16"/>
  <c r="O32" i="16"/>
  <c r="O109" i="16"/>
  <c r="P70" i="16"/>
  <c r="O86" i="16"/>
  <c r="O78" i="16"/>
  <c r="O55" i="16"/>
  <c r="P64" i="16"/>
  <c r="P88" i="16"/>
  <c r="P11" i="16"/>
  <c r="P19" i="16"/>
  <c r="O83" i="16"/>
  <c r="P58" i="16"/>
  <c r="O67" i="16"/>
  <c r="O41" i="16"/>
  <c r="O40" i="16"/>
  <c r="O53" i="16"/>
  <c r="N1864" i="8"/>
  <c r="D30" i="18"/>
  <c r="D31" i="18"/>
  <c r="D32" i="18"/>
  <c r="L54" i="17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D16" i="18" s="1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D57" i="18" s="1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D54" i="18" s="1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D56" i="18" s="1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D55" i="18" s="1"/>
  <c r="Q47" i="17"/>
  <c r="AC47" i="17"/>
  <c r="V47" i="17"/>
  <c r="AC48" i="17"/>
  <c r="O47" i="17"/>
  <c r="T50" i="17"/>
  <c r="D94" i="18" s="1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P1" i="20" l="1"/>
  <c r="Q11" i="16"/>
  <c r="Q21" i="16"/>
  <c r="Q31" i="16"/>
  <c r="Q97" i="16"/>
  <c r="P98" i="16"/>
  <c r="P43" i="16"/>
  <c r="Q90" i="16"/>
  <c r="P87" i="16"/>
  <c r="P45" i="16"/>
  <c r="Q51" i="16"/>
  <c r="P32" i="16"/>
  <c r="P75" i="16"/>
  <c r="P67" i="16"/>
  <c r="Q47" i="16"/>
  <c r="P65" i="16"/>
  <c r="P28" i="16"/>
  <c r="P133" i="16"/>
  <c r="P48" i="16"/>
  <c r="Q15" i="16"/>
  <c r="Q66" i="16"/>
  <c r="P59" i="16"/>
  <c r="P96" i="16"/>
  <c r="Q100" i="16"/>
  <c r="Q102" i="16"/>
  <c r="P8" i="16"/>
  <c r="P15" i="16"/>
  <c r="P51" i="16"/>
  <c r="P9" i="16"/>
  <c r="Q12" i="16"/>
  <c r="P71" i="16"/>
  <c r="Q84" i="16"/>
  <c r="Q29" i="16"/>
  <c r="Q86" i="16"/>
  <c r="P97" i="16"/>
  <c r="P107" i="16"/>
  <c r="P81" i="16"/>
  <c r="P120" i="16"/>
  <c r="P101" i="16"/>
  <c r="P63" i="16"/>
  <c r="Q44" i="16"/>
  <c r="P84" i="16"/>
  <c r="Q69" i="16"/>
  <c r="Q40" i="16"/>
  <c r="P13" i="16"/>
  <c r="Q13" i="16"/>
  <c r="Q39" i="16"/>
  <c r="Q110" i="16"/>
  <c r="P85" i="16"/>
  <c r="P26" i="16"/>
  <c r="Q37" i="16"/>
  <c r="Q94" i="16"/>
  <c r="P125" i="16"/>
  <c r="Q41" i="16"/>
  <c r="P105" i="16"/>
  <c r="P52" i="16"/>
  <c r="Q78" i="16"/>
  <c r="P94" i="16"/>
  <c r="Q61" i="16"/>
  <c r="P24" i="16"/>
  <c r="P36" i="16"/>
  <c r="P30" i="16"/>
  <c r="Q121" i="16"/>
  <c r="Q103" i="16"/>
  <c r="Q72" i="16"/>
  <c r="P38" i="16"/>
  <c r="P130" i="16"/>
  <c r="P73" i="16"/>
  <c r="P42" i="16"/>
  <c r="P127" i="16"/>
  <c r="P104" i="16"/>
  <c r="Q104" i="16"/>
  <c r="P131" i="16"/>
  <c r="P123" i="16"/>
  <c r="P112" i="16"/>
  <c r="Q18" i="16"/>
  <c r="P72" i="16"/>
  <c r="P109" i="16"/>
  <c r="P92" i="16"/>
  <c r="Q56" i="16"/>
  <c r="Q85" i="16"/>
  <c r="P77" i="16"/>
  <c r="P18" i="16"/>
  <c r="Q89" i="16"/>
  <c r="Q45" i="16"/>
  <c r="P78" i="16"/>
  <c r="P113" i="16"/>
  <c r="Q126" i="16"/>
  <c r="P76" i="16"/>
  <c r="Q118" i="16"/>
  <c r="Q42" i="16"/>
  <c r="P124" i="16"/>
  <c r="Q87" i="16"/>
  <c r="Q63" i="16"/>
  <c r="Q43" i="16"/>
  <c r="Q73" i="16"/>
  <c r="Q32" i="16"/>
  <c r="Q35" i="16"/>
  <c r="P40" i="16"/>
  <c r="P118" i="16"/>
  <c r="P83" i="16"/>
  <c r="P25" i="16"/>
  <c r="Q80" i="16"/>
  <c r="Q120" i="16"/>
  <c r="Q10" i="16"/>
  <c r="P66" i="16"/>
  <c r="Q65" i="16"/>
  <c r="Q74" i="16"/>
  <c r="Q71" i="16"/>
  <c r="Q99" i="16"/>
  <c r="P111" i="16"/>
  <c r="P50" i="16"/>
  <c r="P14" i="16"/>
  <c r="Q53" i="16"/>
  <c r="Q93" i="16"/>
  <c r="P37" i="16"/>
  <c r="P126" i="16"/>
  <c r="P128" i="16"/>
  <c r="Q128" i="16"/>
  <c r="P89" i="16"/>
  <c r="Q60" i="16"/>
  <c r="P93" i="16"/>
  <c r="P90" i="16"/>
  <c r="Q111" i="16"/>
  <c r="Q106" i="16"/>
  <c r="P27" i="16"/>
  <c r="Q68" i="16"/>
  <c r="P110" i="16"/>
  <c r="P60" i="16"/>
  <c r="P62" i="16"/>
  <c r="Q34" i="16"/>
  <c r="P47" i="16"/>
  <c r="Q112" i="16"/>
  <c r="Q132" i="16"/>
  <c r="Q38" i="16"/>
  <c r="Q92" i="16"/>
  <c r="Q67" i="16"/>
  <c r="Q19" i="16"/>
  <c r="Q116" i="16"/>
  <c r="P114" i="16"/>
  <c r="Q127" i="16"/>
  <c r="Q48" i="16"/>
  <c r="P82" i="16"/>
  <c r="Q117" i="16"/>
  <c r="Q55" i="16"/>
  <c r="P100" i="16"/>
  <c r="P132" i="16"/>
  <c r="P16" i="16"/>
  <c r="P91" i="16"/>
  <c r="P44" i="16"/>
  <c r="Q16" i="16"/>
  <c r="P23" i="16"/>
  <c r="P20" i="16"/>
  <c r="P122" i="16"/>
  <c r="Q24" i="16"/>
  <c r="P119" i="16"/>
  <c r="Q14" i="16"/>
  <c r="Q83" i="16"/>
  <c r="P95" i="16"/>
  <c r="P68" i="16"/>
  <c r="Q105" i="16"/>
  <c r="Q114" i="16"/>
  <c r="P129" i="16"/>
  <c r="P54" i="16"/>
  <c r="N66" i="15"/>
  <c r="F1915" i="8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Q1" i="20" l="1"/>
  <c r="R111" i="16"/>
  <c r="Q113" i="16"/>
  <c r="Q49" i="16"/>
  <c r="Q26" i="16"/>
  <c r="R14" i="16"/>
  <c r="Q101" i="16"/>
  <c r="Q133" i="16"/>
  <c r="Q123" i="16"/>
  <c r="R42" i="16"/>
  <c r="R7" i="16"/>
  <c r="R125" i="16"/>
  <c r="R33" i="16"/>
  <c r="Q70" i="16"/>
  <c r="Q62" i="16"/>
  <c r="R89" i="16"/>
  <c r="Q91" i="16"/>
  <c r="Q30" i="16"/>
  <c r="R25" i="16"/>
  <c r="Q88" i="16"/>
  <c r="Q9" i="16"/>
  <c r="Q7" i="16"/>
  <c r="Q124" i="16"/>
  <c r="Q109" i="16"/>
  <c r="Q77" i="16"/>
  <c r="R10" i="16"/>
  <c r="Q58" i="16"/>
  <c r="Q75" i="16"/>
  <c r="Q108" i="16"/>
  <c r="R96" i="16"/>
  <c r="Q59" i="16"/>
  <c r="R88" i="16"/>
  <c r="R57" i="16"/>
  <c r="R37" i="16"/>
  <c r="Q107" i="16"/>
  <c r="R55" i="16"/>
  <c r="Q96" i="16"/>
  <c r="Q6" i="16"/>
  <c r="Q25" i="16"/>
  <c r="R35" i="16"/>
  <c r="Q52" i="16"/>
  <c r="R95" i="16"/>
  <c r="Q23" i="16"/>
  <c r="R128" i="16"/>
  <c r="R126" i="16"/>
  <c r="R12" i="16"/>
  <c r="R114" i="16"/>
  <c r="Q125" i="16"/>
  <c r="R49" i="16"/>
  <c r="Q27" i="16"/>
  <c r="Q95" i="16"/>
  <c r="R38" i="16"/>
  <c r="Q50" i="16"/>
  <c r="Q8" i="16"/>
  <c r="Q33" i="16"/>
  <c r="Q54" i="16"/>
  <c r="Q81" i="16"/>
  <c r="R62" i="16"/>
  <c r="R132" i="16"/>
  <c r="Q130" i="16"/>
  <c r="Q82" i="16"/>
  <c r="Q76" i="16"/>
  <c r="R16" i="16"/>
  <c r="Q122" i="16"/>
  <c r="Q119" i="16"/>
  <c r="R13" i="16"/>
  <c r="R34" i="16"/>
  <c r="R131" i="16"/>
  <c r="Q131" i="16"/>
  <c r="R75" i="16"/>
  <c r="R104" i="16"/>
  <c r="Q57" i="16"/>
  <c r="Q79" i="16"/>
  <c r="R40" i="16"/>
  <c r="R58" i="16"/>
  <c r="Q46" i="16"/>
  <c r="Q98" i="16"/>
  <c r="R18" i="16"/>
  <c r="R69" i="16"/>
  <c r="Q28" i="16"/>
  <c r="Q115" i="16"/>
  <c r="Q129" i="16"/>
  <c r="Q64" i="16"/>
  <c r="Q22" i="16"/>
  <c r="R23" i="16"/>
  <c r="R67" i="16"/>
  <c r="R122" i="16"/>
  <c r="Q17" i="16"/>
  <c r="R116" i="16"/>
  <c r="Q36" i="16"/>
  <c r="Q20" i="16"/>
  <c r="P1864" i="8"/>
  <c r="D1455" i="8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Q1864" i="8" l="1"/>
  <c r="R1" i="20"/>
  <c r="S122" i="16"/>
  <c r="R41" i="16"/>
  <c r="R26" i="16"/>
  <c r="S51" i="16"/>
  <c r="S102" i="16"/>
  <c r="R121" i="16"/>
  <c r="R19" i="16"/>
  <c r="R83" i="16"/>
  <c r="R100" i="16"/>
  <c r="S30" i="16"/>
  <c r="S127" i="16"/>
  <c r="S77" i="16"/>
  <c r="S66" i="16"/>
  <c r="S36" i="16"/>
  <c r="S75" i="16"/>
  <c r="R52" i="16"/>
  <c r="R27" i="16"/>
  <c r="S95" i="16"/>
  <c r="S64" i="16"/>
  <c r="S111" i="16"/>
  <c r="S8" i="16"/>
  <c r="R80" i="16"/>
  <c r="R127" i="16"/>
  <c r="S20" i="16"/>
  <c r="S18" i="16"/>
  <c r="R46" i="16"/>
  <c r="R70" i="16"/>
  <c r="S22" i="16"/>
  <c r="R8" i="16"/>
  <c r="R51" i="16"/>
  <c r="S26" i="16"/>
  <c r="R85" i="16"/>
  <c r="R98" i="16"/>
  <c r="R87" i="16"/>
  <c r="R118" i="16"/>
  <c r="S45" i="16"/>
  <c r="S17" i="16"/>
  <c r="R66" i="16"/>
  <c r="S125" i="16"/>
  <c r="S130" i="16"/>
  <c r="S110" i="16"/>
  <c r="S70" i="16"/>
  <c r="S53" i="16"/>
  <c r="R84" i="16"/>
  <c r="S40" i="16"/>
  <c r="S52" i="16"/>
  <c r="S84" i="16"/>
  <c r="S10" i="16"/>
  <c r="S43" i="16"/>
  <c r="R105" i="16"/>
  <c r="S128" i="16"/>
  <c r="S120" i="16"/>
  <c r="S76" i="16"/>
  <c r="S98" i="16"/>
  <c r="S57" i="16"/>
  <c r="S82" i="16"/>
  <c r="R65" i="16"/>
  <c r="R43" i="16"/>
  <c r="R22" i="16"/>
  <c r="R39" i="16"/>
  <c r="R101" i="16"/>
  <c r="R71" i="16"/>
  <c r="R103" i="16"/>
  <c r="S90" i="16"/>
  <c r="R109" i="16"/>
  <c r="S99" i="16"/>
  <c r="R53" i="16"/>
  <c r="S133" i="16"/>
  <c r="R94" i="16"/>
  <c r="S23" i="16"/>
  <c r="R110" i="16"/>
  <c r="R74" i="16"/>
  <c r="R76" i="16"/>
  <c r="R72" i="16"/>
  <c r="S61" i="16"/>
  <c r="S81" i="16"/>
  <c r="R108" i="16"/>
  <c r="R113" i="16"/>
  <c r="R59" i="16"/>
  <c r="R32" i="16"/>
  <c r="S115" i="16"/>
  <c r="S54" i="16"/>
  <c r="R29" i="16"/>
  <c r="R68" i="16"/>
  <c r="S100" i="16"/>
  <c r="S131" i="16"/>
  <c r="S123" i="16"/>
  <c r="S121" i="16"/>
  <c r="R56" i="16"/>
  <c r="S74" i="16"/>
  <c r="R133" i="16"/>
  <c r="R107" i="16"/>
  <c r="R129" i="16"/>
  <c r="S91" i="16"/>
  <c r="S49" i="16"/>
  <c r="R97" i="16"/>
  <c r="S94" i="16"/>
  <c r="R106" i="16"/>
  <c r="R102" i="16"/>
  <c r="R117" i="16"/>
  <c r="R92" i="16"/>
  <c r="R21" i="16"/>
  <c r="S103" i="16"/>
  <c r="R93" i="16"/>
  <c r="S33" i="16"/>
  <c r="R124" i="16"/>
  <c r="R82" i="16"/>
  <c r="R61" i="16"/>
  <c r="S85" i="16"/>
  <c r="S13" i="16"/>
  <c r="R99" i="16"/>
  <c r="S55" i="16"/>
  <c r="R9" i="16"/>
  <c r="R119" i="16"/>
  <c r="R64" i="16"/>
  <c r="S92" i="16"/>
  <c r="S19" i="16"/>
  <c r="R54" i="16"/>
  <c r="R36" i="16"/>
  <c r="R48" i="16"/>
  <c r="S25" i="16"/>
  <c r="R30" i="16"/>
  <c r="R86" i="16"/>
  <c r="R28" i="16"/>
  <c r="S63" i="16"/>
  <c r="R24" i="16"/>
  <c r="R73" i="16"/>
  <c r="S118" i="16"/>
  <c r="R31" i="16"/>
  <c r="R15" i="16"/>
  <c r="S71" i="16"/>
  <c r="S50" i="16"/>
  <c r="S108" i="16"/>
  <c r="R60" i="16"/>
  <c r="R78" i="16"/>
  <c r="S87" i="16"/>
  <c r="R123" i="16"/>
  <c r="R130" i="16"/>
  <c r="S106" i="16"/>
  <c r="R112" i="16"/>
  <c r="R77" i="16"/>
  <c r="R47" i="16"/>
  <c r="S62" i="16"/>
  <c r="S24" i="16"/>
  <c r="R44" i="16"/>
  <c r="S96" i="16"/>
  <c r="S114" i="16"/>
  <c r="S113" i="16"/>
  <c r="R20" i="16"/>
  <c r="R90" i="16"/>
  <c r="S65" i="16"/>
  <c r="R63" i="16"/>
  <c r="S88" i="16"/>
  <c r="S60" i="16"/>
  <c r="R11" i="16"/>
  <c r="S72" i="16"/>
  <c r="S116" i="16"/>
  <c r="S31" i="16"/>
  <c r="R17" i="16"/>
  <c r="R6" i="16"/>
  <c r="R120" i="16"/>
  <c r="R81" i="16"/>
  <c r="R91" i="16"/>
  <c r="R50" i="16"/>
  <c r="R79" i="16"/>
  <c r="R45" i="16"/>
  <c r="R115" i="16"/>
  <c r="S112" i="16"/>
  <c r="L59" i="17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K40" i="18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K39" i="18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R1864" i="8" l="1"/>
  <c r="S1" i="20"/>
  <c r="T69" i="16"/>
  <c r="T89" i="16"/>
  <c r="T125" i="16"/>
  <c r="S29" i="16"/>
  <c r="S39" i="16"/>
  <c r="T68" i="16"/>
  <c r="S9" i="16"/>
  <c r="T41" i="16"/>
  <c r="S16" i="16"/>
  <c r="T24" i="16"/>
  <c r="S11" i="16"/>
  <c r="T34" i="16"/>
  <c r="T87" i="16"/>
  <c r="S67" i="16"/>
  <c r="S69" i="16"/>
  <c r="T76" i="16"/>
  <c r="S109" i="16"/>
  <c r="S48" i="16"/>
  <c r="S119" i="16"/>
  <c r="T107" i="16"/>
  <c r="T28" i="16"/>
  <c r="S129" i="16"/>
  <c r="S79" i="16"/>
  <c r="S107" i="16"/>
  <c r="T12" i="16"/>
  <c r="T8" i="16"/>
  <c r="T61" i="16"/>
  <c r="S105" i="16"/>
  <c r="T63" i="16"/>
  <c r="T129" i="16"/>
  <c r="S27" i="16"/>
  <c r="S83" i="16"/>
  <c r="S32" i="16"/>
  <c r="T90" i="16"/>
  <c r="S86" i="16"/>
  <c r="S12" i="16"/>
  <c r="T66" i="16"/>
  <c r="S68" i="16"/>
  <c r="T108" i="16"/>
  <c r="T56" i="16"/>
  <c r="S28" i="16"/>
  <c r="T9" i="16"/>
  <c r="T47" i="16"/>
  <c r="S56" i="16"/>
  <c r="S117" i="16"/>
  <c r="S101" i="16"/>
  <c r="S44" i="16"/>
  <c r="T79" i="16"/>
  <c r="S42" i="16"/>
  <c r="T104" i="16"/>
  <c r="T43" i="16"/>
  <c r="S46" i="16"/>
  <c r="T92" i="16"/>
  <c r="T15" i="16"/>
  <c r="T32" i="16"/>
  <c r="T123" i="16"/>
  <c r="S89" i="16"/>
  <c r="T77" i="16"/>
  <c r="S38" i="16"/>
  <c r="S104" i="16"/>
  <c r="S7" i="16"/>
  <c r="S132" i="16"/>
  <c r="S59" i="16"/>
  <c r="S80" i="16"/>
  <c r="T132" i="16"/>
  <c r="T50" i="16"/>
  <c r="T54" i="16"/>
  <c r="T39" i="16"/>
  <c r="T31" i="16"/>
  <c r="S34" i="16"/>
  <c r="S14" i="16"/>
  <c r="S73" i="16"/>
  <c r="T30" i="16"/>
  <c r="T119" i="16"/>
  <c r="T19" i="16"/>
  <c r="S97" i="16"/>
  <c r="T13" i="16"/>
  <c r="S78" i="16"/>
  <c r="S6" i="16"/>
  <c r="S93" i="16"/>
  <c r="T16" i="16"/>
  <c r="S126" i="16"/>
  <c r="T35" i="16"/>
  <c r="T127" i="16"/>
  <c r="T58" i="16"/>
  <c r="S21" i="16"/>
  <c r="S58" i="16"/>
  <c r="S124" i="16"/>
  <c r="T55" i="16"/>
  <c r="S37" i="16"/>
  <c r="T98" i="16"/>
  <c r="T45" i="16"/>
  <c r="S15" i="16"/>
  <c r="T106" i="16"/>
  <c r="S47" i="16"/>
  <c r="T126" i="16"/>
  <c r="T10" i="16"/>
  <c r="T105" i="16"/>
  <c r="T93" i="16"/>
  <c r="S35" i="16"/>
  <c r="T40" i="16"/>
  <c r="T113" i="16"/>
  <c r="S41" i="16"/>
  <c r="L39" i="18"/>
  <c r="M39" i="18" s="1"/>
  <c r="D61" i="19"/>
  <c r="L40" i="18"/>
  <c r="M40" i="18" s="1"/>
  <c r="D57" i="19"/>
  <c r="N932" i="8"/>
  <c r="N933" i="8" s="1"/>
  <c r="F39" i="18"/>
  <c r="N940" i="8"/>
  <c r="N941" i="8" s="1"/>
  <c r="F40" i="18"/>
  <c r="L63" i="17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D56" i="19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D58" i="19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D60" i="19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D55" i="19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D59" i="19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D54" i="19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F37" i="18" s="1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S1864" i="8" l="1"/>
  <c r="T1" i="20"/>
  <c r="T46" i="16"/>
  <c r="U27" i="16"/>
  <c r="T20" i="16"/>
  <c r="U125" i="16"/>
  <c r="U28" i="16"/>
  <c r="U45" i="16"/>
  <c r="T62" i="16"/>
  <c r="U81" i="16"/>
  <c r="T25" i="16"/>
  <c r="U113" i="16"/>
  <c r="T94" i="16"/>
  <c r="T26" i="16"/>
  <c r="T22" i="16"/>
  <c r="T115" i="16"/>
  <c r="U123" i="16"/>
  <c r="T27" i="16"/>
  <c r="T17" i="16"/>
  <c r="T97" i="16"/>
  <c r="T64" i="16"/>
  <c r="T33" i="16"/>
  <c r="U12" i="16"/>
  <c r="T121" i="16"/>
  <c r="U120" i="16"/>
  <c r="U71" i="16"/>
  <c r="T73" i="16"/>
  <c r="T122" i="16"/>
  <c r="U100" i="16"/>
  <c r="T52" i="16"/>
  <c r="U90" i="16"/>
  <c r="T102" i="16"/>
  <c r="U124" i="16"/>
  <c r="T51" i="16"/>
  <c r="T6" i="16"/>
  <c r="T95" i="16"/>
  <c r="U118" i="16"/>
  <c r="U37" i="16"/>
  <c r="U122" i="16"/>
  <c r="U130" i="16"/>
  <c r="T84" i="16"/>
  <c r="U30" i="16"/>
  <c r="U9" i="16"/>
  <c r="U96" i="16"/>
  <c r="U107" i="16"/>
  <c r="U93" i="16"/>
  <c r="T133" i="16"/>
  <c r="U61" i="16"/>
  <c r="U48" i="16"/>
  <c r="U91" i="16"/>
  <c r="T23" i="16"/>
  <c r="U89" i="16"/>
  <c r="T91" i="16"/>
  <c r="U98" i="16"/>
  <c r="U126" i="16"/>
  <c r="T36" i="16"/>
  <c r="U34" i="16"/>
  <c r="T53" i="16"/>
  <c r="T21" i="16"/>
  <c r="U35" i="16"/>
  <c r="U24" i="16"/>
  <c r="T59" i="16"/>
  <c r="T124" i="16"/>
  <c r="U106" i="16"/>
  <c r="T49" i="16"/>
  <c r="T110" i="16"/>
  <c r="U72" i="16"/>
  <c r="T86" i="16"/>
  <c r="U83" i="16"/>
  <c r="T78" i="16"/>
  <c r="T60" i="16"/>
  <c r="U116" i="16"/>
  <c r="U52" i="16"/>
  <c r="T18" i="16"/>
  <c r="T38" i="16"/>
  <c r="U25" i="16"/>
  <c r="U67" i="16"/>
  <c r="T14" i="16"/>
  <c r="T101" i="16"/>
  <c r="T67" i="16"/>
  <c r="T99" i="16"/>
  <c r="U46" i="16"/>
  <c r="U10" i="16"/>
  <c r="U105" i="16"/>
  <c r="U55" i="16"/>
  <c r="T11" i="16"/>
  <c r="T37" i="16"/>
  <c r="U112" i="16"/>
  <c r="T128" i="16"/>
  <c r="U95" i="16"/>
  <c r="U44" i="16"/>
  <c r="U29" i="16"/>
  <c r="T130" i="16"/>
  <c r="T71" i="16"/>
  <c r="U82" i="16"/>
  <c r="T7" i="16"/>
  <c r="U62" i="16"/>
  <c r="U15" i="16"/>
  <c r="T111" i="16"/>
  <c r="T83" i="16"/>
  <c r="T112" i="16"/>
  <c r="T85" i="16"/>
  <c r="T116" i="16"/>
  <c r="T118" i="16"/>
  <c r="T82" i="16"/>
  <c r="T29" i="16"/>
  <c r="U73" i="16"/>
  <c r="U22" i="16"/>
  <c r="U57" i="16"/>
  <c r="T109" i="16"/>
  <c r="U131" i="16"/>
  <c r="T80" i="16"/>
  <c r="T81" i="16"/>
  <c r="U74" i="16"/>
  <c r="U78" i="16"/>
  <c r="U13" i="16"/>
  <c r="U101" i="16"/>
  <c r="U26" i="16"/>
  <c r="U80" i="16"/>
  <c r="T114" i="16"/>
  <c r="U111" i="16"/>
  <c r="U94" i="16"/>
  <c r="U117" i="16"/>
  <c r="U102" i="16"/>
  <c r="T65" i="16"/>
  <c r="U109" i="16"/>
  <c r="T117" i="16"/>
  <c r="T75" i="16"/>
  <c r="T131" i="16"/>
  <c r="U47" i="16"/>
  <c r="U69" i="16"/>
  <c r="T120" i="16"/>
  <c r="U60" i="16"/>
  <c r="T88" i="16"/>
  <c r="U64" i="16"/>
  <c r="T70" i="16"/>
  <c r="T48" i="16"/>
  <c r="T96" i="16"/>
  <c r="U128" i="16"/>
  <c r="U127" i="16"/>
  <c r="U50" i="16"/>
  <c r="T72" i="16"/>
  <c r="T57" i="16"/>
  <c r="T103" i="16"/>
  <c r="U51" i="16"/>
  <c r="U104" i="16"/>
  <c r="U70" i="16"/>
  <c r="U33" i="16"/>
  <c r="U54" i="16"/>
  <c r="T42" i="16"/>
  <c r="U38" i="16"/>
  <c r="T100" i="16"/>
  <c r="U68" i="16"/>
  <c r="U75" i="16"/>
  <c r="U43" i="16"/>
  <c r="U66" i="16"/>
  <c r="H56" i="19"/>
  <c r="G56" i="19"/>
  <c r="L38" i="18"/>
  <c r="K37" i="18"/>
  <c r="K38" i="18"/>
  <c r="N928" i="8"/>
  <c r="N929" i="8" s="1"/>
  <c r="F38" i="18"/>
  <c r="F41" i="18" s="1"/>
  <c r="L37" i="18"/>
  <c r="L64" i="17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U1" i="20" l="1"/>
  <c r="V1" i="20" s="1"/>
  <c r="W1" i="20" s="1"/>
  <c r="X1" i="20" s="1"/>
  <c r="Y1" i="20" s="1"/>
  <c r="Z1" i="20" s="1"/>
  <c r="AA1" i="20" s="1"/>
  <c r="AB1" i="20" s="1"/>
  <c r="AC1" i="20" s="1"/>
  <c r="AD1" i="20" s="1"/>
  <c r="AB127" i="16"/>
  <c r="AE37" i="16"/>
  <c r="Y131" i="16"/>
  <c r="AB98" i="16"/>
  <c r="AA81" i="16"/>
  <c r="AB100" i="16"/>
  <c r="V105" i="16"/>
  <c r="AC99" i="16"/>
  <c r="AA37" i="16"/>
  <c r="U119" i="16"/>
  <c r="AA114" i="16"/>
  <c r="Y127" i="16"/>
  <c r="W125" i="16"/>
  <c r="X102" i="16"/>
  <c r="AC128" i="16"/>
  <c r="Z126" i="16"/>
  <c r="V122" i="16"/>
  <c r="AA84" i="16"/>
  <c r="Y32" i="16"/>
  <c r="V115" i="16"/>
  <c r="AC124" i="16"/>
  <c r="AC127" i="16"/>
  <c r="AA70" i="16"/>
  <c r="U132" i="16"/>
  <c r="Y130" i="16"/>
  <c r="X57" i="16"/>
  <c r="AC101" i="16"/>
  <c r="V92" i="16"/>
  <c r="AA99" i="16"/>
  <c r="Z115" i="16"/>
  <c r="AB80" i="16"/>
  <c r="Z124" i="16"/>
  <c r="V133" i="16"/>
  <c r="AE77" i="16"/>
  <c r="V120" i="16"/>
  <c r="V77" i="16"/>
  <c r="V114" i="16"/>
  <c r="U110" i="16"/>
  <c r="V47" i="16"/>
  <c r="AB119" i="16"/>
  <c r="AE42" i="16"/>
  <c r="Y23" i="16"/>
  <c r="W124" i="16"/>
  <c r="Y126" i="16"/>
  <c r="AC89" i="16"/>
  <c r="Y93" i="16"/>
  <c r="Y86" i="16"/>
  <c r="AA128" i="16"/>
  <c r="Z125" i="16"/>
  <c r="AE130" i="16"/>
  <c r="AD129" i="16"/>
  <c r="V51" i="16"/>
  <c r="AD70" i="16"/>
  <c r="Y120" i="16"/>
  <c r="AC116" i="16"/>
  <c r="AD18" i="16"/>
  <c r="AD119" i="16"/>
  <c r="V85" i="16"/>
  <c r="U41" i="16"/>
  <c r="AE108" i="16"/>
  <c r="W97" i="16"/>
  <c r="AA125" i="16"/>
  <c r="X103" i="16"/>
  <c r="X129" i="16"/>
  <c r="W48" i="16"/>
  <c r="Z79" i="16"/>
  <c r="AE74" i="16"/>
  <c r="V80" i="16"/>
  <c r="AB108" i="16"/>
  <c r="AA130" i="16"/>
  <c r="AA105" i="16"/>
  <c r="AA90" i="16"/>
  <c r="U77" i="16"/>
  <c r="Y85" i="16"/>
  <c r="V108" i="16"/>
  <c r="X116" i="16"/>
  <c r="Y102" i="16"/>
  <c r="AE73" i="16"/>
  <c r="AB131" i="16"/>
  <c r="W62" i="16"/>
  <c r="AE119" i="16"/>
  <c r="AC103" i="16"/>
  <c r="V111" i="16"/>
  <c r="AA132" i="16"/>
  <c r="AE118" i="16"/>
  <c r="V132" i="16"/>
  <c r="AB117" i="16"/>
  <c r="AE95" i="16"/>
  <c r="X82" i="16"/>
  <c r="V81" i="16"/>
  <c r="Z133" i="16"/>
  <c r="V45" i="16"/>
  <c r="AB121" i="16"/>
  <c r="AC132" i="16"/>
  <c r="X133" i="16"/>
  <c r="AE109" i="16"/>
  <c r="U115" i="16"/>
  <c r="AD123" i="16"/>
  <c r="AD133" i="16"/>
  <c r="AC90" i="16"/>
  <c r="U32" i="16"/>
  <c r="X54" i="16"/>
  <c r="W90" i="16"/>
  <c r="AD35" i="16"/>
  <c r="J56" i="19"/>
  <c r="L56" i="19" s="1"/>
  <c r="M38" i="18"/>
  <c r="K41" i="18"/>
  <c r="T932" i="8"/>
  <c r="T933" i="8" s="1"/>
  <c r="H39" i="18"/>
  <c r="T940" i="8"/>
  <c r="T941" i="8" s="1"/>
  <c r="H40" i="18"/>
  <c r="L41" i="18"/>
  <c r="M37" i="18"/>
  <c r="N22" i="15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G39" i="18" s="1"/>
  <c r="V352" i="2"/>
  <c r="V392" i="2" s="1"/>
  <c r="V948" i="8" s="1"/>
  <c r="V949" i="8" s="1"/>
  <c r="Q354" i="2"/>
  <c r="Q836" i="8" s="1"/>
  <c r="Q837" i="8" s="1"/>
  <c r="T378" i="2"/>
  <c r="G40" i="1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T74" i="16" l="1"/>
  <c r="AA127" i="16"/>
  <c r="AA112" i="16"/>
  <c r="X11" i="16"/>
  <c r="U121" i="16"/>
  <c r="Y11" i="16"/>
  <c r="AC20" i="16"/>
  <c r="AC122" i="16"/>
  <c r="U129" i="16"/>
  <c r="X130" i="16"/>
  <c r="W6" i="16"/>
  <c r="Y106" i="16"/>
  <c r="U114" i="16"/>
  <c r="AD37" i="16"/>
  <c r="AE81" i="16"/>
  <c r="AB120" i="16"/>
  <c r="AE131" i="16"/>
  <c r="U92" i="16"/>
  <c r="U88" i="16"/>
  <c r="W123" i="16"/>
  <c r="AE117" i="16"/>
  <c r="Y111" i="16"/>
  <c r="AB75" i="16"/>
  <c r="AB24" i="16"/>
  <c r="AA74" i="16"/>
  <c r="T44" i="16"/>
  <c r="T1864" i="8" s="1"/>
  <c r="X80" i="16"/>
  <c r="X62" i="16"/>
  <c r="AA113" i="16"/>
  <c r="V44" i="16"/>
  <c r="Z102" i="16"/>
  <c r="AB114" i="16"/>
  <c r="Z15" i="16"/>
  <c r="AB38" i="16"/>
  <c r="AD29" i="16"/>
  <c r="W26" i="16"/>
  <c r="V22" i="16"/>
  <c r="U20" i="16"/>
  <c r="AA47" i="16"/>
  <c r="AD47" i="16"/>
  <c r="AA38" i="16"/>
  <c r="AA39" i="16"/>
  <c r="AA24" i="16"/>
  <c r="V11" i="16"/>
  <c r="X98" i="16"/>
  <c r="W14" i="16"/>
  <c r="X67" i="16"/>
  <c r="U63" i="16"/>
  <c r="AE46" i="16"/>
  <c r="Y77" i="16"/>
  <c r="Z46" i="16"/>
  <c r="X22" i="16"/>
  <c r="AD33" i="16"/>
  <c r="U40" i="16"/>
  <c r="Z36" i="16"/>
  <c r="Y8" i="16"/>
  <c r="AC68" i="16"/>
  <c r="AC93" i="16"/>
  <c r="U18" i="16"/>
  <c r="AB88" i="16"/>
  <c r="V63" i="16"/>
  <c r="AD56" i="16"/>
  <c r="AE103" i="16"/>
  <c r="Y40" i="16"/>
  <c r="AA104" i="16"/>
  <c r="AC21" i="16"/>
  <c r="V127" i="16"/>
  <c r="X12" i="16"/>
  <c r="AA57" i="16"/>
  <c r="AC78" i="16"/>
  <c r="AA32" i="16"/>
  <c r="AD57" i="16"/>
  <c r="AC120" i="16"/>
  <c r="V7" i="16"/>
  <c r="W21" i="16"/>
  <c r="AD39" i="16"/>
  <c r="U79" i="16"/>
  <c r="AD127" i="16"/>
  <c r="AB34" i="16"/>
  <c r="AC74" i="16"/>
  <c r="W44" i="16"/>
  <c r="Y47" i="16"/>
  <c r="AC59" i="16"/>
  <c r="Z29" i="16"/>
  <c r="W31" i="16"/>
  <c r="Z20" i="16"/>
  <c r="AB57" i="16"/>
  <c r="AC52" i="16"/>
  <c r="Y121" i="16"/>
  <c r="Z47" i="16"/>
  <c r="Z65" i="16"/>
  <c r="AA96" i="16"/>
  <c r="W93" i="16"/>
  <c r="U59" i="16"/>
  <c r="X41" i="16"/>
  <c r="AD117" i="16"/>
  <c r="Z109" i="16"/>
  <c r="AB40" i="16"/>
  <c r="AA34" i="16"/>
  <c r="W78" i="16"/>
  <c r="X40" i="16"/>
  <c r="Y98" i="16"/>
  <c r="V34" i="16"/>
  <c r="Y52" i="16"/>
  <c r="X68" i="16"/>
  <c r="AD66" i="16"/>
  <c r="U7" i="16"/>
  <c r="AB43" i="16"/>
  <c r="AA68" i="16"/>
  <c r="AA54" i="16"/>
  <c r="X15" i="16"/>
  <c r="AB48" i="16"/>
  <c r="AC109" i="16"/>
  <c r="Z131" i="16"/>
  <c r="Z18" i="16"/>
  <c r="Z10" i="16"/>
  <c r="AE13" i="16"/>
  <c r="AE91" i="16"/>
  <c r="AA13" i="16"/>
  <c r="AB9" i="16"/>
  <c r="Z61" i="16"/>
  <c r="X66" i="16"/>
  <c r="AA50" i="16"/>
  <c r="AB21" i="16"/>
  <c r="U31" i="16"/>
  <c r="W127" i="16"/>
  <c r="X30" i="16"/>
  <c r="AC47" i="16"/>
  <c r="AE10" i="16"/>
  <c r="AD49" i="16"/>
  <c r="AD120" i="16"/>
  <c r="AB31" i="16"/>
  <c r="AE17" i="16"/>
  <c r="W116" i="16"/>
  <c r="Y70" i="16"/>
  <c r="Y66" i="16"/>
  <c r="AE21" i="16"/>
  <c r="Y69" i="16"/>
  <c r="U133" i="16"/>
  <c r="W9" i="16"/>
  <c r="AC88" i="16"/>
  <c r="U56" i="16"/>
  <c r="AD30" i="16"/>
  <c r="W105" i="16"/>
  <c r="Y72" i="16"/>
  <c r="AA101" i="16"/>
  <c r="Y13" i="16"/>
  <c r="U14" i="16"/>
  <c r="X34" i="16"/>
  <c r="AE39" i="16"/>
  <c r="AD15" i="16"/>
  <c r="X90" i="16"/>
  <c r="AE69" i="16"/>
  <c r="AB77" i="16"/>
  <c r="AB74" i="16"/>
  <c r="AD87" i="16"/>
  <c r="X13" i="16"/>
  <c r="U6" i="16"/>
  <c r="AD55" i="16"/>
  <c r="W110" i="16"/>
  <c r="AA110" i="16"/>
  <c r="Z99" i="16"/>
  <c r="AB53" i="16"/>
  <c r="X51" i="16"/>
  <c r="W63" i="16"/>
  <c r="Y65" i="16"/>
  <c r="AA94" i="16"/>
  <c r="V46" i="16"/>
  <c r="W49" i="16"/>
  <c r="AC16" i="16"/>
  <c r="U42" i="16"/>
  <c r="AD104" i="16"/>
  <c r="AA8" i="16"/>
  <c r="AE49" i="16"/>
  <c r="X81" i="16"/>
  <c r="AE96" i="16"/>
  <c r="AC76" i="16"/>
  <c r="AB27" i="16"/>
  <c r="AE19" i="16"/>
  <c r="AB39" i="16"/>
  <c r="X37" i="16"/>
  <c r="U19" i="16"/>
  <c r="AB16" i="16"/>
  <c r="W38" i="16"/>
  <c r="U65" i="16"/>
  <c r="AC50" i="16"/>
  <c r="X58" i="16"/>
  <c r="Y56" i="16"/>
  <c r="AC45" i="16"/>
  <c r="W36" i="16"/>
  <c r="AD69" i="16"/>
  <c r="Z34" i="16"/>
  <c r="AE36" i="16"/>
  <c r="V9" i="16"/>
  <c r="AB29" i="16"/>
  <c r="AA31" i="16"/>
  <c r="AA36" i="16"/>
  <c r="AC129" i="16"/>
  <c r="AB56" i="16"/>
  <c r="AE47" i="16"/>
  <c r="AD54" i="16"/>
  <c r="Y132" i="16"/>
  <c r="AB133" i="16"/>
  <c r="Y92" i="16"/>
  <c r="Z82" i="16"/>
  <c r="V36" i="16"/>
  <c r="AA61" i="16"/>
  <c r="AB99" i="16"/>
  <c r="AE43" i="16"/>
  <c r="W46" i="16"/>
  <c r="AE30" i="16"/>
  <c r="AE8" i="16"/>
  <c r="Y104" i="16"/>
  <c r="AD36" i="16"/>
  <c r="Z24" i="16"/>
  <c r="AB22" i="16"/>
  <c r="X9" i="16"/>
  <c r="AE75" i="16"/>
  <c r="U87" i="16"/>
  <c r="AD48" i="16"/>
  <c r="X6" i="16"/>
  <c r="Z39" i="16"/>
  <c r="Y76" i="16"/>
  <c r="AD14" i="16"/>
  <c r="AA15" i="16"/>
  <c r="AD8" i="16"/>
  <c r="AA53" i="16"/>
  <c r="Z68" i="16"/>
  <c r="V32" i="16"/>
  <c r="Z108" i="16"/>
  <c r="AB36" i="16"/>
  <c r="AB15" i="16"/>
  <c r="AE12" i="16"/>
  <c r="AC105" i="16"/>
  <c r="AC33" i="16"/>
  <c r="U16" i="16"/>
  <c r="AE123" i="16"/>
  <c r="Z44" i="16"/>
  <c r="AB28" i="16"/>
  <c r="W22" i="16"/>
  <c r="X78" i="16"/>
  <c r="W32" i="16"/>
  <c r="W41" i="16"/>
  <c r="AA118" i="16"/>
  <c r="AD82" i="16"/>
  <c r="Z12" i="16"/>
  <c r="Z19" i="16"/>
  <c r="AA56" i="16"/>
  <c r="W34" i="16"/>
  <c r="AB12" i="16"/>
  <c r="U53" i="16"/>
  <c r="W132" i="16"/>
  <c r="AD112" i="16"/>
  <c r="AB35" i="16"/>
  <c r="U21" i="16"/>
  <c r="W129" i="16"/>
  <c r="X53" i="16"/>
  <c r="W130" i="16"/>
  <c r="AD13" i="16"/>
  <c r="U17" i="16"/>
  <c r="W16" i="16"/>
  <c r="X10" i="16"/>
  <c r="AE7" i="16"/>
  <c r="U58" i="16"/>
  <c r="V25" i="16"/>
  <c r="Y62" i="16"/>
  <c r="U76" i="16"/>
  <c r="V61" i="16"/>
  <c r="AD6" i="16"/>
  <c r="Y123" i="16"/>
  <c r="Y46" i="16"/>
  <c r="Y6" i="16"/>
  <c r="U85" i="16"/>
  <c r="Y53" i="16"/>
  <c r="AE94" i="16"/>
  <c r="Z110" i="16"/>
  <c r="Y54" i="16"/>
  <c r="W24" i="16"/>
  <c r="U103" i="16"/>
  <c r="W20" i="16"/>
  <c r="AC60" i="16"/>
  <c r="Y96" i="16"/>
  <c r="Y39" i="16"/>
  <c r="AC77" i="16"/>
  <c r="W133" i="16"/>
  <c r="AB26" i="16"/>
  <c r="AB13" i="16"/>
  <c r="Y50" i="16"/>
  <c r="AC97" i="16"/>
  <c r="AE41" i="16"/>
  <c r="AD34" i="16"/>
  <c r="AD50" i="16"/>
  <c r="Y43" i="16"/>
  <c r="AA14" i="16"/>
  <c r="W128" i="16"/>
  <c r="Z22" i="16"/>
  <c r="W40" i="16"/>
  <c r="V60" i="16"/>
  <c r="AE97" i="16"/>
  <c r="V65" i="16"/>
  <c r="AA106" i="16"/>
  <c r="Z16" i="16"/>
  <c r="AB17" i="16"/>
  <c r="AA59" i="16"/>
  <c r="AB7" i="16"/>
  <c r="AE126" i="16"/>
  <c r="V28" i="16"/>
  <c r="V113" i="16"/>
  <c r="U8" i="16"/>
  <c r="Z38" i="16"/>
  <c r="V15" i="16"/>
  <c r="U84" i="16"/>
  <c r="X128" i="16"/>
  <c r="Z9" i="16"/>
  <c r="AE11" i="16"/>
  <c r="Y44" i="16"/>
  <c r="AA9" i="16"/>
  <c r="V106" i="16"/>
  <c r="AE40" i="16"/>
  <c r="AA123" i="16"/>
  <c r="U36" i="16"/>
  <c r="AE54" i="16"/>
  <c r="X36" i="16"/>
  <c r="Z7" i="16"/>
  <c r="AD22" i="16"/>
  <c r="X46" i="16"/>
  <c r="Y34" i="16"/>
  <c r="Z17" i="16"/>
  <c r="AC100" i="16"/>
  <c r="AB84" i="16"/>
  <c r="Y37" i="16"/>
  <c r="X101" i="16"/>
  <c r="U11" i="16"/>
  <c r="W7" i="16"/>
  <c r="W106" i="16"/>
  <c r="U97" i="16"/>
  <c r="AD76" i="16"/>
  <c r="V49" i="16"/>
  <c r="AA10" i="16"/>
  <c r="Z103" i="16"/>
  <c r="AA71" i="16"/>
  <c r="AD60" i="16"/>
  <c r="Y71" i="16"/>
  <c r="W51" i="16"/>
  <c r="Z53" i="16"/>
  <c r="V37" i="16"/>
  <c r="X8" i="16"/>
  <c r="AB33" i="16"/>
  <c r="V112" i="16"/>
  <c r="AE55" i="16"/>
  <c r="Z57" i="16"/>
  <c r="Y14" i="16"/>
  <c r="V23" i="16"/>
  <c r="AD10" i="16"/>
  <c r="AD94" i="16"/>
  <c r="AB67" i="16"/>
  <c r="Y74" i="16"/>
  <c r="AC86" i="16"/>
  <c r="AC56" i="16"/>
  <c r="Z30" i="16"/>
  <c r="Z76" i="16"/>
  <c r="V102" i="16"/>
  <c r="U108" i="16"/>
  <c r="AB70" i="16"/>
  <c r="Y45" i="16"/>
  <c r="AC28" i="16"/>
  <c r="Y83" i="16"/>
  <c r="AE24" i="16"/>
  <c r="AB20" i="16"/>
  <c r="AD45" i="16"/>
  <c r="V12" i="16"/>
  <c r="Y7" i="16"/>
  <c r="Y26" i="16"/>
  <c r="U49" i="16"/>
  <c r="V55" i="16"/>
  <c r="W87" i="16"/>
  <c r="AA83" i="16"/>
  <c r="X109" i="16"/>
  <c r="V21" i="16"/>
  <c r="U23" i="16"/>
  <c r="W68" i="16"/>
  <c r="Y113" i="16"/>
  <c r="AC34" i="16"/>
  <c r="W35" i="16"/>
  <c r="AD7" i="16"/>
  <c r="V78" i="16"/>
  <c r="X100" i="16"/>
  <c r="AA27" i="16"/>
  <c r="Y73" i="16"/>
  <c r="AB30" i="16"/>
  <c r="U86" i="16"/>
  <c r="Z117" i="16"/>
  <c r="AC66" i="16"/>
  <c r="W28" i="16"/>
  <c r="X7" i="16"/>
  <c r="AC18" i="16"/>
  <c r="AD96" i="16"/>
  <c r="AA26" i="16"/>
  <c r="Z32" i="16"/>
  <c r="AA16" i="16"/>
  <c r="AA75" i="16"/>
  <c r="W84" i="16"/>
  <c r="AB41" i="16"/>
  <c r="Y38" i="16"/>
  <c r="AD116" i="16"/>
  <c r="X87" i="16"/>
  <c r="Y57" i="16"/>
  <c r="V116" i="16"/>
  <c r="V17" i="16"/>
  <c r="AD9" i="16"/>
  <c r="V75" i="16"/>
  <c r="X75" i="16"/>
  <c r="X23" i="16"/>
  <c r="V42" i="16"/>
  <c r="AB105" i="16"/>
  <c r="Z13" i="16"/>
  <c r="AB11" i="16"/>
  <c r="AC24" i="16"/>
  <c r="AC67" i="16"/>
  <c r="X88" i="16"/>
  <c r="Z127" i="16"/>
  <c r="AA55" i="16"/>
  <c r="Y10" i="16"/>
  <c r="AA22" i="16"/>
  <c r="U99" i="16"/>
  <c r="AD43" i="16"/>
  <c r="V107" i="16"/>
  <c r="X95" i="16"/>
  <c r="U39" i="16"/>
  <c r="AE38" i="16"/>
  <c r="AA11" i="16"/>
  <c r="Y55" i="16"/>
  <c r="AB18" i="16"/>
  <c r="W17" i="16"/>
  <c r="AB32" i="16"/>
  <c r="AD93" i="16"/>
  <c r="V57" i="16"/>
  <c r="Z25" i="16"/>
  <c r="Y22" i="16"/>
  <c r="AE102" i="16"/>
  <c r="AD71" i="16"/>
  <c r="Z80" i="16"/>
  <c r="X114" i="16"/>
  <c r="Y125" i="16"/>
  <c r="AD75" i="16"/>
  <c r="X56" i="16"/>
  <c r="V35" i="16"/>
  <c r="Z113" i="16"/>
  <c r="AB72" i="16"/>
  <c r="V48" i="16"/>
  <c r="Y16" i="16"/>
  <c r="Z120" i="16"/>
  <c r="W98" i="16"/>
  <c r="W29" i="16"/>
  <c r="X83" i="16"/>
  <c r="Y110" i="16"/>
  <c r="AB111" i="16"/>
  <c r="AC71" i="16"/>
  <c r="AD101" i="16"/>
  <c r="AE70" i="16"/>
  <c r="W65" i="16"/>
  <c r="AA18" i="16"/>
  <c r="X132" i="16"/>
  <c r="Y64" i="16"/>
  <c r="Y51" i="16"/>
  <c r="Z74" i="16"/>
  <c r="X107" i="16"/>
  <c r="AD38" i="16"/>
  <c r="AA78" i="16"/>
  <c r="Z56" i="16"/>
  <c r="AE122" i="16"/>
  <c r="W71" i="16"/>
  <c r="AB86" i="16"/>
  <c r="AD21" i="16"/>
  <c r="AA60" i="16"/>
  <c r="AA46" i="16"/>
  <c r="AE124" i="16"/>
  <c r="AB23" i="16"/>
  <c r="V27" i="16"/>
  <c r="V41" i="16"/>
  <c r="AA109" i="16"/>
  <c r="W111" i="16"/>
  <c r="X118" i="16"/>
  <c r="W56" i="16"/>
  <c r="Z121" i="16"/>
  <c r="X17" i="16"/>
  <c r="X74" i="16"/>
  <c r="W79" i="16"/>
  <c r="Z21" i="16"/>
  <c r="AA133" i="16"/>
  <c r="W42" i="16"/>
  <c r="W13" i="16"/>
  <c r="W83" i="16"/>
  <c r="AC80" i="16"/>
  <c r="V18" i="16"/>
  <c r="AD88" i="16"/>
  <c r="AE133" i="16"/>
  <c r="Y17" i="16"/>
  <c r="V103" i="16"/>
  <c r="AC112" i="16"/>
  <c r="AD42" i="16"/>
  <c r="AA76" i="16"/>
  <c r="AC114" i="16"/>
  <c r="AA25" i="16"/>
  <c r="AE15" i="16"/>
  <c r="W58" i="16"/>
  <c r="Y124" i="16"/>
  <c r="AC125" i="16"/>
  <c r="AD79" i="16"/>
  <c r="X121" i="16"/>
  <c r="X60" i="16"/>
  <c r="AE83" i="16"/>
  <c r="AA126" i="16"/>
  <c r="AB71" i="16"/>
  <c r="X94" i="16"/>
  <c r="Y81" i="16"/>
  <c r="AB42" i="16"/>
  <c r="AE22" i="16"/>
  <c r="Z77" i="16"/>
  <c r="V66" i="16"/>
  <c r="W119" i="16"/>
  <c r="AE93" i="16"/>
  <c r="V39" i="16"/>
  <c r="V24" i="16"/>
  <c r="W61" i="16"/>
  <c r="AC49" i="16"/>
  <c r="Y59" i="16"/>
  <c r="W72" i="16"/>
  <c r="AB8" i="16"/>
  <c r="Z23" i="16"/>
  <c r="AB116" i="16"/>
  <c r="Y36" i="16"/>
  <c r="Z104" i="16"/>
  <c r="Z92" i="16"/>
  <c r="Z52" i="16"/>
  <c r="AB55" i="16"/>
  <c r="W112" i="16"/>
  <c r="AE61" i="16"/>
  <c r="AE26" i="16"/>
  <c r="Z40" i="16"/>
  <c r="AB94" i="16"/>
  <c r="AA124" i="16"/>
  <c r="AD84" i="16"/>
  <c r="AA67" i="16"/>
  <c r="Z33" i="16"/>
  <c r="AE80" i="16"/>
  <c r="V30" i="16"/>
  <c r="AC13" i="16"/>
  <c r="Y60" i="16"/>
  <c r="Z63" i="16"/>
  <c r="Z91" i="16"/>
  <c r="Y95" i="16"/>
  <c r="W95" i="16"/>
  <c r="AA30" i="16"/>
  <c r="AB132" i="16"/>
  <c r="V13" i="16"/>
  <c r="W75" i="16"/>
  <c r="V129" i="16"/>
  <c r="AA62" i="16"/>
  <c r="X113" i="16"/>
  <c r="V52" i="16"/>
  <c r="AE25" i="16"/>
  <c r="AE132" i="16"/>
  <c r="X61" i="16"/>
  <c r="AC55" i="16"/>
  <c r="Z72" i="16"/>
  <c r="W64" i="16"/>
  <c r="AA6" i="16"/>
  <c r="AD74" i="16"/>
  <c r="AD28" i="16"/>
  <c r="AC6" i="16"/>
  <c r="X72" i="16"/>
  <c r="AC82" i="16"/>
  <c r="AC106" i="16"/>
  <c r="AD27" i="16"/>
  <c r="Y88" i="16"/>
  <c r="AB96" i="16"/>
  <c r="AD12" i="16"/>
  <c r="V100" i="16"/>
  <c r="Z70" i="16"/>
  <c r="AE84" i="16"/>
  <c r="AB65" i="16"/>
  <c r="Y94" i="16"/>
  <c r="AC53" i="16"/>
  <c r="W94" i="16"/>
  <c r="V87" i="16"/>
  <c r="AE116" i="16"/>
  <c r="AA58" i="16"/>
  <c r="AA45" i="16"/>
  <c r="V56" i="16"/>
  <c r="Y25" i="16"/>
  <c r="W59" i="16"/>
  <c r="AE87" i="16"/>
  <c r="AC102" i="16"/>
  <c r="Z55" i="16"/>
  <c r="AE89" i="16"/>
  <c r="Z50" i="16"/>
  <c r="X93" i="16"/>
  <c r="AB51" i="16"/>
  <c r="AA51" i="16"/>
  <c r="W74" i="16"/>
  <c r="AB85" i="16"/>
  <c r="AD59" i="16"/>
  <c r="X55" i="16"/>
  <c r="AA7" i="16"/>
  <c r="AE29" i="16"/>
  <c r="X96" i="16"/>
  <c r="AE120" i="16"/>
  <c r="AB73" i="16"/>
  <c r="Y75" i="16"/>
  <c r="W30" i="16"/>
  <c r="AB87" i="16"/>
  <c r="V91" i="16"/>
  <c r="AD23" i="16"/>
  <c r="AB79" i="16"/>
  <c r="AA66" i="16"/>
  <c r="W115" i="16"/>
  <c r="X14" i="16"/>
  <c r="Y115" i="16"/>
  <c r="AA19" i="16"/>
  <c r="AD106" i="16"/>
  <c r="AA108" i="16"/>
  <c r="X21" i="16"/>
  <c r="AE62" i="16"/>
  <c r="AA48" i="16"/>
  <c r="AD102" i="16"/>
  <c r="V130" i="16"/>
  <c r="W101" i="16"/>
  <c r="AC126" i="16"/>
  <c r="Y105" i="16"/>
  <c r="V118" i="16"/>
  <c r="AB91" i="16"/>
  <c r="Z26" i="16"/>
  <c r="AB110" i="16"/>
  <c r="AE33" i="16"/>
  <c r="Z122" i="16"/>
  <c r="Z95" i="16"/>
  <c r="W96" i="16"/>
  <c r="V110" i="16"/>
  <c r="Z90" i="16"/>
  <c r="Y21" i="16"/>
  <c r="X49" i="16"/>
  <c r="AD26" i="16"/>
  <c r="AC130" i="16"/>
  <c r="Z64" i="16"/>
  <c r="V99" i="16"/>
  <c r="V121" i="16"/>
  <c r="X42" i="16"/>
  <c r="X91" i="16"/>
  <c r="V64" i="16"/>
  <c r="AE76" i="16"/>
  <c r="AD64" i="16"/>
  <c r="Z94" i="16"/>
  <c r="AE128" i="16"/>
  <c r="W23" i="16"/>
  <c r="X126" i="16"/>
  <c r="AB112" i="16"/>
  <c r="AE110" i="16"/>
  <c r="X43" i="16"/>
  <c r="AA41" i="16"/>
  <c r="AA131" i="16"/>
  <c r="Y133" i="16"/>
  <c r="AC65" i="16"/>
  <c r="Y35" i="16"/>
  <c r="AD103" i="16"/>
  <c r="AC26" i="16"/>
  <c r="W70" i="16"/>
  <c r="AD109" i="16"/>
  <c r="AC48" i="16"/>
  <c r="AC29" i="16"/>
  <c r="AC17" i="16"/>
  <c r="X25" i="16"/>
  <c r="AC107" i="16"/>
  <c r="W73" i="16"/>
  <c r="V95" i="16"/>
  <c r="AA95" i="16"/>
  <c r="X33" i="16"/>
  <c r="AC111" i="16"/>
  <c r="V131" i="16"/>
  <c r="AB61" i="16"/>
  <c r="AD73" i="16"/>
  <c r="AD85" i="16"/>
  <c r="V71" i="16"/>
  <c r="AA12" i="16"/>
  <c r="X122" i="16"/>
  <c r="AA103" i="16"/>
  <c r="Z105" i="16"/>
  <c r="Y24" i="16"/>
  <c r="AB47" i="16"/>
  <c r="X85" i="16"/>
  <c r="V58" i="16"/>
  <c r="AD108" i="16"/>
  <c r="Z98" i="16"/>
  <c r="AB25" i="16"/>
  <c r="Y30" i="16"/>
  <c r="V10" i="16"/>
  <c r="AA33" i="16"/>
  <c r="AB83" i="16"/>
  <c r="AC35" i="16"/>
  <c r="AD130" i="16"/>
  <c r="Y49" i="16"/>
  <c r="W102" i="16"/>
  <c r="AE35" i="16"/>
  <c r="AA92" i="16"/>
  <c r="X89" i="16"/>
  <c r="AB37" i="16"/>
  <c r="X24" i="16"/>
  <c r="AC40" i="16"/>
  <c r="W10" i="16"/>
  <c r="V101" i="16"/>
  <c r="Z93" i="16"/>
  <c r="AE68" i="16"/>
  <c r="Y87" i="16"/>
  <c r="AC31" i="16"/>
  <c r="Y84" i="16"/>
  <c r="AD58" i="16"/>
  <c r="AC19" i="16"/>
  <c r="AB126" i="16"/>
  <c r="AE113" i="16"/>
  <c r="W82" i="16"/>
  <c r="Y117" i="16"/>
  <c r="Z100" i="16"/>
  <c r="AC69" i="16"/>
  <c r="AC46" i="16"/>
  <c r="V70" i="16"/>
  <c r="V8" i="16"/>
  <c r="V16" i="16"/>
  <c r="AD44" i="16"/>
  <c r="AE129" i="16"/>
  <c r="AD86" i="16"/>
  <c r="AD105" i="16"/>
  <c r="W109" i="16"/>
  <c r="AE50" i="16"/>
  <c r="W67" i="16"/>
  <c r="W52" i="16"/>
  <c r="AC7" i="16"/>
  <c r="Z37" i="16"/>
  <c r="AC73" i="16"/>
  <c r="Y91" i="16"/>
  <c r="AE104" i="16"/>
  <c r="AC9" i="16"/>
  <c r="X124" i="16"/>
  <c r="AD19" i="16"/>
  <c r="AE101" i="16"/>
  <c r="Y97" i="16"/>
  <c r="AC113" i="16"/>
  <c r="Y18" i="16"/>
  <c r="Z89" i="16"/>
  <c r="AA111" i="16"/>
  <c r="AC75" i="16"/>
  <c r="X112" i="16"/>
  <c r="AE16" i="16"/>
  <c r="W55" i="16"/>
  <c r="Z96" i="16"/>
  <c r="AD62" i="16"/>
  <c r="AB58" i="16"/>
  <c r="AA52" i="16"/>
  <c r="Z60" i="16"/>
  <c r="Z112" i="16"/>
  <c r="V93" i="16"/>
  <c r="W11" i="16"/>
  <c r="AE71" i="16"/>
  <c r="AC11" i="16"/>
  <c r="AE6" i="16"/>
  <c r="AB66" i="16"/>
  <c r="X63" i="16"/>
  <c r="Y114" i="16"/>
  <c r="AB115" i="16"/>
  <c r="V19" i="16"/>
  <c r="Z67" i="16"/>
  <c r="Y119" i="16"/>
  <c r="V43" i="16"/>
  <c r="AE59" i="16"/>
  <c r="AE107" i="16"/>
  <c r="AB14" i="16"/>
  <c r="X99" i="16"/>
  <c r="AB60" i="16"/>
  <c r="W76" i="16"/>
  <c r="W117" i="16"/>
  <c r="AE31" i="16"/>
  <c r="V83" i="16"/>
  <c r="AA91" i="16"/>
  <c r="AA63" i="16"/>
  <c r="Z118" i="16"/>
  <c r="AC96" i="16"/>
  <c r="AD124" i="16"/>
  <c r="V38" i="16"/>
  <c r="V59" i="16"/>
  <c r="AD11" i="16"/>
  <c r="V109" i="16"/>
  <c r="AC8" i="16"/>
  <c r="Z128" i="16"/>
  <c r="AD17" i="16"/>
  <c r="AE27" i="16"/>
  <c r="AC104" i="16"/>
  <c r="AA69" i="16"/>
  <c r="X35" i="16"/>
  <c r="Z27" i="16"/>
  <c r="W104" i="16"/>
  <c r="AD25" i="16"/>
  <c r="AB118" i="16"/>
  <c r="AD51" i="16"/>
  <c r="W12" i="16"/>
  <c r="V14" i="16"/>
  <c r="Y78" i="16"/>
  <c r="AA100" i="16"/>
  <c r="AE90" i="16"/>
  <c r="AD68" i="16"/>
  <c r="AD118" i="16"/>
  <c r="Y100" i="16"/>
  <c r="AE112" i="16"/>
  <c r="AE64" i="16"/>
  <c r="AE99" i="16"/>
  <c r="AD115" i="16"/>
  <c r="AD92" i="16"/>
  <c r="Y9" i="16"/>
  <c r="Y33" i="16"/>
  <c r="AD80" i="16"/>
  <c r="AD63" i="16"/>
  <c r="W99" i="16"/>
  <c r="Z81" i="16"/>
  <c r="AE115" i="16"/>
  <c r="AE53" i="16"/>
  <c r="AA116" i="16"/>
  <c r="AC12" i="16"/>
  <c r="Y63" i="16"/>
  <c r="AA115" i="16"/>
  <c r="V98" i="16"/>
  <c r="AB44" i="16"/>
  <c r="X127" i="16"/>
  <c r="AC85" i="16"/>
  <c r="W85" i="16"/>
  <c r="Y89" i="16"/>
  <c r="X69" i="16"/>
  <c r="X71" i="16"/>
  <c r="W39" i="16"/>
  <c r="Z107" i="16"/>
  <c r="AD65" i="16"/>
  <c r="W57" i="16"/>
  <c r="AD53" i="16"/>
  <c r="AC44" i="16"/>
  <c r="AB78" i="16"/>
  <c r="AC25" i="16"/>
  <c r="X44" i="16"/>
  <c r="Y31" i="16"/>
  <c r="V97" i="16"/>
  <c r="AA42" i="16"/>
  <c r="AA77" i="16"/>
  <c r="Y103" i="16"/>
  <c r="X79" i="16"/>
  <c r="AE72" i="16"/>
  <c r="AE18" i="16"/>
  <c r="V119" i="16"/>
  <c r="Z97" i="16"/>
  <c r="Y12" i="16"/>
  <c r="AC10" i="16"/>
  <c r="AD52" i="16"/>
  <c r="X123" i="16"/>
  <c r="V50" i="16"/>
  <c r="AD132" i="16"/>
  <c r="AC37" i="16"/>
  <c r="AE56" i="16"/>
  <c r="Z86" i="16"/>
  <c r="AD61" i="16"/>
  <c r="AE92" i="16"/>
  <c r="AB49" i="16"/>
  <c r="Y19" i="16"/>
  <c r="X47" i="16"/>
  <c r="AC61" i="16"/>
  <c r="AA44" i="16"/>
  <c r="AB76" i="16"/>
  <c r="AC87" i="16"/>
  <c r="Y99" i="16"/>
  <c r="W25" i="16"/>
  <c r="Z6" i="16"/>
  <c r="AB107" i="16"/>
  <c r="Y112" i="16"/>
  <c r="AB68" i="16"/>
  <c r="AC117" i="16"/>
  <c r="Z75" i="16"/>
  <c r="Z101" i="16"/>
  <c r="AC118" i="16"/>
  <c r="W100" i="16"/>
  <c r="Z123" i="16"/>
  <c r="V86" i="16"/>
  <c r="Y41" i="16"/>
  <c r="AE48" i="16"/>
  <c r="W81" i="16"/>
  <c r="AE60" i="16"/>
  <c r="X131" i="16"/>
  <c r="Z8" i="16"/>
  <c r="AC36" i="16"/>
  <c r="AC95" i="16"/>
  <c r="Z129" i="16"/>
  <c r="V20" i="16"/>
  <c r="AA87" i="16"/>
  <c r="Z45" i="16"/>
  <c r="AC133" i="16"/>
  <c r="AE63" i="16"/>
  <c r="V89" i="16"/>
  <c r="AA97" i="16"/>
  <c r="Y80" i="16"/>
  <c r="AD121" i="16"/>
  <c r="AE9" i="16"/>
  <c r="Y15" i="16"/>
  <c r="AD81" i="16"/>
  <c r="AB54" i="16"/>
  <c r="AB6" i="16"/>
  <c r="Z43" i="16"/>
  <c r="V79" i="16"/>
  <c r="AB69" i="16"/>
  <c r="X28" i="16"/>
  <c r="AC81" i="16"/>
  <c r="V117" i="16"/>
  <c r="Z132" i="16"/>
  <c r="X115" i="16"/>
  <c r="W50" i="16"/>
  <c r="AB125" i="16"/>
  <c r="AD78" i="16"/>
  <c r="W121" i="16"/>
  <c r="AC14" i="16"/>
  <c r="AA107" i="16"/>
  <c r="V124" i="16"/>
  <c r="AC115" i="16"/>
  <c r="V68" i="16"/>
  <c r="AE34" i="16"/>
  <c r="AA89" i="16"/>
  <c r="AB113" i="16"/>
  <c r="AA117" i="16"/>
  <c r="Y48" i="16"/>
  <c r="AD41" i="16"/>
  <c r="V96" i="16"/>
  <c r="AE114" i="16"/>
  <c r="V73" i="16"/>
  <c r="AE58" i="16"/>
  <c r="V72" i="16"/>
  <c r="X92" i="16"/>
  <c r="AC15" i="16"/>
  <c r="W126" i="16"/>
  <c r="AC23" i="16"/>
  <c r="AD125" i="16"/>
  <c r="AD131" i="16"/>
  <c r="AD126" i="16"/>
  <c r="V76" i="16"/>
  <c r="AB50" i="16"/>
  <c r="AA82" i="16"/>
  <c r="V6" i="16"/>
  <c r="AC57" i="16"/>
  <c r="W88" i="16"/>
  <c r="AC70" i="16"/>
  <c r="X26" i="16"/>
  <c r="AE66" i="16"/>
  <c r="AB59" i="16"/>
  <c r="W18" i="16"/>
  <c r="AD31" i="16"/>
  <c r="V88" i="16"/>
  <c r="X97" i="16"/>
  <c r="AE111" i="16"/>
  <c r="AB103" i="16"/>
  <c r="AB81" i="16"/>
  <c r="AC42" i="16"/>
  <c r="AD114" i="16"/>
  <c r="W66" i="16"/>
  <c r="W131" i="16"/>
  <c r="AA21" i="16"/>
  <c r="AD122" i="16"/>
  <c r="V54" i="16"/>
  <c r="AB45" i="16"/>
  <c r="AD90" i="16"/>
  <c r="AC108" i="16"/>
  <c r="AB52" i="16"/>
  <c r="AE51" i="16"/>
  <c r="AE100" i="16"/>
  <c r="AD91" i="16"/>
  <c r="AA29" i="16"/>
  <c r="W37" i="16"/>
  <c r="AE82" i="16"/>
  <c r="Y79" i="16"/>
  <c r="W120" i="16"/>
  <c r="AA28" i="16"/>
  <c r="AC43" i="16"/>
  <c r="W19" i="16"/>
  <c r="W33" i="16"/>
  <c r="Z88" i="16"/>
  <c r="Y122" i="16"/>
  <c r="AC58" i="16"/>
  <c r="AC92" i="16"/>
  <c r="AC64" i="16"/>
  <c r="AE79" i="16"/>
  <c r="W113" i="16"/>
  <c r="X65" i="16"/>
  <c r="AA43" i="16"/>
  <c r="X20" i="16"/>
  <c r="AA85" i="16"/>
  <c r="AC83" i="16"/>
  <c r="AE88" i="16"/>
  <c r="AA120" i="16"/>
  <c r="AD67" i="16"/>
  <c r="Z106" i="16"/>
  <c r="X31" i="16"/>
  <c r="AB93" i="16"/>
  <c r="X16" i="16"/>
  <c r="AD77" i="16"/>
  <c r="Z42" i="16"/>
  <c r="W69" i="16"/>
  <c r="Z31" i="16"/>
  <c r="Y61" i="16"/>
  <c r="Z87" i="16"/>
  <c r="Z85" i="16"/>
  <c r="AE20" i="16"/>
  <c r="AA73" i="16"/>
  <c r="AC32" i="16"/>
  <c r="X39" i="16"/>
  <c r="AA98" i="16"/>
  <c r="V69" i="16"/>
  <c r="AE45" i="16"/>
  <c r="AB104" i="16"/>
  <c r="AD128" i="16"/>
  <c r="Z51" i="16"/>
  <c r="Y42" i="16"/>
  <c r="AE106" i="16"/>
  <c r="X110" i="16"/>
  <c r="V125" i="16"/>
  <c r="W15" i="16"/>
  <c r="Z11" i="16"/>
  <c r="Y20" i="16"/>
  <c r="AD110" i="16"/>
  <c r="AA64" i="16"/>
  <c r="X77" i="16"/>
  <c r="AC119" i="16"/>
  <c r="Y109" i="16"/>
  <c r="AB102" i="16"/>
  <c r="X73" i="16"/>
  <c r="V126" i="16"/>
  <c r="AA80" i="16"/>
  <c r="W92" i="16"/>
  <c r="AE67" i="16"/>
  <c r="AD24" i="16"/>
  <c r="Y90" i="16"/>
  <c r="W80" i="16"/>
  <c r="Z71" i="16"/>
  <c r="Z84" i="16"/>
  <c r="AC72" i="16"/>
  <c r="X105" i="16"/>
  <c r="AB90" i="16"/>
  <c r="W43" i="16"/>
  <c r="W27" i="16"/>
  <c r="AE57" i="16"/>
  <c r="Y129" i="16"/>
  <c r="AE78" i="16"/>
  <c r="AC30" i="16"/>
  <c r="AC38" i="16"/>
  <c r="X27" i="16"/>
  <c r="AC110" i="16"/>
  <c r="AA93" i="16"/>
  <c r="AA79" i="16"/>
  <c r="X50" i="16"/>
  <c r="W47" i="16"/>
  <c r="AC39" i="16"/>
  <c r="X104" i="16"/>
  <c r="X84" i="16"/>
  <c r="AA72" i="16"/>
  <c r="Z114" i="16"/>
  <c r="AA129" i="16"/>
  <c r="X45" i="16"/>
  <c r="Z73" i="16"/>
  <c r="W103" i="16"/>
  <c r="AE85" i="16"/>
  <c r="AE14" i="16"/>
  <c r="V40" i="16"/>
  <c r="V29" i="16"/>
  <c r="AD111" i="16"/>
  <c r="AD95" i="16"/>
  <c r="AC54" i="16"/>
  <c r="Y128" i="16"/>
  <c r="Z119" i="16"/>
  <c r="X32" i="16"/>
  <c r="Z66" i="16"/>
  <c r="X111" i="16"/>
  <c r="AD100" i="16"/>
  <c r="Y107" i="16"/>
  <c r="AD89" i="16"/>
  <c r="X52" i="16"/>
  <c r="AD107" i="16"/>
  <c r="AC131" i="16"/>
  <c r="AA17" i="16"/>
  <c r="AC62" i="16"/>
  <c r="AB92" i="16"/>
  <c r="AA119" i="16"/>
  <c r="AE127" i="16"/>
  <c r="X125" i="16"/>
  <c r="AB129" i="16"/>
  <c r="Z62" i="16"/>
  <c r="AC63" i="16"/>
  <c r="W107" i="16"/>
  <c r="Z14" i="16"/>
  <c r="AE65" i="16"/>
  <c r="AC22" i="16"/>
  <c r="AE125" i="16"/>
  <c r="Z49" i="16"/>
  <c r="AE98" i="16"/>
  <c r="W86" i="16"/>
  <c r="AD16" i="16"/>
  <c r="AC121" i="16"/>
  <c r="Y29" i="16"/>
  <c r="AE86" i="16"/>
  <c r="X70" i="16"/>
  <c r="V74" i="16"/>
  <c r="AB101" i="16"/>
  <c r="AB63" i="16"/>
  <c r="AA86" i="16"/>
  <c r="X64" i="16"/>
  <c r="AD98" i="16"/>
  <c r="AC98" i="16"/>
  <c r="V31" i="16"/>
  <c r="AD99" i="16"/>
  <c r="AB109" i="16"/>
  <c r="Y118" i="16"/>
  <c r="AA49" i="16"/>
  <c r="AB62" i="16"/>
  <c r="Z41" i="16"/>
  <c r="AB19" i="16"/>
  <c r="X29" i="16"/>
  <c r="X38" i="16"/>
  <c r="AB130" i="16"/>
  <c r="AB10" i="16"/>
  <c r="AB95" i="16"/>
  <c r="AC41" i="16"/>
  <c r="V104" i="16"/>
  <c r="X119" i="16"/>
  <c r="Y116" i="16"/>
  <c r="W118" i="16"/>
  <c r="V90" i="16"/>
  <c r="AA121" i="16"/>
  <c r="X59" i="16"/>
  <c r="AA122" i="16"/>
  <c r="AB64" i="16"/>
  <c r="V84" i="16"/>
  <c r="AE28" i="16"/>
  <c r="AD72" i="16"/>
  <c r="V123" i="16"/>
  <c r="AD113" i="16"/>
  <c r="V33" i="16"/>
  <c r="X19" i="16"/>
  <c r="AD32" i="16"/>
  <c r="X108" i="16"/>
  <c r="W53" i="16"/>
  <c r="Y68" i="16"/>
  <c r="Z54" i="16"/>
  <c r="AB89" i="16"/>
  <c r="W45" i="16"/>
  <c r="AA102" i="16"/>
  <c r="AA23" i="16"/>
  <c r="X106" i="16"/>
  <c r="V94" i="16"/>
  <c r="X86" i="16"/>
  <c r="AD40" i="16"/>
  <c r="AE52" i="16"/>
  <c r="Z28" i="16"/>
  <c r="Y101" i="16"/>
  <c r="W54" i="16"/>
  <c r="AE105" i="16"/>
  <c r="AE32" i="16"/>
  <c r="Y58" i="16"/>
  <c r="V53" i="16"/>
  <c r="Z130" i="16"/>
  <c r="Y67" i="16"/>
  <c r="Z111" i="16"/>
  <c r="AB106" i="16"/>
  <c r="X117" i="16"/>
  <c r="V82" i="16"/>
  <c r="AA20" i="16"/>
  <c r="W77" i="16"/>
  <c r="Z83" i="16"/>
  <c r="AE23" i="16"/>
  <c r="AB123" i="16"/>
  <c r="AC51" i="16"/>
  <c r="Z78" i="16"/>
  <c r="AE44" i="16"/>
  <c r="W114" i="16"/>
  <c r="Y27" i="16"/>
  <c r="Y108" i="16"/>
  <c r="AD20" i="16"/>
  <c r="AC123" i="16"/>
  <c r="Z69" i="16"/>
  <c r="V62" i="16"/>
  <c r="X76" i="16"/>
  <c r="AB128" i="16"/>
  <c r="X18" i="16"/>
  <c r="Z116" i="16"/>
  <c r="AB122" i="16"/>
  <c r="AA40" i="16"/>
  <c r="AA65" i="16"/>
  <c r="X48" i="16"/>
  <c r="AD97" i="16"/>
  <c r="W89" i="16"/>
  <c r="AD83" i="16"/>
  <c r="AD46" i="16"/>
  <c r="AC84" i="16"/>
  <c r="AC94" i="16"/>
  <c r="AE121" i="16"/>
  <c r="Y82" i="16"/>
  <c r="V67" i="16"/>
  <c r="AB97" i="16"/>
  <c r="Z35" i="16"/>
  <c r="V26" i="16"/>
  <c r="Y28" i="16"/>
  <c r="AC91" i="16"/>
  <c r="AB82" i="16"/>
  <c r="AA35" i="16"/>
  <c r="W108" i="16"/>
  <c r="X120" i="16"/>
  <c r="AB46" i="16"/>
  <c r="AB124" i="16"/>
  <c r="Z48" i="16"/>
  <c r="W91" i="16"/>
  <c r="AC27" i="16"/>
  <c r="V128" i="16"/>
  <c r="AC79" i="16"/>
  <c r="Z58" i="16"/>
  <c r="AA88" i="16"/>
  <c r="W8" i="16"/>
  <c r="W60" i="16"/>
  <c r="Z59" i="16"/>
  <c r="W122" i="16"/>
  <c r="O40" i="18"/>
  <c r="U40" i="18"/>
  <c r="I102" i="17"/>
  <c r="D63" i="18"/>
  <c r="D69" i="18" s="1"/>
  <c r="F86" i="18" s="1"/>
  <c r="F87" i="18" s="1"/>
  <c r="T924" i="8"/>
  <c r="T925" i="8" s="1"/>
  <c r="H37" i="18"/>
  <c r="U39" i="18"/>
  <c r="O39" i="18"/>
  <c r="P39" i="18" s="1"/>
  <c r="T928" i="8"/>
  <c r="T929" i="8" s="1"/>
  <c r="H38" i="18"/>
  <c r="M24" i="15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G37" i="1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G38" i="18" s="1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Z1864" i="8" l="1"/>
  <c r="AC1864" i="8"/>
  <c r="AD1864" i="8"/>
  <c r="U1864" i="8"/>
  <c r="V1864" i="8"/>
  <c r="AE1864" i="8"/>
  <c r="AA1864" i="8"/>
  <c r="AB1864" i="8"/>
  <c r="Y1864" i="8"/>
  <c r="X1864" i="8"/>
  <c r="W1864" i="8"/>
  <c r="O37" i="18"/>
  <c r="P37" i="18" s="1"/>
  <c r="U37" i="18"/>
  <c r="G41" i="18"/>
  <c r="R39" i="18"/>
  <c r="Q39" i="18"/>
  <c r="U38" i="18"/>
  <c r="O38" i="18"/>
  <c r="H41" i="18"/>
  <c r="M28" i="15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D59" i="18" s="1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D60" i="18" s="1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F1864" i="8" l="1"/>
  <c r="U41" i="18"/>
  <c r="Q37" i="18"/>
  <c r="R37" i="18"/>
  <c r="L660" i="2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3" i="17" l="1"/>
  <c r="M94" i="17" s="1"/>
  <c r="M95" i="17" s="1"/>
  <c r="M1866" i="8"/>
  <c r="M91" i="17"/>
  <c r="M92" i="17" s="1"/>
  <c r="L96" i="17"/>
  <c r="L1865" i="8" s="1"/>
  <c r="L1868" i="8"/>
  <c r="Q59" i="17"/>
  <c r="M83" i="17"/>
  <c r="M1867" i="8" s="1"/>
  <c r="L85" i="17"/>
  <c r="L1867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D25" i="18" s="1"/>
  <c r="N40" i="18" s="1"/>
  <c r="P40" i="1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R40" i="18" l="1"/>
  <c r="Q40" i="18"/>
  <c r="O1713" i="8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D24" i="18" s="1"/>
  <c r="N38" i="18" s="1"/>
  <c r="P38" i="18" s="1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Q38" i="18" l="1"/>
  <c r="Q41" i="18" s="1"/>
  <c r="D44" i="18" s="1"/>
  <c r="R38" i="18"/>
  <c r="R41" i="18" s="1"/>
  <c r="D45" i="18" s="1"/>
  <c r="D66" i="18" s="1"/>
  <c r="C86" i="18" s="1"/>
  <c r="C87" i="18" s="1"/>
  <c r="P60" i="17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D95" i="18" l="1"/>
  <c r="D96" i="18" s="1"/>
  <c r="D97" i="18"/>
  <c r="D48" i="18"/>
  <c r="O94" i="17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AA366" i="14" s="1"/>
  <c r="W375" i="14"/>
  <c r="W377" i="14" s="1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 s="1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 s="1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 s="1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Y390" i="14" s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757" i="2"/>
  <c r="G60" i="19" s="1"/>
  <c r="T755" i="2"/>
  <c r="G58" i="19" s="1"/>
  <c r="T751" i="2"/>
  <c r="G54" i="19" s="1"/>
  <c r="T766" i="2"/>
  <c r="H58" i="19" s="1"/>
  <c r="T658" i="2"/>
  <c r="T756" i="2"/>
  <c r="G59" i="19" s="1"/>
  <c r="T764" i="2"/>
  <c r="T1268" i="8" s="1"/>
  <c r="T1269" i="8" s="1"/>
  <c r="T754" i="2"/>
  <c r="G57" i="19" s="1"/>
  <c r="T762" i="2"/>
  <c r="H54" i="19" s="1"/>
  <c r="T763" i="2"/>
  <c r="T767" i="2"/>
  <c r="T1683" i="8"/>
  <c r="T657" i="2"/>
  <c r="T753" i="2"/>
  <c r="T758" i="2"/>
  <c r="G61" i="19" s="1"/>
  <c r="T752" i="2"/>
  <c r="G55" i="19" s="1"/>
  <c r="T765" i="2"/>
  <c r="H57" i="19" s="1"/>
  <c r="T769" i="2"/>
  <c r="H61" i="19" s="1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J57" i="19" l="1"/>
  <c r="L57" i="19" s="1"/>
  <c r="J58" i="19"/>
  <c r="L58" i="19" s="1"/>
  <c r="J61" i="19"/>
  <c r="L61" i="19" s="1"/>
  <c r="T1280" i="8"/>
  <c r="T1281" i="8" s="1"/>
  <c r="H59" i="19"/>
  <c r="J59" i="19" s="1"/>
  <c r="L59" i="19" s="1"/>
  <c r="T1264" i="8"/>
  <c r="T1265" i="8" s="1"/>
  <c r="H55" i="19"/>
  <c r="J55" i="19" s="1"/>
  <c r="L55" i="19" s="1"/>
  <c r="J54" i="19"/>
  <c r="L54" i="19" s="1"/>
  <c r="T1284" i="8"/>
  <c r="T1285" i="8" s="1"/>
  <c r="H60" i="19"/>
  <c r="J60" i="19" s="1"/>
  <c r="L60" i="19" s="1"/>
  <c r="R659" i="2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I40" i="18" s="1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J37" i="18" s="1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I39" i="18" s="1"/>
  <c r="T1252" i="8"/>
  <c r="T1253" i="8" s="1"/>
  <c r="T1224" i="8"/>
  <c r="T1225" i="8" s="1"/>
  <c r="T774" i="2"/>
  <c r="I38" i="1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D58" i="18" s="1"/>
  <c r="T785" i="2"/>
  <c r="T1288" i="8"/>
  <c r="T1289" i="8" s="1"/>
  <c r="T786" i="2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D63" i="19" l="1"/>
  <c r="D65" i="19" s="1"/>
  <c r="D1929" i="8" s="1"/>
  <c r="T1324" i="8"/>
  <c r="T1325" i="8" s="1"/>
  <c r="J38" i="18"/>
  <c r="T38" i="18" s="1"/>
  <c r="T90" i="15"/>
  <c r="I37" i="18"/>
  <c r="S39" i="18"/>
  <c r="T1328" i="8"/>
  <c r="T1329" i="8" s="1"/>
  <c r="J39" i="18"/>
  <c r="T39" i="18" s="1"/>
  <c r="S40" i="18"/>
  <c r="S38" i="18"/>
  <c r="T37" i="18"/>
  <c r="T1336" i="8"/>
  <c r="T1337" i="8" s="1"/>
  <c r="J40" i="18"/>
  <c r="T40" i="18" s="1"/>
  <c r="X660" i="2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V38" i="18" l="1"/>
  <c r="W38" i="18"/>
  <c r="W40" i="18"/>
  <c r="V40" i="18"/>
  <c r="V39" i="18"/>
  <c r="W39" i="18"/>
  <c r="V37" i="18"/>
  <c r="I41" i="18"/>
  <c r="W37" i="18"/>
  <c r="S37" i="18"/>
  <c r="S41" i="18" s="1"/>
  <c r="D46" i="18" s="1"/>
  <c r="D98" i="18" s="1"/>
  <c r="T41" i="18"/>
  <c r="D47" i="18" s="1"/>
  <c r="D50" i="18" s="1"/>
  <c r="K102" i="17"/>
  <c r="D62" i="18"/>
  <c r="J41" i="18"/>
  <c r="Z660" i="2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41" i="18" l="1"/>
  <c r="D49" i="18"/>
  <c r="D75" i="18"/>
  <c r="L86" i="18" s="1"/>
  <c r="L87" i="18" s="1"/>
  <c r="V41" i="18"/>
  <c r="AA660" i="2"/>
  <c r="AA38" i="15" s="1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D67" i="18" l="1"/>
  <c r="D73" i="18"/>
  <c r="J86" i="18" s="1"/>
  <c r="J87" i="18" s="1"/>
  <c r="D74" i="18"/>
  <c r="K86" i="18" s="1"/>
  <c r="K87" i="18" s="1"/>
  <c r="D51" i="18"/>
  <c r="D72" i="18" s="1"/>
  <c r="I86" i="18" s="1"/>
  <c r="I87" i="18" s="1"/>
  <c r="R1713" i="8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D71" i="18" l="1"/>
  <c r="H86" i="18" s="1"/>
  <c r="H87" i="18" s="1"/>
  <c r="J102" i="17"/>
  <c r="D61" i="18"/>
  <c r="D70" i="18" s="1"/>
  <c r="G86" i="18" s="1"/>
  <c r="G87" i="18" s="1"/>
  <c r="D52" i="18"/>
  <c r="D1920" i="8" s="1"/>
  <c r="D68" i="18"/>
  <c r="E86" i="18" s="1"/>
  <c r="E87" i="18" s="1"/>
  <c r="D86" i="18"/>
  <c r="D87" i="18" s="1"/>
  <c r="S60" i="17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D88" i="18" l="1"/>
  <c r="R94" i="17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D1919" i="8" l="1"/>
  <c r="D1930" i="8"/>
  <c r="U60" i="17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V61" i="17" s="1"/>
  <c r="V65" i="17" s="1"/>
  <c r="S1868" i="8"/>
  <c r="S96" i="17"/>
  <c r="S1865" i="8" s="1"/>
  <c r="T1866" i="8"/>
  <c r="T91" i="17"/>
  <c r="T92" i="17" s="1"/>
  <c r="AE660" i="2"/>
  <c r="AE38" i="15" s="1"/>
  <c r="AE659" i="2"/>
  <c r="AE37" i="15" s="1"/>
  <c r="S85" i="17"/>
  <c r="S1867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T1865" i="8" l="1"/>
  <c r="V1866" i="8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Y61" i="17" s="1"/>
  <c r="Y65" i="17" s="1"/>
  <c r="V1868" i="8"/>
  <c r="V85" i="17"/>
  <c r="V1867" i="8"/>
  <c r="V1865" i="8"/>
  <c r="X82" i="17"/>
  <c r="X93" i="17"/>
  <c r="Y35" i="15"/>
  <c r="Y36" i="15" s="1"/>
  <c r="Y42" i="15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2" i="17" s="1"/>
  <c r="AA96" i="17" s="1"/>
  <c r="AA94" i="17"/>
  <c r="AA95" i="17" s="1"/>
  <c r="Z1868" i="8"/>
  <c r="Z96" i="17"/>
  <c r="Z1865" i="8" s="1"/>
  <c r="AC60" i="17"/>
  <c r="AC61" i="17" s="1"/>
  <c r="AC65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D61" i="17" s="1"/>
  <c r="AD65" i="17" s="1"/>
  <c r="AA1868" i="8"/>
  <c r="AA85" i="17"/>
  <c r="AA1867" i="8"/>
  <c r="AA1865" i="8"/>
  <c r="AC82" i="17"/>
  <c r="AC93" i="17"/>
  <c r="AD35" i="15"/>
  <c r="AD36" i="15" s="1"/>
  <c r="AD42" i="15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E61" i="17" s="1"/>
  <c r="AE65" i="17" s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John Stretton</author>
  </authors>
  <commentList>
    <comment ref="H1" authorId="0" shapeId="0" xr:uid="{379C7D35-28AF-474E-80F1-E0918A319B27}">
      <text>
        <r>
          <rPr>
            <b/>
            <sz val="9"/>
            <color indexed="81"/>
            <rFont val="Tahoma"/>
            <family val="2"/>
          </rPr>
          <t>Please remove periods from the variable name.</t>
        </r>
      </text>
    </comment>
  </commentList>
</comments>
</file>

<file path=xl/sharedStrings.xml><?xml version="1.0" encoding="utf-8"?>
<sst xmlns="http://schemas.openxmlformats.org/spreadsheetml/2006/main" count="66092" uniqueCount="11684">
  <si>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</si>
  <si>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</si>
  <si>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</si>
  <si>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</si>
  <si>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</si>
  <si>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</si>
  <si>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</si>
  <si>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</si>
  <si>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</si>
  <si>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</si>
  <si>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</si>
  <si>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</si>
  <si>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</si>
  <si>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</si>
  <si>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</si>
  <si>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</si>
  <si>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</si>
  <si>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</si>
  <si>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</si>
  <si>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</si>
  <si>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</si>
  <si>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</si>
  <si>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</si>
  <si>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</si>
  <si>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</si>
  <si>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</si>
  <si>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</si>
  <si>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</si>
  <si>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</si>
  <si>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</si>
  <si>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</si>
  <si>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</si>
  <si>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</si>
  <si>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</si>
  <si>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</si>
  <si>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</si>
  <si>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</si>
  <si>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</si>
  <si>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</si>
  <si>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</si>
  <si>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</si>
  <si>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</si>
  <si>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</si>
  <si>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</si>
  <si>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</si>
  <si>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</si>
  <si>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</si>
  <si>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</si>
  <si>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</si>
  <si>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</si>
  <si>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</si>
  <si>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</si>
  <si>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</si>
  <si>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</si>
  <si>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</si>
  <si>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</si>
  <si>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</si>
  <si>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</si>
  <si>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</si>
  <si>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</si>
  <si>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</si>
  <si>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</si>
  <si>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</si>
  <si>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</si>
  <si>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</si>
  <si>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</si>
  <si>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</si>
  <si>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</si>
  <si>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</si>
  <si>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</si>
  <si>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</si>
  <si>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</si>
  <si>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</si>
  <si>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</si>
  <si>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</si>
  <si>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</si>
  <si>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</si>
  <si>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</si>
  <si>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</si>
  <si>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</si>
  <si>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</si>
  <si>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</si>
  <si>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</si>
  <si>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</si>
  <si>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</si>
  <si>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</si>
  <si>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</si>
  <si>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</si>
  <si>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</si>
  <si>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</si>
  <si>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</si>
  <si>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</si>
  <si>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</si>
  <si>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</si>
  <si>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</si>
  <si>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</si>
  <si>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</si>
  <si>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</si>
  <si>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</si>
  <si>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</si>
  <si>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</si>
  <si>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</si>
  <si>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</si>
  <si>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</si>
  <si>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</si>
  <si>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</si>
  <si>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</si>
  <si>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</si>
  <si>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</si>
  <si>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</si>
  <si>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</si>
  <si>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</si>
  <si>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</si>
  <si>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</si>
  <si>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</si>
  <si>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</si>
  <si>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</si>
  <si>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</si>
  <si>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</si>
  <si>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</si>
  <si>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</si>
  <si>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</si>
  <si>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</si>
  <si>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</si>
  <si>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</si>
  <si>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</si>
  <si>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</si>
  <si>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</si>
  <si>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</si>
  <si>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</si>
  <si>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</si>
  <si>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</si>
  <si>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</si>
  <si>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</si>
  <si>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</si>
  <si>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</si>
  <si>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</si>
  <si>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</si>
  <si>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</si>
  <si>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</si>
  <si>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</si>
  <si>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</si>
  <si>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</si>
  <si>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</si>
  <si>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</si>
  <si>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</si>
  <si>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</si>
  <si>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</si>
  <si>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</si>
  <si>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</si>
  <si>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</si>
  <si>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</si>
  <si>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</si>
  <si>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</si>
  <si>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</si>
  <si>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</si>
  <si>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</si>
  <si>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</si>
  <si>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</si>
  <si>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</si>
  <si>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</si>
  <si>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</si>
  <si>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</si>
  <si>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</si>
  <si>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</si>
  <si>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</si>
  <si>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</si>
  <si>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</si>
  <si>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</si>
  <si>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</si>
  <si>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</si>
  <si>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</si>
  <si>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</si>
  <si>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</si>
  <si>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</si>
  <si>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</si>
  <si>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</si>
  <si>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</si>
  <si>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</si>
  <si>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</si>
  <si>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</si>
  <si>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</si>
  <si>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</si>
  <si>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</si>
  <si>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</si>
  <si>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</si>
  <si>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</si>
  <si>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</si>
  <si>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</si>
  <si>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</si>
  <si>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</si>
  <si>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</si>
  <si>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</si>
  <si>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</si>
  <si>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</si>
  <si>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</si>
  <si>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</si>
  <si>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</si>
  <si>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</si>
  <si>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</si>
  <si>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</si>
  <si>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</si>
  <si>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</si>
  <si>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</si>
  <si>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</si>
  <si>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</si>
  <si>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</si>
  <si>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</si>
  <si>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</si>
  <si>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</si>
  <si>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</si>
  <si>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</si>
  <si>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</si>
  <si>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</si>
  <si>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</si>
  <si>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</si>
  <si>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</si>
  <si>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</si>
  <si>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</si>
  <si>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</si>
  <si>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</si>
  <si>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</si>
  <si>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</si>
  <si>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</si>
  <si>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</si>
  <si>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</si>
  <si>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</si>
  <si>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</si>
  <si>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</si>
  <si>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</si>
  <si>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</si>
  <si>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</si>
  <si>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</si>
  <si>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</si>
  <si>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</si>
  <si>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</si>
  <si>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</si>
  <si>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</si>
  <si>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</si>
  <si>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</si>
  <si>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</si>
  <si>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</si>
  <si>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</si>
  <si>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</si>
  <si>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</si>
  <si>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</si>
  <si>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</si>
  <si>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</si>
  <si>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</si>
  <si>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</si>
  <si>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</si>
  <si>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</si>
  <si>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</si>
  <si>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</si>
  <si>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</si>
  <si>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</si>
  <si>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</si>
  <si>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</si>
  <si>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</si>
  <si>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</si>
  <si>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</si>
  <si>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</si>
  <si>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</si>
  <si>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</si>
  <si>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</si>
  <si>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</si>
  <si>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</si>
  <si>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</si>
  <si>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</si>
  <si>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</si>
  <si>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</si>
  <si>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</si>
  <si>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</si>
  <si>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</si>
  <si>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</si>
  <si>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</si>
  <si>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</si>
  <si>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</si>
  <si>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</si>
  <si>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</si>
  <si>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</si>
  <si>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</si>
  <si>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</si>
  <si>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</si>
  <si>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</si>
  <si>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</si>
  <si>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</si>
  <si>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</si>
  <si>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</si>
  <si>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</si>
  <si>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</si>
  <si>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</si>
  <si>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</si>
  <si>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</si>
  <si>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</si>
  <si>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</si>
  <si>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</si>
  <si>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</si>
  <si>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</si>
  <si>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</si>
  <si>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</si>
  <si>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</si>
  <si>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</si>
  <si>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</si>
  <si>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</si>
  <si>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</si>
  <si>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</si>
  <si>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</si>
  <si>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</si>
  <si>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</si>
  <si>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</si>
  <si>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</si>
  <si>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</si>
  <si>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</si>
  <si>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</si>
  <si>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</si>
  <si>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</si>
  <si>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</si>
  <si>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</si>
  <si>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</si>
  <si>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</si>
  <si>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</si>
  <si>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</si>
  <si>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</si>
  <si>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</si>
  <si>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</si>
  <si>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</si>
  <si>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</si>
  <si>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</si>
  <si>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</si>
  <si>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</si>
  <si>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</si>
  <si>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</si>
  <si>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</si>
  <si>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</si>
  <si>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</si>
  <si>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</si>
  <si>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</si>
  <si>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</si>
  <si>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</si>
  <si>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</si>
  <si>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</si>
  <si>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</si>
  <si>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</si>
  <si>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</si>
  <si>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</si>
  <si>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</si>
  <si>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</si>
  <si>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</si>
  <si>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</si>
  <si>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</si>
  <si>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</si>
  <si>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</si>
  <si>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</si>
  <si>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</si>
  <si>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</si>
  <si>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</si>
  <si>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</si>
  <si>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</si>
  <si>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</si>
  <si>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</si>
  <si>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</si>
  <si>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</si>
  <si>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</si>
  <si>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</si>
  <si>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</si>
  <si>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</si>
  <si>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</si>
  <si>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</si>
  <si>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</si>
  <si>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</si>
  <si>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</si>
  <si>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</si>
  <si>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</si>
  <si>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</si>
  <si>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</si>
  <si>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</si>
  <si>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</si>
  <si>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</si>
  <si>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</si>
  <si>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</si>
  <si>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</si>
  <si>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</si>
  <si>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</si>
  <si>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</si>
  <si>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</si>
  <si>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</si>
  <si>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</si>
  <si>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</si>
  <si>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</si>
  <si>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</si>
  <si>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</si>
  <si>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</si>
  <si>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</si>
  <si>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</si>
  <si>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</si>
  <si>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</si>
  <si>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</si>
  <si>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</si>
  <si>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</si>
  <si>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</si>
  <si>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</si>
  <si>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</si>
  <si>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</si>
  <si>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</si>
  <si>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</si>
  <si>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</si>
  <si>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</si>
  <si>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</si>
  <si>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</si>
  <si>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</si>
  <si>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</si>
  <si>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</si>
  <si>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</si>
  <si>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</si>
  <si>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</si>
  <si>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</si>
  <si>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</si>
  <si>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</si>
  <si>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</si>
  <si>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</si>
  <si>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</si>
  <si>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</si>
  <si>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</si>
  <si>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</si>
  <si>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</si>
  <si>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</si>
  <si>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</si>
  <si>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</si>
  <si>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</si>
  <si>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</si>
  <si>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</si>
  <si>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</si>
  <si>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</si>
  <si>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</si>
  <si>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</si>
  <si>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</si>
  <si>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</si>
  <si>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</si>
  <si>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</si>
  <si>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</si>
  <si>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</si>
  <si>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</si>
  <si>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</si>
  <si>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</si>
  <si>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</si>
  <si>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</si>
  <si>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</si>
  <si>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</si>
  <si>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</si>
  <si>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</si>
  <si>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</si>
  <si>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</si>
  <si>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</si>
  <si>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</si>
  <si>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</si>
  <si>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</si>
  <si>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</si>
  <si>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</si>
  <si>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</si>
  <si>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</si>
  <si>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</si>
  <si>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</si>
  <si>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</si>
  <si>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</si>
  <si>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</si>
  <si>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</si>
  <si>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</si>
  <si>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</si>
  <si>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</si>
  <si>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</si>
  <si>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</si>
  <si>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</si>
  <si>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</si>
  <si>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</si>
  <si>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</si>
  <si>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</si>
  <si>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</si>
  <si>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</si>
  <si>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</si>
  <si>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</si>
  <si>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</si>
  <si>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</si>
  <si>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</si>
  <si>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</si>
  <si>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</si>
  <si>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</si>
  <si>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</si>
  <si>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</si>
  <si>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</si>
  <si>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</si>
  <si>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</si>
  <si>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</si>
  <si>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</si>
  <si>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</si>
  <si>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</si>
  <si>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</si>
  <si>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</si>
  <si>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</si>
  <si>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</si>
  <si>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</si>
  <si>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</si>
  <si>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</si>
  <si>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</si>
  <si>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</si>
  <si>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</si>
  <si>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</si>
  <si>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</si>
  <si>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</si>
  <si>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</si>
  <si>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</si>
  <si>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</si>
  <si>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</si>
  <si>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</si>
  <si>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</si>
  <si>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</si>
  <si>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</si>
  <si>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</si>
  <si>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</si>
  <si>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</si>
  <si>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</si>
  <si>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</si>
  <si>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</si>
  <si>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</si>
  <si>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</si>
  <si>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</si>
  <si>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</si>
  <si>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</si>
  <si>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</si>
  <si>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</si>
  <si>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</si>
  <si>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</si>
  <si>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</si>
  <si>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</si>
  <si>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</si>
  <si>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</si>
  <si>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</si>
  <si>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</si>
  <si>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</si>
  <si>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</si>
  <si>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</si>
  <si>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</si>
  <si>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</si>
  <si>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</si>
  <si>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</si>
  <si>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</si>
  <si>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</si>
  <si>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</si>
  <si>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</si>
  <si>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</si>
  <si>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</si>
  <si>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</si>
  <si>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</si>
  <si>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</si>
  <si>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</si>
  <si>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</si>
  <si>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</si>
  <si>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</si>
  <si>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</si>
  <si>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</si>
  <si>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</si>
  <si>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</si>
  <si>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</si>
  <si>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</si>
  <si>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</si>
  <si>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</si>
  <si>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</si>
  <si>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</si>
  <si>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</si>
  <si>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</si>
  <si>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</si>
  <si>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</si>
  <si>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</si>
  <si>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</si>
  <si>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</si>
  <si>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</si>
  <si>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</si>
  <si>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</si>
  <si>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</si>
  <si>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</si>
  <si>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</si>
  <si>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</si>
  <si>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</si>
  <si>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</si>
  <si>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</si>
  <si>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</si>
  <si>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</si>
  <si>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</si>
  <si>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</si>
  <si>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</si>
  <si>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</si>
  <si>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</si>
  <si>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</si>
  <si>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</si>
  <si>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</si>
  <si>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</si>
  <si>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</si>
  <si>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</si>
  <si>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</si>
  <si>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</si>
  <si>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</si>
  <si>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</si>
  <si>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</si>
  <si>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</si>
  <si>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</si>
  <si>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</si>
  <si>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</si>
  <si>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</si>
  <si>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</si>
  <si>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</si>
  <si>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</si>
  <si>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</si>
  <si>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</si>
  <si>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</si>
  <si>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</si>
  <si>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</si>
  <si>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</si>
  <si>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</si>
  <si>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</si>
  <si>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</si>
  <si>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</si>
  <si>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</si>
  <si>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</si>
  <si>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</si>
  <si>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</si>
  <si>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</si>
  <si>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</si>
  <si>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</si>
  <si>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</si>
  <si>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</si>
  <si>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</si>
  <si>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</si>
  <si>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</si>
  <si>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</si>
  <si>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</si>
  <si>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</si>
  <si>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</si>
  <si>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</si>
  <si>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</si>
  <si>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</si>
  <si>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</si>
  <si>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</si>
  <si>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</si>
  <si>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</si>
  <si>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</si>
  <si>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</si>
  <si>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</si>
  <si>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</si>
  <si>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</si>
  <si>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</si>
  <si>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</si>
  <si>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</si>
  <si>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</si>
  <si>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</si>
  <si>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</si>
  <si>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</si>
  <si>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</si>
  <si>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</si>
  <si>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</si>
  <si>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</si>
  <si>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</si>
  <si>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</si>
  <si>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</si>
  <si>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</si>
  <si>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</si>
  <si>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</si>
  <si>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</si>
  <si>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</si>
  <si>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</si>
  <si>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</si>
  <si>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</si>
  <si>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</si>
  <si>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</si>
  <si>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</si>
  <si>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</si>
  <si>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</si>
  <si>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</si>
  <si>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</si>
  <si>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</si>
  <si>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</si>
  <si>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</si>
  <si>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</si>
  <si>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</si>
  <si>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</si>
  <si>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</si>
  <si>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</si>
  <si>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</si>
  <si>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</si>
  <si>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</si>
  <si>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</si>
  <si>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</si>
  <si>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</si>
  <si>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</si>
  <si>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</si>
  <si>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</si>
  <si>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</si>
  <si>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</si>
  <si>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</si>
  <si>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</si>
  <si>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</si>
  <si>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</si>
  <si>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</si>
  <si>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</si>
  <si>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</si>
  <si>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</si>
  <si>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</si>
  <si>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</si>
  <si>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</si>
  <si>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</si>
  <si>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</si>
  <si>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</si>
  <si>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</si>
  <si>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</si>
  <si>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</si>
  <si>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</si>
  <si>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</si>
  <si>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</si>
  <si>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</si>
  <si>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</si>
  <si>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</si>
  <si>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</si>
  <si>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</si>
  <si>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</si>
  <si>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</si>
  <si>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</si>
  <si>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</si>
  <si>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</si>
  <si>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</si>
  <si>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</si>
  <si>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</si>
  <si>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</si>
  <si>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</si>
  <si>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</si>
  <si>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</si>
  <si>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</si>
  <si>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</si>
  <si>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</si>
  <si>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</si>
  <si>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</si>
  <si>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</si>
  <si>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</si>
  <si>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</si>
  <si>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</si>
  <si>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</si>
  <si>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</si>
  <si>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</si>
  <si>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</si>
  <si>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</si>
  <si>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</si>
  <si>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</si>
  <si>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</si>
  <si>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</si>
  <si>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</si>
  <si>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</si>
  <si>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</si>
  <si>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</si>
  <si>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</si>
  <si>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</si>
  <si>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</si>
  <si>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</si>
  <si>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</si>
  <si>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</si>
  <si>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</si>
  <si>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</si>
  <si>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</si>
  <si>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</si>
  <si>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</si>
  <si>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</si>
  <si>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</si>
  <si>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</si>
  <si>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</si>
  <si>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</si>
  <si>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</si>
  <si>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</si>
  <si>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</si>
  <si>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</si>
  <si>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</si>
  <si>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</si>
  <si>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</si>
  <si>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</si>
  <si>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</si>
  <si>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</si>
  <si>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</si>
  <si>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</si>
  <si>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</si>
  <si>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</si>
  <si>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</si>
  <si>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</si>
  <si>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</si>
  <si>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</si>
  <si>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</si>
  <si>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</si>
  <si>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</si>
  <si>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</si>
  <si>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</si>
  <si>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</si>
  <si>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</si>
  <si>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</si>
  <si>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</si>
  <si>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</si>
  <si>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</si>
  <si>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</si>
  <si>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</si>
  <si>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</si>
  <si>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</si>
  <si>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</si>
  <si>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</si>
  <si>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</si>
  <si>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</si>
  <si>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</si>
  <si>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</si>
  <si>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</si>
  <si>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</si>
  <si>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</si>
  <si>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</si>
  <si>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</si>
  <si>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</si>
  <si>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</si>
  <si>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</si>
  <si>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</si>
  <si>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</si>
  <si>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</si>
  <si>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</si>
  <si>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</si>
  <si>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</si>
  <si>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</si>
  <si>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</si>
  <si>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</si>
  <si>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</si>
  <si>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</si>
  <si>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</si>
  <si>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</si>
  <si>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</si>
  <si>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</si>
  <si>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</si>
  <si>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</si>
  <si>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</si>
  <si>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</si>
  <si>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</si>
  <si>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</si>
  <si>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</si>
  <si>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</si>
  <si>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</si>
  <si>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</si>
  <si>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</si>
  <si>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</si>
  <si>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</si>
  <si>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</si>
  <si>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</si>
  <si>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</si>
  <si>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</si>
  <si>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</si>
  <si>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</si>
  <si>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</si>
  <si>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</si>
  <si>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</si>
  <si>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</si>
  <si>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</si>
  <si>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</si>
  <si>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</si>
  <si>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</si>
  <si>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</si>
  <si>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</si>
  <si>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</si>
  <si>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</si>
  <si>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</si>
  <si>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</si>
  <si>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</si>
  <si>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</si>
  <si>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</si>
  <si>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</si>
  <si>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</si>
  <si>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</si>
  <si>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</si>
  <si>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</si>
  <si>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</si>
  <si>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</si>
  <si>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</si>
  <si>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</si>
  <si>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</si>
  <si>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</si>
  <si>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</si>
  <si>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</si>
  <si>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</si>
  <si>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</si>
  <si>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</si>
  <si>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</si>
  <si>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</si>
  <si>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</si>
  <si>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</si>
  <si>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</si>
  <si>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</si>
  <si>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</si>
  <si>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</si>
  <si>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</si>
  <si>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</si>
  <si>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</si>
  <si>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</si>
  <si>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</si>
  <si>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</si>
  <si>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</si>
  <si>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</si>
  <si>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</si>
  <si>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</si>
  <si>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</si>
  <si>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</si>
  <si>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</si>
  <si>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</si>
  <si>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</si>
  <si>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</si>
  <si>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</si>
  <si>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</si>
  <si>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</si>
  <si>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</si>
  <si>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</si>
  <si>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</si>
  <si>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</si>
  <si>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</si>
  <si>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</si>
  <si>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</si>
  <si>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</si>
  <si>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</si>
  <si>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</si>
  <si>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</si>
  <si>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</si>
  <si>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</si>
  <si>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</si>
  <si>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</si>
  <si>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</si>
  <si>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</si>
  <si>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</si>
  <si>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</si>
  <si>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</si>
  <si>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</si>
  <si>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</si>
  <si>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</si>
  <si>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</si>
  <si>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</si>
  <si>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</si>
  <si>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</si>
  <si>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</si>
  <si>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</si>
  <si>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</si>
  <si>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</si>
  <si>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</si>
  <si>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</si>
  <si>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</si>
  <si>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</si>
  <si>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</si>
  <si>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</si>
  <si>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</si>
  <si>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</si>
  <si>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</si>
  <si>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</si>
  <si>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</si>
  <si>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</si>
  <si>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</si>
  <si>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</si>
  <si>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</si>
  <si>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</si>
  <si>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</si>
  <si>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</si>
  <si>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</si>
  <si>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</si>
  <si>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</si>
  <si>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</si>
  <si>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</si>
  <si>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</si>
  <si>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</si>
  <si>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</si>
  <si>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</si>
  <si>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</si>
  <si>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</si>
  <si>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</si>
  <si>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</si>
  <si>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</si>
  <si>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</si>
  <si>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</si>
  <si>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</si>
  <si>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</si>
  <si>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</si>
  <si>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</si>
  <si>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</si>
  <si>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</si>
  <si>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</si>
  <si>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</si>
  <si>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</si>
  <si>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</si>
  <si>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</si>
  <si>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</si>
  <si>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</si>
  <si>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</si>
  <si>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</si>
  <si>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</si>
  <si>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</si>
  <si>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</si>
  <si>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</si>
  <si>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</si>
  <si>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</si>
  <si>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</si>
  <si>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</si>
  <si>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</si>
  <si>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</si>
  <si>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</si>
  <si>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</si>
  <si>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</si>
  <si>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</si>
  <si>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</si>
  <si>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</si>
  <si>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</si>
  <si>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</si>
  <si>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</si>
  <si>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</si>
  <si>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</si>
  <si>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</si>
  <si>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</si>
  <si>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</si>
  <si>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</si>
  <si>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</si>
  <si>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</si>
  <si>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</si>
  <si>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</si>
  <si>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</si>
  <si>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</si>
  <si>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</si>
  <si>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</si>
  <si>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</si>
  <si>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</si>
  <si>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</si>
  <si>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</si>
  <si>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</si>
  <si>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</si>
  <si>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</si>
  <si>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</si>
  <si>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</si>
  <si>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</si>
  <si>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</si>
  <si>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</si>
  <si>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</si>
  <si>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</si>
  <si>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</si>
  <si>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</si>
  <si>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</si>
  <si>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</si>
  <si>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</si>
  <si>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</si>
  <si>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</si>
  <si>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</si>
  <si>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</si>
  <si>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</si>
  <si>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</si>
  <si>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</si>
  <si>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</si>
  <si>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</si>
  <si>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</si>
  <si>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</si>
  <si>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</si>
  <si>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</si>
  <si>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</si>
  <si>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</si>
  <si>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</si>
  <si>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</si>
  <si>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</si>
  <si>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</si>
  <si>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</si>
  <si>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</si>
  <si>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</si>
  <si>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</si>
  <si>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</si>
  <si>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</si>
  <si>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</si>
  <si>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</si>
  <si>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</si>
  <si>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</si>
  <si>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</si>
  <si>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</si>
  <si>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</si>
  <si>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</si>
  <si>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</si>
  <si>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</si>
  <si>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</si>
  <si>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</si>
  <si>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</si>
  <si>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</si>
  <si>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</si>
  <si>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</si>
  <si>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</si>
  <si>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</si>
  <si>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</si>
  <si>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</si>
  <si>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</si>
  <si>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</si>
  <si>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</si>
  <si>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</si>
  <si>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</si>
  <si>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</si>
  <si>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</si>
  <si>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</si>
  <si>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</si>
  <si>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</si>
  <si>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</si>
  <si>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</si>
  <si>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</si>
  <si>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</si>
  <si>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</si>
  <si>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</si>
  <si>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</si>
  <si>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</si>
  <si>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</si>
  <si>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</si>
  <si>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</si>
  <si>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</si>
  <si>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</si>
  <si>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</si>
  <si>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</si>
  <si>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</si>
  <si>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</si>
  <si>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</si>
  <si>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</si>
  <si>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</si>
  <si>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</si>
  <si>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</si>
  <si>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</si>
  <si>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</si>
  <si>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</si>
  <si>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</si>
  <si>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</si>
  <si>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</si>
  <si>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</si>
  <si>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</si>
  <si>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</si>
  <si>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</si>
  <si>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</si>
  <si>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</si>
  <si>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</si>
  <si>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</si>
  <si>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</si>
  <si>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</si>
  <si>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</si>
  <si>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</si>
  <si>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</si>
  <si>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</si>
  <si>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</si>
  <si>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</si>
  <si>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</si>
  <si>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</si>
  <si>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</si>
  <si>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</si>
  <si>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</si>
  <si>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</si>
  <si>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</si>
  <si>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</si>
  <si>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</si>
  <si>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</si>
  <si>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</si>
  <si>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</si>
  <si>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</si>
  <si>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</si>
  <si>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</si>
  <si>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</si>
  <si>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</si>
  <si>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</si>
  <si>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</si>
  <si>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</si>
  <si>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</si>
  <si>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</si>
  <si>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</si>
  <si>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</si>
  <si>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</si>
  <si>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</si>
  <si>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</si>
  <si>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</si>
  <si>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</si>
  <si>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</si>
  <si>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</si>
  <si>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</si>
  <si>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</si>
  <si>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</si>
  <si>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</si>
  <si>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</si>
  <si>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</si>
  <si>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</si>
  <si>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</si>
  <si>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</si>
  <si>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</si>
  <si>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</si>
  <si>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</si>
  <si>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</si>
  <si>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</si>
  <si>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</si>
  <si>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</si>
  <si>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</si>
  <si>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</si>
  <si>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</si>
  <si>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</si>
  <si>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</si>
  <si>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</si>
  <si>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</si>
  <si>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</si>
  <si>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</si>
  <si>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</si>
  <si>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</si>
  <si>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</si>
  <si>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</si>
  <si>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</si>
  <si>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</si>
  <si>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</si>
  <si>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</si>
  <si>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</si>
  <si>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</si>
  <si>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</si>
  <si>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</si>
  <si>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</si>
  <si>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</si>
  <si>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</si>
  <si>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</si>
  <si>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</si>
  <si>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</si>
  <si>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</si>
  <si>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</si>
  <si>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</si>
  <si>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</si>
  <si>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</si>
  <si>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</si>
  <si>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</si>
  <si>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</si>
  <si>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</si>
  <si>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</si>
  <si>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</si>
  <si>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</si>
  <si>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</si>
  <si>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</si>
  <si>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</si>
  <si>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</si>
  <si>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</si>
  <si>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</si>
  <si>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</si>
  <si>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</si>
  <si>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</si>
  <si>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</si>
  <si>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</si>
  <si>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</si>
  <si>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</si>
  <si>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</si>
  <si>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</si>
  <si>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</si>
  <si>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</si>
  <si>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</si>
  <si>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</si>
  <si>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</si>
  <si>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</si>
  <si>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</si>
  <si>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</si>
  <si>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</si>
  <si>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</si>
  <si>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</si>
  <si>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</si>
  <si>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</si>
  <si>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</si>
  <si>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</si>
  <si>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</si>
  <si>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</si>
  <si>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</si>
  <si>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</si>
  <si>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</si>
  <si>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</si>
  <si>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</si>
  <si>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</si>
  <si>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</si>
  <si>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</si>
  <si>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</si>
  <si>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</si>
  <si>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</si>
  <si>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</si>
  <si>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</si>
  <si>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</si>
  <si>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</si>
  <si>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</si>
  <si>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</si>
  <si>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</si>
  <si>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</si>
  <si>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</si>
  <si>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</si>
  <si>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</si>
  <si>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</si>
  <si>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</si>
  <si>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</si>
  <si>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</si>
  <si>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</si>
  <si>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</si>
  <si>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</si>
  <si>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</si>
  <si>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</si>
  <si>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</si>
  <si>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</si>
  <si>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</si>
  <si>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</si>
  <si>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</si>
  <si>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</si>
  <si>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</si>
  <si>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</si>
  <si>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</si>
  <si>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</si>
  <si>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</si>
  <si>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</si>
  <si>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</si>
  <si>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</si>
  <si>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</si>
  <si>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</si>
  <si>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</si>
  <si>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</si>
  <si>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</si>
  <si>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</si>
  <si>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</si>
  <si>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</si>
  <si>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</si>
  <si>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</si>
  <si>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</si>
  <si>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</si>
  <si>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</si>
  <si>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</si>
  <si>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</si>
  <si>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</si>
  <si>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</si>
  <si>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</si>
  <si>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</si>
  <si>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</si>
  <si>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</si>
  <si>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</si>
  <si>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</si>
  <si>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</si>
  <si>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</si>
  <si>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</si>
  <si>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</si>
  <si>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</si>
  <si>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</si>
  <si>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</si>
  <si>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</si>
  <si>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</si>
  <si>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</si>
  <si>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</si>
  <si>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</si>
  <si>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</si>
  <si>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</si>
  <si>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</si>
  <si>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</si>
  <si>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</si>
  <si>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</si>
  <si>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</si>
  <si>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</si>
  <si>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</si>
  <si>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</si>
  <si>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</si>
  <si>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</si>
  <si>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</si>
  <si>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</si>
  <si>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</si>
  <si>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</si>
  <si>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</si>
  <si>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</si>
  <si>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</si>
  <si>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</si>
  <si>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</si>
  <si>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</si>
  <si>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</si>
  <si>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</si>
  <si>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</si>
  <si>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</si>
  <si>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</si>
  <si>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</si>
  <si>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</si>
  <si>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</si>
  <si>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</si>
  <si>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</si>
  <si>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</si>
  <si>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</si>
  <si>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</si>
  <si>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</si>
  <si>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</si>
  <si>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</si>
  <si>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</si>
  <si>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</si>
  <si>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</si>
  <si>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</si>
  <si>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</si>
  <si>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</si>
  <si>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</si>
  <si>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</si>
  <si>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</si>
  <si>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</si>
  <si>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</si>
  <si>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</si>
  <si>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</si>
  <si>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</si>
  <si>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</si>
  <si>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</si>
  <si>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</si>
  <si>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</si>
  <si>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</si>
  <si>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</si>
  <si>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</si>
  <si>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</si>
  <si>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</si>
  <si>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</si>
  <si>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</si>
  <si>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</si>
  <si>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</si>
  <si>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</si>
  <si>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</si>
  <si>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</si>
  <si>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</si>
  <si>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</si>
  <si>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</si>
  <si>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</si>
  <si>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</si>
  <si>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</si>
  <si>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</si>
  <si>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</si>
  <si>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</si>
  <si>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</si>
  <si>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</si>
  <si>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</si>
  <si>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</si>
  <si>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</si>
  <si>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</si>
  <si>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</si>
  <si>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</si>
  <si>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</si>
  <si>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</si>
  <si>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</si>
  <si>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</si>
  <si>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</si>
  <si>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</si>
  <si>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</si>
  <si>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</si>
  <si>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</si>
  <si>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</si>
  <si>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</si>
  <si>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</si>
  <si>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</si>
  <si>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</si>
  <si>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</si>
  <si>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</si>
  <si>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</si>
  <si>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</si>
  <si>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</si>
  <si>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</si>
  <si>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</si>
  <si>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</si>
  <si>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</si>
  <si>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</si>
  <si>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</si>
  <si>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</si>
  <si>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</si>
  <si>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</si>
  <si>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</si>
  <si>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</si>
  <si>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</si>
  <si>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</si>
  <si>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</si>
  <si>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</si>
  <si>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</si>
  <si>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</si>
  <si>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</si>
  <si>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</si>
  <si>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</si>
  <si>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</si>
  <si>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</si>
  <si>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</si>
  <si>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</si>
  <si>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</si>
  <si>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</si>
  <si>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</si>
  <si>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</si>
  <si>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</si>
  <si>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</si>
  <si>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</si>
  <si>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</si>
  <si>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</si>
  <si>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</si>
  <si>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</si>
  <si>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</si>
  <si>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</si>
  <si>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</si>
  <si>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</si>
  <si>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</si>
  <si>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</si>
  <si>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</si>
  <si>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</si>
  <si>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</si>
  <si>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</si>
  <si>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</si>
  <si>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</si>
  <si>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</si>
  <si>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</si>
  <si>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</si>
  <si>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</si>
  <si>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</si>
  <si>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</si>
  <si>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</si>
  <si>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</si>
  <si>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</si>
  <si>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</si>
  <si>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</si>
  <si>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</si>
  <si>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</si>
  <si>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</si>
  <si>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</si>
  <si>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</si>
  <si>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</si>
  <si>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</si>
  <si>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</si>
  <si>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</si>
  <si>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</si>
  <si>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</si>
  <si>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</si>
  <si>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</si>
  <si>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</si>
  <si>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</si>
  <si>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</si>
  <si>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</si>
  <si>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</si>
  <si>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</si>
  <si>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</si>
  <si>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</si>
  <si>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</si>
  <si>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</si>
  <si>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</si>
  <si>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</si>
  <si>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</si>
  <si>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</si>
  <si>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</si>
  <si>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</si>
  <si>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</si>
  <si>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</si>
  <si>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</si>
  <si>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</si>
  <si>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</si>
  <si>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</si>
  <si>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</si>
  <si>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</si>
  <si>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</si>
  <si>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</si>
  <si>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</si>
  <si>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</si>
  <si>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</si>
  <si>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</si>
  <si>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</si>
  <si>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</si>
  <si>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</si>
  <si>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</si>
  <si>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</si>
  <si>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</si>
  <si>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</si>
  <si>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</si>
  <si>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</si>
  <si>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</si>
  <si>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</si>
  <si>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</si>
  <si>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</si>
  <si>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</si>
  <si>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</si>
  <si>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</si>
  <si>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</si>
  <si>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</si>
  <si>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</si>
  <si>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</si>
  <si>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</si>
  <si>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</si>
  <si>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</si>
  <si>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</si>
  <si>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</si>
  <si>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</si>
  <si>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</si>
  <si>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</si>
  <si>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</si>
  <si>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</si>
  <si>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</si>
  <si>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</si>
  <si>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</si>
  <si>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</si>
  <si>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</si>
  <si>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</si>
  <si>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</si>
  <si>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</si>
  <si>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</si>
  <si>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</si>
  <si>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</si>
  <si>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</si>
  <si>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</si>
  <si>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</si>
  <si>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</si>
  <si>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</si>
  <si>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</si>
  <si>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</si>
  <si>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</si>
  <si>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</si>
  <si>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</si>
  <si>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</si>
  <si>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</si>
  <si>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</si>
  <si>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</si>
  <si>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</si>
  <si>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</si>
  <si>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</si>
  <si>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</si>
  <si>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</si>
  <si>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</si>
  <si>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</si>
  <si>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</si>
  <si>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</si>
  <si>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</si>
  <si>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</si>
  <si>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</si>
  <si>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</si>
  <si>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</si>
  <si>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</si>
  <si>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</si>
  <si>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</si>
  <si>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</si>
  <si>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</si>
  <si>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</si>
  <si>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</si>
  <si>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</si>
  <si>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</si>
  <si>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</si>
  <si>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</si>
  <si>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</si>
  <si>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</si>
  <si>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</si>
  <si>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</si>
  <si>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</si>
  <si>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</si>
  <si>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</si>
  <si>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</si>
  <si>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</si>
  <si>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</si>
  <si>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</si>
  <si>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</si>
  <si>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</si>
  <si>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</si>
  <si>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</si>
  <si>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</si>
  <si>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</si>
  <si>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</si>
  <si>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</si>
  <si>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</si>
  <si>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</si>
  <si>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</si>
  <si>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</si>
  <si>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</si>
  <si>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</si>
  <si>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</si>
  <si>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</si>
  <si>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</si>
  <si>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</si>
  <si>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</si>
  <si>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</si>
  <si>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</si>
  <si>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</si>
  <si>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</si>
  <si>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</si>
  <si>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</si>
  <si>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</si>
  <si>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</si>
  <si>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</si>
  <si>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</si>
  <si>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</si>
  <si>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</si>
  <si>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</si>
  <si>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</si>
  <si>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</si>
  <si>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</si>
  <si>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</si>
  <si>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</si>
  <si>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</si>
  <si>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</si>
  <si>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</si>
  <si>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</si>
  <si>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</si>
  <si>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</si>
  <si>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</si>
  <si>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</si>
  <si>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</si>
  <si>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</si>
  <si>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</si>
  <si>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</si>
  <si>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</si>
  <si>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</si>
  <si>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</si>
  <si>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</si>
  <si>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</si>
  <si>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</si>
  <si>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</si>
  <si>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</si>
  <si>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</si>
  <si>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</si>
  <si>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</si>
  <si>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</si>
  <si>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</si>
  <si>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</si>
  <si>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</si>
  <si>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</si>
  <si>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</si>
  <si>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</si>
  <si>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</si>
  <si>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</si>
  <si>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</si>
  <si>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</si>
  <si>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</si>
  <si>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</si>
  <si>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</si>
  <si>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</si>
  <si>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</si>
  <si>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</si>
  <si>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</si>
  <si>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</si>
  <si>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</si>
  <si>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</si>
  <si>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</si>
  <si>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</si>
  <si>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</si>
  <si>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</si>
  <si>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</si>
  <si>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</si>
  <si>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</si>
  <si>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</si>
  <si>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</si>
  <si>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</si>
  <si>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</si>
  <si>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</si>
  <si>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</si>
  <si>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</si>
  <si>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</si>
  <si>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</si>
  <si>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</si>
  <si>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</si>
  <si>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</si>
  <si>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</si>
  <si>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</si>
  <si>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</si>
  <si>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</si>
  <si>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</si>
  <si>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</si>
  <si>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</si>
  <si>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</si>
  <si>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</si>
  <si>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</si>
  <si>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</si>
  <si>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</si>
  <si>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</si>
  <si>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</si>
  <si>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</si>
  <si>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</si>
  <si>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</si>
  <si>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</si>
  <si>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</si>
  <si>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</si>
  <si>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</si>
  <si>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</si>
  <si>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</si>
  <si>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</si>
  <si>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</si>
  <si>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</si>
  <si>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</si>
  <si>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</si>
  <si>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</si>
  <si>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</si>
  <si>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</si>
  <si>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</si>
  <si>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</si>
  <si>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</si>
  <si>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</si>
  <si>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</si>
  <si>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</si>
  <si>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</si>
  <si>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</si>
  <si>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</si>
  <si>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</si>
  <si>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</si>
  <si>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</si>
  <si>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</si>
  <si>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</si>
  <si>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</si>
  <si>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</si>
  <si>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</si>
  <si>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</si>
  <si>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</si>
  <si>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</si>
  <si>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</si>
  <si>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</si>
  <si>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</si>
  <si>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</si>
  <si>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</si>
  <si>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</si>
  <si>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</si>
  <si>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</si>
  <si>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</si>
  <si>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</si>
  <si>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</si>
  <si>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</si>
  <si>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</si>
  <si>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</si>
  <si>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</si>
  <si>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</si>
  <si>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</si>
  <si>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</si>
  <si>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</si>
  <si>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</si>
  <si>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</si>
  <si>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</si>
  <si>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</si>
  <si>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</si>
  <si>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</si>
  <si>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</si>
  <si>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</si>
  <si>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</si>
  <si>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</si>
  <si>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</si>
  <si>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</si>
  <si>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</si>
  <si>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</si>
  <si>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</si>
  <si>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</si>
  <si>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</si>
  <si>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</si>
  <si>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</si>
  <si>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</si>
  <si>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</si>
  <si>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</si>
  <si>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</si>
  <si>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</si>
  <si>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</si>
  <si>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</si>
  <si>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</si>
  <si>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</si>
  <si>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</si>
  <si>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</si>
  <si>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</si>
  <si>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</si>
  <si>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</si>
  <si>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</si>
  <si>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</si>
  <si>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</si>
  <si>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</si>
  <si>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</si>
  <si>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</si>
  <si>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</si>
  <si>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</si>
  <si>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</si>
  <si>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</si>
  <si>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</si>
  <si>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</si>
  <si>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</si>
  <si>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</si>
  <si>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</si>
  <si>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</si>
  <si>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</si>
  <si>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</si>
  <si>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</si>
  <si>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</si>
  <si>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</si>
  <si>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</si>
  <si>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</si>
  <si>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</si>
  <si>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</si>
  <si>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</si>
  <si>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</si>
  <si>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</si>
  <si>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</si>
  <si>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</si>
  <si>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</si>
  <si>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</si>
  <si>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</si>
  <si>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</si>
  <si>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</si>
  <si>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</si>
  <si>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</si>
  <si>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</si>
  <si>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</si>
  <si>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</si>
  <si>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</si>
  <si>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</si>
  <si>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</si>
  <si>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</si>
  <si>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</si>
  <si>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</si>
  <si>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</si>
  <si>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</si>
  <si>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</si>
  <si>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</si>
  <si>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</si>
  <si>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</si>
  <si>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</si>
  <si>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</si>
  <si>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</si>
  <si>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</si>
  <si>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</si>
  <si>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</si>
  <si>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</si>
  <si>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</si>
  <si>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</si>
  <si>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</si>
  <si>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</si>
  <si>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</si>
  <si>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</si>
  <si>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</si>
  <si>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</si>
  <si>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</si>
  <si>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</si>
  <si>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</si>
  <si>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</si>
  <si>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</si>
  <si>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</si>
  <si>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</si>
  <si>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</si>
  <si>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</si>
  <si>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</si>
  <si>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</si>
  <si>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</si>
  <si>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</si>
  <si>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</si>
  <si>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</si>
  <si>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</si>
  <si>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</si>
  <si>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</si>
  <si>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</si>
  <si>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</si>
  <si>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</si>
  <si>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</si>
  <si>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</si>
  <si>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</si>
  <si>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</si>
  <si>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</si>
  <si>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</si>
  <si>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</si>
  <si>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</si>
  <si>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</si>
  <si>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</si>
  <si>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</si>
  <si>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</si>
  <si>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</si>
  <si>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</si>
  <si>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</si>
  <si>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</si>
  <si>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</si>
  <si>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</si>
  <si>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</si>
  <si>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</si>
  <si>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</si>
  <si>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</si>
  <si>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</si>
  <si>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</si>
  <si>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</si>
  <si>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</si>
  <si>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</si>
  <si>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</si>
  <si>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</si>
  <si>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</si>
  <si>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</si>
  <si>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</si>
  <si>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</si>
  <si>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</si>
  <si>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</si>
  <si>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</si>
  <si>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</si>
  <si>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</si>
  <si>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</si>
  <si>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</si>
  <si>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</si>
  <si>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</si>
  <si>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</si>
  <si>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Output elasticity eps (input)</t>
  </si>
  <si>
    <t>Source / rationale</t>
  </si>
  <si>
    <t>eps used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</si>
  <si>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</si>
  <si>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</si>
  <si>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</si>
  <si>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</si>
  <si>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</si>
  <si>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</si>
  <si>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</si>
  <si>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</si>
  <si>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</si>
  <si>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</si>
  <si>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</si>
  <si>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</si>
  <si>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</si>
  <si>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</si>
  <si>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</si>
  <si>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</si>
  <si>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</si>
  <si>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</si>
  <si>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</si>
  <si>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</si>
  <si>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</si>
  <si>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</si>
  <si>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</si>
  <si>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</si>
  <si>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</si>
  <si>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</si>
  <si>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</si>
  <si>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</si>
  <si>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</si>
  <si>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</si>
  <si>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</si>
  <si>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</si>
  <si>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</si>
  <si>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</si>
  <si>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</si>
  <si>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</si>
  <si>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</si>
  <si>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</si>
  <si>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</si>
  <si>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</si>
  <si>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</si>
  <si>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</si>
  <si>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</si>
  <si>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</si>
  <si>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</si>
  <si>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</si>
  <si>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</si>
  <si>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</si>
  <si>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</si>
  <si>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</si>
  <si>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</si>
  <si>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</si>
  <si>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</si>
  <si>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</si>
  <si>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</si>
  <si>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</si>
  <si>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</si>
  <si>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</si>
  <si>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</si>
  <si>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</si>
  <si>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</si>
  <si>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</si>
  <si>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</si>
  <si>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</si>
  <si>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</si>
  <si>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</si>
  <si>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</si>
  <si>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</si>
  <si>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</si>
  <si>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</si>
  <si>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</si>
  <si>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</si>
  <si>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</si>
  <si>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</si>
  <si>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</si>
  <si>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</si>
  <si>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</si>
  <si>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</si>
  <si>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</si>
  <si>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</si>
  <si>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</si>
  <si>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</si>
  <si>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</si>
  <si>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</si>
  <si>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</si>
  <si>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</si>
  <si>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</si>
  <si>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</si>
  <si>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</si>
  <si>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</si>
  <si>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</si>
  <si>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</si>
  <si>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</si>
  <si>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</si>
  <si>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</si>
  <si>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</si>
  <si>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</si>
  <si>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</si>
  <si>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</si>
  <si>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</si>
  <si>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</si>
  <si>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</si>
  <si>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</si>
  <si>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</si>
  <si>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</si>
  <si>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</si>
  <si>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</si>
  <si>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</si>
  <si>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</si>
  <si>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</si>
  <si>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</si>
  <si>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</si>
  <si>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</si>
  <si>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</si>
  <si>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</si>
  <si>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</si>
  <si>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</si>
  <si>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</si>
  <si>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</si>
  <si>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</si>
  <si>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</si>
  <si>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</si>
  <si>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</si>
  <si>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</si>
  <si>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</si>
  <si>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</si>
  <si>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</si>
  <si>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</si>
  <si>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</si>
  <si>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</si>
  <si>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</si>
  <si>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</si>
  <si>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</si>
  <si>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</si>
  <si>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</si>
  <si>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</si>
  <si>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</si>
  <si>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</si>
  <si>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</si>
  <si>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</si>
  <si>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</si>
  <si>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</si>
  <si>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</si>
  <si>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</si>
  <si>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</si>
  <si>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</si>
  <si>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</si>
  <si>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</si>
  <si>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</si>
  <si>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</si>
  <si>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</si>
  <si>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</si>
  <si>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</si>
  <si>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</si>
  <si>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</si>
  <si>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</si>
  <si>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</si>
  <si>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</si>
  <si>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</si>
  <si>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</si>
  <si>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</si>
  <si>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</si>
  <si>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</si>
  <si>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</si>
  <si>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</si>
  <si>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</si>
  <si>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</si>
  <si>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</si>
  <si>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</si>
  <si>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</si>
  <si>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</si>
  <si>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</si>
  <si>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</si>
  <si>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</si>
  <si>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</si>
  <si>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</si>
  <si>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</si>
  <si>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</si>
  <si>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</si>
  <si>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</si>
  <si>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</si>
  <si>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</si>
  <si>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</si>
  <si>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</si>
  <si>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</si>
  <si>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</si>
  <si>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</si>
  <si>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</si>
  <si>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</si>
  <si>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</si>
  <si>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</si>
  <si>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</si>
  <si>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</si>
  <si>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</si>
  <si>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</si>
  <si>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</si>
  <si>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</si>
  <si>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</si>
  <si>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</si>
  <si>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</si>
  <si>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</si>
  <si>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</si>
  <si>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</si>
  <si>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</si>
  <si>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</si>
  <si>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</si>
  <si>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</si>
  <si>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</si>
  <si>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</si>
  <si>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</si>
  <si>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</si>
  <si>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</si>
  <si>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</si>
  <si>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</si>
  <si>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</si>
  <si>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</si>
  <si>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</si>
  <si>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</si>
  <si>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</si>
  <si>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</si>
  <si>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</si>
  <si>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</si>
  <si>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</si>
  <si>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</si>
  <si>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</si>
  <si>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</si>
  <si>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</si>
  <si>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</si>
  <si>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</si>
  <si>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</si>
  <si>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</si>
  <si>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</si>
  <si>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</si>
  <si>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</si>
  <si>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</si>
  <si>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</si>
  <si>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</si>
  <si>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</si>
  <si>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</si>
  <si>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</si>
  <si>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</si>
  <si>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</si>
  <si>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</si>
  <si>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</si>
  <si>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</si>
  <si>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</si>
  <si>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</si>
  <si>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</si>
  <si>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</si>
  <si>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</si>
  <si>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</si>
  <si>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</si>
  <si>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</si>
  <si>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</si>
  <si>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</si>
  <si>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</si>
  <si>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</si>
  <si>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</si>
  <si>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</si>
  <si>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</si>
  <si>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</si>
  <si>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</si>
  <si>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</si>
  <si>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</si>
  <si>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</si>
  <si>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</si>
  <si>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</si>
  <si>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</si>
  <si>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</si>
  <si>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</si>
  <si>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</si>
  <si>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</si>
  <si>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</si>
  <si>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</si>
  <si>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</si>
  <si>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</si>
  <si>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</si>
  <si>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</si>
  <si>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</si>
  <si>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</si>
  <si>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</si>
  <si>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</si>
  <si>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</si>
  <si>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</si>
  <si>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</si>
  <si>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</si>
  <si>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</si>
  <si>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</si>
  <si>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</si>
  <si>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</si>
  <si>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</si>
  <si>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</si>
  <si>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</si>
  <si>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</si>
  <si>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</si>
  <si>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</si>
  <si>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</si>
  <si>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</si>
  <si>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</si>
  <si>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</si>
  <si>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</si>
  <si>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</si>
  <si>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</si>
  <si>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</si>
  <si>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</si>
  <si>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</si>
  <si>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</si>
  <si>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</si>
  <si>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</si>
  <si>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</si>
  <si>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</si>
  <si>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</si>
  <si>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</si>
  <si>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</si>
  <si>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</si>
  <si>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</si>
  <si>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</si>
  <si>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</si>
  <si>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</si>
  <si>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</si>
  <si>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</si>
  <si>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</si>
  <si>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</si>
  <si>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</si>
  <si>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</si>
  <si>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</si>
  <si>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</si>
  <si>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</si>
  <si>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</si>
  <si>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</si>
  <si>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</si>
  <si>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</si>
  <si>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</si>
  <si>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</si>
  <si>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</si>
  <si>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</si>
  <si>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</si>
  <si>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</si>
  <si>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</si>
  <si>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</si>
  <si>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</si>
  <si>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</si>
  <si>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</si>
  <si>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</si>
  <si>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</si>
  <si>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</si>
  <si>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</si>
  <si>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</si>
  <si>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</si>
  <si>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</si>
  <si>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</si>
  <si>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</si>
  <si>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</si>
  <si>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</si>
  <si>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</si>
  <si>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</si>
  <si>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</si>
  <si>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</si>
  <si>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</si>
  <si>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</si>
  <si>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</si>
  <si>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</si>
  <si>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</si>
  <si>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</si>
  <si>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</si>
  <si>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</si>
  <si>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</si>
  <si>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</si>
  <si>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</si>
  <si>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</si>
  <si>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</si>
  <si>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</si>
  <si>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</si>
  <si>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</si>
  <si>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</si>
  <si>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</si>
  <si>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</si>
  <si>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</si>
  <si>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</si>
  <si>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</si>
  <si>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</si>
  <si>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</si>
  <si>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</si>
  <si>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</si>
  <si>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</si>
  <si>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</si>
  <si>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</si>
  <si>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</si>
  <si>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</si>
  <si>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</si>
  <si>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</si>
  <si>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</si>
  <si>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</si>
  <si>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</si>
  <si>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</si>
  <si>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</si>
  <si>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</si>
  <si>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</si>
  <si>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</si>
  <si>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</si>
  <si>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</si>
  <si>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</si>
  <si>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</si>
  <si>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</si>
  <si>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</si>
  <si>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</si>
  <si>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</si>
  <si>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</si>
  <si>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</si>
  <si>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</si>
  <si>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</si>
  <si>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</si>
  <si>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</si>
  <si>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</si>
  <si>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</si>
  <si>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</si>
  <si>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</si>
  <si>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</si>
  <si>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</si>
  <si>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</si>
  <si>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</si>
  <si>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</si>
  <si>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</si>
  <si>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</si>
  <si>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</si>
  <si>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</si>
  <si>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</si>
  <si>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</si>
  <si>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</si>
  <si>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</si>
  <si>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</si>
  <si>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</si>
  <si>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</si>
  <si>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</si>
  <si>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</si>
  <si>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</si>
  <si>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</si>
  <si>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</si>
  <si>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</si>
  <si>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</si>
  <si>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</si>
  <si>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</si>
  <si>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</si>
  <si>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</si>
  <si>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</si>
  <si>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</si>
  <si>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</si>
  <si>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</si>
  <si>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</si>
  <si>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</si>
  <si>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</si>
  <si>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</si>
  <si>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</si>
  <si>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</si>
  <si>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</si>
  <si>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</si>
  <si>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</si>
  <si>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</si>
  <si>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</si>
  <si>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</si>
  <si>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</si>
  <si>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</si>
  <si>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</si>
  <si>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</si>
  <si>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</si>
  <si>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</si>
  <si>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</si>
  <si>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</si>
  <si>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</si>
  <si>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</si>
  <si>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</si>
  <si>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</si>
  <si>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</si>
  <si>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</si>
  <si>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</si>
  <si>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</si>
  <si>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</si>
  <si>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</si>
  <si>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</si>
  <si>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</si>
  <si>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</si>
  <si>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</si>
  <si>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</si>
  <si>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</si>
  <si>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</si>
  <si>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</si>
  <si>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</si>
  <si>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</si>
  <si>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</si>
  <si>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</si>
  <si>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</si>
  <si>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</si>
  <si>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</si>
  <si>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</si>
  <si>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</si>
  <si>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</si>
  <si>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</si>
  <si>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</si>
  <si>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</si>
  <si>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</si>
  <si>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</si>
  <si>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</si>
  <si>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</si>
  <si>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</si>
  <si>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</si>
  <si>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</si>
  <si>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</si>
  <si>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</si>
  <si>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</si>
  <si>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</si>
  <si>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</si>
  <si>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</si>
  <si>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</si>
  <si>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</si>
  <si>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</si>
  <si>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</si>
  <si>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</si>
  <si>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</si>
  <si>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</si>
  <si>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</si>
  <si>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</si>
  <si>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</si>
  <si>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</si>
  <si>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</si>
  <si>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</si>
  <si>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</si>
  <si>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</si>
  <si>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</si>
  <si>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</si>
  <si>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</si>
  <si>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</si>
  <si>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</si>
  <si>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</si>
  <si>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</si>
  <si>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</si>
  <si>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</si>
  <si>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</si>
  <si>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</si>
  <si>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</si>
  <si>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</si>
  <si>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</si>
  <si>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</si>
  <si>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</si>
  <si>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</si>
  <si>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</si>
  <si>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</si>
  <si>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</si>
  <si>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</si>
  <si>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</si>
  <si>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</si>
  <si>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</si>
  <si>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</si>
  <si>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</si>
  <si>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</si>
  <si>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</si>
  <si>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</si>
  <si>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</si>
  <si>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</si>
  <si>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</si>
  <si>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</si>
  <si>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</si>
  <si>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</si>
  <si>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</si>
  <si>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</si>
  <si>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</si>
  <si>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</si>
  <si>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</si>
  <si>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</si>
  <si>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</si>
  <si>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</si>
  <si>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</si>
  <si>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</si>
  <si>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</si>
  <si>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</si>
  <si>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</si>
  <si>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</si>
  <si>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</si>
  <si>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</si>
  <si>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</si>
  <si>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</si>
  <si>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</si>
  <si>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</si>
  <si>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</si>
  <si>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</si>
  <si>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</si>
  <si>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</si>
  <si>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</si>
  <si>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</si>
  <si>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</si>
  <si>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</si>
  <si>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</si>
  <si>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</si>
  <si>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</si>
  <si>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</si>
  <si>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</si>
  <si>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</si>
  <si>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</si>
  <si>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</si>
  <si>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</si>
  <si>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</si>
  <si>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</si>
  <si>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</si>
  <si>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</si>
  <si>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</si>
  <si>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</si>
  <si>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</si>
  <si>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</si>
  <si>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</si>
  <si>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</si>
  <si>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</si>
  <si>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</si>
  <si>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</si>
  <si>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</si>
  <si>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</si>
  <si>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</si>
  <si>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</si>
  <si>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</si>
  <si>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</si>
  <si>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</si>
  <si>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</si>
  <si>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</si>
  <si>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</si>
  <si>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</si>
  <si>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</si>
  <si>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</si>
  <si>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</si>
  <si>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</si>
  <si>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</si>
  <si>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</si>
  <si>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</si>
  <si>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</si>
  <si>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</si>
  <si>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</si>
  <si>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</si>
  <si>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</si>
  <si>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</si>
  <si>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</si>
  <si>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</si>
  <si>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</si>
  <si>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</si>
  <si>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</si>
  <si>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</si>
  <si>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</si>
  <si>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</si>
  <si>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</si>
  <si>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</si>
  <si>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</si>
  <si>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</si>
  <si>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</si>
  <si>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</si>
  <si>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</si>
  <si>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</si>
  <si>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</si>
  <si>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</si>
  <si>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</si>
  <si>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</si>
  <si>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</si>
  <si>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</si>
  <si>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</si>
  <si>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</si>
  <si>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</si>
  <si>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</si>
  <si>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</si>
  <si>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</si>
  <si>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</si>
  <si>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</si>
  <si>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</si>
  <si>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</si>
  <si>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</si>
  <si>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</si>
  <si>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</si>
  <si>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</si>
  <si>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</si>
  <si>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</si>
  <si>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</si>
  <si>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</si>
  <si>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</si>
  <si>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</si>
  <si>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</si>
  <si>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</si>
  <si>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</si>
  <si>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</si>
  <si>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</si>
  <si>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</si>
  <si>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</si>
  <si>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</si>
  <si>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</si>
  <si>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</si>
  <si>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</si>
  <si>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</si>
  <si>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</si>
  <si>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</si>
  <si>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</si>
  <si>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</si>
  <si>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</si>
  <si>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</si>
  <si>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</si>
  <si>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</si>
  <si>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</si>
  <si>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</si>
  <si>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</si>
  <si>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</si>
  <si>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</si>
  <si>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</si>
  <si>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</si>
  <si>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</si>
  <si>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</si>
  <si>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</si>
  <si>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</si>
  <si>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</si>
  <si>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</si>
  <si>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</si>
  <si>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</si>
  <si>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</si>
  <si>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</si>
  <si>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</si>
  <si>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</si>
  <si>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</si>
  <si>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</si>
  <si>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</si>
  <si>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</si>
  <si>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</si>
  <si>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</si>
  <si>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</si>
  <si>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</si>
  <si>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</si>
  <si>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</si>
  <si>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</si>
  <si>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</si>
  <si>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</si>
  <si>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</si>
  <si>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</si>
  <si>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</si>
  <si>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</si>
  <si>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</si>
  <si>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</si>
  <si>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</si>
  <si>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</si>
  <si>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</si>
  <si>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</si>
  <si>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</si>
  <si>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</si>
  <si>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</si>
  <si>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</si>
  <si>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</si>
  <si>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</si>
  <si>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</si>
  <si>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</si>
  <si>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</si>
  <si>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</si>
  <si>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</si>
  <si>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</si>
  <si>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</si>
  <si>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</si>
  <si>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</si>
  <si>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</si>
  <si>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</si>
  <si>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</si>
  <si>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</si>
  <si>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</si>
  <si>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</si>
  <si>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</si>
  <si>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</si>
  <si>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</si>
  <si>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</si>
  <si>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</si>
  <si>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</si>
  <si>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</si>
  <si>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</si>
  <si>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</si>
  <si>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</si>
  <si>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</si>
  <si>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</si>
  <si>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</si>
  <si>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</si>
  <si>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</si>
  <si>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</si>
  <si>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</si>
  <si>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</si>
  <si>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</si>
  <si>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</si>
  <si>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</si>
  <si>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</si>
  <si>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</si>
  <si>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</si>
  <si>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</si>
  <si>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</si>
  <si>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</si>
  <si>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</si>
  <si>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</si>
  <si>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</si>
  <si>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</si>
  <si>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</si>
  <si>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</si>
  <si>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</si>
  <si>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</si>
  <si>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</si>
  <si>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</si>
  <si>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</si>
  <si>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</si>
  <si>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</si>
  <si>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</si>
  <si>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</si>
  <si>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</si>
  <si>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</si>
  <si>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</si>
  <si>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</si>
  <si>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</si>
  <si>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</si>
  <si>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</si>
  <si>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</si>
  <si>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</si>
  <si>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</si>
  <si>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</si>
  <si>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</si>
  <si>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</si>
  <si>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</si>
  <si>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</si>
  <si>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</si>
  <si>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</si>
  <si>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</si>
  <si>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</si>
  <si>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</si>
  <si>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</si>
  <si>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</si>
  <si>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</si>
  <si>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</si>
  <si>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</si>
  <si>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</si>
  <si>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</si>
  <si>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</si>
  <si>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</si>
  <si>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</si>
  <si>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</si>
  <si>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</si>
  <si>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</si>
  <si>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</si>
  <si>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</si>
  <si>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</si>
  <si>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</si>
  <si>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</si>
  <si>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</si>
  <si>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</si>
  <si>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</si>
  <si>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</si>
  <si>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</si>
  <si>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</si>
  <si>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</si>
  <si>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</si>
  <si>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</si>
  <si>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</si>
  <si>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</si>
  <si>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</si>
  <si>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</si>
  <si>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</si>
  <si>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</si>
  <si>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</si>
  <si>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</si>
  <si>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</si>
  <si>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</si>
  <si>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</si>
  <si>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</si>
  <si>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</si>
  <si>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</si>
  <si>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</si>
  <si>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</si>
  <si>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</si>
  <si>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</si>
  <si>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</si>
  <si>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</si>
  <si>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</si>
  <si>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</si>
  <si>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</si>
  <si>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</si>
  <si>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</si>
  <si>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</si>
  <si>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</si>
  <si>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</si>
  <si>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</si>
  <si>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</si>
  <si>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</si>
  <si>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</si>
  <si>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</si>
  <si>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</si>
  <si>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</si>
  <si>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</si>
  <si>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</si>
  <si>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</si>
  <si>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</si>
  <si>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</si>
  <si>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</si>
  <si>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</si>
  <si>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</si>
  <si>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</si>
  <si>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</si>
  <si>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</si>
  <si>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</si>
  <si>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</si>
  <si>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</si>
  <si>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</si>
  <si>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</si>
  <si>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</si>
  <si>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</si>
  <si>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</si>
  <si>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</si>
  <si>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</si>
  <si>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</si>
  <si>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</si>
  <si>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</si>
  <si>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</si>
  <si>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</si>
  <si>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</si>
  <si>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</si>
  <si>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</si>
  <si>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</si>
  <si>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</si>
  <si>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</si>
  <si>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</si>
  <si>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</si>
  <si>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</si>
  <si>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</si>
  <si>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</si>
  <si>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</si>
  <si>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</si>
  <si>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</si>
  <si>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</si>
  <si>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</si>
  <si>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</si>
  <si>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</si>
  <si>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</si>
  <si>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</si>
  <si>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</si>
  <si>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</si>
  <si>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</si>
  <si>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</si>
  <si>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</si>
  <si>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</si>
  <si>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</si>
  <si>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</si>
  <si>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</si>
  <si>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</si>
  <si>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</si>
  <si>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</si>
  <si>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</si>
  <si>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</si>
  <si>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</si>
  <si>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</si>
  <si>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</si>
  <si>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</si>
  <si>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</si>
  <si>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</si>
  <si>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</si>
  <si>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</si>
  <si>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</si>
  <si>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</si>
  <si>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</si>
  <si>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</si>
  <si>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</si>
  <si>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</si>
  <si>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</si>
  <si>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</si>
  <si>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</si>
  <si>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</si>
  <si>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</si>
  <si>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</si>
  <si>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</si>
  <si>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</si>
  <si>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</si>
  <si>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</si>
  <si>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</si>
  <si>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</si>
  <si>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</si>
  <si>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</si>
  <si>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</si>
  <si>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</si>
  <si>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</si>
  <si>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</si>
  <si>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</si>
  <si>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</si>
  <si>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</si>
  <si>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</si>
  <si>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</si>
  <si>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</si>
  <si>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</si>
  <si>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</si>
  <si>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</si>
  <si>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</si>
  <si>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</si>
  <si>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</si>
  <si>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</si>
  <si>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</si>
  <si>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</si>
  <si>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</si>
  <si>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</si>
  <si>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</si>
  <si>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</si>
  <si>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</si>
  <si>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</si>
  <si>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</si>
  <si>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</si>
  <si>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</si>
  <si>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</si>
  <si>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</si>
  <si>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</si>
  <si>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</si>
  <si>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</si>
  <si>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</si>
  <si>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</si>
  <si>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</si>
  <si>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</si>
  <si>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</si>
  <si>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</si>
  <si>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</si>
  <si>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</si>
  <si>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</si>
  <si>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</si>
  <si>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</si>
  <si>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</si>
  <si>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</si>
  <si>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</si>
  <si>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</si>
  <si>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</si>
  <si>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</si>
  <si>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</si>
  <si>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</si>
  <si>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</si>
  <si>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</si>
  <si>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</si>
  <si>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</si>
  <si>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</si>
  <si>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</si>
  <si>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</si>
  <si>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</si>
  <si>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</si>
  <si>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</si>
  <si>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</si>
  <si>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</si>
  <si>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</si>
  <si>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</si>
  <si>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</si>
  <si>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</si>
  <si>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</si>
  <si>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</si>
  <si>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</si>
  <si>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</si>
  <si>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</si>
  <si>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</si>
  <si>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</si>
  <si>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</si>
  <si>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</si>
  <si>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</si>
  <si>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</si>
  <si>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</si>
  <si>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</si>
  <si>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</si>
  <si>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</si>
  <si>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</si>
  <si>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</si>
  <si>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</si>
  <si>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</si>
  <si>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</si>
  <si>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</si>
  <si>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</si>
  <si>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</si>
  <si>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</si>
  <si>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</si>
  <si>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</si>
  <si>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</si>
  <si>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</si>
  <si>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</si>
  <si>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</si>
  <si>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</si>
  <si>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</si>
  <si>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</si>
  <si>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</si>
  <si>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</si>
  <si>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</si>
  <si>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</si>
  <si>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</si>
  <si>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</si>
  <si>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</si>
  <si>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</si>
  <si>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</si>
  <si>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</si>
  <si>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</si>
  <si>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</si>
  <si>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</si>
  <si>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</si>
  <si>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</si>
  <si>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</si>
  <si>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</si>
  <si>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</si>
  <si>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</si>
  <si>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</si>
  <si>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</si>
  <si>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</si>
  <si>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</si>
  <si>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</si>
  <si>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</si>
  <si>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</si>
  <si>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</si>
  <si>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</si>
  <si>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</si>
  <si>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</si>
  <si>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</si>
  <si>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</si>
  <si>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</si>
  <si>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</si>
  <si>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</si>
  <si>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</si>
  <si>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</si>
  <si>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</si>
  <si>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</si>
  <si>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</si>
  <si>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</si>
  <si>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</si>
  <si>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</si>
  <si>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</si>
  <si>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</si>
  <si>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</si>
  <si>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</si>
  <si>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</si>
  <si>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</si>
  <si>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</si>
  <si>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</si>
  <si>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</si>
  <si>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</si>
  <si>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</si>
  <si>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</si>
  <si>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</si>
  <si>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</si>
  <si>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</si>
  <si>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</si>
  <si>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</si>
  <si>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</si>
  <si>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</si>
  <si>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</si>
  <si>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</si>
  <si>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</si>
  <si>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</si>
  <si>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</si>
  <si>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</si>
  <si>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</si>
  <si>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</si>
  <si>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</si>
  <si>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</si>
  <si>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</si>
  <si>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</si>
  <si>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</si>
  <si>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</si>
  <si>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</si>
  <si>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</si>
  <si>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</si>
  <si>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</si>
  <si>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</si>
  <si>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</si>
  <si>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</si>
  <si>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</si>
  <si>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</si>
  <si>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</si>
  <si>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</si>
  <si>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</si>
  <si>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</si>
  <si>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</si>
  <si>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</si>
  <si>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</si>
  <si>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</si>
  <si>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</si>
  <si>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</si>
  <si>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</si>
  <si>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</si>
  <si>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</si>
  <si>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</si>
  <si>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</si>
  <si>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</si>
  <si>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</si>
  <si>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</si>
  <si>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</si>
  <si>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</si>
  <si>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</si>
  <si>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</si>
  <si>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</si>
  <si>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</si>
  <si>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</si>
  <si>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</si>
  <si>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</si>
  <si>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</si>
  <si>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</si>
  <si>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</si>
  <si>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</si>
  <si>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</si>
  <si>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</si>
  <si>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</si>
  <si>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</si>
  <si>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</si>
  <si>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</si>
  <si>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</si>
  <si>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</si>
  <si>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</si>
  <si>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</si>
  <si>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</si>
  <si>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</si>
  <si>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</si>
  <si>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</si>
  <si>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</si>
  <si>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</si>
  <si>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</si>
  <si>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</si>
  <si>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</si>
  <si>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</si>
  <si>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</si>
  <si>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</si>
  <si>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</si>
  <si>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</si>
  <si>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</si>
  <si>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</si>
  <si>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</si>
  <si>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</si>
  <si>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</si>
  <si>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</si>
  <si>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</si>
  <si>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</si>
  <si>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</si>
  <si>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</si>
  <si>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</si>
  <si>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</si>
  <si>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</si>
  <si>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</si>
  <si>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</si>
  <si>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</si>
  <si>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</si>
  <si>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</si>
  <si>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</si>
  <si>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</si>
  <si>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</si>
  <si>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</si>
  <si>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</si>
  <si>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</si>
  <si>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</si>
  <si>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</si>
  <si>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</si>
  <si>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</si>
  <si>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</si>
  <si>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</si>
  <si>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</si>
  <si>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</si>
  <si>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</si>
  <si>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</si>
  <si>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</si>
  <si>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</si>
  <si>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</si>
  <si>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</si>
  <si>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</si>
  <si>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</si>
  <si>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</si>
  <si>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</si>
  <si>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</si>
  <si>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</si>
  <si>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</si>
  <si>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</si>
  <si>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</si>
  <si>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</si>
  <si>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</si>
  <si>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</si>
  <si>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</si>
  <si>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</si>
  <si>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</si>
  <si>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</si>
  <si>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</si>
  <si>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</si>
  <si>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</si>
  <si>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</si>
  <si>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</si>
  <si>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</si>
  <si>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</si>
  <si>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</si>
  <si>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</si>
  <si>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</si>
  <si>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Key (code|run)</t>
  </si>
  <si>
    <t>Run</t>
  </si>
  <si>
    <t>egy.air.ada.2464|EG1</t>
  </si>
  <si>
    <t>EG1</t>
  </si>
  <si>
    <t>Averted deaths by age group: 25 to 64 years</t>
  </si>
  <si>
    <t>deaths</t>
  </si>
  <si>
    <t>egy.air.ada.2464</t>
  </si>
  <si>
    <t>egy.air.ada.2464|EG2</t>
  </si>
  <si>
    <t>EG2</t>
  </si>
  <si>
    <t>egy.air.ada.2464|EG3</t>
  </si>
  <si>
    <t>EG3</t>
  </si>
  <si>
    <t>egy.air.ada.2464|EG4</t>
  </si>
  <si>
    <t>EG4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</si>
  <si>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</si>
  <si>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</si>
  <si>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</si>
  <si>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</si>
  <si>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</si>
  <si>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</si>
  <si>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</si>
  <si>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</si>
  <si>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</si>
  <si>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</si>
  <si>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</si>
  <si>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</si>
  <si>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</si>
  <si>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</si>
  <si>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</si>
  <si>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</si>
  <si>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</si>
  <si>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</si>
  <si>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</si>
  <si>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</si>
  <si>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</si>
  <si>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</si>
  <si>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</si>
  <si>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</si>
  <si>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</si>
  <si>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</si>
  <si>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</si>
  <si>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</si>
  <si>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</si>
  <si>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</si>
  <si>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</si>
  <si>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</si>
  <si>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</si>
  <si>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</si>
  <si>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</si>
  <si>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</si>
  <si>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</si>
  <si>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</si>
  <si>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</si>
  <si>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</si>
  <si>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</si>
  <si>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</si>
  <si>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</si>
  <si>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</si>
  <si>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</si>
  <si>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</si>
  <si>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</si>
  <si>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</si>
  <si>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</si>
  <si>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</si>
  <si>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</si>
  <si>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</si>
  <si>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</si>
  <si>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</si>
  <si>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</si>
  <si>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</si>
  <si>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</si>
  <si>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</si>
  <si>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</si>
  <si>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</si>
  <si>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</si>
  <si>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</si>
  <si>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</si>
  <si>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</si>
  <si>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</si>
  <si>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</si>
  <si>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</si>
  <si>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</si>
  <si>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</si>
  <si>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</si>
  <si>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</si>
  <si>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</si>
  <si>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</si>
  <si>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</si>
  <si>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</si>
  <si>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</si>
  <si>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</si>
  <si>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</si>
  <si>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</si>
  <si>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</si>
  <si>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</si>
  <si>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</si>
  <si>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</si>
  <si>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</si>
  <si>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</si>
  <si>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</si>
  <si>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</si>
  <si>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</si>
  <si>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</si>
  <si>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</si>
  <si>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</si>
  <si>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</si>
  <si>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</si>
  <si>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</si>
  <si>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</si>
  <si>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</si>
  <si>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</si>
  <si>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</si>
  <si>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</si>
  <si>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</si>
  <si>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</si>
  <si>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</si>
  <si>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</si>
  <si>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</si>
  <si>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</si>
  <si>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</si>
  <si>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</si>
  <si>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</si>
  <si>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</si>
  <si>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</si>
  <si>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</si>
  <si>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</si>
  <si>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</si>
  <si>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</si>
  <si>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</si>
  <si>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</si>
  <si>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</si>
  <si>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</si>
  <si>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</si>
  <si>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</si>
  <si>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</si>
  <si>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</si>
  <si>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</si>
  <si>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</si>
  <si>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</si>
  <si>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</si>
  <si>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</si>
  <si>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</si>
  <si>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</si>
  <si>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</si>
  <si>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</si>
  <si>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</si>
  <si>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</si>
  <si>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</si>
  <si>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</si>
  <si>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</si>
  <si>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</si>
  <si>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</si>
  <si>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</si>
  <si>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</si>
  <si>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</si>
  <si>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</si>
  <si>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</si>
  <si>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</si>
  <si>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</si>
  <si>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</si>
  <si>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</si>
  <si>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</si>
  <si>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</si>
  <si>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</si>
  <si>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</si>
  <si>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</si>
  <si>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</si>
  <si>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</si>
  <si>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</si>
  <si>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</si>
  <si>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</si>
  <si>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</si>
  <si>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</si>
  <si>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</si>
  <si>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</si>
  <si>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</si>
  <si>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</si>
  <si>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</si>
  <si>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</si>
  <si>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</si>
  <si>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</si>
  <si>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</si>
  <si>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</si>
  <si>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</si>
  <si>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</si>
  <si>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</si>
  <si>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</si>
  <si>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</si>
  <si>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</si>
  <si>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</si>
  <si>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</si>
  <si>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</si>
  <si>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</si>
  <si>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</si>
  <si>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</si>
  <si>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</si>
  <si>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</si>
  <si>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</si>
  <si>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</si>
  <si>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</si>
  <si>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</si>
  <si>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</si>
  <si>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</si>
  <si>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</si>
  <si>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</si>
  <si>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</si>
  <si>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</si>
  <si>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</si>
  <si>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</si>
  <si>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</si>
  <si>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</si>
  <si>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</si>
  <si>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</si>
  <si>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</si>
  <si>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</si>
  <si>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</si>
  <si>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</si>
  <si>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</si>
  <si>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</si>
  <si>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</si>
  <si>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</si>
  <si>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</si>
  <si>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</si>
  <si>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</si>
  <si>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</si>
  <si>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</si>
  <si>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</si>
  <si>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</si>
  <si>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</si>
  <si>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</si>
  <si>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</si>
  <si>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</si>
  <si>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</si>
  <si>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</si>
  <si>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</si>
  <si>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</si>
  <si>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</si>
  <si>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</si>
  <si>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</si>
  <si>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</si>
  <si>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</si>
  <si>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</si>
  <si>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</si>
  <si>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</si>
  <si>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</si>
  <si>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</si>
  <si>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</si>
  <si>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</si>
  <si>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</si>
  <si>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</si>
  <si>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</si>
  <si>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</si>
  <si>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</si>
  <si>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</si>
  <si>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</si>
  <si>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</si>
  <si>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</si>
  <si>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</si>
  <si>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</si>
  <si>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</si>
  <si>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</si>
  <si>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</si>
  <si>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</si>
  <si>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</si>
  <si>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</si>
  <si>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</si>
  <si>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</si>
  <si>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</si>
  <si>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</si>
  <si>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</si>
  <si>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</si>
  <si>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</si>
  <si>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</si>
  <si>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</si>
  <si>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</si>
  <si>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</si>
  <si>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</si>
  <si>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</si>
  <si>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</si>
  <si>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</si>
  <si>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</si>
  <si>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</si>
  <si>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</si>
  <si>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</si>
  <si>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</si>
  <si>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</si>
  <si>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</si>
  <si>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</si>
  <si>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</si>
  <si>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</si>
  <si>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</si>
  <si>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</si>
  <si>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</si>
  <si>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</si>
  <si>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</si>
  <si>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</si>
  <si>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</si>
  <si>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</si>
  <si>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</si>
  <si>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</si>
  <si>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</si>
  <si>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</si>
  <si>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</si>
  <si>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</si>
  <si>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</si>
  <si>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</si>
  <si>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</si>
  <si>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</si>
  <si>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</si>
  <si>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</si>
  <si>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</si>
  <si>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</si>
  <si>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</si>
  <si>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</si>
  <si>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</si>
  <si>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</si>
  <si>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</si>
  <si>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</si>
  <si>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</si>
  <si>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</si>
  <si>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</si>
  <si>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</si>
  <si>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</si>
  <si>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</si>
  <si>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</si>
  <si>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</si>
  <si>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</si>
  <si>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</si>
  <si>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</si>
  <si>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</si>
  <si>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</si>
  <si>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</si>
  <si>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</si>
  <si>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</si>
  <si>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</si>
  <si>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</si>
  <si>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</si>
  <si>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</si>
  <si>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</si>
  <si>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</si>
  <si>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</si>
  <si>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</si>
  <si>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</si>
  <si>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</si>
  <si>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</si>
  <si>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</si>
  <si>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</si>
  <si>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</si>
  <si>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</si>
  <si>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</si>
  <si>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</si>
  <si>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</si>
  <si>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</si>
  <si>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</si>
  <si>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</si>
  <si>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</si>
  <si>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</si>
  <si>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</si>
  <si>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</si>
  <si>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</si>
  <si>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</si>
  <si>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</si>
  <si>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</si>
  <si>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</si>
  <si>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</si>
  <si>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</si>
  <si>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</si>
  <si>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</si>
  <si>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</si>
  <si>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</si>
  <si>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</si>
  <si>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</si>
  <si>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</si>
  <si>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</si>
  <si>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</si>
  <si>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</si>
  <si>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</si>
  <si>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</si>
  <si>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</si>
  <si>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</si>
  <si>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</si>
  <si>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</si>
  <si>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</si>
  <si>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</si>
  <si>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</si>
  <si>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</si>
  <si>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</si>
  <si>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</si>
  <si>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</si>
  <si>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</si>
  <si>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</si>
  <si>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</si>
  <si>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</si>
  <si>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</si>
  <si>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</si>
  <si>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</si>
  <si>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</si>
  <si>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</si>
  <si>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</si>
  <si>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</si>
  <si>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</si>
  <si>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</si>
  <si>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</si>
  <si>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</si>
  <si>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</si>
  <si>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</si>
  <si>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</si>
  <si>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</si>
  <si>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</si>
  <si>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</si>
  <si>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</si>
  <si>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</si>
  <si>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</si>
  <si>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</si>
  <si>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</si>
  <si>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</si>
  <si>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</si>
  <si>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</si>
  <si>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</si>
  <si>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</si>
  <si>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</si>
  <si>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</si>
  <si>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</si>
  <si>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</si>
  <si>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</si>
  <si>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</si>
  <si>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</si>
  <si>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</si>
  <si>
    <t>Original CPAT run everywhere; CPAT's implied CBAM-block change (r x block) removed; block rebuilt from CPAT's fuel-intensity response (fuel per t), the kernel output response and, where process emissions are charged, the kernel process response. Each effect counted once.</t>
  </si>
  <si>
    <t>A. Inputs (active bundle, 2030)</t>
  </si>
  <si>
    <t>1A/2A = EG1, 2B = EG2, 3A-3C = EG3</t>
  </si>
  <si>
    <t>Process emissions charged (0/1)</t>
  </si>
  <si>
    <t>Output-based free allocation (0/1)</t>
  </si>
  <si>
    <t>3B: free allocation leaves no domestic-price credit against CBAM</t>
  </si>
  <si>
    <t>GHG0: CPAT total GHG incl. LULUCF, baseline</t>
  </si>
  <si>
    <t>ENR0: CPAT energy CO2, baseline</t>
  </si>
  <si>
    <t>IND0: CPAT industry energy CO2, baseline</t>
  </si>
  <si>
    <t>IND1: CPAT industry energy CO2, policy (run)</t>
  </si>
  <si>
    <t>kappa: share of industry energy CO2 priced by the run</t>
  </si>
  <si>
    <t>tau: carbon price, active bundle</t>
  </si>
  <si>
    <t>CBAM factor used (phase-in)</t>
  </si>
  <si>
    <t>s_int: efficiency share of CPAT's industry fuel response</t>
  </si>
  <si>
    <t>Methodology section 3</t>
  </si>
  <si>
    <t>Run for the fuel-intensity response</t>
  </si>
  <si>
    <t>EG3 prices only ~54% of industry; the block is fully priced at the same $20/t, so 3A-3C use EG1</t>
  </si>
  <si>
    <t>IND0 of that run</t>
  </si>
  <si>
    <t>IND1 of that run</t>
  </si>
  <si>
    <t>CPAT growth 2024-2030, iron &amp; steel energy CO2</t>
  </si>
  <si>
    <t>CPAT growth 2024-2030, cement energy CO2</t>
  </si>
  <si>
    <t>CPAT growth 2024-2030, total industry energy CO2</t>
  </si>
  <si>
    <t>CPAT has no mch / nfm energy for Egypt, so they follow total industry</t>
  </si>
  <si>
    <t>Kernel v0.16 O, NOPHASE convention (stored input, table G6:H12)</t>
  </si>
  <si>
    <t>v0.16 O NOPHASE, %</t>
  </si>
  <si>
    <t>B. Rates</t>
  </si>
  <si>
    <t>r: CPAT industry energy CO2 change of the run</t>
  </si>
  <si>
    <t>CPAT scales all industry, incl. IPPU, by r: r x block = CPAT's implied block change</t>
  </si>
  <si>
    <t>i_f: CPAT fuel-intensity response = (IND1/IND0)^s_int - 1</t>
  </si>
  <si>
    <t>O credit factor, FULL = (CBF x P_EU - tau)/(CBF x P_EU); 3B = 1</t>
  </si>
  <si>
    <t>O credit factor, NOPHASE memo = (P_EU - tau)/P_EU; 3B = 1</t>
  </si>
  <si>
    <t>C. CBAM block by sector, 2030 (MtCO2; output in kt; Mitigation_Industry scenario 1 = baseline, +399 = policy)</t>
  </si>
  <si>
    <t>Fuel row</t>
  </si>
  <si>
    <t>Process row</t>
  </si>
  <si>
    <t>Base 2024 fuel+proc</t>
  </si>
  <si>
    <t>Base fuel</t>
  </si>
  <si>
    <t>Base proc</t>
  </si>
  <si>
    <t>Policy fuel</t>
  </si>
  <si>
    <t>Policy proc</t>
  </si>
  <si>
    <t>Output base</t>
  </si>
  <si>
    <t>Output policy</t>
  </si>
  <si>
    <t>Output change u</t>
  </si>
  <si>
    <t>CPAT growth</t>
  </si>
  <si>
    <t>Kernel growth</t>
  </si>
  <si>
    <t>Growth factor f</t>
  </si>
  <si>
    <t>f x base fuel (Bf)</t>
  </si>
  <si>
    <t>f x base proc (Bp)</t>
  </si>
  <si>
    <t>f x (pol fuel x (1+i_f) - base fuel) (dF)</t>
  </si>
  <si>
    <t>f x (pol proc - base proc) (dP)</t>
  </si>
  <si>
    <t>e0 = base fuel+proc</t>
  </si>
  <si>
    <t>e1(i_f) = (pol fuel(1+i_f)+pol proc)/(1+u)</t>
  </si>
  <si>
    <t>e1(0)</t>
  </si>
  <si>
    <t>Mining &amp; chemicals: ammonia, urea, ammonium nitrate</t>
  </si>
  <si>
    <t>Iron &amp; steel</t>
  </si>
  <si>
    <t>Non-ferrous metals: primary aluminium</t>
  </si>
  <si>
    <t>Cement (non-metallic minerals)</t>
  </si>
  <si>
    <t>D. Carve-out</t>
  </si>
  <si>
    <t>Bf: block fuel CO2, baseline (growth-adjusted)</t>
  </si>
  <si>
    <t>Bp: block process CO2, baseline (growth-adjusted)</t>
  </si>
  <si>
    <t>dF: new block fuel change (output x CPAT fuel intensity)</t>
  </si>
  <si>
    <t>dP: new block process change (kernel)</t>
  </si>
  <si>
    <t>CPAT's implied block change = r x (Bf + Bp)</t>
  </si>
  <si>
    <t>adj_f = dF - r x Bf</t>
  </si>
  <si>
    <t>adj_p = dP - r x Bp</t>
  </si>
  <si>
    <t>dN: fuel-intensity term in CBAM intensity</t>
  </si>
  <si>
    <t>pts</t>
  </si>
  <si>
    <t>Check: kernel N rebuilt from this table - Table2 N</t>
  </si>
  <si>
    <t>small (&lt;0.2 pt): unscaled block, output rows</t>
  </si>
  <si>
    <t>CPAT dGHG of the run</t>
  </si>
  <si>
    <t>CPAT carbon-tax receipts of the run</t>
  </si>
  <si>
    <t>CPAT deaths avoided of the run</t>
  </si>
  <si>
    <t>CPAT dEnergy CO2 of the run</t>
  </si>
  <si>
    <t>Kernel block process revenue</t>
  </si>
  <si>
    <t>Kernel output-based rebate (3B)</t>
  </si>
  <si>
    <t>Kernel abatement fund (3C)</t>
  </si>
  <si>
    <t>Kernel N (CBAM intensity)</t>
  </si>
  <si>
    <t>Kernel O, FULL</t>
  </si>
  <si>
    <t>Kernel M (CBAM coverage)</t>
  </si>
  <si>
    <t>E. Table 2 columns, active bundle</t>
  </si>
  <si>
    <t>All sectors: energy CO2; Industry only: kappa x IND0; plus block process where charged</t>
  </si>
  <si>
    <t>[K] Emission cut, MtCO2e</t>
  </si>
  <si>
    <t>[L] Cut, % of GHG</t>
  </si>
  <si>
    <t>[N] CBAM intensity, %</t>
  </si>
  <si>
    <t>kernel N + dN</t>
  </si>
  <si>
    <t>kernel O FULL + credit x dN</t>
  </si>
  <si>
    <t>memo: [O] NOPHASE</t>
  </si>
  <si>
    <t>v0.16 NOPHASE O + credit x dN</t>
  </si>
  <si>
    <t>CBAM block emissions change, %</t>
  </si>
  <si>
    <t>Onp</t>
  </si>
  <si>
    <t>live - stored (active bundle)</t>
  </si>
  <si>
    <t>Max |live - stored| (&lt; 0.01 expected: kappa 0.537 rounded in the script)</t>
  </si>
  <si>
    <t>v0.17: CBAM carve-out (sheet CarveOut_Table2)</t>
  </si>
  <si>
    <t>Max |live - stored carve-out Table 2| (active bundle; n/a for LEGACY)</t>
  </si>
  <si>
    <t>Kernel N rebuilt from the carve-out block table - Table2 N (pts; &lt; 0.2 expected)</t>
  </si>
  <si>
    <t>FINAL Table 2 = CBAM carve-out v0.3 (sheet CarveOut_Table2): CPAT runs + block rebuilt; O on FULL. Section E above is the prototype (kernel-composition) Table 2, kept for reference.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</si>
  <si>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 v0.17: carve-out section (row 1919).</t>
  </si>
  <si>
    <t>v0.17</t>
  </si>
  <si>
    <t>Final Table 2: sheet CarveOut_Table2 = CBAM carve-out v0.3 in live formulas (active bundle) + stored 6-bundle snapshot; O on FULL, NOPHASE memo. No other formulas changed. Check row 1919. 2030 K: 1A -37.4, 2A -33.1, 2B -34.8, 3A -22.8, 3B -19.1, 3C -33.0.</t>
  </si>
  <si>
    <t>v1.0</t>
  </si>
  <si>
    <t>Final release: v0.17 relabelled, no formula or value changes. Final Table 2 = sheet CarveOut_Table2 (CBAM carve-out). 2030 K: 1A -37.4, 2A -33.1, 2B -34.8, 3A -22.8, 3B -19.1, 3C -33.0.</t>
  </si>
  <si>
    <t>Set the bundle in Settings!B10 (1A, 2A, 2B, 3A, 3B, 3C). Year 2030 = column T of the source sheets. Green = hard input. Reference implementation: egypt+mitigation/Old/AdHocRebuild/make_carveout_v0_3.py; method: EGYPT_Methodology_v1.3 section 4.5.</t>
  </si>
  <si>
    <t>memo: O deduction-based, FULL (not Table 2 O; see M80:M85)</t>
  </si>
  <si>
    <t>O (Table 2, intensity-only)</t>
  </si>
  <si>
    <t>Column M: export-weighted change in embedded emissions per t (no deduction); from EGYPT_Table2_Final_CBAMcalc_v1.3</t>
  </si>
  <si>
    <t>CBAM product market data (Task T3, v1.4)</t>
  </si>
  <si>
    <t>2024 production, growth, EU exports and pre-policy price, entered once and linked from both scenario blocks of Mitigation_Industry (F:G, I of rows 276-283 / 675-682; G of rows 288-295 / 687-694). Values are the v0.7 ad hoc assumptions (Low confidence).</t>
  </si>
  <si>
    <t>2024 production (kt)</t>
  </si>
  <si>
    <t>Production growth (%/yr)</t>
  </si>
  <si>
    <t>2024 total exports (kt) - placeholder, not linked</t>
  </si>
  <si>
    <t>2024 EU exports (kt)</t>
  </si>
  <si>
    <t>Codes</t>
  </si>
  <si>
    <t>egy.in.prod.stl.drg | egy.in.prodg.stl.drg | egy.in.expeu.stl.drg | all.in.ppx.stl.drg.---</t>
  </si>
  <si>
    <t>v0.7 ad hoc assumption (EgyptResultsInitial / AdHocCalculations), unsourced. Replace with CAPMAS / UN Comtrade (CN codes in Mitigation_Industry rows 288-295 labels).</t>
  </si>
  <si>
    <t>egy.in.prod.stl.scr | egy.in.prodg.stl.scr | egy.in.expeu.stl.scr | all.in.ppx.stl.scr.---</t>
  </si>
  <si>
    <t>egy.in.prod.stl.bof | egy.in.prodg.stl.bof | egy.in.expeu.stl.bof | all.in.ppx.stl.bof.---</t>
  </si>
  <si>
    <t>egy.in.prod.cmt.dry | egy.in.prodg.cmt.dry | egy.in.expeu.cmt.dry | all.in.ppx.cmt.dry.---</t>
  </si>
  <si>
    <t>egy.in.prod.frt.amc | egy.in.prodg.frt.amc | egy.in.expeu.frt.amc | all.in.ppx.frt.amc.---</t>
  </si>
  <si>
    <t>egy.in.prod.frt.ure | egy.in.prodg.frt.ure | egy.in.expeu.frt.ure | all.in.ppx.frt.ure.---</t>
  </si>
  <si>
    <t>egy.in.prod.frt.nit | egy.in.prodg.frt.nit | egy.in.expeu.frt.nit | all.in.ppx.frt.nit.---</t>
  </si>
  <si>
    <t>egy.in.prod.alu.prp | egy.in.prodg.alu.prp | egy.in.expeu.alu.prp | all.in.ppx.alu.prp.---</t>
  </si>
  <si>
    <t>v1.4: CBAM market data moved to Manual inputs (Task T3)</t>
  </si>
  <si>
    <t>T3: numeric literals left in Mitigation_Industry F:G, I rows 276-283 / 675-682 and G rows 288-295 / 687-694 (count; expected 0)</t>
  </si>
  <si>
    <t>v1.4</t>
  </si>
  <si>
    <t>2026-10-04</t>
  </si>
  <si>
    <t>T3: CBAM 2024 production, growth, EU exports and pre-policy prices moved from Mitigation_Industry (both blocks) to Manual inputs rows 98-108 and linked. No value changes: max abs difference over all pre-existing cells = 0. Check row 1924 (literal count, expected 0).</t>
  </si>
  <si>
    <t>Final Table 2 conventions (v1.5)</t>
  </si>
  <si>
    <t>3B output-based rebate also covers non-CBAM covered industry (1 = all covered industry; 0 = CBAM block only)</t>
  </si>
  <si>
    <t>Decision 2026-10-04 (CAVEATS): rebate to all covered industry; same switch as ThetaOther in the AdHoc rebuild. Used by CarveOut_Table2 section G (3B only).</t>
  </si>
  <si>
    <t>egy.in.thetao.---</t>
  </si>
  <si>
    <t>CBAM obligation conventions (rows 76-82) stay a memo: FULL = 2030 phase-in (CBAM factor 0.485), NOPHASE = no phase-in (factor 1). Table 2 row O is the CBAM-product intensity change and does not depend on them.</t>
  </si>
  <si>
    <t>G. 3B rebate of all covered industry (decision 2026-10-04; switch 'Manual inputs'!E112); 0 for other scenarios</t>
  </si>
  <si>
    <t>Active (3B and switch = 1)</t>
  </si>
  <si>
    <t>dIPPU of the run (CPAT)</t>
  </si>
  <si>
    <t>NB: CPAT response of non-block industry (fuel + proportional IPPU) = dInd + dIPPU - r x (Bf + Bp)</t>
  </si>
  <si>
    <t>D_nb: output share removed = -(1 - s_int) x NB (added to K)</t>
  </si>
  <si>
    <t>D_nb_f: fuel part of D_nb = -(1 - s_int) x (dInd - r x Bf) (added to the energy-CO2 adjustment for deaths)</t>
  </si>
  <si>
    <t>Rebate to non-block covered industry = tau x (kappa x IND1 - block post-policy fuel CO2) / 1000 (deducted from P)</t>
  </si>
  <si>
    <t>CPAT dGHG + adj_f + adj_p (+ D_nb, 3B)</t>
  </si>
  <si>
    <t>CPAT receipts + tau x adj_f + process fees - rebate - fund (- rebate to non-block industry, 3B)</t>
  </si>
  <si>
    <t>CPAT deaths x (dEnergy + adj_f (+ D_nb_f, 3B))/dEnergy</t>
  </si>
  <si>
    <t>Not re-solved: the 3C fund and the 3B rebate to the block are kernel values (block fuel-payment change &lt; $0.05bn); the 3B rebate to non-block industry is section G</t>
  </si>
  <si>
    <t>Section A is the final Table 2 (stored 2030 snapshot of CarveOut_Table2, which is computed line by line from CPAT runs and this kernel's CBAM block). B is the figure printed in the final documents. C is the difference at the printed precision (must be 0). D is the deduction-based obligation memo. E recomputes row O live for the scenario active in Settings!B10.</t>
  </si>
  <si>
    <t>A. Final Table 2, 2030 (stored snapshot of CarveOut_Table2, rows 80-85)</t>
  </si>
  <si>
    <t>Metric</t>
  </si>
  <si>
    <t>J  Coverage of national GHG</t>
  </si>
  <si>
    <t>P  Carbon revenue</t>
  </si>
  <si>
    <t>USD bn</t>
  </si>
  <si>
    <t>K  Emission cut vs baseline</t>
  </si>
  <si>
    <t>L  Cut, % of national GHG</t>
  </si>
  <si>
    <t>M  CBAM coverage</t>
  </si>
  <si>
    <t>N  CBAM-sector emission intensity change</t>
  </si>
  <si>
    <t>O  CBAM obligations (CBAM-product intensity change, no deduction)</t>
  </si>
  <si>
    <t>T  CBAM block emissions change</t>
  </si>
  <si>
    <t>Q  Premature deaths avoided</t>
  </si>
  <si>
    <t>CarveOut_Table2 stored snapshot (live-vs-stored checked below and on Check)</t>
  </si>
  <si>
    <t>C. Difference at printed precision: ROUND(A, dp) - B (must be 0)</t>
  </si>
  <si>
    <t>dp = 0</t>
  </si>
  <si>
    <t>dp = 1</t>
  </si>
  <si>
    <t>Mismatches (count of non-zero differences; expected 0)</t>
  </si>
  <si>
    <t>D. Memo, not Table 2: obligation net of the Egyptian carbon price (deduction-based, Task L), stored snapshot</t>
  </si>
  <si>
    <t>Obligation, 2030 phase-in (FULL: CBAM factor 0.485)</t>
  </si>
  <si>
    <t>Obligation, no phase-in (NOPHASE: CBAM factor 1)</t>
  </si>
  <si>
    <t>Row O of Table 2 is the CBAM-product intensity change (section A); the EU price and phase-in cancel out, so it does not depend on these conventions.</t>
  </si>
  <si>
    <t>E. Live recomputation of row O for the active scenario (Settings!B10 = bundle)</t>
  </si>
  <si>
    <t>EU exports 2024 (kt)</t>
  </si>
  <si>
    <t>Output 2030 (kt)</t>
  </si>
  <si>
    <t>Baseline fuel EI (t/t)</t>
  </si>
  <si>
    <t>Baseline process EI (t/t)</t>
  </si>
  <si>
    <t>Extra fuel abatement (t/t)</t>
  </si>
  <si>
    <t>Policy process EI (t/t)</t>
  </si>
  <si>
    <t>Baseline EI</t>
  </si>
  <si>
    <t>Policy EI</t>
  </si>
  <si>
    <t>X x baseline EI</t>
  </si>
  <si>
    <t>X x policy EI</t>
  </si>
  <si>
    <t>O live = 100 x (sum X x policy EI / sum X x baseline EI - 1)</t>
  </si>
  <si>
    <t>O stored (active scenario)</t>
  </si>
  <si>
    <t>Live - stored (stored value is rounded to 2 decimals; |diff| &lt; 0.02 expected)</t>
  </si>
  <si>
    <t>v1.5: final Table 2 confirmation (sheet Table2_Final) and 3B rebate decision</t>
  </si>
  <si>
    <t>Table2_Final: figures printed in the final documents differ from the workbook (count; expected 0)</t>
  </si>
  <si>
    <t>Table2_Final: live row O - stored row O, active scenario (n/a for LEGACY; |diff| &lt; 0.02 expected)</t>
  </si>
  <si>
    <t>CarveOut_Table2: max |live - stored|, active scenario (n/a for LEGACY; &lt; 0.01 expected)</t>
  </si>
  <si>
    <t>3B rebate switch 'Manual inputs'!E112 (1 = all covered industry)</t>
  </si>
  <si>
    <t>v1.5</t>
  </si>
  <si>
    <t>3B rebate to all covered industry (Manual inputs E112; CarveOut_Table2 section G rows 92-98; K, P, Q for 3B only). New sheet Table2_Final: final Table 2, figures as printed in the documents, differences (count 0), obligation memo, live row O. Max abs diff over all other pre-existing cells = 0. Check row 1928. v1.1-v1.3 were relabels of the Egypt deliverable set (no kernel change).</t>
  </si>
  <si>
    <t>Steel: demand -0.2 to -0.3, pass-through about 0.5 (EU studies 0.06-1.2), import competition (GTAP Armington about 3). Replaces the uniform -0.5 placeholder; carbon cost is only 1-3% of the price, so the result is insensitive. Evidence note: egypt/supporting/OutputElasticity_Note_v0.1.</t>
  </si>
  <si>
    <t>low-medium</t>
  </si>
  <si>
    <t>Cement: market demand -0.02 to -0.16, pass-through 0.2-0.4 (EC / CE Delft-Oeko), small trade exposure (1.6% of output to the EU). The only product for which eps matters (carbon cost 15% of price). Evidence note: egypt/supporting/OutputElasticity_Note_v0.1.</t>
  </si>
  <si>
    <t>Fertiliser: inelastic demand; exporters are price takers. Carbon cost under 3% of the price, so the result is insensitive. Evidence note: egypt/supporting/OutputElasticity_Note_v0.1.</t>
  </si>
  <si>
    <t>Aluminium: world-priced metal, 56% exported; no better evidence found, kept at -0.5 (range -0.3 to -1.5). Cost under 1% of price: insensitive. Evidence note: egypt/supporting/OutputElasticity_Note_v0.1.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</si>
  <si>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 eps by product from v1.6 (OutputElasticity_Note_v0.1); cement -0.10, steel and fertilisers -0.40, aluminium -0.50.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</si>
  <si>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 [refilled by build_v0_15.py: phi = 0 per bundle, T1/T5 inputs]</t>
  </si>
  <si>
    <t>B. As printed in the final documents (typed): EGYPT_CarveOut_Table2_v1.6, results text v1.6 Table 2</t>
  </si>
  <si>
    <t>Table 2 (2030), final v1.6: confirmation of the final numbers in one workbook</t>
  </si>
  <si>
    <t>Table 2 (2030), final v1.6: CPAT results with a CBAM carve-out. Live for the active scenario. Table 2 O = intensity-only (stored in M80:M85; live in EGYPT_Table2_Final_CBAMcalc_v1.3.xlsx); rows 71-72 are deduction-based memos</t>
  </si>
  <si>
    <t>F. Stored 2030 snapshot, all bundles (refreshed in v1.6 from the live sheet for all six; = EGYPT_CarveOut_Table2_v1.6)</t>
  </si>
  <si>
    <t>v1.6: product-specific output elasticities (Manual inputs E66:E73)</t>
  </si>
  <si>
    <t>Output elasticities: cement E69 (-0.10 expected)</t>
  </si>
  <si>
    <t>Output elasticities: sum of the other seven (-2.9 expected: 3 x -0.4 + 3 x -0.4 + -0.5)</t>
  </si>
  <si>
    <t>CPAT industry kernel - Egypt, final v1.6</t>
  </si>
  <si>
    <t>v1.6</t>
  </si>
  <si>
    <t>Output elasticity by product (Manual inputs E66:E73): cement -0.10, steel and fertilisers -0.40, aluminium -0.50 (was -0.5 for all; OutputElasticity_Note_v0.1). Fund fixed point re-solved, Task J v2 table, Table2_Industry and CarveOut_Table2 stored snapshots refilled. Every scenario-2 result moves; LEGACY/baseline unchanged. Check row 1935.</t>
  </si>
  <si>
    <t>Include</t>
  </si>
  <si>
    <t>CPATIndicator</t>
  </si>
  <si>
    <t>CPATCode</t>
  </si>
  <si>
    <t>MTCode</t>
  </si>
  <si>
    <t>Tab</t>
  </si>
  <si>
    <t>SubScenario</t>
  </si>
  <si>
    <t>Emissions coverage</t>
  </si>
  <si>
    <t>egy.mit.co2cov.2</t>
  </si>
  <si>
    <t>egy.mit.co2cov.2_EG1</t>
  </si>
  <si>
    <t>mit</t>
  </si>
  <si>
    <t>co2cov</t>
  </si>
  <si>
    <t>pc</t>
  </si>
  <si>
    <t>egy.mit.cptraj.2_EG1</t>
  </si>
  <si>
    <t>usdtco2</t>
  </si>
  <si>
    <t>egy.mit.eff.cptraj.2_EG1</t>
  </si>
  <si>
    <t>effcptraj</t>
  </si>
  <si>
    <t>ETS Trajector\y</t>
  </si>
  <si>
    <t>egy.mit.etstraj.2_EG1</t>
  </si>
  <si>
    <t>Emissions covered by sector: power sector</t>
  </si>
  <si>
    <t>egy.mit.co2cov.pow.cont.2</t>
  </si>
  <si>
    <t>egy.mit.co2cov.pow.cont.2_EG1</t>
  </si>
  <si>
    <t>Emissions covered, transport sector</t>
  </si>
  <si>
    <t>egy.mit.co2cov.tra.cont.2</t>
  </si>
  <si>
    <t>egy.mit.co2cov.tra.cont.2_EG1</t>
  </si>
  <si>
    <t>Emissions covered, residential sector</t>
  </si>
  <si>
    <t>egy.mit.co2cov.res.cont.2</t>
  </si>
  <si>
    <t>egy.mit.co2cov.res.cont.2_EG1</t>
  </si>
  <si>
    <t>Emissions covered, industry</t>
  </si>
  <si>
    <t>egy.mit.co2cov.ind.cont.2</t>
  </si>
  <si>
    <t>egy.mit.co2cov.ind.cont.2_EG1</t>
  </si>
  <si>
    <t>Emissions covered, other energy use</t>
  </si>
  <si>
    <t>egy.mit.co2cov.oth.cont.2</t>
  </si>
  <si>
    <t>egy.mit.co2cov.oth.cont.2_EG1</t>
  </si>
  <si>
    <t>Effect on GDP: Baseline GDP growth</t>
  </si>
  <si>
    <t>egy.mit.gdp.pre.pct.2</t>
  </si>
  <si>
    <t>egy.mit.gdp.pre.pct.2_EG1</t>
  </si>
  <si>
    <t>gdp</t>
  </si>
  <si>
    <t>Effect on GDP:  - Carbon tax</t>
  </si>
  <si>
    <t>egy.mit.gdp.exc.pct.2</t>
  </si>
  <si>
    <t>egy.mit.gdp.exc.pct.2_EG1</t>
  </si>
  <si>
    <t>Effect on GDP: Personal income tax</t>
  </si>
  <si>
    <t>egy.mit.gdp.pit.pct.2</t>
  </si>
  <si>
    <t>egy.mit.gdp.pit.pct.2_EG1</t>
  </si>
  <si>
    <t>Effect on GDP: Public investment</t>
  </si>
  <si>
    <t>egy.mit.gdp.inv.pct.2</t>
  </si>
  <si>
    <t>egy.mit.gdp.inv.pct.2_EG1</t>
  </si>
  <si>
    <t>Effect on GDP: Current Spending</t>
  </si>
  <si>
    <t>egy.mit.gdp.cur.pct.2</t>
  </si>
  <si>
    <t>egy.mit.gdp.cur.pct.2_EG1</t>
  </si>
  <si>
    <t>Effect on GDP: Transfers</t>
  </si>
  <si>
    <t>egy.mit.gdp.tra.pct.2</t>
  </si>
  <si>
    <t>egy.mit.gdp.tra.pct.2_EG1</t>
  </si>
  <si>
    <t>Effect on GDP: total policy (%)</t>
  </si>
  <si>
    <t>egy.mit.gdp.tot.pct.2</t>
  </si>
  <si>
    <t>egy.mit.gdp.tot.pct.2_EG1</t>
  </si>
  <si>
    <t>Total revenues, bn $2026 (baseline)</t>
  </si>
  <si>
    <t>egy.mit.rev.new.usd.1_EG1</t>
  </si>
  <si>
    <t>usdbn</t>
  </si>
  <si>
    <t>Total revenues, bn $2026 (policy)</t>
  </si>
  <si>
    <t>egy.mit.rev.new.usd.2_EG1</t>
  </si>
  <si>
    <t>Total revenues, % of GDP (baseline)</t>
  </si>
  <si>
    <t>egy.mit.rev.new.pct.1</t>
  </si>
  <si>
    <t>egy.mit.rev.new.pct.1_EG1</t>
  </si>
  <si>
    <t>Total revenues, % of GDP (policy)</t>
  </si>
  <si>
    <t>egy.mit.rev.new.pct.2</t>
  </si>
  <si>
    <t>egy.mit.rev.new.pct.2_EG1</t>
  </si>
  <si>
    <t>Base erosion, % of GDP</t>
  </si>
  <si>
    <t>egy.mit.ers</t>
  </si>
  <si>
    <t>egy.mit.ers_EG1</t>
  </si>
  <si>
    <t>Revenues - Carbon tax, % of GDP</t>
  </si>
  <si>
    <t>egy.mit.rcp</t>
  </si>
  <si>
    <t>egy.mit.rcp_EG1</t>
  </si>
  <si>
    <t>Power sector carbon tax revenues</t>
  </si>
  <si>
    <t>egy.mit.rcp.pow</t>
  </si>
  <si>
    <t>egy.mit.rcp.pow_EG1</t>
  </si>
  <si>
    <t>Transport sector carbon tax revenues</t>
  </si>
  <si>
    <t>egy.mit.rcp.trs</t>
  </si>
  <si>
    <t>egy.mit.rcp.trs_EG1</t>
  </si>
  <si>
    <t>Buildings sector carbon tax revenues</t>
  </si>
  <si>
    <t>egy.mit.rcp.bld</t>
  </si>
  <si>
    <t>egy.mit.rcp.bld_EG1</t>
  </si>
  <si>
    <t>Industry sector carbon tax revenues</t>
  </si>
  <si>
    <t>egy.mit.rcp.ind</t>
  </si>
  <si>
    <t>egy.mit.rcp.ind_EG1</t>
  </si>
  <si>
    <t>Baseline ln(GDP per capita)</t>
  </si>
  <si>
    <t>egy.mit.ln.gdppc</t>
  </si>
  <si>
    <t>egy.mit.ln.gdppc_EG1</t>
  </si>
  <si>
    <t>lngdppc</t>
  </si>
  <si>
    <t>unitless</t>
  </si>
  <si>
    <t>Baseline GDP</t>
  </si>
  <si>
    <t>egy.mit.gdp.pre.lvl.1</t>
  </si>
  <si>
    <t>egy.mit.gdp.pre.lvl.1_EG1</t>
  </si>
  <si>
    <t>Post-policy GDP</t>
  </si>
  <si>
    <t>egy.mit.gdp.pst.lvl.2</t>
  </si>
  <si>
    <t>egy.mit.gdp.pst.lvl.2_EG1</t>
  </si>
  <si>
    <t>Population</t>
  </si>
  <si>
    <t>egy.mit.pop.mn</t>
  </si>
  <si>
    <t>egy.mit.pop.mn_EG1</t>
  </si>
  <si>
    <t>pop</t>
  </si>
  <si>
    <t>mn</t>
  </si>
  <si>
    <t>Total GHG emissions, exc. LULUCF (baseline)</t>
  </si>
  <si>
    <t>egy.mit.ghg.tot.exc.1</t>
  </si>
  <si>
    <t>egy.mit.ghg.tot.exc.1_EG1</t>
  </si>
  <si>
    <t>emis</t>
  </si>
  <si>
    <t>mtco2e</t>
  </si>
  <si>
    <t>egy.mit.ghg.tot.inc.1_EG1</t>
  </si>
  <si>
    <t>Energy-related GHG emissions (baseline)</t>
  </si>
  <si>
    <t>egy.mit.ghg.enr.tot.1</t>
  </si>
  <si>
    <t>egy.mit.ghg.enr.tot.1_EG1</t>
  </si>
  <si>
    <t>egy.mit.ghg.ipr.tot.1_EG1</t>
  </si>
  <si>
    <t>Agriculture, GHG emissions (baseline)</t>
  </si>
  <si>
    <t>egy.mit.ghg.agr.tot.1</t>
  </si>
  <si>
    <t>egy.mit.ghg.agr.tot.1_EG1</t>
  </si>
  <si>
    <t>Waste GHG emissions (baseline)</t>
  </si>
  <si>
    <t>egy.mit.ghg.wst.tot.1</t>
  </si>
  <si>
    <t>egy.mit.ghg.wst.tot.1_EG1</t>
  </si>
  <si>
    <t>LULUCF, GHG emissions (baseline)</t>
  </si>
  <si>
    <t>egy.mit.ghg.lucf.tot.1</t>
  </si>
  <si>
    <t>egy.mit.ghg.lucf.tot.1_EG1</t>
  </si>
  <si>
    <t>Total CO2 emissions - baseline</t>
  </si>
  <si>
    <t>egy.mit.co2.tot.1_EG1</t>
  </si>
  <si>
    <t>mtco2</t>
  </si>
  <si>
    <t>egy.mit.co2.enr.tot.1_EG1</t>
  </si>
  <si>
    <t>Energy related CO2 emissions - Coal (baseline)</t>
  </si>
  <si>
    <t>egy.mit.co2.coa.1</t>
  </si>
  <si>
    <t>egy.mit.co2.coa.1_EG1</t>
  </si>
  <si>
    <t>Energy related CO2 emissions - Natural gas (baseline)</t>
  </si>
  <si>
    <t>egy.mit.co2.nga.1</t>
  </si>
  <si>
    <t>egy.mit.co2.nga.1_EG1</t>
  </si>
  <si>
    <t>Energy related CO2 emissions - Non-road oil (baseline)</t>
  </si>
  <si>
    <t>egy.mit.co2.oil.1</t>
  </si>
  <si>
    <t>egy.mit.co2.oil.1_EG1</t>
  </si>
  <si>
    <t>Energy related CO2 emissions  - Gasoline (baseline)</t>
  </si>
  <si>
    <t>egy.mit.co2.gso.1</t>
  </si>
  <si>
    <t>egy.mit.co2.gso.1_EG1</t>
  </si>
  <si>
    <t>Energy related CO2 emissions - Diesel (baseline)</t>
  </si>
  <si>
    <t>egy.mit.co2.die.1</t>
  </si>
  <si>
    <t>egy.mit.co2.die.1_EG1</t>
  </si>
  <si>
    <t>Energy related CO2 emissions - LPG (baseline)</t>
  </si>
  <si>
    <t>egy.mit.co2.lpg.1</t>
  </si>
  <si>
    <t>egy.mit.co2.lpg.1_EG1</t>
  </si>
  <si>
    <t>Energy related CO2 emissions - Kerosene (baseline)</t>
  </si>
  <si>
    <t>egy.mit.co2.ker.1</t>
  </si>
  <si>
    <t>egy.mit.co2.ker.1_EG1</t>
  </si>
  <si>
    <t>egy.mit.co2.pow.1_EG1</t>
  </si>
  <si>
    <t>egy.mit.co2.tra.1_EG1</t>
  </si>
  <si>
    <t>egy.mit.co2.res.1_EG1</t>
  </si>
  <si>
    <t>egy.mit.co2.ind.1_EG1</t>
  </si>
  <si>
    <t>Energy related CO2 emissions - Other (baseline)</t>
  </si>
  <si>
    <t>egy.mit.co2.oth.1</t>
  </si>
  <si>
    <t>egy.mit.co2.oth.1_EG1</t>
  </si>
  <si>
    <t>Total GHG emissions, exc. LULUCF (policy)</t>
  </si>
  <si>
    <t>egy.mit.ghg.tot.exc.2</t>
  </si>
  <si>
    <t>egy.mit.ghg.tot.exc.2_EG1</t>
  </si>
  <si>
    <t>egy.mit.ghg.tot.inc.2_EG1</t>
  </si>
  <si>
    <t>Energy-related GHG emissions (policy)</t>
  </si>
  <si>
    <t>egy.mit.ghg.enr.tot.2</t>
  </si>
  <si>
    <t>egy.mit.ghg.enr.tot.2_EG1</t>
  </si>
  <si>
    <t>egy.mit.ghg.ipr.tot.2_EG1</t>
  </si>
  <si>
    <t>Agriculture, GHG emissions (policy)</t>
  </si>
  <si>
    <t>egy.mit.ghg.agr.tot.2</t>
  </si>
  <si>
    <t>egy.mit.ghg.agr.tot.2_EG1</t>
  </si>
  <si>
    <t>LULUCF, GHG emissions (policy)</t>
  </si>
  <si>
    <t>egy.mit.ghg.lucf.tot.2</t>
  </si>
  <si>
    <t>egy.mit.ghg.lucf.tot.2_EG1</t>
  </si>
  <si>
    <t>Waste GHG emissions (policy)</t>
  </si>
  <si>
    <t>egy.mit.ghg.wst.tot.2</t>
  </si>
  <si>
    <t>egy.mit.ghg.wst.tot.2_EG1</t>
  </si>
  <si>
    <t>Total CO2 emissions - policy</t>
  </si>
  <si>
    <t>egy.mit.co2.tot.2_EG1</t>
  </si>
  <si>
    <t>egy.mit.co2.enr.tot.2_EG1</t>
  </si>
  <si>
    <t>Energy related CO2 emissions - Coal (policy)</t>
  </si>
  <si>
    <t>egy.mit.co2.coa.2</t>
  </si>
  <si>
    <t>egy.mit.co2.coa.2_EG1</t>
  </si>
  <si>
    <t>Energy related CO2 emissions - Natural gas (policy)</t>
  </si>
  <si>
    <t>egy.mit.co2.nga.2</t>
  </si>
  <si>
    <t>egy.mit.co2.nga.2_EG1</t>
  </si>
  <si>
    <t>Energy related CO2 emissions - Non-road oil (policy)</t>
  </si>
  <si>
    <t>egy.mit.co2.oil.2</t>
  </si>
  <si>
    <t>egy.mit.co2.oil.2_EG1</t>
  </si>
  <si>
    <t>Energy related CO2 emissions  - Gasoline (policy)</t>
  </si>
  <si>
    <t>egy.mit.co2.gso.2</t>
  </si>
  <si>
    <t>egy.mit.co2.gso.2_EG1</t>
  </si>
  <si>
    <t>Energy related CO2 emissions - Diesel (policy)</t>
  </si>
  <si>
    <t>egy.mit.co2.die.2</t>
  </si>
  <si>
    <t>egy.mit.co2.die.2_EG1</t>
  </si>
  <si>
    <t>Energy related CO2 emissions - LPG (policy)</t>
  </si>
  <si>
    <t>egy.mit.co2.lpg.2</t>
  </si>
  <si>
    <t>egy.mit.co2.lpg.2_EG1</t>
  </si>
  <si>
    <t>Energy related CO2 emissions - Kerosene (policy)</t>
  </si>
  <si>
    <t>egy.mit.co2.ker.2</t>
  </si>
  <si>
    <t>egy.mit.co2.ker.2_EG1</t>
  </si>
  <si>
    <t>egy.mit.co2.pow.2_EG1</t>
  </si>
  <si>
    <t>egy.mit.co2.tra.2_EG1</t>
  </si>
  <si>
    <t>egy.mit.co2.res.2_EG1</t>
  </si>
  <si>
    <t>egy.mit.co2.ind.2_EG1</t>
  </si>
  <si>
    <t>Energy related CO2 emissions - Other (policy)</t>
  </si>
  <si>
    <t>egy.mit.co2.oth.2</t>
  </si>
  <si>
    <t>egy.mit.co2.oth.2_EG1</t>
  </si>
  <si>
    <t>Change in CO2 emissions - (policy vs. baseline)</t>
  </si>
  <si>
    <t>egy.mit.co2.tot.red.pct</t>
  </si>
  <si>
    <t>egy.mit.co2.tot.red.pct_EG1</t>
  </si>
  <si>
    <t>co2red</t>
  </si>
  <si>
    <t>t</t>
  </si>
  <si>
    <t>Total GHG emissions, excl LULUCF - baseline</t>
  </si>
  <si>
    <t>egy.mit.ghg.tot.exc.fuel.1</t>
  </si>
  <si>
    <t>egy.mit.ghg.tot.exc.fuel.1_EG1</t>
  </si>
  <si>
    <t>Methane (CH4) - baseline</t>
  </si>
  <si>
    <t>egy.mit.ch4.tot.1</t>
  </si>
  <si>
    <t>egy.mit.ch4.tot.1_EG1</t>
  </si>
  <si>
    <t>Nitrous oxide (N2O) - baseline</t>
  </si>
  <si>
    <t>egy.mit.nox.tot.1</t>
  </si>
  <si>
    <t>egy.mit.nox.tot.1_EG1</t>
  </si>
  <si>
    <t>F-gases (PFCs, HFCs, SF6, NF3) - baseline</t>
  </si>
  <si>
    <t>egy.mit.fga.tot.1</t>
  </si>
  <si>
    <t>egy.mit.fga.tot.1_EG1</t>
  </si>
  <si>
    <t>Total GHG emissions, excl LULUCF - policy</t>
  </si>
  <si>
    <t>egy.mit.ghg.tot.exc.fuel.2</t>
  </si>
  <si>
    <t>egy.mit.ghg.tot.exc.fuel.2_EG1</t>
  </si>
  <si>
    <t>Methane (CH4) - policy</t>
  </si>
  <si>
    <t>egy.mit.ch4.tot.2</t>
  </si>
  <si>
    <t>egy.mit.ch4.tot.2_EG1</t>
  </si>
  <si>
    <t>Nitrous oxide (N2O) - policy</t>
  </si>
  <si>
    <t>egy.mit.nox.tot.2</t>
  </si>
  <si>
    <t>egy.mit.nox.tot.2_EG1</t>
  </si>
  <si>
    <t>F-gases (PFCs, HFCs, SF6, NF3) - policy</t>
  </si>
  <si>
    <t>egy.mit.fga.tot.2</t>
  </si>
  <si>
    <t>egy.mit.fga.tot.2_EG1</t>
  </si>
  <si>
    <t>Total methane, incl. LULUCF (baseline)</t>
  </si>
  <si>
    <t>egy.mit.ghg.tot.inc.ch4.1</t>
  </si>
  <si>
    <t>egy.mit.ghg.tot.inc.ch4.1_EG1</t>
  </si>
  <si>
    <t>Total methane, excl. LULUCF (baseline)</t>
  </si>
  <si>
    <t>egy.mit.ghg.tot.exc.ch4.1</t>
  </si>
  <si>
    <t>egy.mit.ghg.tot.exc.ch4.1_EG1</t>
  </si>
  <si>
    <t>Methane: energy (baseline)</t>
  </si>
  <si>
    <t>egy.mit.ghg.enr.ch4.1</t>
  </si>
  <si>
    <t>egy.mit.ghg.enr.ch4.1_EG1</t>
  </si>
  <si>
    <t>Methane: industrial processes (baseline)</t>
  </si>
  <si>
    <t>egy.mit.ghg.ipr.ch4.1</t>
  </si>
  <si>
    <t>egy.mit.ghg.ipr.ch4.1_EG1</t>
  </si>
  <si>
    <t>Methane: agriculture</t>
  </si>
  <si>
    <t>egy.mit.ghg.agr.ch4.1</t>
  </si>
  <si>
    <t>egy.mit.ghg.agr.ch4.1_EG1</t>
  </si>
  <si>
    <t>Methane: LULUCF (baseline)</t>
  </si>
  <si>
    <t>egy.mit.ghg.lucf.ch4.1</t>
  </si>
  <si>
    <t>egy.mit.ghg.lucf.ch4.1_EG1</t>
  </si>
  <si>
    <t>Methane: waste (baseline)</t>
  </si>
  <si>
    <t>egy.mit.ghg.wst.ch4.1</t>
  </si>
  <si>
    <t>egy.mit.ghg.wst.ch4.1_EG1</t>
  </si>
  <si>
    <t>Methane: other (baseline)</t>
  </si>
  <si>
    <t>egy.mit.ghg.oth.ch4.1</t>
  </si>
  <si>
    <t>egy.mit.ghg.oth.ch4.1_EG1</t>
  </si>
  <si>
    <t>Methane: memo energy distribution (baseline)</t>
  </si>
  <si>
    <t>egy.mit.ghg.fug.ch4.1</t>
  </si>
  <si>
    <t>egy.mit.ghg.fug.ch4.1_EG1</t>
  </si>
  <si>
    <t>Total methane, incl. LULUCF (policy)</t>
  </si>
  <si>
    <t>egy.mit.ghg.tot.inc.ch4.2</t>
  </si>
  <si>
    <t>egy.mit.ghg.tot.inc.ch4.2_EG1</t>
  </si>
  <si>
    <t>Total methane, excl. LULUCF (policy)</t>
  </si>
  <si>
    <t>egy.mit.ghg.tot.exc.ch4.2</t>
  </si>
  <si>
    <t>egy.mit.ghg.tot.exc.ch4.2_EG1</t>
  </si>
  <si>
    <t>Methane: energy (policy)</t>
  </si>
  <si>
    <t>egy.mit.ghg.enr.ch4.2</t>
  </si>
  <si>
    <t>egy.mit.ghg.enr.ch4.2_EG1</t>
  </si>
  <si>
    <t>Methane: industrial processes (policy)</t>
  </si>
  <si>
    <t>egy.mit.ghg.ipr.ch4.2</t>
  </si>
  <si>
    <t>egy.mit.ghg.ipr.ch4.2_EG1</t>
  </si>
  <si>
    <t>egy.mit.ghg.agr.ch4.2</t>
  </si>
  <si>
    <t>egy.mit.ghg.agr.ch4.2_EG1</t>
  </si>
  <si>
    <t>Methane: LULUCF (policy)</t>
  </si>
  <si>
    <t>egy.mit.ghg.lucf.ch4.2</t>
  </si>
  <si>
    <t>egy.mit.ghg.lucf.ch4.2_EG1</t>
  </si>
  <si>
    <t>Methane: waste (policy)</t>
  </si>
  <si>
    <t>egy.mit.ghg.wst.ch4.2</t>
  </si>
  <si>
    <t>egy.mit.ghg.wst.ch4.2_EG1</t>
  </si>
  <si>
    <t>Methane: other (policy)</t>
  </si>
  <si>
    <t>egy.mit.ghg.oth.ch4.2</t>
  </si>
  <si>
    <t>egy.mit.ghg.oth.ch4.2_EG1</t>
  </si>
  <si>
    <t>Methane: memo energy distribution (policy)</t>
  </si>
  <si>
    <t>egy.mit.ghg.fug.ch4.2</t>
  </si>
  <si>
    <t>egy.mit.ghg.fug.ch4.2_EG1</t>
  </si>
  <si>
    <t>GHG emissions, baseline (2018=100)</t>
  </si>
  <si>
    <t>egy.mit.ghg.index.1</t>
  </si>
  <si>
    <t>egy.mit.ghg.index.1_EG1</t>
  </si>
  <si>
    <t>index</t>
  </si>
  <si>
    <t>GHG emissions, policy (2018=100)</t>
  </si>
  <si>
    <t>egy.mit.ghg.index.2</t>
  </si>
  <si>
    <t>egy.mit.ghg.index.2_EG1</t>
  </si>
  <si>
    <t>Change in GHG emissions exc LULUCF - (policy vs. baseline)</t>
  </si>
  <si>
    <t>egy.mit.ghg.tot.inc.red.pct</t>
  </si>
  <si>
    <t>egy.mit.ghg.tot.inc.red.pct_EG1</t>
  </si>
  <si>
    <t>ghgchange</t>
  </si>
  <si>
    <t>NDC option</t>
  </si>
  <si>
    <t>egy.mit.ndc.option</t>
  </si>
  <si>
    <t>egy.mit.ndc.option_EG1</t>
  </si>
  <si>
    <t>ndcoption</t>
  </si>
  <si>
    <t>egy.mit.ndc.targetyear</t>
  </si>
  <si>
    <t>egy.mit.ndc.targetyear_EG1</t>
  </si>
  <si>
    <t>ndctargetyear</t>
  </si>
  <si>
    <t>NDC, description - long</t>
  </si>
  <si>
    <t>egy.mit.ndc.desc.lng</t>
  </si>
  <si>
    <t>egy.mit.ndc.desc.lng_EG1</t>
  </si>
  <si>
    <t>ndcdesclong</t>
  </si>
  <si>
    <t>NDC, description - short</t>
  </si>
  <si>
    <t>egy.mit.ndc.desc.sht</t>
  </si>
  <si>
    <t>egy.mit.ndc.desc.sht_EG1</t>
  </si>
  <si>
    <t>ndcdescshort</t>
  </si>
  <si>
    <t>NDC target: unconditional (2018=100)</t>
  </si>
  <si>
    <t>egy.mit.undc.index</t>
  </si>
  <si>
    <t>egy.mit.undc.index_EG1</t>
  </si>
  <si>
    <t>ndcunct</t>
  </si>
  <si>
    <t>NDC target: conditional (2018=100)</t>
  </si>
  <si>
    <t>egy.mit.cndc.index</t>
  </si>
  <si>
    <t>egy.mit.cndc.index_EG1</t>
  </si>
  <si>
    <t>ndccont</t>
  </si>
  <si>
    <t>Unconditional NDC, target level (mtCO2e)</t>
  </si>
  <si>
    <t>egy.mit.undc.trg.ton</t>
  </si>
  <si>
    <t>egy.mit.undc.trg.ton_EG1</t>
  </si>
  <si>
    <t>ndcunclevel</t>
  </si>
  <si>
    <t>ton</t>
  </si>
  <si>
    <t>Conditional NDC, target level (mtCO2e)</t>
  </si>
  <si>
    <t>egy.mit.cndc.trg.ton</t>
  </si>
  <si>
    <t>egy.mit.cndc.trg.ton_EG1</t>
  </si>
  <si>
    <t>ndcconlevel</t>
  </si>
  <si>
    <t>Unconditional NDC, reduction against the modelled baseline (% by 2030)</t>
  </si>
  <si>
    <t>egy.mit.undc.2030.pct</t>
  </si>
  <si>
    <t>egy.mit.undc.2030.pct_EG1</t>
  </si>
  <si>
    <t>undc</t>
  </si>
  <si>
    <t>pct</t>
  </si>
  <si>
    <t>Conditional NDC, reduction against the modelled baseline (% by 2030)</t>
  </si>
  <si>
    <t>egy.mit.cndc.2030.pct</t>
  </si>
  <si>
    <t>egy.mit.cndc.2030.pct_EG1</t>
  </si>
  <si>
    <t>cndc</t>
  </si>
  <si>
    <t>Average NDC, reduction against the modelled baseline (% by 2030)</t>
  </si>
  <si>
    <t>egy.mit.andc.2030.pct</t>
  </si>
  <si>
    <t>egy.mit.andc.2030.pct_EG1</t>
  </si>
  <si>
    <t>andc</t>
  </si>
  <si>
    <t>CO2 emissions intensity of output,cement (tCO2 per $m GVA)</t>
  </si>
  <si>
    <t>egy.mit.emin.cem</t>
  </si>
  <si>
    <t>egy.mit.emin.cem_EG1</t>
  </si>
  <si>
    <t>CO2 emissions intensity of output, iron/steel (tCO2 per $m GVA)</t>
  </si>
  <si>
    <t>egy.mit.emin.irn</t>
  </si>
  <si>
    <t>egy.mit.emin.irn_EG1</t>
  </si>
  <si>
    <t>CO2 emissions intensity of output, mining (tCO2 per $m GVA)</t>
  </si>
  <si>
    <t>egy.mit.emin.mch</t>
  </si>
  <si>
    <t>egy.mit.emin.mch_EG1</t>
  </si>
  <si>
    <t>CO2 emissions intensity of output, manufactures (tCO2 per $m GVA)</t>
  </si>
  <si>
    <t>egy.mit.emin.man</t>
  </si>
  <si>
    <t>egy.mit.emin.man_EG1</t>
  </si>
  <si>
    <t>CO2 emissions intensity of output, other metals (tCO2 per $m GVA)</t>
  </si>
  <si>
    <t>egy.mit.emin.oth</t>
  </si>
  <si>
    <t>egy.mit.emin.oth_EG1</t>
  </si>
  <si>
    <t>CO2 emissions intensity of output, food (tCO2 per $m GVA)</t>
  </si>
  <si>
    <t>egy.mit.emin.foo</t>
  </si>
  <si>
    <t>egy.mit.emin.foo_EG1</t>
  </si>
  <si>
    <t>CO2 emissions intensity of output, services (tCO2 per $m GVA)</t>
  </si>
  <si>
    <t>egy.mit.emin.srv</t>
  </si>
  <si>
    <t>egy.mit.emin.srv_EG1</t>
  </si>
  <si>
    <t>CO2 emissions intensity of output, machinery (tCO2 per $m GVA)</t>
  </si>
  <si>
    <t>egy.mit.emin.mac</t>
  </si>
  <si>
    <t>egy.mit.emin.mac_EG1</t>
  </si>
  <si>
    <t>CO2 emissions intensity of output, construction (tCO2 per $m GVA)</t>
  </si>
  <si>
    <t>egy.mit.emin.cst</t>
  </si>
  <si>
    <t>egy.mit.emin.cst_EG1</t>
  </si>
  <si>
    <t>CO2 emissions and GVA, fuel refining</t>
  </si>
  <si>
    <t>egy.mit.emin.ftr</t>
  </si>
  <si>
    <t>egy.mit.emin.ftr_EG1</t>
  </si>
  <si>
    <t>CO2 emissions and GVA, food</t>
  </si>
  <si>
    <t>CO2 emissions and GVA, mining</t>
  </si>
  <si>
    <t>CO2 emissions and GVA, manufactures</t>
  </si>
  <si>
    <t>CO2 emissions and GVA, cement</t>
  </si>
  <si>
    <t>CO2 emissions and GVA, iron/steel</t>
  </si>
  <si>
    <t>CO2 emissions and GVA, construction</t>
  </si>
  <si>
    <t>egy.mit.emin.con</t>
  </si>
  <si>
    <t>egy.mit.emin.con_EG1</t>
  </si>
  <si>
    <t>CO2 emissions and GVA, machinery</t>
  </si>
  <si>
    <t>CO2 emissions and GVA, other metals</t>
  </si>
  <si>
    <t>CO2 emissions and GVA, services</t>
  </si>
  <si>
    <t>Electricity ($/kwh)</t>
  </si>
  <si>
    <t>egy.mit.rp.all.ecy.wtd.1</t>
  </si>
  <si>
    <t>egy.mit.rp.all.ecy.wtd.1_EG1</t>
  </si>
  <si>
    <t>rp</t>
  </si>
  <si>
    <t>usdkwh</t>
  </si>
  <si>
    <t>Coal ($/GJ)</t>
  </si>
  <si>
    <t>egy.mit.rp.all.coa.wtd.1</t>
  </si>
  <si>
    <t>egy.mit.rp.all.coa.wtd.1_EG1</t>
  </si>
  <si>
    <t>usdgj</t>
  </si>
  <si>
    <t>Natural gas ($/GJ)</t>
  </si>
  <si>
    <t>egy.mit.rp.all.nga.wtd.1</t>
  </si>
  <si>
    <t>egy.mit.rp.all.nga.wtd.1_EG1</t>
  </si>
  <si>
    <t>Oil ($/bbl)</t>
  </si>
  <si>
    <t>egy.mit.rp.all.oil.wtd.1</t>
  </si>
  <si>
    <t>egy.mit.rp.all.oil.wtd.1_EG1</t>
  </si>
  <si>
    <t>bbusdl</t>
  </si>
  <si>
    <t>Gasoline ($/liter)</t>
  </si>
  <si>
    <t>egy.mit.rp.all.gso.wtd.1</t>
  </si>
  <si>
    <t>egy.mit.rp.all.gso.wtd.1_EG1</t>
  </si>
  <si>
    <t>usdl</t>
  </si>
  <si>
    <t>Diesel ($/liter)</t>
  </si>
  <si>
    <t>egy.mit.rp.all.die.wtd.1</t>
  </si>
  <si>
    <t>egy.mit.rp.all.die.wtd.1_EG1</t>
  </si>
  <si>
    <t>LPG ($/liter)</t>
  </si>
  <si>
    <t>egy.mit.rp.all.lpg.wtd.1</t>
  </si>
  <si>
    <t>egy.mit.rp.all.lpg.wtd.1_EG1</t>
  </si>
  <si>
    <t>Kerosene ($/liter)</t>
  </si>
  <si>
    <t>egy.mit.rp.all.ker.wtd.1</t>
  </si>
  <si>
    <t>egy.mit.rp.all.ker.wtd.1_EG1</t>
  </si>
  <si>
    <t>egy.mit.rp.all.ecy.wtd.2</t>
  </si>
  <si>
    <t>egy.mit.rp.all.ecy.wtd.2_EG1</t>
  </si>
  <si>
    <t>egy.mit.rp.coa.wtd.2</t>
  </si>
  <si>
    <t>egy.mit.rp.coa.wtd.2_EG1</t>
  </si>
  <si>
    <t>egy.mit.rp.nga.wtd.2</t>
  </si>
  <si>
    <t>egy.mit.rp.nga.wtd.2_EG1</t>
  </si>
  <si>
    <t>egy.mit.rp.oil.wtd.2</t>
  </si>
  <si>
    <t>egy.mit.rp.oil.wtd.2_EG1</t>
  </si>
  <si>
    <t>egy.mit.rp.gso.wtd.2</t>
  </si>
  <si>
    <t>egy.mit.rp.gso.wtd.2_EG1</t>
  </si>
  <si>
    <t>egy.mit.rp.die.wtd.2</t>
  </si>
  <si>
    <t>egy.mit.rp.die.wtd.2_EG1</t>
  </si>
  <si>
    <t>egy.mit.rp.lpg.wtd.2</t>
  </si>
  <si>
    <t>egy.mit.rp.lpg.wtd.2_EG1</t>
  </si>
  <si>
    <t>egy.mit.rp.ker.wtd.2</t>
  </si>
  <si>
    <t>egy.mit.rp.ker.wtd.2_EG1</t>
  </si>
  <si>
    <t>Electricity (% change)</t>
  </si>
  <si>
    <t>egy.mit.rp.all.ecy.pct.2</t>
  </si>
  <si>
    <t>egy.mit.rp.all.ecy.pct.2_EG1</t>
  </si>
  <si>
    <t>Coal (% change)</t>
  </si>
  <si>
    <t>egy.mit.rp.all.coa.pct.2</t>
  </si>
  <si>
    <t>egy.mit.rp.all.coa.pct.2_EG1</t>
  </si>
  <si>
    <t>Natural gas (% change)</t>
  </si>
  <si>
    <t>egy.mit.rp.all.nga.pct.2</t>
  </si>
  <si>
    <t>egy.mit.rp.all.nga.pct.2_EG1</t>
  </si>
  <si>
    <t>Oil (% change)</t>
  </si>
  <si>
    <t>egy.mit.rp.all.oil.pct.2</t>
  </si>
  <si>
    <t>egy.mit.rp.all.oil.pct.2_EG1</t>
  </si>
  <si>
    <t>Gasoline (% change)</t>
  </si>
  <si>
    <t>egy.mit.rp.all.gso.pct.2</t>
  </si>
  <si>
    <t>egy.mit.rp.all.gso.pct.2_EG1</t>
  </si>
  <si>
    <t>Diesel (% change)</t>
  </si>
  <si>
    <t>egy.mit.rp.all.die.pct.2</t>
  </si>
  <si>
    <t>egy.mit.rp.all.die.pct.2_EG1</t>
  </si>
  <si>
    <t>LPG (% change)</t>
  </si>
  <si>
    <t>egy.mit.rp.all.lpg.pct.2</t>
  </si>
  <si>
    <t>egy.mit.rp.all.lpg.pct.2_EG1</t>
  </si>
  <si>
    <t>Kerosene (% change)</t>
  </si>
  <si>
    <t>egy.mit.rp.all.ker.pct.2</t>
  </si>
  <si>
    <t>egy.mit.rp.all.ker.pct.2_EG1</t>
  </si>
  <si>
    <t>Implied economy-wide CO2 elasticity</t>
  </si>
  <si>
    <t>egy.mit.co2.ela.eco.2</t>
  </si>
  <si>
    <t>egy.mit.co2.ela.eco.2_EG1</t>
  </si>
  <si>
    <t>co2ela</t>
  </si>
  <si>
    <t>unitusdless</t>
  </si>
  <si>
    <t>Implied additional carbon price to achieve NDC (US$ per ton CO2)</t>
  </si>
  <si>
    <t>egy.mit.ndc.ecr.2</t>
  </si>
  <si>
    <t>egy.mit.ndc.ecr.2_EG1</t>
  </si>
  <si>
    <t>ndcerc</t>
  </si>
  <si>
    <t>Effective carbon rate - economy-wide (US$ per ton CO2)</t>
  </si>
  <si>
    <t>egy.mit.ecr.1</t>
  </si>
  <si>
    <t>egy.mit.ecr.1_EG1</t>
  </si>
  <si>
    <t>ecr</t>
  </si>
  <si>
    <t>egy.mit.ecr.2</t>
  </si>
  <si>
    <t>egy.mit.ecr.2_EG1</t>
  </si>
  <si>
    <t>Electricity retail price in industry, ($/kWh), baseline</t>
  </si>
  <si>
    <t>egy.mit.rp.ind.ecy.t.1</t>
  </si>
  <si>
    <t>egy.mit.rp.ind.ecy.t.1_EG1</t>
  </si>
  <si>
    <t>Electricity retail price in residential use, $/kWh (baseline)</t>
  </si>
  <si>
    <t>egy.mit.rp.res.ecy.t.1</t>
  </si>
  <si>
    <t>egy.mit.rp.res.ecy.t.1_EG1</t>
  </si>
  <si>
    <t>Coal retail price in industry, ($/GJ), baseline</t>
  </si>
  <si>
    <t>egy.mit.rp.ind.coa.a.1</t>
  </si>
  <si>
    <t>egy.mit.rp.ind.coa.a.1_EG1</t>
  </si>
  <si>
    <t>Natural gas retail price in industry, ($/GJ), baseline</t>
  </si>
  <si>
    <t>egy.mit.rp.ind.nga.a.1</t>
  </si>
  <si>
    <t>egy.mit.rp.ind.nga.a.1_EG1</t>
  </si>
  <si>
    <t>Coal retail price in residential use, ($/GJ), baseline</t>
  </si>
  <si>
    <t>egy.mit.rp.res.coa.a.1</t>
  </si>
  <si>
    <t>egy.mit.rp.res.coa.a.1_EG1</t>
  </si>
  <si>
    <t>Natural gas retail price in residential use, ($/GJ), baseline</t>
  </si>
  <si>
    <t>egy.mit.rp.res.nga.a.1</t>
  </si>
  <si>
    <t>egy.mit.rp.res.nga.a.1_EG1</t>
  </si>
  <si>
    <t>Coal retail price in power sector, ($/GJ), baseline</t>
  </si>
  <si>
    <t>egy.mit.rp.pow.coa.a.1</t>
  </si>
  <si>
    <t>egy.mit.rp.pow.coa.a.1_EG1</t>
  </si>
  <si>
    <t>Natural gas retail price in power sector ($/GJ), baseline</t>
  </si>
  <si>
    <t>egy.mit.rp.pow.nga.a.1</t>
  </si>
  <si>
    <t>egy.mit.rp.pow.nga.a.1_EG1</t>
  </si>
  <si>
    <t>Electricity retail price in industry, ($/kWh), policy</t>
  </si>
  <si>
    <t>egy.mit.rp.ind.ecy.t.2</t>
  </si>
  <si>
    <t>egy.mit.rp.ind.ecy.t.2_EG1</t>
  </si>
  <si>
    <t>Electricity retail price in residential use, ($/kWh), policy</t>
  </si>
  <si>
    <t>egy.mit.rp.res.ecy.t.2</t>
  </si>
  <si>
    <t>egy.mit.rp.res.ecy.t.2_EG1</t>
  </si>
  <si>
    <t>Coal retail price in industry, ($/GJ), policy</t>
  </si>
  <si>
    <t>egy.mit.rp.ind.coa.a.2</t>
  </si>
  <si>
    <t>egy.mit.rp.ind.coa.a.2_EG1</t>
  </si>
  <si>
    <t>Natural gas retail price in industry, ($/GJ), policy</t>
  </si>
  <si>
    <t>egy.mit.rp.ind.nga.a.2</t>
  </si>
  <si>
    <t>egy.mit.rp.ind.nga.a.2_EG1</t>
  </si>
  <si>
    <t>Coal retail price in residential use, ($/GJ), policy</t>
  </si>
  <si>
    <t>egy.mit.rp.res.coa.a.2</t>
  </si>
  <si>
    <t>egy.mit.rp.res.coa.a.2_EG1</t>
  </si>
  <si>
    <t>Natural gas retail price in residential use, ($/GJ), policy</t>
  </si>
  <si>
    <t>egy.mit.rp.res.nga.a.2</t>
  </si>
  <si>
    <t>egy.mit.rp.res.nga.a.2_EG1</t>
  </si>
  <si>
    <t>Coal retail price in power sector, ($/GJ), policy</t>
  </si>
  <si>
    <t>egy.mit.rp.pow.coa.a.2</t>
  </si>
  <si>
    <t>egy.mit.rp.pow.coa.a.2_EG1</t>
  </si>
  <si>
    <t>Natural gas retail price in power sector ($/GJ), policy</t>
  </si>
  <si>
    <t>egy.mit.rp.pow.nga.a.2</t>
  </si>
  <si>
    <t>egy.mit.rp.pow.nga.a.2_EG1</t>
  </si>
  <si>
    <t>Electricity supply costs in industry, $/kWh</t>
  </si>
  <si>
    <t>egy.mit.sup.cost.ecy.ind.1</t>
  </si>
  <si>
    <t>egy.mit.sup.cost.ecy.ind.1_EG1</t>
  </si>
  <si>
    <t>sup_cost</t>
  </si>
  <si>
    <t>Electricity supply costs in residential use, $/kWh</t>
  </si>
  <si>
    <t>egy.mit.sup.cost.ecy.res.2</t>
  </si>
  <si>
    <t>egy.mit.sup.cost.ecy.res.2_EG1</t>
  </si>
  <si>
    <t>Coal supply costs in industry, ($/GJ)</t>
  </si>
  <si>
    <t>egy.mit.sp.ind.coa.a.1</t>
  </si>
  <si>
    <t>egy.mit.sp.ind.coa.a.1_EG1</t>
  </si>
  <si>
    <t>sp</t>
  </si>
  <si>
    <t>Natural gas supply costs in industry, ($/GJ)</t>
  </si>
  <si>
    <t>egy.mit.sp.ind.nga.a.1</t>
  </si>
  <si>
    <t>egy.mit.sp.ind.nga.a.1_EG1</t>
  </si>
  <si>
    <t>Coal supply costs in residential use, ($/GJ)</t>
  </si>
  <si>
    <t>egy.mit.sp.res.coa.a.1</t>
  </si>
  <si>
    <t>egy.mit.sp.res.coa.a.1_EG1</t>
  </si>
  <si>
    <t>Natural gas supply costs in residential use, ($/GJ)</t>
  </si>
  <si>
    <t>egy.mit.sp.res.nga.a.1</t>
  </si>
  <si>
    <t>egy.mit.sp.res.nga.a.1_EG1</t>
  </si>
  <si>
    <t>Coal supply costs in power sector, ($/GJ)</t>
  </si>
  <si>
    <t>egy.mit.sp.pow.coa.a.1</t>
  </si>
  <si>
    <t>egy.mit.sp.pow.coa.a.1_EG1</t>
  </si>
  <si>
    <t>Natural gas supply costs in power sector ($/GJ)</t>
  </si>
  <si>
    <t>egy.mit.sp.pow.nga.a.1</t>
  </si>
  <si>
    <t>egy.mit.sp.pow.nga.a.1_EG1</t>
  </si>
  <si>
    <t>Oil  supply costs, ($/bbl)</t>
  </si>
  <si>
    <t>egy.mit.sp.all.oop.a.1</t>
  </si>
  <si>
    <t>egy.mit.sp.all.oop.a.1_EG1</t>
  </si>
  <si>
    <t>Gasoline supply costs, ($/liter)</t>
  </si>
  <si>
    <t>egy.mit.sp.all.gso.a.1</t>
  </si>
  <si>
    <t>egy.mit.sp.all.gso.a.1_EG1</t>
  </si>
  <si>
    <t>Diesel supply costs, ($/liter)</t>
  </si>
  <si>
    <t>egy.mit.sp.all.die.a.1</t>
  </si>
  <si>
    <t>egy.mit.sp.all.die.a.1_EG1</t>
  </si>
  <si>
    <t>LPG supply costs, ($/liter)</t>
  </si>
  <si>
    <t>egy.mit.sp.all.lpg.a.1</t>
  </si>
  <si>
    <t>egy.mit.sp.all.lpg.a.1_EG1</t>
  </si>
  <si>
    <t>Kerosene supply costs, ($/liter)</t>
  </si>
  <si>
    <t>egy.mit.sp.all.ker.a.1</t>
  </si>
  <si>
    <t>egy.mit.sp.all.ker.a.1_EG1</t>
  </si>
  <si>
    <t>Electricity, excise and other taxes in industry, ($/kWh)</t>
  </si>
  <si>
    <t>egy.mit.txo.ind.ecy.t.1</t>
  </si>
  <si>
    <t>egy.mit.txo.ind.ecy.t.1_EG1</t>
  </si>
  <si>
    <t>txo</t>
  </si>
  <si>
    <t>Electricity, excise and other taxes in residential use, ($/kWh)</t>
  </si>
  <si>
    <t>egy.mit.txo.res.ecy.t.1</t>
  </si>
  <si>
    <t>egy.mit.txo.res.ecy.t.1_EG1</t>
  </si>
  <si>
    <t>Coal, excise and other taxes in industry, ($/GJ)</t>
  </si>
  <si>
    <t>egy.mit.txo.ind.coa.a.1</t>
  </si>
  <si>
    <t>egy.mit.txo.ind.coa.a.1_EG1</t>
  </si>
  <si>
    <t>Natural gas, excise and other taxes in industry, ($/GJ)</t>
  </si>
  <si>
    <t>egy.mit.txo.ind.nga.a.1</t>
  </si>
  <si>
    <t>egy.mit.txo.ind.nga.a.1_EG1</t>
  </si>
  <si>
    <t>Coal, excise and other taxes in residential use, ($/GJ)</t>
  </si>
  <si>
    <t>egy.mit.txo.res.coa.a.1</t>
  </si>
  <si>
    <t>egy.mit.txo.res.coa.a.1_EG1</t>
  </si>
  <si>
    <t>Natural gas, excise and other taxes in residential use, ($/GJ)</t>
  </si>
  <si>
    <t>egy.mit.txo.res.nga.a.1</t>
  </si>
  <si>
    <t>egy.mit.txo.res.nga.a.1_EG1</t>
  </si>
  <si>
    <t>Coal, excise and other taxes in power, ($/GJ)</t>
  </si>
  <si>
    <t>egy.mit.txo.pow.coa.a.1</t>
  </si>
  <si>
    <t>egy.mit.txo.pow.coa.a.1_EG1</t>
  </si>
  <si>
    <t>Natural gas, excise and other taxes in power, ($/GJ)</t>
  </si>
  <si>
    <t>egy.mit.txo.pow.nga.a.1</t>
  </si>
  <si>
    <t>egy.mit.txo.pow.nga.a.1_EG1</t>
  </si>
  <si>
    <t>Oil, excise and other taxes , ($/bbl)</t>
  </si>
  <si>
    <t>egy.mit.txo.all.oop.a.1</t>
  </si>
  <si>
    <t>egy.mit.txo.all.oop.a.1_EG1</t>
  </si>
  <si>
    <t>Gasoline, excise and other taxes, ($/liter)</t>
  </si>
  <si>
    <t>egy.mit.txo.all.gso.a.1</t>
  </si>
  <si>
    <t>egy.mit.txo.all.gso.a.1_EG1</t>
  </si>
  <si>
    <t>Diesel, excise and other taxes, ($/liter)</t>
  </si>
  <si>
    <t>egy.mit.txo.all.die.a.1</t>
  </si>
  <si>
    <t>egy.mit.txo.all.die.a.1_EG1</t>
  </si>
  <si>
    <t>LPG, excise and other taxes, ($/liter)</t>
  </si>
  <si>
    <t>egy.mit.txo.all.lpg.a.1</t>
  </si>
  <si>
    <t>egy.mit.txo.all.lpg.a.1_EG1</t>
  </si>
  <si>
    <t>Kerosene, excise and other taxes, ($/liter)</t>
  </si>
  <si>
    <t>egy.mit.txo.all.ker.a.1</t>
  </si>
  <si>
    <t>egy.mit.txo.all.ker.a.1_EG1</t>
  </si>
  <si>
    <t>Electricity, VAT in industry, ($/kWh)</t>
  </si>
  <si>
    <t>egy.mit.vat.ind.ecy.t.1</t>
  </si>
  <si>
    <t>egy.mit.vat.ind.ecy.t.1_EG1</t>
  </si>
  <si>
    <t>c</t>
  </si>
  <si>
    <t>vat</t>
  </si>
  <si>
    <t>Electricity, VAT in residential use, ($/kWh)</t>
  </si>
  <si>
    <t>egy.mit.vat.res.ecy.t.1</t>
  </si>
  <si>
    <t>egy.mit.vat.res.ecy.t.1_EG1</t>
  </si>
  <si>
    <t>Coal, VAT in industry, ($/GJ)</t>
  </si>
  <si>
    <t>egy.mit.vat.ind.coa.a.1</t>
  </si>
  <si>
    <t>egy.mit.vat.ind.coa.a.1_EG1</t>
  </si>
  <si>
    <t>Natural gas, VAT in industry, ($/GJ)</t>
  </si>
  <si>
    <t>egy.mit.vat.ind.nga.a.1</t>
  </si>
  <si>
    <t>egy.mit.vat.ind.nga.a.1_EG1</t>
  </si>
  <si>
    <t>Coal, VAT in residential use, ($/GJ)</t>
  </si>
  <si>
    <t>egy.mit.vat.res.coa.a.1</t>
  </si>
  <si>
    <t>egy.mit.vat.res.coa.a.1_EG1</t>
  </si>
  <si>
    <t>Natural gas, VAT in residential use, ($/GJ)</t>
  </si>
  <si>
    <t>egy.mit.vat.res.nga.a.1</t>
  </si>
  <si>
    <t>egy.mit.vat.res.nga.a.1_EG1</t>
  </si>
  <si>
    <t>Coal, VAT in power sector, ($/GJ)</t>
  </si>
  <si>
    <t>egy.mit.vat.pow.coa.a.1</t>
  </si>
  <si>
    <t>egy.mit.vat.pow.coa.a.1_EG1</t>
  </si>
  <si>
    <t>Natural gas, VAT in power sector, ($/GJ)</t>
  </si>
  <si>
    <t>egy.mit.vat.pow.nga.a.1</t>
  </si>
  <si>
    <t>egy.mit.vat.pow.nga.a.1_EG1</t>
  </si>
  <si>
    <t>Oil, VAT, ($/bbl)</t>
  </si>
  <si>
    <t>egy.mit.vat.all.oop.a.1</t>
  </si>
  <si>
    <t>egy.mit.vat.all.oop.a.1_EG1</t>
  </si>
  <si>
    <t>Gasoline, VAT, ($/liter)</t>
  </si>
  <si>
    <t>egy.mit.vat.all.gso.a.1</t>
  </si>
  <si>
    <t>egy.mit.vat.all.gso.a.1_EG1</t>
  </si>
  <si>
    <t>Diesel, VAT, ($/liter)</t>
  </si>
  <si>
    <t>egy.mit.vat.all.die.a.1</t>
  </si>
  <si>
    <t>egy.mit.vat.all.die.a.1_EG1</t>
  </si>
  <si>
    <t>LPG, VAT, ($/liter)</t>
  </si>
  <si>
    <t>egy.mit.vat.all.lpg.a.1</t>
  </si>
  <si>
    <t>egy.mit.vat.all.lpg.a.1_EG1</t>
  </si>
  <si>
    <t>Kerosene, VAT, ($/liter)</t>
  </si>
  <si>
    <t>egy.mit.vat.all.ker.a.1</t>
  </si>
  <si>
    <t>egy.mit.vat.all.ker.a.1_EG1</t>
  </si>
  <si>
    <t>Electricity, Current Carbon Tax in industry, ($/kWh)</t>
  </si>
  <si>
    <t>egy.mit.ctx.ind.ecy.t.1</t>
  </si>
  <si>
    <t>egy.mit.ctx.ind.ecy.t.1_EG1</t>
  </si>
  <si>
    <t>Electricity, Current Carbon Tax in residential use, ($/kWh)</t>
  </si>
  <si>
    <t>egy.mit.ctx.res.ecy.t.1</t>
  </si>
  <si>
    <t>egy.mit.ctx.res.ecy.t.1_EG1</t>
  </si>
  <si>
    <t>Coal, Current Carbon Tax in industry, ($/GJ)</t>
  </si>
  <si>
    <t>egy.mit.ctx.ind.coa.a.1</t>
  </si>
  <si>
    <t>egy.mit.ctx.ind.coa.a.1_EG1</t>
  </si>
  <si>
    <t>Natural gas, Current Carbon Tax in industry, ($/GJ)</t>
  </si>
  <si>
    <t>egy.mit.ctx.ind.nga.a.1</t>
  </si>
  <si>
    <t>egy.mit.ctx.ind.nga.a.1_EG1</t>
  </si>
  <si>
    <t>Coal, Current Carbon Tax in residential use, ($/GJ)</t>
  </si>
  <si>
    <t>egy.mit.ctx.res.coa.a.1</t>
  </si>
  <si>
    <t>egy.mit.ctx.res.coa.a.1_EG1</t>
  </si>
  <si>
    <t>Natural gas, Current Carbon Tax in residential use, ($/GJ)</t>
  </si>
  <si>
    <t>egy.mit.ctx.res.nga.a.1</t>
  </si>
  <si>
    <t>egy.mit.ctx.res.nga.a.1_EG1</t>
  </si>
  <si>
    <t>Coal, Current Carbon Tax in power sector, ($/GJ)</t>
  </si>
  <si>
    <t>egy.mit.ctx.pow.coa.a.1</t>
  </si>
  <si>
    <t>egy.mit.ctx.pow.coa.a.1_EG1</t>
  </si>
  <si>
    <t>Natural gas, Current Carbon Tax in power sector, ($/GJ)</t>
  </si>
  <si>
    <t>egy.mit.ctx.pow.nga.a.1</t>
  </si>
  <si>
    <t>egy.mit.ctx.pow.nga.a.1_EG1</t>
  </si>
  <si>
    <t>Oil, Current Carbon Tax, ($/bbl)</t>
  </si>
  <si>
    <t>egy.mit.ctx.all.oop.a.1</t>
  </si>
  <si>
    <t>egy.mit.ctx.all.oop.a.1_EG1</t>
  </si>
  <si>
    <t>Gasoline, Current Carbon Tax, ($/liter)</t>
  </si>
  <si>
    <t>egy.mit.ctx.all.gso.a.1</t>
  </si>
  <si>
    <t>egy.mit.ctx.all.gso.a.1_EG1</t>
  </si>
  <si>
    <t>Diesel, Current Carbon Tax, ($/liter)</t>
  </si>
  <si>
    <t>egy.mit.ctx.all.die.a.1</t>
  </si>
  <si>
    <t>egy.mit.ctx.all.die.a.1_EG1</t>
  </si>
  <si>
    <t>LPG, Current Carbon Tax, ($/liter)</t>
  </si>
  <si>
    <t>egy.mit.ctx.all.lpg.a.1</t>
  </si>
  <si>
    <t>egy.mit.ctx.all.lpg.a.1_EG1</t>
  </si>
  <si>
    <t>Kerosene, Current Carbon Tax, ($/liter)</t>
  </si>
  <si>
    <t>egy.mit.ctx.all.ker.a.1</t>
  </si>
  <si>
    <t>egy.mit.ctx.all.ker.a.1_EG1</t>
  </si>
  <si>
    <t>Electricity, Current ETS in industry, ($/kWh)</t>
  </si>
  <si>
    <t>egy.mit.ets.ind.ecy.t.1</t>
  </si>
  <si>
    <t>egy.mit.ets.ind.ecy.t.1_EG1</t>
  </si>
  <si>
    <t>ets</t>
  </si>
  <si>
    <t>Electricity, Current ETS in residential use, ($/kWh)</t>
  </si>
  <si>
    <t>egy.mit.ets.res.ecy.t.1</t>
  </si>
  <si>
    <t>egy.mit.ets.res.ecy.t.1_EG1</t>
  </si>
  <si>
    <t>Coal, Current ETS in industry, ($/GJ)</t>
  </si>
  <si>
    <t>egy.mit.ets.ind.coa.a.1</t>
  </si>
  <si>
    <t>egy.mit.ets.ind.coa.a.1_EG1</t>
  </si>
  <si>
    <t>Natural gas, Current ETS in industry, ($/GJ)</t>
  </si>
  <si>
    <t>egy.mit.ets.ind.nga.a.1</t>
  </si>
  <si>
    <t>egy.mit.ets.ind.nga.a.1_EG1</t>
  </si>
  <si>
    <t>Coal, Current ETS in residential use, ($/GJ)</t>
  </si>
  <si>
    <t>egy.mit.ets.res.coa.a.1</t>
  </si>
  <si>
    <t>egy.mit.ets.res.coa.a.1_EG1</t>
  </si>
  <si>
    <t>Natural gas, Current ETS in residential use, ($/GJ)</t>
  </si>
  <si>
    <t>egy.mit.ets.res.nga.a.1</t>
  </si>
  <si>
    <t>egy.mit.ets.res.nga.a.1_EG1</t>
  </si>
  <si>
    <t>Coal, Current ETS in power sector, ($/GJ)</t>
  </si>
  <si>
    <t>egy.mit.ets.pow.coa.a.1</t>
  </si>
  <si>
    <t>egy.mit.ets.pow.coa.a.1_EG1</t>
  </si>
  <si>
    <t>Natural gas, Current ETS in power sector, ($/GJ)</t>
  </si>
  <si>
    <t>egy.mit.ets.pow.nga.a.1</t>
  </si>
  <si>
    <t>egy.mit.ets.pow.nga.a.1_EG1</t>
  </si>
  <si>
    <t>Oil, Current ETS, ($/bbl)</t>
  </si>
  <si>
    <t>egy.mit.ets.all.oop.a.1</t>
  </si>
  <si>
    <t>egy.mit.ets.all.oop.a.1_EG1</t>
  </si>
  <si>
    <t>Gasoline, Current ETS, ($/liter)</t>
  </si>
  <si>
    <t>egy.mit.ets.all.gso.a.1</t>
  </si>
  <si>
    <t>egy.mit.ets.all.gso.a.1_EG1</t>
  </si>
  <si>
    <t>Diesel, Current ETS, ($/liter)</t>
  </si>
  <si>
    <t>egy.mit.ets.all.die.a.1</t>
  </si>
  <si>
    <t>egy.mit.ets.all.die.a.1_EG1</t>
  </si>
  <si>
    <t>LPG, Current ETS, ($/liter)</t>
  </si>
  <si>
    <t>egy.mit.ets.all.lpg.a.1</t>
  </si>
  <si>
    <t>egy.mit.ets.all.lpg.a.1_EG1</t>
  </si>
  <si>
    <t>Kerosene, Current ETS, ($/liter)</t>
  </si>
  <si>
    <t>egy.mit.ets.all.ker.a.1</t>
  </si>
  <si>
    <t>egy.mit.ets.all.ker.a.1_EG1</t>
  </si>
  <si>
    <t>Baseline Total Carbon Price - coal</t>
  </si>
  <si>
    <t>egy.mit.tcp.all.coa.a.1</t>
  </si>
  <si>
    <t>egy.mit.tcp.all.coa.a.1_EG1</t>
  </si>
  <si>
    <t>tcp</t>
  </si>
  <si>
    <t>usd/tCO2</t>
  </si>
  <si>
    <t>Baseline Total Carbon Price - natural gas</t>
  </si>
  <si>
    <t>egy.mit.tcp.all.nga.a.1</t>
  </si>
  <si>
    <t>egy.mit.tcp.all.nga.a.1_EG1</t>
  </si>
  <si>
    <t>Baseline Total Carbon Price - gasoline</t>
  </si>
  <si>
    <t>egy.mit.tcp_csf.rod.gso.a.1</t>
  </si>
  <si>
    <t>egy.mit.tcp_csf.rod.gso.a.1_EG1</t>
  </si>
  <si>
    <t>Baseline Total Carbon Price - diesel</t>
  </si>
  <si>
    <t>egy.mit.tcp_csf.rod.die.a1</t>
  </si>
  <si>
    <t>egy.mit.tcp_csf.rod.die.a1_EG1</t>
  </si>
  <si>
    <t>Baseline Total Carbon Price - lpg</t>
  </si>
  <si>
    <t>egy.mit.tcp_csf.res.lpg.a.1</t>
  </si>
  <si>
    <t>egy.mit.tcp_csf.res.lpg.a.1_EG1</t>
  </si>
  <si>
    <t>Baseline Total Carbon Price - kerosene</t>
  </si>
  <si>
    <t>egy.mit.tcp_csf.all.ker.a.1</t>
  </si>
  <si>
    <t>egy.mit.tcp_csf.all.ker.a.1_EG1</t>
  </si>
  <si>
    <t>Baseline Total Carbon Price - other oil products</t>
  </si>
  <si>
    <t>egy.mit.tcp_csf.all.oop.a.1</t>
  </si>
  <si>
    <t>egy.mit.tcp_csf.all.oop.a.1_EG1</t>
  </si>
  <si>
    <t>Baseline Total Carbon Price</t>
  </si>
  <si>
    <t>egy.mit.tcp.all.all.a.1</t>
  </si>
  <si>
    <t>egy.mit.tcp.all.all.a.1_EG1</t>
  </si>
  <si>
    <t>Policy Total Carbon Price - coal</t>
  </si>
  <si>
    <t>egy.mit.tcp.all.coa.a.2</t>
  </si>
  <si>
    <t>egy.mit.tcp.all.coa.a.2_EG1</t>
  </si>
  <si>
    <t>Policy Total Carbon Price - natural gas</t>
  </si>
  <si>
    <t>egy.mit.tcp.all.nga.a.2</t>
  </si>
  <si>
    <t>egy.mit.tcp.all.nga.a.2_EG1</t>
  </si>
  <si>
    <t>Policy Total Carbon Price - gasoline</t>
  </si>
  <si>
    <t>egy.mit.tcp_csf.rod.gso.a.2</t>
  </si>
  <si>
    <t>egy.mit.tcp_csf.rod.gso.a.2_EG1</t>
  </si>
  <si>
    <t>Policy Total Carbon Price - diesel</t>
  </si>
  <si>
    <t>egy.mit.tcp_csf.rod.die.a2</t>
  </si>
  <si>
    <t>egy.mit.tcp_csf.rod.die.a2_EG1</t>
  </si>
  <si>
    <t>Policy Total Carbon Price - lpg</t>
  </si>
  <si>
    <t>egy.mit.tcp_csf.res.lpg.a.2</t>
  </si>
  <si>
    <t>egy.mit.tcp_csf.res.lpg.a.2_EG1</t>
  </si>
  <si>
    <t>Policy Total Carbon Price - kerosene</t>
  </si>
  <si>
    <t>egy.mit.tcp_csf.all.ker.a.2</t>
  </si>
  <si>
    <t>egy.mit.tcp_csf.all.ker.a.2_EG1</t>
  </si>
  <si>
    <t>Policy Total Carbon Price - other oil products</t>
  </si>
  <si>
    <t>egy.mit.tcp_csf.all.oop.a.2</t>
  </si>
  <si>
    <t>egy.mit.tcp_csf.all.oop.a.2_EG1</t>
  </si>
  <si>
    <t>Policy Total Carbon Price</t>
  </si>
  <si>
    <t>egy.mit.tcp.all.all.a.2</t>
  </si>
  <si>
    <t>egy.mit.tcp.all.all.a.2_EG1</t>
  </si>
  <si>
    <t>Gasoline - efficient price, gso, all</t>
  </si>
  <si>
    <t>egy.mit.eff.price.gso.all.2</t>
  </si>
  <si>
    <t>egy.mit.eff.price.gso.all.2_EG1</t>
  </si>
  <si>
    <t>eff_price</t>
  </si>
  <si>
    <t>usdliter</t>
  </si>
  <si>
    <t>Supply cost, gso, all</t>
  </si>
  <si>
    <t>egy.mit.sup.cost.gso.all.2</t>
  </si>
  <si>
    <t>egy.mit.sup.cost.gso.all.2_EG1</t>
  </si>
  <si>
    <t>Air pollution costs, gso, all</t>
  </si>
  <si>
    <t>egy.mit.airpol.cost.gso.all.2</t>
  </si>
  <si>
    <t>egy.mit.airpol.cost.gso.all.2_EG1</t>
  </si>
  <si>
    <t>airpol_cost</t>
  </si>
  <si>
    <t>Road accident costs, gso, all</t>
  </si>
  <si>
    <t>egy.mit.acc.cost.gso.all.2</t>
  </si>
  <si>
    <t>egy.mit.acc.cost.gso.all.2_EG1</t>
  </si>
  <si>
    <t>acc_cost</t>
  </si>
  <si>
    <t>Congestion costs, gso, all</t>
  </si>
  <si>
    <t>egy.mit.con.cost.gso.all.2</t>
  </si>
  <si>
    <t>egy.mit.con.cost.gso.all.2_EG1</t>
  </si>
  <si>
    <t>con_cost</t>
  </si>
  <si>
    <t>Road damage costs, gso, all</t>
  </si>
  <si>
    <t>egy.mit.rdm.cost.gso.all.2</t>
  </si>
  <si>
    <t>egy.mit.rdm.cost.gso.all.2_EG1</t>
  </si>
  <si>
    <t>rdm_cost</t>
  </si>
  <si>
    <t>Global warming costs (national), gso, all</t>
  </si>
  <si>
    <t>egy.mit.scc.cost.gso.all.2</t>
  </si>
  <si>
    <t>egy.mit.scc.cost.gso.all.2_EG1</t>
  </si>
  <si>
    <t>scc_cost</t>
  </si>
  <si>
    <t>Potential VAT (assuming general rate), gso, all</t>
  </si>
  <si>
    <t>egy.mit.vat.cost.gso.all.2</t>
  </si>
  <si>
    <t>egy.mit.vat.cost.gso.all.2_EG1</t>
  </si>
  <si>
    <t>vat_cost</t>
  </si>
  <si>
    <t>Retail price, gso, all</t>
  </si>
  <si>
    <t>egy.mit.rp.gso.all.2</t>
  </si>
  <si>
    <t>egy.mit.rp.gso.all.2_EG1</t>
  </si>
  <si>
    <t>rp_gso</t>
  </si>
  <si>
    <t>Tax gap, gso, all</t>
  </si>
  <si>
    <t>egy.mit.tgap.gso.all.2</t>
  </si>
  <si>
    <t>egy.mit.tgap.gso.all.2_EG1</t>
  </si>
  <si>
    <t>tgap_gso</t>
  </si>
  <si>
    <t>Baseline excises and other taxes, gso, all</t>
  </si>
  <si>
    <t>Baseline excises and other taxes - CO2 equivalent, gso, all</t>
  </si>
  <si>
    <t>egy.mit.txo.co2e.gso.all.1</t>
  </si>
  <si>
    <t>egy.mit.txo.co2e.gso.all.1_EG1</t>
  </si>
  <si>
    <t>txo_co2e</t>
  </si>
  <si>
    <t>usdtonco2</t>
  </si>
  <si>
    <t>Pigouvian tax, gso, all</t>
  </si>
  <si>
    <t>egy.mit.pig.gso.all.2</t>
  </si>
  <si>
    <t>egy.mit.pig.gso.all.2_EG1</t>
  </si>
  <si>
    <t>pig_gso</t>
  </si>
  <si>
    <t>Pigouvian tax CO2 equivalent, gso, all</t>
  </si>
  <si>
    <t>egy.mit.pig.co2e.gso.all.2</t>
  </si>
  <si>
    <t>egy.mit.pig.co2e.gso.all.2_EG1</t>
  </si>
  <si>
    <t>pig_co2e</t>
  </si>
  <si>
    <t>Diesel - efficient price, die, all</t>
  </si>
  <si>
    <t>egy.mit.eff.price.die.all.2</t>
  </si>
  <si>
    <t>egy.mit.eff.price.die.all.2_EG1</t>
  </si>
  <si>
    <t>Supply cost, die, all</t>
  </si>
  <si>
    <t>egy.mit.sup.cost.die.all.2</t>
  </si>
  <si>
    <t>egy.mit.sup.cost.die.all.2_EG1</t>
  </si>
  <si>
    <t>Air pollution costs, die, all</t>
  </si>
  <si>
    <t>egy.mit.airpol.cost.die.all.2</t>
  </si>
  <si>
    <t>egy.mit.airpol.cost.die.all.2_EG1</t>
  </si>
  <si>
    <t>Road accident costs, die, all</t>
  </si>
  <si>
    <t>egy.mit.acc.cost.die.all.2</t>
  </si>
  <si>
    <t>egy.mit.acc.cost.die.all.2_EG1</t>
  </si>
  <si>
    <t>Congestion costs, die, all</t>
  </si>
  <si>
    <t>egy.mit.con.cost.die.all.2</t>
  </si>
  <si>
    <t>egy.mit.con.cost.die.all.2_EG1</t>
  </si>
  <si>
    <t>Road damage costs, die, all</t>
  </si>
  <si>
    <t>egy.mit.rdm.cost.die.all.2</t>
  </si>
  <si>
    <t>egy.mit.rdm.cost.die.all.2_EG1</t>
  </si>
  <si>
    <t>Global warming costs (national), die, all</t>
  </si>
  <si>
    <t>egy.mit.scc.cost.die.all.2</t>
  </si>
  <si>
    <t>egy.mit.scc.cost.die.all.2_EG1</t>
  </si>
  <si>
    <t>Potential VAT (assuming general rate), die, all</t>
  </si>
  <si>
    <t>egy.mit.vat.cost.die.all.2</t>
  </si>
  <si>
    <t>egy.mit.vat.cost.die.all.2_EG1</t>
  </si>
  <si>
    <t>Retail price, die, all</t>
  </si>
  <si>
    <t>egy.mit.rp.die.all.2</t>
  </si>
  <si>
    <t>egy.mit.rp.die.all.2_EG1</t>
  </si>
  <si>
    <t>rp_die</t>
  </si>
  <si>
    <t>Tax gap, die, all</t>
  </si>
  <si>
    <t>egy.mit.tgap.die.all.2</t>
  </si>
  <si>
    <t>egy.mit.tgap.die.all.2_EG1</t>
  </si>
  <si>
    <t>tgap_die</t>
  </si>
  <si>
    <t>Baseline excises and other taxes, die, all</t>
  </si>
  <si>
    <t>Baseline excises and other taxes - CO2 equivalent, die, all</t>
  </si>
  <si>
    <t>egy.mit.txo.co2e.die.all.1</t>
  </si>
  <si>
    <t>egy.mit.txo.co2e.die.all.1_EG1</t>
  </si>
  <si>
    <t>Pigouvian tax, die, all</t>
  </si>
  <si>
    <t>egy.mit.pig.die.all.2</t>
  </si>
  <si>
    <t>egy.mit.pig.die.all.2_EG1</t>
  </si>
  <si>
    <t>pig_die</t>
  </si>
  <si>
    <t>Pigouvian tax CO2 equivalent, die, all</t>
  </si>
  <si>
    <t>egy.mit.pig.co2e.die.all.2</t>
  </si>
  <si>
    <t>egy.mit.pig.co2e.die.all.2_EG1</t>
  </si>
  <si>
    <t>LPG - efficient price, lpg, all</t>
  </si>
  <si>
    <t>egy.mit.eff.price.lpg.all.2</t>
  </si>
  <si>
    <t>egy.mit.eff.price.lpg.all.2_EG1</t>
  </si>
  <si>
    <t>Supply cost, lpg, all</t>
  </si>
  <si>
    <t>egy.mit.sup.cost.lpg.all.2</t>
  </si>
  <si>
    <t>egy.mit.sup.cost.lpg.all.2_EG1</t>
  </si>
  <si>
    <t>Air pollution costs, lpg, all</t>
  </si>
  <si>
    <t>egy.mit.airpol.cost.lpg.all.2</t>
  </si>
  <si>
    <t>egy.mit.airpol.cost.lpg.all.2_EG1</t>
  </si>
  <si>
    <t>Global warming costs (national), lpg, all</t>
  </si>
  <si>
    <t>egy.mit.scc.cost.lpg.all.2</t>
  </si>
  <si>
    <t>egy.mit.scc.cost.lpg.all.2_EG1</t>
  </si>
  <si>
    <t>Potential VAT (assuming general rate), lpg, all</t>
  </si>
  <si>
    <t>egy.mit.vat.cost.lpg.all.2</t>
  </si>
  <si>
    <t>egy.mit.vat.cost.lpg.all.2_EG1</t>
  </si>
  <si>
    <t>Retail price, lpg, all</t>
  </si>
  <si>
    <t>egy.mit.rp.lpg.all.2</t>
  </si>
  <si>
    <t>egy.mit.rp.lpg.all.2_EG1</t>
  </si>
  <si>
    <t>rp_lpg</t>
  </si>
  <si>
    <t>Tax gap, lpg, all</t>
  </si>
  <si>
    <t>egy.mit.tgap.lpg.all.2</t>
  </si>
  <si>
    <t>egy.mit.tgap.lpg.all.2_EG1</t>
  </si>
  <si>
    <t>tgap_lpg</t>
  </si>
  <si>
    <t>Baseline excises and other taxes, lpg, all</t>
  </si>
  <si>
    <t>Baseline excises and other taxes - CO2 equivalent, lpg, all</t>
  </si>
  <si>
    <t>egy.mit.txo.co2e.lpg.all.1</t>
  </si>
  <si>
    <t>egy.mit.txo.co2e.lpg.all.1_EG1</t>
  </si>
  <si>
    <t>Pigouvian tax, lpg, all</t>
  </si>
  <si>
    <t>egy.mit.pig.lpg.all.2</t>
  </si>
  <si>
    <t>egy.mit.pig.lpg.all.2_EG1</t>
  </si>
  <si>
    <t>pig_lpg</t>
  </si>
  <si>
    <t>Pigouvian tax CO2 equivalent, lpg, all</t>
  </si>
  <si>
    <t>egy.mit.pig.co2e.lpg.all.2</t>
  </si>
  <si>
    <t>egy.mit.pig.co2e.lpg.all.2_EG1</t>
  </si>
  <si>
    <t>Kerosene - efficient price, ker, all</t>
  </si>
  <si>
    <t>egy.mit.eff.price.ker.all.2</t>
  </si>
  <si>
    <t>egy.mit.eff.price.ker.all.2_EG1</t>
  </si>
  <si>
    <t>Supply cost, ker, all</t>
  </si>
  <si>
    <t>egy.mit.sup.cost.ker.all.2</t>
  </si>
  <si>
    <t>egy.mit.sup.cost.ker.all.2_EG1</t>
  </si>
  <si>
    <t>Air pollution costs, ker, all</t>
  </si>
  <si>
    <t>egy.mit.airpol.cost.ker.all.2</t>
  </si>
  <si>
    <t>egy.mit.airpol.cost.ker.all.2_EG1</t>
  </si>
  <si>
    <t>Global warming costs (national), ker, all</t>
  </si>
  <si>
    <t>egy.mit.scc.cost.ker.all.2</t>
  </si>
  <si>
    <t>egy.mit.scc.cost.ker.all.2_EG1</t>
  </si>
  <si>
    <t>Potential VAT (assuming general rate), ker, all</t>
  </si>
  <si>
    <t>egy.mit.vat.cost.ker.all.2</t>
  </si>
  <si>
    <t>egy.mit.vat.cost.ker.all.2_EG1</t>
  </si>
  <si>
    <t>Retail price, ker, all</t>
  </si>
  <si>
    <t>egy.mit.rp.ker.all.2</t>
  </si>
  <si>
    <t>egy.mit.rp.ker.all.2_EG1</t>
  </si>
  <si>
    <t>rp_ker</t>
  </si>
  <si>
    <t>Tax gap, ker, all</t>
  </si>
  <si>
    <t>egy.mit.tgap.ker.all.2</t>
  </si>
  <si>
    <t>egy.mit.tgap.ker.all.2_EG1</t>
  </si>
  <si>
    <t>tgap_ker</t>
  </si>
  <si>
    <t>Baseline excises and other taxes, ker, all</t>
  </si>
  <si>
    <t>Baseline excises and other taxes - CO2 equivalent, ker, all</t>
  </si>
  <si>
    <t>egy.mit.txo.co2e.ker.all.1</t>
  </si>
  <si>
    <t>egy.mit.txo.co2e.ker.all.1_EG1</t>
  </si>
  <si>
    <t>Pigouvian tax, ker, all</t>
  </si>
  <si>
    <t>egy.mit.pig.ker.all.2</t>
  </si>
  <si>
    <t>egy.mit.pig.ker.all.2_EG1</t>
  </si>
  <si>
    <t>pig_ker</t>
  </si>
  <si>
    <t>Pigouvian tax CO2 equivalent, ker, all</t>
  </si>
  <si>
    <t>egy.mit.pig.co2e.ker.all.2</t>
  </si>
  <si>
    <t>egy.mit.pig.co2e.ker.all.2_EG1</t>
  </si>
  <si>
    <t>Coal in industry - efficient price, coa, ind</t>
  </si>
  <si>
    <t>egy.mit.eff.price.coa.ind.2</t>
  </si>
  <si>
    <t>egy.mit.eff.price.coa.ind.2_EG1</t>
  </si>
  <si>
    <t>usdGJ</t>
  </si>
  <si>
    <t>Supply cost, coa, ind</t>
  </si>
  <si>
    <t>egy.mit.sup.cost.coa.ind.2</t>
  </si>
  <si>
    <t>egy.mit.sup.cost.coa.ind.2_EG1</t>
  </si>
  <si>
    <t>Air pollution costs, coa, ind</t>
  </si>
  <si>
    <t>egy.mit.airpol.cost.coa.ind.2</t>
  </si>
  <si>
    <t>egy.mit.airpol.cost.coa.ind.2_EG1</t>
  </si>
  <si>
    <t>Global warming costs (national), coa, ind</t>
  </si>
  <si>
    <t>egy.mit.scc.cost.coa.ind.2</t>
  </si>
  <si>
    <t>egy.mit.scc.cost.coa.ind.2_EG1</t>
  </si>
  <si>
    <t>Potential VAT (assuming general rate), coa, ind</t>
  </si>
  <si>
    <t>egy.mit.vat.cost.coa.ind.2</t>
  </si>
  <si>
    <t>egy.mit.vat.cost.coa.ind.2_EG1</t>
  </si>
  <si>
    <t>Retail price, coa, ind</t>
  </si>
  <si>
    <t>egy.mit.rp.coa.ind.2</t>
  </si>
  <si>
    <t>egy.mit.rp.coa.ind.2_EG1</t>
  </si>
  <si>
    <t>rp_coa</t>
  </si>
  <si>
    <t>Tax gap, coa, ind</t>
  </si>
  <si>
    <t>egy.mit.tgap.coa.ind.2</t>
  </si>
  <si>
    <t>egy.mit.tgap.coa.ind.2_EG1</t>
  </si>
  <si>
    <t>tgap_coa</t>
  </si>
  <si>
    <t>Baseline excises and other taxes, coa, ind</t>
  </si>
  <si>
    <t>txo_ind</t>
  </si>
  <si>
    <t>Baseline excises and other taxes - CO2 equivalent, coa, ind</t>
  </si>
  <si>
    <t>egy.mit.txo.co2e.coa.ind.1</t>
  </si>
  <si>
    <t>egy.mit.txo.co2e.coa.ind.1_EG1</t>
  </si>
  <si>
    <t>Pigouvian tax, coa, ind</t>
  </si>
  <si>
    <t>egy.mit.pig.coa.ind.2</t>
  </si>
  <si>
    <t>egy.mit.pig.coa.ind.2_EG1</t>
  </si>
  <si>
    <t>pig_coa</t>
  </si>
  <si>
    <t>Pigouvian tax CO2 equivalent, coa, ind</t>
  </si>
  <si>
    <t>egy.mit.pig.co2e.coa.ind.2</t>
  </si>
  <si>
    <t>egy.mit.pig.co2e.coa.ind.2_EG1</t>
  </si>
  <si>
    <t>Coal in residential - efficient price, coa, res</t>
  </si>
  <si>
    <t>egy.mit.eff.price.coa.res.2</t>
  </si>
  <si>
    <t>egy.mit.eff.price.coa.res.2_EG1</t>
  </si>
  <si>
    <t>Supply cost, coa, res</t>
  </si>
  <si>
    <t>egy.mit.sup.cost.coa.res.2</t>
  </si>
  <si>
    <t>egy.mit.sup.cost.coa.res.2_EG1</t>
  </si>
  <si>
    <t>Air pollution costs, coa, res</t>
  </si>
  <si>
    <t>egy.mit.airpol.cost.coa.res.2</t>
  </si>
  <si>
    <t>egy.mit.airpol.cost.coa.res.2_EG1</t>
  </si>
  <si>
    <t>Global warming costs (national), coa, res</t>
  </si>
  <si>
    <t>egy.mit.scc.cost.coa.res.2</t>
  </si>
  <si>
    <t>egy.mit.scc.cost.coa.res.2_EG1</t>
  </si>
  <si>
    <t>Potential VAT (assuming general rate), coa, res</t>
  </si>
  <si>
    <t>egy.mit.vat.cost.coa.res.2</t>
  </si>
  <si>
    <t>egy.mit.vat.cost.coa.res.2_EG1</t>
  </si>
  <si>
    <t>Retail price, coa, res</t>
  </si>
  <si>
    <t>egy.mit.rp.coa.res.2</t>
  </si>
  <si>
    <t>egy.mit.rp.coa.res.2_EG1</t>
  </si>
  <si>
    <t>Tax gap, coa, res</t>
  </si>
  <si>
    <t>egy.mit.tgap.coa.res.2</t>
  </si>
  <si>
    <t>egy.mit.tgap.coa.res.2_EG1</t>
  </si>
  <si>
    <t>Baseline excises and other taxes, coa, res</t>
  </si>
  <si>
    <t>txo_res</t>
  </si>
  <si>
    <t>Baseline excises and other taxes - CO2 equivalent, coa, res</t>
  </si>
  <si>
    <t>egy.mit.txo.co2e.coa.res.1</t>
  </si>
  <si>
    <t>egy.mit.txo.co2e.coa.res.1_EG1</t>
  </si>
  <si>
    <t>Pigouvian tax, coa, res</t>
  </si>
  <si>
    <t>egy.mit.pig.coa.res.2</t>
  </si>
  <si>
    <t>egy.mit.pig.coa.res.2_EG1</t>
  </si>
  <si>
    <t>Pigouvian tax CO2 equivalent, coa, res</t>
  </si>
  <si>
    <t>egy.mit.pig.co2e.coa.res.2</t>
  </si>
  <si>
    <t>egy.mit.pig.co2e.coa.res.2_EG1</t>
  </si>
  <si>
    <t>Coal in power - efficient price, coa, pow</t>
  </si>
  <si>
    <t>egy.mit.eff.price.coa.pow.2</t>
  </si>
  <si>
    <t>egy.mit.eff.price.coa.pow.2_EG1</t>
  </si>
  <si>
    <t>Supply cost, coa, pow</t>
  </si>
  <si>
    <t>egy.mit.sup.cost.coa.pow.2</t>
  </si>
  <si>
    <t>egy.mit.sup.cost.coa.pow.2_EG1</t>
  </si>
  <si>
    <t>Air pollution costs, coa, pow</t>
  </si>
  <si>
    <t>egy.mit.airpol.cost.coa.pow.2</t>
  </si>
  <si>
    <t>egy.mit.airpol.cost.coa.pow.2_EG1</t>
  </si>
  <si>
    <t>Global warming costs (national), coa, pow</t>
  </si>
  <si>
    <t>egy.mit.scc.cost.coa.pow.2</t>
  </si>
  <si>
    <t>egy.mit.scc.cost.coa.pow.2_EG1</t>
  </si>
  <si>
    <t>Potential VAT (assuming general rate), coa, pow</t>
  </si>
  <si>
    <t>egy.mit.vat.cost.coa.pow.2</t>
  </si>
  <si>
    <t>egy.mit.vat.cost.coa.pow.2_EG1</t>
  </si>
  <si>
    <t>Retail price, coa, pow</t>
  </si>
  <si>
    <t>egy.mit.rp.coa.pow.2</t>
  </si>
  <si>
    <t>egy.mit.rp.coa.pow.2_EG1</t>
  </si>
  <si>
    <t>Tax gap, coa, pow</t>
  </si>
  <si>
    <t>egy.mit.tgap.coa.pow.2</t>
  </si>
  <si>
    <t>egy.mit.tgap.coa.pow.2_EG1</t>
  </si>
  <si>
    <t>Baseline excises and other taxes, coa, pow</t>
  </si>
  <si>
    <t>txo_pow</t>
  </si>
  <si>
    <t>Baseline excises and other taxes - CO2 equivalent, coa, pow</t>
  </si>
  <si>
    <t>egy.mit.txo.co2e.coa.pow.1</t>
  </si>
  <si>
    <t>egy.mit.txo.co2e.coa.pow.1_EG1</t>
  </si>
  <si>
    <t>Pigouvian tax, coa, pow</t>
  </si>
  <si>
    <t>egy.mit.pig.coa.pow.2</t>
  </si>
  <si>
    <t>egy.mit.pig.coa.pow.2_EG1</t>
  </si>
  <si>
    <t>Pigouvian tax CO2 equivalent, coa, pow</t>
  </si>
  <si>
    <t>egy.mit.pig.co2e.coa.pow.2</t>
  </si>
  <si>
    <t>egy.mit.pig.co2e.coa.pow.2_EG1</t>
  </si>
  <si>
    <t>Natural gas in industry - efficient price, nga, ind</t>
  </si>
  <si>
    <t>egy.mit.eff.price.nga.ind.2</t>
  </si>
  <si>
    <t>egy.mit.eff.price.nga.ind.2_EG1</t>
  </si>
  <si>
    <t>Supply cost, nga, ind</t>
  </si>
  <si>
    <t>egy.mit.sup.cost.nga.ind.2</t>
  </si>
  <si>
    <t>egy.mit.sup.cost.nga.ind.2_EG1</t>
  </si>
  <si>
    <t>Air pollution costs, nga, ind</t>
  </si>
  <si>
    <t>egy.mit.airpol.cost.nga.ind.2</t>
  </si>
  <si>
    <t>egy.mit.airpol.cost.nga.ind.2_EG1</t>
  </si>
  <si>
    <t>Global warming costs (national), nga, ind</t>
  </si>
  <si>
    <t>egy.mit.scc.cost.nga.ind.2</t>
  </si>
  <si>
    <t>egy.mit.scc.cost.nga.ind.2_EG1</t>
  </si>
  <si>
    <t>Potential VAT (assuming general rate), nga, ind</t>
  </si>
  <si>
    <t>egy.mit.vat.cost.nga.ind.2</t>
  </si>
  <si>
    <t>egy.mit.vat.cost.nga.ind.2_EG1</t>
  </si>
  <si>
    <t>Retail price, nga, ind</t>
  </si>
  <si>
    <t>egy.mit.rp.nga.ind.2</t>
  </si>
  <si>
    <t>egy.mit.rp.nga.ind.2_EG1</t>
  </si>
  <si>
    <t>rp_nga</t>
  </si>
  <si>
    <t>Tax gap, nga, ind</t>
  </si>
  <si>
    <t>egy.mit.tgap.nga.ind.2</t>
  </si>
  <si>
    <t>egy.mit.tgap.nga.ind.2_EG1</t>
  </si>
  <si>
    <t>tgap_nga</t>
  </si>
  <si>
    <t>Baseline excises and other taxes, nga, ind</t>
  </si>
  <si>
    <t>Baseline excises and other taxes - CO2 equivalent, nga, ind</t>
  </si>
  <si>
    <t>egy.mit.txo.co2e.nga.ind.1</t>
  </si>
  <si>
    <t>egy.mit.txo.co2e.nga.ind.1_EG1</t>
  </si>
  <si>
    <t>Pigouvian tax, nga, ind</t>
  </si>
  <si>
    <t>egy.mit.pig.nga.ind.2</t>
  </si>
  <si>
    <t>egy.mit.pig.nga.ind.2_EG1</t>
  </si>
  <si>
    <t>pig_nga</t>
  </si>
  <si>
    <t>Pigouvian tax CO2 equivalent, nga, ind</t>
  </si>
  <si>
    <t>egy.mit.pig.co2e.nga.ind.2</t>
  </si>
  <si>
    <t>egy.mit.pig.co2e.nga.ind.2_EG1</t>
  </si>
  <si>
    <t>Natural gas in residential - efficient price, nga, res</t>
  </si>
  <si>
    <t>egy.mit.eff.price.nga.res.2</t>
  </si>
  <si>
    <t>egy.mit.eff.price.nga.res.2_EG1</t>
  </si>
  <si>
    <t>Supply cost, nga, res</t>
  </si>
  <si>
    <t>egy.mit.sup.cost.nga.res.2</t>
  </si>
  <si>
    <t>egy.mit.sup.cost.nga.res.2_EG1</t>
  </si>
  <si>
    <t>Air pollution costs, nga, res</t>
  </si>
  <si>
    <t>egy.mit.airpol.cost.nga.res.2</t>
  </si>
  <si>
    <t>egy.mit.airpol.cost.nga.res.2_EG1</t>
  </si>
  <si>
    <t>Global warming costs (national), nga, res</t>
  </si>
  <si>
    <t>egy.mit.scc.cost.nga.res.2</t>
  </si>
  <si>
    <t>egy.mit.scc.cost.nga.res.2_EG1</t>
  </si>
  <si>
    <t>Potential VAT (assuming general rate), nga, res</t>
  </si>
  <si>
    <t>egy.mit.vat.cost.nga.res.2</t>
  </si>
  <si>
    <t>egy.mit.vat.cost.nga.res.2_EG1</t>
  </si>
  <si>
    <t>Retail price, nga, res</t>
  </si>
  <si>
    <t>egy.mit.rp.nga.res.2</t>
  </si>
  <si>
    <t>egy.mit.rp.nga.res.2_EG1</t>
  </si>
  <si>
    <t>Tax gap, nga, res</t>
  </si>
  <si>
    <t>egy.mit.tgap.nga.res.2</t>
  </si>
  <si>
    <t>egy.mit.tgap.nga.res.2_EG1</t>
  </si>
  <si>
    <t>Baseline excises and other taxes, nga, res</t>
  </si>
  <si>
    <t>Baseline excises and other taxes - CO2 equivalent, nga, res</t>
  </si>
  <si>
    <t>egy.mit.txo.co2e.nga.res.1</t>
  </si>
  <si>
    <t>egy.mit.txo.co2e.nga.res.1_EG1</t>
  </si>
  <si>
    <t>Pigouvian tax, nga, res</t>
  </si>
  <si>
    <t>egy.mit.pig.nga.res.2</t>
  </si>
  <si>
    <t>egy.mit.pig.nga.res.2_EG1</t>
  </si>
  <si>
    <t>Pigouvian tax CO2 equivalent, nga, res</t>
  </si>
  <si>
    <t>egy.mit.pig.co2e.nga.res.2</t>
  </si>
  <si>
    <t>egy.mit.pig.co2e.nga.res.2_EG1</t>
  </si>
  <si>
    <t>Natural gas in power - efficient price, nga, pow</t>
  </si>
  <si>
    <t>egy.mit.eff.price.nga.pow.2</t>
  </si>
  <si>
    <t>egy.mit.eff.price.nga.pow.2_EG1</t>
  </si>
  <si>
    <t>Supply cost, nga, pow</t>
  </si>
  <si>
    <t>egy.mit.sup.cost.nga.pow.2</t>
  </si>
  <si>
    <t>egy.mit.sup.cost.nga.pow.2_EG1</t>
  </si>
  <si>
    <t>Air pollution costs, nga, pow</t>
  </si>
  <si>
    <t>egy.mit.airpol.cost.nga.pow.2</t>
  </si>
  <si>
    <t>egy.mit.airpol.cost.nga.pow.2_EG1</t>
  </si>
  <si>
    <t>Global warming costs (national), nga, pow</t>
  </si>
  <si>
    <t>egy.mit.scc.cost.nga.pow.2</t>
  </si>
  <si>
    <t>egy.mit.scc.cost.nga.pow.2_EG1</t>
  </si>
  <si>
    <t>Potential VAT (assuming general rate), nga, pow</t>
  </si>
  <si>
    <t>egy.mit.vat.cost.nga.pow.2</t>
  </si>
  <si>
    <t>egy.mit.vat.cost.nga.pow.2_EG1</t>
  </si>
  <si>
    <t>Retail price, nga, pow</t>
  </si>
  <si>
    <t>egy.mit.rp.nga.pow.2</t>
  </si>
  <si>
    <t>egy.mit.rp.nga.pow.2_EG1</t>
  </si>
  <si>
    <t>Tax gap, nga, pow</t>
  </si>
  <si>
    <t>egy.mit.tgap.nga.pow.2</t>
  </si>
  <si>
    <t>egy.mit.tgap.nga.pow.2_EG1</t>
  </si>
  <si>
    <t>Baseline excises and other taxes, nga, pow</t>
  </si>
  <si>
    <t>Baseline excises and other taxes - CO2 equivalent, nga, pow</t>
  </si>
  <si>
    <t>egy.mit.txo.co2e.nga.pow.1</t>
  </si>
  <si>
    <t>egy.mit.txo.co2e.nga.pow.1_EG1</t>
  </si>
  <si>
    <t>Pigouvian tax, nga, pow</t>
  </si>
  <si>
    <t>egy.mit.pig.nga.pow.2</t>
  </si>
  <si>
    <t>egy.mit.pig.nga.pow.2_EG1</t>
  </si>
  <si>
    <t>Pigouvian tax CO2 equivalent, nga, pow</t>
  </si>
  <si>
    <t>egy.mit.pig.co2e.nga.pow.2</t>
  </si>
  <si>
    <t>egy.mit.pig.co2e.nga.pow.2_EG1</t>
  </si>
  <si>
    <t>Electricity in industry - efficient price, ecy, ind</t>
  </si>
  <si>
    <t>egy.mit.eff.price.ecy.ind.2</t>
  </si>
  <si>
    <t>egy.mit.eff.price.ecy.ind.2_EG1</t>
  </si>
  <si>
    <t>Supply cost, ecy, ind</t>
  </si>
  <si>
    <t>egy.mit.sup.cost.ecy.ind.2</t>
  </si>
  <si>
    <t>egy.mit.sup.cost.ecy.ind.2_EG1</t>
  </si>
  <si>
    <t>Air pollution costs, ecy, ind</t>
  </si>
  <si>
    <t>egy.mit.airpol.cost.ecy.ind.2</t>
  </si>
  <si>
    <t>egy.mit.airpol.cost.ecy.ind.2_EG1</t>
  </si>
  <si>
    <t>Global warming costs (national), ecy, ind</t>
  </si>
  <si>
    <t>egy.mit.scc.cost.ecy.ind.2</t>
  </si>
  <si>
    <t>egy.mit.scc.cost.ecy.ind.2_EG1</t>
  </si>
  <si>
    <t>Potential VAT (assuming general rate), ecy, ind</t>
  </si>
  <si>
    <t>egy.mit.vat.cost.ecy.ind.2</t>
  </si>
  <si>
    <t>egy.mit.vat.cost.ecy.ind.2_EG1</t>
  </si>
  <si>
    <t>Retail price, ecy, ind</t>
  </si>
  <si>
    <t>egy.mit.rp.ecy.ind.2</t>
  </si>
  <si>
    <t>egy.mit.rp.ecy.ind.2_EG1</t>
  </si>
  <si>
    <t>rp_ecy</t>
  </si>
  <si>
    <t>Tax gap, ecy, ind</t>
  </si>
  <si>
    <t>egy.mit.tgap.ecy.ind.2</t>
  </si>
  <si>
    <t>egy.mit.tgap.ecy.ind.2_EG1</t>
  </si>
  <si>
    <t>tgap_ecy</t>
  </si>
  <si>
    <t>Baseline excises and other taxes, ecy, ind</t>
  </si>
  <si>
    <t>Baseline excises and other taxes - CO2 equivalent, ecy, ind</t>
  </si>
  <si>
    <t>egy.mit.txo.co2e.ecy.ind.1</t>
  </si>
  <si>
    <t>egy.mit.txo.co2e.ecy.ind.1_EG1</t>
  </si>
  <si>
    <t>Pigouvian tax, ecy, ind</t>
  </si>
  <si>
    <t>egy.mit.pig.ecy.ind.2</t>
  </si>
  <si>
    <t>egy.mit.pig.ecy.ind.2_EG1</t>
  </si>
  <si>
    <t>pig_ecy</t>
  </si>
  <si>
    <t>Pigouvian tax CO2 equivalent, ecy, ind</t>
  </si>
  <si>
    <t>egy.mit.pig.co2e.ecy.ind.2</t>
  </si>
  <si>
    <t>egy.mit.pig.co2e.ecy.ind.2_EG1</t>
  </si>
  <si>
    <t>Electricity in residential - efficient price, ecy, res</t>
  </si>
  <si>
    <t>egy.mit.eff.price.ecy.res.2</t>
  </si>
  <si>
    <t>egy.mit.eff.price.ecy.res.2_EG1</t>
  </si>
  <si>
    <t>Supply cost, ecy, res</t>
  </si>
  <si>
    <t>Air pollution costs, ecy, res</t>
  </si>
  <si>
    <t>egy.mit.airpol.cost.ecy.res.2</t>
  </si>
  <si>
    <t>egy.mit.airpol.cost.ecy.res.2_EG1</t>
  </si>
  <si>
    <t>Global warming costs (national), ecy, res</t>
  </si>
  <si>
    <t>egy.mit.scc.cost.ecy.res.2</t>
  </si>
  <si>
    <t>egy.mit.scc.cost.ecy.res.2_EG1</t>
  </si>
  <si>
    <t>Potential VAT (assuming general rate), ecy, res</t>
  </si>
  <si>
    <t>egy.mit.vat.cost.ecy.res.2</t>
  </si>
  <si>
    <t>egy.mit.vat.cost.ecy.res.2_EG1</t>
  </si>
  <si>
    <t>Retail price, ecy, res</t>
  </si>
  <si>
    <t>egy.mit.rp.ecy.res.2</t>
  </si>
  <si>
    <t>egy.mit.rp.ecy.res.2_EG1</t>
  </si>
  <si>
    <t>Tax gap residential, ecy, res</t>
  </si>
  <si>
    <t>egy.mit.tgap.ecy.res.2</t>
  </si>
  <si>
    <t>egy.mit.tgap.ecy.res.2_EG1</t>
  </si>
  <si>
    <t>Baseline excises and other taxes, ecy, res</t>
  </si>
  <si>
    <t>Baseline excises and other taxes - CO2 equivalent, ecy, res</t>
  </si>
  <si>
    <t>egy.mit.txo.co2e.ecy.res.1</t>
  </si>
  <si>
    <t>egy.mit.txo.co2e.ecy.res.1_EG1</t>
  </si>
  <si>
    <t>Pigouvian tax, ecy, res</t>
  </si>
  <si>
    <t>egy.mit.pig.ecy.res.2</t>
  </si>
  <si>
    <t>egy.mit.pig.ecy.res.2_EG1</t>
  </si>
  <si>
    <t>Pigouvian tax CO2 equivalent, ecy, res</t>
  </si>
  <si>
    <t>egy.mit.pig.co2e.ecy.res.2</t>
  </si>
  <si>
    <t>egy.mit.pig.co2e.ecy.res.2_EG1</t>
  </si>
  <si>
    <t>Pigouvian tax CO2 equivalent, all sectors, all fossil fuels, baseline</t>
  </si>
  <si>
    <t>egy.mit.pig.co2e.all.all.1</t>
  </si>
  <si>
    <t>egy.mit.pig.co2e.all.all.1_EG1</t>
  </si>
  <si>
    <t>Pigouvian tax CO2 equivalent, all sectors, all fossil fuels, scenario</t>
  </si>
  <si>
    <t>egy.mit.pig.co2e.all.all.2</t>
  </si>
  <si>
    <t>egy.mit.pig.co2e.all.all.2_EG1</t>
  </si>
  <si>
    <t>Air pollution Pigouvian tax CO2 equivalent, all, gso</t>
  </si>
  <si>
    <t>egy.mit.app.gso.all.2</t>
  </si>
  <si>
    <t>egy.mit.app.gso.all.2_EG1</t>
  </si>
  <si>
    <t>app_co2e</t>
  </si>
  <si>
    <t>Air pollution Pigouvian tax CO2 equivalent, all, die</t>
  </si>
  <si>
    <t>egy.mit.app.die.all.2</t>
  </si>
  <si>
    <t>egy.mit.app.die.all.2_EG1</t>
  </si>
  <si>
    <t>Air pollution Pigouvian tax CO2 equivalent, all, lpg</t>
  </si>
  <si>
    <t>egy.mit.app.lpg.all.2</t>
  </si>
  <si>
    <t>egy.mit.app.lpg.all.2_EG1</t>
  </si>
  <si>
    <t>Air pollution Pigouvian tax CO2 equivalent, all, ker</t>
  </si>
  <si>
    <t>egy.mit.app.ker.all.2</t>
  </si>
  <si>
    <t>egy.mit.app.ker.all.2_EG1</t>
  </si>
  <si>
    <t>Air pollution Pigouvian tax CO2 equivalent, ind, coa</t>
  </si>
  <si>
    <t>egy.mit.app.coa.ind.2</t>
  </si>
  <si>
    <t>egy.mit.app.coa.ind.2_EG1</t>
  </si>
  <si>
    <t>Air pollution Pigouvian tax CO2 equivalent, res, coa</t>
  </si>
  <si>
    <t>egy.mit.app.coa.res.2</t>
  </si>
  <si>
    <t>egy.mit.app.coa.res.2_EG1</t>
  </si>
  <si>
    <t>Air pollution Pigouvian tax CO2 equivalent, pow, coa</t>
  </si>
  <si>
    <t>egy.mit.app.coa.pow.2</t>
  </si>
  <si>
    <t>egy.mit.app.coa.pow.2_EG1</t>
  </si>
  <si>
    <t>Air pollution Pigouvian tax CO2 equivalent, ind, nga</t>
  </si>
  <si>
    <t>egy.mit.app.nga.ind.2</t>
  </si>
  <si>
    <t>egy.mit.app.nga.ind.2_EG1</t>
  </si>
  <si>
    <t>Air pollution Pigouvian tax CO2 equivalent, res, nga</t>
  </si>
  <si>
    <t>egy.mit.app.nga.res.2</t>
  </si>
  <si>
    <t>egy.mit.app.nga.res.2_EG1</t>
  </si>
  <si>
    <t>Air pollution Pigouvian tax CO2 equivalent, pow, nga</t>
  </si>
  <si>
    <t>egy.mit.app.nga.pow.2</t>
  </si>
  <si>
    <t>egy.mit.app.nga.pow.2_EG1</t>
  </si>
  <si>
    <t>Air pollution Pigouvian tax CO2 equivalent, all sectors, all fossil fuels, baseline</t>
  </si>
  <si>
    <t>egy.mit.app.co2e.all.all.1</t>
  </si>
  <si>
    <t>egy.mit.app.co2e.all.all.1_EG1</t>
  </si>
  <si>
    <t>egy.mit.app.co2e.all.all.2</t>
  </si>
  <si>
    <t>egy.mit.app.co2e.all.all.2_EG1</t>
  </si>
  <si>
    <t>Selected Social Cost of Carbon (usd per ton CO2)</t>
  </si>
  <si>
    <t>egy.mit.scc.1</t>
  </si>
  <si>
    <t>egy.mit.scc.1_EG1</t>
  </si>
  <si>
    <t>sel_scc</t>
  </si>
  <si>
    <t>Total Energy consumption, ktoe (baseline)</t>
  </si>
  <si>
    <t>egy.mit.ener.con.tot.1</t>
  </si>
  <si>
    <t>egy.mit.ener.con.tot.1_EG1</t>
  </si>
  <si>
    <t>Energy consumption - Coal (baseline)</t>
  </si>
  <si>
    <t>egy.mit.ener.con.coa.1</t>
  </si>
  <si>
    <t>egy.mit.ener.con.coa.1_EG1</t>
  </si>
  <si>
    <t>Energy consumption - Natural gas (baseline)</t>
  </si>
  <si>
    <t>egy.mit.ener.con.nga.1</t>
  </si>
  <si>
    <t>egy.mit.ener.con.nga.1_EG1</t>
  </si>
  <si>
    <t>Energy consumption - Non-road oil (baseline)</t>
  </si>
  <si>
    <t>egy.mit.ener.con.oop.1</t>
  </si>
  <si>
    <t>egy.mit.ener.con.oop.1_EG1</t>
  </si>
  <si>
    <t>Energy consumption - Gasoline (baseline)</t>
  </si>
  <si>
    <t>egy.mit.ener.con.gso.1</t>
  </si>
  <si>
    <t>egy.mit.ener.con.gso.1_EG1</t>
  </si>
  <si>
    <t>Energy consumption - Diesel (baseline)</t>
  </si>
  <si>
    <t>egy.mit.ener.con.die.1</t>
  </si>
  <si>
    <t>egy.mit.ener.con.die.1_EG1</t>
  </si>
  <si>
    <t>Energy consumption - LPG (baseline)</t>
  </si>
  <si>
    <t>egy.mit.ener.con.lpg.1</t>
  </si>
  <si>
    <t>egy.mit.ener.con.lpg.1_EG1</t>
  </si>
  <si>
    <t>Energy consumption - Kerosene (baseline)</t>
  </si>
  <si>
    <t>egy.mit.ener.con.ker.1</t>
  </si>
  <si>
    <t>egy.mit.ener.con.ker.1_EG1</t>
  </si>
  <si>
    <t>Energy consumption - Nuclear final electricity (baseline)</t>
  </si>
  <si>
    <t>egy.mit.ener.con.nuc.1</t>
  </si>
  <si>
    <t>egy.mit.ener.con.nuc.1_EG1</t>
  </si>
  <si>
    <t>Energy consumption - Non-biomass renewable final electricity (baseline)</t>
  </si>
  <si>
    <t>egy.mit.ener.con.rnw.1</t>
  </si>
  <si>
    <t>egy.mit.ener.con.rnw.1_EG1</t>
  </si>
  <si>
    <t>Energy consumption - Biomass (baseline)</t>
  </si>
  <si>
    <t>egy.mit.ener.con.bio.1</t>
  </si>
  <si>
    <t>egy.mit.ener.con.bio.1_EG1</t>
  </si>
  <si>
    <t>Total Energy consumption, ktoe (policy)</t>
  </si>
  <si>
    <t>egy.mit.ener.con.tot.2</t>
  </si>
  <si>
    <t>egy.mit.ener.con.tot.2_EG1</t>
  </si>
  <si>
    <t>Energy consumption - Coal (policy)</t>
  </si>
  <si>
    <t>egy.mit.ener.con.coa.2</t>
  </si>
  <si>
    <t>egy.mit.ener.con.coa.2_EG1</t>
  </si>
  <si>
    <t>Energy consumption - Natural gas (policy)</t>
  </si>
  <si>
    <t>egy.mit.ener.con.nga.2</t>
  </si>
  <si>
    <t>egy.mit.ener.con.nga.2_EG1</t>
  </si>
  <si>
    <t>Energy consumption - Non-road oil (policy)</t>
  </si>
  <si>
    <t>egy.mit.ener.con.oop.2</t>
  </si>
  <si>
    <t>egy.mit.ener.con.oop.2_EG1</t>
  </si>
  <si>
    <t>Energy consumption - Gasoline (policy)</t>
  </si>
  <si>
    <t>egy.mit.ener.con.gso.2</t>
  </si>
  <si>
    <t>egy.mit.ener.con.gso.2_EG1</t>
  </si>
  <si>
    <t>Energy consumption - Diesel (policy)</t>
  </si>
  <si>
    <t>egy.mit.ener.con.die.2</t>
  </si>
  <si>
    <t>egy.mit.ener.con.die.2_EG1</t>
  </si>
  <si>
    <t>Energy consumption - LPG (policy)</t>
  </si>
  <si>
    <t>egy.mit.ener.con.lpg.2</t>
  </si>
  <si>
    <t>egy.mit.ener.con.lpg.2_EG1</t>
  </si>
  <si>
    <t>Energy consumption - Kerosene (policy)</t>
  </si>
  <si>
    <t>egy.mit.ener.con.ker.2</t>
  </si>
  <si>
    <t>egy.mit.ener.con.ker.2_EG1</t>
  </si>
  <si>
    <t>Energy consumption - Nuclear final electricity (policy)</t>
  </si>
  <si>
    <t>egy.mit.ener.con.nuc.2</t>
  </si>
  <si>
    <t>egy.mit.ener.con.nuc.2_EG1</t>
  </si>
  <si>
    <t>Energy consumption - Non-biomass renewable final electricity (policy)</t>
  </si>
  <si>
    <t>egy.mit.ener.con.rnw.2</t>
  </si>
  <si>
    <t>egy.mit.ener.con.rnw.2_EG1</t>
  </si>
  <si>
    <t>Energy consumption - Biomass (policy)</t>
  </si>
  <si>
    <t>egy.mit.ener.con.bio.2</t>
  </si>
  <si>
    <t>egy.mit.ener.con.bio.2_EG1</t>
  </si>
  <si>
    <t>Fossil fuel consumption by sector: coal (baseline)</t>
  </si>
  <si>
    <t>Coal consumption: Power sector (baseline)</t>
  </si>
  <si>
    <t>egy.mit.ener.coa.pow.1</t>
  </si>
  <si>
    <t>egy.mit.ener.coa.pow.1_EG1</t>
  </si>
  <si>
    <t>Coal consumption: Transport (baseline)</t>
  </si>
  <si>
    <t>egy.mit.ener.coa.tra.1</t>
  </si>
  <si>
    <t>egy.mit.ener.coa.tra.1_EG1</t>
  </si>
  <si>
    <t>Coal consumption: Buildings (baseline)</t>
  </si>
  <si>
    <t>egy.mit.ener.coa.res.1</t>
  </si>
  <si>
    <t>egy.mit.ener.coa.res.1_EG1</t>
  </si>
  <si>
    <t>Coal consumption: Industry (baseline)</t>
  </si>
  <si>
    <t>egy.mit.ener.coa.ind.1</t>
  </si>
  <si>
    <t>egy.mit.ener.coa.ind.1_EG1</t>
  </si>
  <si>
    <t>Coal consumption: Other energy use (baseline)</t>
  </si>
  <si>
    <t>egy.mit.ener.coa.oen.1</t>
  </si>
  <si>
    <t>egy.mit.ener.coa.oen.1_EG1</t>
  </si>
  <si>
    <t>Fossil fuel consumption by sector: natural gas (baseline)</t>
  </si>
  <si>
    <t>Natural gas consumption: Power sector (baseline)</t>
  </si>
  <si>
    <t>egy.mit.ener.nga.pow.1</t>
  </si>
  <si>
    <t>egy.mit.ener.nga.pow.1_EG1</t>
  </si>
  <si>
    <t>Natural gas consumption: Transport (baseline)</t>
  </si>
  <si>
    <t>egy.mit.ener.nga.tra.1</t>
  </si>
  <si>
    <t>egy.mit.ener.nga.tra.1_EG1</t>
  </si>
  <si>
    <t>Natural gas consumption: Buildings (baseline)</t>
  </si>
  <si>
    <t>egy.mit.ener.nga.res.1</t>
  </si>
  <si>
    <t>egy.mit.ener.nga.res.1_EG1</t>
  </si>
  <si>
    <t>Natural gas consumption: Industry (baseline)</t>
  </si>
  <si>
    <t>egy.mit.ener.nga.ind.1</t>
  </si>
  <si>
    <t>egy.mit.ener.nga.ind.1_EG1</t>
  </si>
  <si>
    <t>Natural gas consumption: Other energy use (baseline)</t>
  </si>
  <si>
    <t>egy.mit.ener.nga.oen.1</t>
  </si>
  <si>
    <t>egy.mit.ener.nga.oen.1_EG1</t>
  </si>
  <si>
    <t>Fossil fuel consumption by sector: gasoline (baseline)</t>
  </si>
  <si>
    <t>Gasoline consumption: Power sector (baseline)</t>
  </si>
  <si>
    <t>egy.mit.ener.gso.pow.1</t>
  </si>
  <si>
    <t>egy.mit.ener.gso.pow.1_EG1</t>
  </si>
  <si>
    <t>Gasoline consumption: Transport (baseline)</t>
  </si>
  <si>
    <t>egy.mit.ener.gso.tra.1</t>
  </si>
  <si>
    <t>egy.mit.ener.gso.tra.1_EG1</t>
  </si>
  <si>
    <t>Gasoline consumption: Buildings (baseline)</t>
  </si>
  <si>
    <t>egy.mit.ener.gso.res.1</t>
  </si>
  <si>
    <t>egy.mit.ener.gso.res.1_EG1</t>
  </si>
  <si>
    <t>Gasoline consumption: Industry (baseline)</t>
  </si>
  <si>
    <t>egy.mit.ener.gso.ind.1</t>
  </si>
  <si>
    <t>egy.mit.ener.gso.ind.1_EG1</t>
  </si>
  <si>
    <t>Gasoline consumption: Other energy use (baseline)</t>
  </si>
  <si>
    <t>egy.mit.ener.gso.oen.1</t>
  </si>
  <si>
    <t>egy.mit.ener.gso.oen.1_EG1</t>
  </si>
  <si>
    <t>Fossil fuel consumption by sector: diesel (baseline)</t>
  </si>
  <si>
    <t>Diesel consumption: Power sector (baseline)</t>
  </si>
  <si>
    <t>egy.mit.ener.die.pow.1</t>
  </si>
  <si>
    <t>egy.mit.ener.die.pow.1_EG1</t>
  </si>
  <si>
    <t>Diesel consumption: Transport (baseline)</t>
  </si>
  <si>
    <t>egy.mit.ener.die.tra.1</t>
  </si>
  <si>
    <t>egy.mit.ener.die.tra.1_EG1</t>
  </si>
  <si>
    <t>Diesel consumption: Buildings (baseline)</t>
  </si>
  <si>
    <t>egy.mit.ener.die.res.1</t>
  </si>
  <si>
    <t>egy.mit.ener.die.res.1_EG1</t>
  </si>
  <si>
    <t>Diesel consumption: Industry (baseline)</t>
  </si>
  <si>
    <t>egy.mit.ener.die.ind.1</t>
  </si>
  <si>
    <t>egy.mit.ener.die.ind.1_EG1</t>
  </si>
  <si>
    <t>Diesel consumption: Other energy use (baseline)</t>
  </si>
  <si>
    <t>egy.mit.ener.die.oen.1</t>
  </si>
  <si>
    <t>egy.mit.ener.die.oen.1_EG1</t>
  </si>
  <si>
    <t>Fossil fuel consumption by sector: LPG (baseline)</t>
  </si>
  <si>
    <t>LPG consumption: Power sector (baseline)</t>
  </si>
  <si>
    <t>egy.mit.ener.lpg.pow.1</t>
  </si>
  <si>
    <t>egy.mit.ener.lpg.pow.1_EG1</t>
  </si>
  <si>
    <t>LPG consumption: Transport (baseline)</t>
  </si>
  <si>
    <t>egy.mit.ener.lpg.tra.1</t>
  </si>
  <si>
    <t>egy.mit.ener.lpg.tra.1_EG1</t>
  </si>
  <si>
    <t>LPG consumption: Buildings (baseline)</t>
  </si>
  <si>
    <t>egy.mit.ener.lpg.res.1</t>
  </si>
  <si>
    <t>egy.mit.ener.lpg.res.1_EG1</t>
  </si>
  <si>
    <t>LPG consumption: Industry (baseline)</t>
  </si>
  <si>
    <t>egy.mit.ener.lpg.ind.1</t>
  </si>
  <si>
    <t>egy.mit.ener.lpg.ind.1_EG1</t>
  </si>
  <si>
    <t>LPG consumption: Other energy use (baseline)</t>
  </si>
  <si>
    <t>egy.mit.ener.lpg.oen.1</t>
  </si>
  <si>
    <t>egy.mit.ener.lpg.oen.1_EG1</t>
  </si>
  <si>
    <t>Fossil fuel consumption by sector: kerosene and jet fuel (baseline)</t>
  </si>
  <si>
    <t>Kerosene and jet fuel consumption: Power sector (baseline)</t>
  </si>
  <si>
    <t>egy.mit.ener.ker.pow.1</t>
  </si>
  <si>
    <t>egy.mit.ener.ker.pow.1_EG1</t>
  </si>
  <si>
    <t>Kerosene and jet fuel consumption: Transport (baseline)</t>
  </si>
  <si>
    <t>egy.mit.ener.ker.tra.1</t>
  </si>
  <si>
    <t>egy.mit.ener.ker.tra.1_EG1</t>
  </si>
  <si>
    <t>Kerosene and jet fuel consumption: Buildings(baseline)</t>
  </si>
  <si>
    <t>egy.mit.ener.ker.res.1</t>
  </si>
  <si>
    <t>egy.mit.ener.ker.res.1_EG1</t>
  </si>
  <si>
    <t>Kerosene and jet fuel consumption: Industry (baseline)</t>
  </si>
  <si>
    <t>egy.mit.ener.ker.ind.1</t>
  </si>
  <si>
    <t>egy.mit.ener.ker.ind.1_EG1</t>
  </si>
  <si>
    <t>Kerosene and jet fuel consumption: Other energy use (baseline)</t>
  </si>
  <si>
    <t>egy.mit.ener.ker.oen.1</t>
  </si>
  <si>
    <t>egy.mit.ener.ker.oen.1_EG1</t>
  </si>
  <si>
    <t>Fossil fuel consumption by sector: other oil products (baseline)</t>
  </si>
  <si>
    <t>Other oil products consumption: Power sector (baseline)</t>
  </si>
  <si>
    <t>egy.mit.ener.oop.pow.1</t>
  </si>
  <si>
    <t>egy.mit.ener.oop.pow.1_EG1</t>
  </si>
  <si>
    <t>Other oil products consumption: Transport (baseline)</t>
  </si>
  <si>
    <t>egy.mit.ener.oop.tra.1</t>
  </si>
  <si>
    <t>egy.mit.ener.oop.tra.1_EG1</t>
  </si>
  <si>
    <t>Other oil products consumption: Buildings (baseline)</t>
  </si>
  <si>
    <t>egy.mit.ener.oop.res.1</t>
  </si>
  <si>
    <t>egy.mit.ener.oop.res.1_EG1</t>
  </si>
  <si>
    <t>Other oil products consumption: Industry (baseline)</t>
  </si>
  <si>
    <t>egy.mit.ener.oop.ind.1</t>
  </si>
  <si>
    <t>egy.mit.ener.oop.ind.1_EG1</t>
  </si>
  <si>
    <t>Other oil products consumption: Other energy use (baseline)</t>
  </si>
  <si>
    <t>egy.mit.ener.oop.oen.1</t>
  </si>
  <si>
    <t>egy.mit.ener.oop.oen.1_EG1</t>
  </si>
  <si>
    <t>Total fossil fuel energy consumption (baseline)</t>
  </si>
  <si>
    <t>egy.mit.ener.tot.tot.1</t>
  </si>
  <si>
    <t>egy.mit.ener.tot.tot.1_EG1</t>
  </si>
  <si>
    <t>Fuel consumption by sector: biomass (baseline)</t>
  </si>
  <si>
    <t>Biomass consumption: Power sector (baseline)</t>
  </si>
  <si>
    <t>egy.mit.ener.bio.pow.1</t>
  </si>
  <si>
    <t>egy.mit.ener.bio.pow.1_EG1</t>
  </si>
  <si>
    <t>Biomass consumption: Transport (baseline)</t>
  </si>
  <si>
    <t>egy.mit.ener.bio.tra.1</t>
  </si>
  <si>
    <t>egy.mit.ener.bio.tra.1_EG1</t>
  </si>
  <si>
    <t>Biomass consumption: Buildings (baseline)</t>
  </si>
  <si>
    <t>egy.mit.ener.bio.res.1</t>
  </si>
  <si>
    <t>egy.mit.ener.bio.res.1_EG1</t>
  </si>
  <si>
    <t>Biomass consumption: Industry (baseline)</t>
  </si>
  <si>
    <t>egy.mit.ener.bio.ind.1</t>
  </si>
  <si>
    <t>egy.mit.ener.bio.ind.1_EG1</t>
  </si>
  <si>
    <t>Biomass consumption: Other energy use (baseline)</t>
  </si>
  <si>
    <t>egy.mit.ener.bio.oen.1</t>
  </si>
  <si>
    <t>egy.mit.ener.bio.oen.1_EG1</t>
  </si>
  <si>
    <t>Total energy consumption (baseline)</t>
  </si>
  <si>
    <t>Total consumption by fuel type: Coal (baseline)</t>
  </si>
  <si>
    <t>Total consumption by fuel type: Natural gas (baseline)</t>
  </si>
  <si>
    <t>Total consumption by fuel type: Other oil products (baseline)</t>
  </si>
  <si>
    <t>Total consumption by fuel type: Gasoline (baseline)</t>
  </si>
  <si>
    <t>Total consumption by fuel type: Diesel (baseline)</t>
  </si>
  <si>
    <t>Total consumption by fuel type: LPG (baseline)</t>
  </si>
  <si>
    <t>Total consumption by fuel type: Kerosene and Jet Fuel (baseline)</t>
  </si>
  <si>
    <t>Total consumption by fuel type: Biomass (baseline)</t>
  </si>
  <si>
    <t>Total consumption by fuel type: Nuclear &amp; renewables (baseline)</t>
  </si>
  <si>
    <t>egy.mit.ener.con.nrn.1</t>
  </si>
  <si>
    <t>egy.mit.ener.con.nrn.1_EG1</t>
  </si>
  <si>
    <t>Fossil fuel consumption by sector: coal (policy)</t>
  </si>
  <si>
    <t>Coal consumption: Power sector (policy)</t>
  </si>
  <si>
    <t>egy.mit.ener.coa.pow.2</t>
  </si>
  <si>
    <t>egy.mit.ener.coa.pow.2_EG1</t>
  </si>
  <si>
    <t>Coal consumption: Transport (policy)</t>
  </si>
  <si>
    <t>egy.mit.ener.coa.tra.2</t>
  </si>
  <si>
    <t>egy.mit.ener.coa.tra.2_EG1</t>
  </si>
  <si>
    <t>Coal consumption: Buildings (policy)</t>
  </si>
  <si>
    <t>egy.mit.ener.coa.res.2</t>
  </si>
  <si>
    <t>egy.mit.ener.coa.res.2_EG1</t>
  </si>
  <si>
    <t>Coal consumption: Industry (policy)</t>
  </si>
  <si>
    <t>egy.mit.ener.coa.ind.2</t>
  </si>
  <si>
    <t>egy.mit.ener.coa.ind.2_EG1</t>
  </si>
  <si>
    <t>Coal consumption: Other energy use (policy)</t>
  </si>
  <si>
    <t>egy.mit.ener.coa.oen.2</t>
  </si>
  <si>
    <t>egy.mit.ener.coa.oen.2_EG1</t>
  </si>
  <si>
    <t>Fossil fuel consumption by sector: natural gas (policy)</t>
  </si>
  <si>
    <t>Natural gas consumption: Power sector (policy)</t>
  </si>
  <si>
    <t>egy.mit.ener.nga.pow.2</t>
  </si>
  <si>
    <t>egy.mit.ener.nga.pow.2_EG1</t>
  </si>
  <si>
    <t>Natural gas consumption: Transport (policy)</t>
  </si>
  <si>
    <t>egy.mit.ener.nga.tra.2</t>
  </si>
  <si>
    <t>egy.mit.ener.nga.tra.2_EG1</t>
  </si>
  <si>
    <t>Natural gas consumption: Buildings (policy)</t>
  </si>
  <si>
    <t>egy.mit.ener.nga.res.2</t>
  </si>
  <si>
    <t>egy.mit.ener.nga.res.2_EG1</t>
  </si>
  <si>
    <t>Natural gas consumption: Industry (policy)</t>
  </si>
  <si>
    <t>egy.mit.ener.nga.ind.2</t>
  </si>
  <si>
    <t>egy.mit.ener.nga.ind.2_EG1</t>
  </si>
  <si>
    <t>Natural gas consumption: Other energy use (policy)</t>
  </si>
  <si>
    <t>egy.mit.ener.nga.oen.2</t>
  </si>
  <si>
    <t>egy.mit.ener.nga.oen.2_EG1</t>
  </si>
  <si>
    <t>Fossil fuel consumption by sector: gasoline (policy)</t>
  </si>
  <si>
    <t>Gasoline consumption: Power sector (policy)</t>
  </si>
  <si>
    <t>egy.mit.ener.gso.pow.2</t>
  </si>
  <si>
    <t>egy.mit.ener.gso.pow.2_EG1</t>
  </si>
  <si>
    <t>Gasoline consumption: Transport (policy)</t>
  </si>
  <si>
    <t>egy.mit.ener.gso.tra.2</t>
  </si>
  <si>
    <t>egy.mit.ener.gso.tra.2_EG1</t>
  </si>
  <si>
    <t>Gasoline consumption: Buildings (policy)</t>
  </si>
  <si>
    <t>egy.mit.ener.gso.res.2</t>
  </si>
  <si>
    <t>egy.mit.ener.gso.res.2_EG1</t>
  </si>
  <si>
    <t>Gasoline consumption: Industry (policy)</t>
  </si>
  <si>
    <t>egy.mit.ener.gso.ind.2</t>
  </si>
  <si>
    <t>egy.mit.ener.gso.ind.2_EG1</t>
  </si>
  <si>
    <t>Gasoline consumption: Other energy use (policy)</t>
  </si>
  <si>
    <t>egy.mit.ener.gso.oen.2</t>
  </si>
  <si>
    <t>egy.mit.ener.gso.oen.2_EG1</t>
  </si>
  <si>
    <t>Fossil fuel consumption by sector: diesel (policy)</t>
  </si>
  <si>
    <t>Diesel consumption: Power sector (policy)</t>
  </si>
  <si>
    <t>egy.mit.ener.die.pow.2</t>
  </si>
  <si>
    <t>egy.mit.ener.die.pow.2_EG1</t>
  </si>
  <si>
    <t>Diesel consumption: Transport (policy)</t>
  </si>
  <si>
    <t>egy.mit.ener.die.tra.2</t>
  </si>
  <si>
    <t>egy.mit.ener.die.tra.2_EG1</t>
  </si>
  <si>
    <t>Diesel consumption: Buildings (policy)</t>
  </si>
  <si>
    <t>egy.mit.ener.die.res.2</t>
  </si>
  <si>
    <t>egy.mit.ener.die.res.2_EG1</t>
  </si>
  <si>
    <t>Diesel consumption: Industry (policy)</t>
  </si>
  <si>
    <t>egy.mit.ener.die.ind.2</t>
  </si>
  <si>
    <t>egy.mit.ener.die.ind.2_EG1</t>
  </si>
  <si>
    <t>Diesel consumption: Other energy use (policy)</t>
  </si>
  <si>
    <t>egy.mit.ener.die.oen.2</t>
  </si>
  <si>
    <t>egy.mit.ener.die.oen.2_EG1</t>
  </si>
  <si>
    <t>Fossil fuel consumption by sector: LPG (policy)</t>
  </si>
  <si>
    <t>LPG consumption: Power sector (policy)</t>
  </si>
  <si>
    <t>egy.mit.ener.lpg.pow.2</t>
  </si>
  <si>
    <t>egy.mit.ener.lpg.pow.2_EG1</t>
  </si>
  <si>
    <t>LPG consumption: Transport (policy)</t>
  </si>
  <si>
    <t>egy.mit.ener.lpg.tra.2</t>
  </si>
  <si>
    <t>egy.mit.ener.lpg.tra.2_EG1</t>
  </si>
  <si>
    <t>LPG consumption: Buildings (policy)</t>
  </si>
  <si>
    <t>egy.mit.ener.lpg.res.2</t>
  </si>
  <si>
    <t>egy.mit.ener.lpg.res.2_EG1</t>
  </si>
  <si>
    <t>LPG consumption: Industry (policy)</t>
  </si>
  <si>
    <t>egy.mit.ener.lpg.ind.2</t>
  </si>
  <si>
    <t>egy.mit.ener.lpg.ind.2_EG1</t>
  </si>
  <si>
    <t>LPG consumption: Other energy use (policy)</t>
  </si>
  <si>
    <t>egy.mit.ener.lpg.oen.2</t>
  </si>
  <si>
    <t>egy.mit.ener.lpg.oen.2_EG1</t>
  </si>
  <si>
    <t>Fossil fuel consumption by sector: kerosene and jet fuel (policy)</t>
  </si>
  <si>
    <t>Kerosene and jet fuel consumption: Power sector (policy)</t>
  </si>
  <si>
    <t>egy.mit.ener.ker.pow.2</t>
  </si>
  <si>
    <t>egy.mit.ener.ker.pow.2_EG1</t>
  </si>
  <si>
    <t>Kerosene and jet fuel consumption: Transport (policy)</t>
  </si>
  <si>
    <t>egy.mit.ener.ker.tra.2</t>
  </si>
  <si>
    <t>egy.mit.ener.ker.tra.2_EG1</t>
  </si>
  <si>
    <t>Kerosene and jet fuel consumption: Buildings (policy)</t>
  </si>
  <si>
    <t>egy.mit.ener.ker.res.2</t>
  </si>
  <si>
    <t>egy.mit.ener.ker.res.2_EG1</t>
  </si>
  <si>
    <t>Kerosene and jet fuel consumption: Industry (policy)</t>
  </si>
  <si>
    <t>egy.mit.ener.ker.ind.2</t>
  </si>
  <si>
    <t>egy.mit.ener.ker.ind.2_EG1</t>
  </si>
  <si>
    <t>Kerosene and jet fuel consumption: Other energy use (policy)</t>
  </si>
  <si>
    <t>egy.mit.ener.ker.oen.2</t>
  </si>
  <si>
    <t>egy.mit.ener.ker.oen.2_EG1</t>
  </si>
  <si>
    <t>Fossil fuel consumption by sector: other oil products (policy)</t>
  </si>
  <si>
    <t>Other oil products consumption: Power sector (policy)</t>
  </si>
  <si>
    <t>egy.mit.ener.oop.pow.2</t>
  </si>
  <si>
    <t>egy.mit.ener.oop.pow.2_EG1</t>
  </si>
  <si>
    <t>Other oil products consumption: Transport (policy)</t>
  </si>
  <si>
    <t>egy.mit.ener.oop.tra.2</t>
  </si>
  <si>
    <t>egy.mit.ener.oop.tra.2_EG1</t>
  </si>
  <si>
    <t>Other oil products consumption: Buildings (policy)</t>
  </si>
  <si>
    <t>egy.mit.ener.oop.res.2</t>
  </si>
  <si>
    <t>egy.mit.ener.oop.res.2_EG1</t>
  </si>
  <si>
    <t>Other oil products consumption: Industry (policy)</t>
  </si>
  <si>
    <t>egy.mit.ener.oop.ind.2</t>
  </si>
  <si>
    <t>egy.mit.ener.oop.ind.2_EG1</t>
  </si>
  <si>
    <t>Other oil products consumption: Other energy use (policy)</t>
  </si>
  <si>
    <t>egy.mit.ener.oop.oen.2</t>
  </si>
  <si>
    <t>egy.mit.ener.oop.oen.2_EG1</t>
  </si>
  <si>
    <t>Total fossil fuel energy consumption (policy)</t>
  </si>
  <si>
    <t>egy.mit.ener.tot.tot.2</t>
  </si>
  <si>
    <t>egy.mit.ener.tot.tot.2_EG1</t>
  </si>
  <si>
    <t>Fuel consumption by sector: biomass (policy)</t>
  </si>
  <si>
    <t>Biomass consumption: Power sector (policy)</t>
  </si>
  <si>
    <t>egy.mit.ener.bio.pow.2</t>
  </si>
  <si>
    <t>egy.mit.ener.bio.pow.2_EG1</t>
  </si>
  <si>
    <t>Biomass consumption: Transport (policy)</t>
  </si>
  <si>
    <t>egy.mit.ener.bio.tra.2</t>
  </si>
  <si>
    <t>egy.mit.ener.bio.tra.2_EG1</t>
  </si>
  <si>
    <t>Biomass consumption: Buildings (policy)</t>
  </si>
  <si>
    <t>egy.mit.ener.bio.res.2</t>
  </si>
  <si>
    <t>egy.mit.ener.bio.res.2_EG1</t>
  </si>
  <si>
    <t>Biomass consumption: Industry (policy)</t>
  </si>
  <si>
    <t>egy.mit.ener.bio.ind.2</t>
  </si>
  <si>
    <t>egy.mit.ener.bio.ind.2_EG1</t>
  </si>
  <si>
    <t>Biomass consumption: Other energy use (policy)</t>
  </si>
  <si>
    <t>egy.mit.ener.bio.oen.2</t>
  </si>
  <si>
    <t>egy.mit.ener.bio.oen.2_EG1</t>
  </si>
  <si>
    <t>Total energy consumption (policy)</t>
  </si>
  <si>
    <t>Total consumption by fuel type: Coal (policy)</t>
  </si>
  <si>
    <t>Total consumption by fuel type: Natural gas (policy)</t>
  </si>
  <si>
    <t>Total consumption by fuel type: Other oil products (policy)</t>
  </si>
  <si>
    <t>Total consumption by fuel type: Gasoline (policy)</t>
  </si>
  <si>
    <t>Total consumption by fuel type: Diesel (policy)</t>
  </si>
  <si>
    <t>Total consumption by fuel type: LPG (policy)</t>
  </si>
  <si>
    <t>Total consumption by fuel type: Kerosene and Jet Fuel (policy)</t>
  </si>
  <si>
    <t>Total consumption by fuel type: Biomass (policy)</t>
  </si>
  <si>
    <t>Total consumption by fuel type: Nuclear and renewables (policy)</t>
  </si>
  <si>
    <t>egy.mit.ener.con.nrn.2</t>
  </si>
  <si>
    <t>egy.mit.ener.con.nrn.2_EG1</t>
  </si>
  <si>
    <t>Total electricity supplied, baseline (TWh)</t>
  </si>
  <si>
    <t>egy.mit.elec.twh.tot.1</t>
  </si>
  <si>
    <t>egy.mit.elec.twh.tot.1_EG1</t>
  </si>
  <si>
    <t>elec</t>
  </si>
  <si>
    <t>twh</t>
  </si>
  <si>
    <t>Electricity generation from coal, baseline (TWh)</t>
  </si>
  <si>
    <t>egy.mit.elec.twh.coa.1</t>
  </si>
  <si>
    <t>egy.mit.elec.twh.coa.1_EG1</t>
  </si>
  <si>
    <t>Electricity generation from natural gas, baseline (TWh)</t>
  </si>
  <si>
    <t>egy.mit.elec.twh.nga.1</t>
  </si>
  <si>
    <t>egy.mit.elec.twh.nga.1_EG1</t>
  </si>
  <si>
    <t>Electricity generation from non-road oil, baseline (TWh)</t>
  </si>
  <si>
    <t>egy.mit.elec.twh.oop.1</t>
  </si>
  <si>
    <t>egy.mit.elec.twh.oop.1_EG1</t>
  </si>
  <si>
    <t>Electricity generation from nuclear, baseline (TWh)</t>
  </si>
  <si>
    <t>egy.mit.elec.twh.nuc.1</t>
  </si>
  <si>
    <t>egy.mit.elec.twh.nuc.1_EG1</t>
  </si>
  <si>
    <t>Electricity generation from wind, baseline (TWh)</t>
  </si>
  <si>
    <t>egy.mit.elec.twh.wnd.1</t>
  </si>
  <si>
    <t>egy.mit.elec.twh.wnd.1_EG1</t>
  </si>
  <si>
    <t>Electricity generation from solar, baseline (TWh)</t>
  </si>
  <si>
    <t>egy.mit.elec.twh.sol.1</t>
  </si>
  <si>
    <t>egy.mit.elec.twh.sol.1_EG1</t>
  </si>
  <si>
    <t>Electricity generation from hydro, baseline (TWh)</t>
  </si>
  <si>
    <t>egy.mit.elec.twh.hyd.1</t>
  </si>
  <si>
    <t>egy.mit.elec.twh.hyd.1_EG1</t>
  </si>
  <si>
    <t>Electricity generation from other renewables, baseline (TWh)</t>
  </si>
  <si>
    <t>egy.mit.elec.twh.ore.1</t>
  </si>
  <si>
    <t>egy.mit.elec.twh.ore.1_EG1</t>
  </si>
  <si>
    <t>Electricity generation from biomass, baseline (TWh)</t>
  </si>
  <si>
    <t>egy.mit.elec.twh.bio.1</t>
  </si>
  <si>
    <t>egy.mit.elec.twh.bio.1_EG1</t>
  </si>
  <si>
    <t>Electricity generation from decentralized renewables, baseline (TWh)</t>
  </si>
  <si>
    <t>egy.mit.elec.twh.ren.1</t>
  </si>
  <si>
    <t>egy.mit.elec.twh.ren.1_EG1</t>
  </si>
  <si>
    <t>Total electricity supplied, policy (TWh)</t>
  </si>
  <si>
    <t>egy.mit.elec.twh.tot.2</t>
  </si>
  <si>
    <t>egy.mit.elec.twh.tot.2_EG1</t>
  </si>
  <si>
    <t>Electricity generation from coal, policy (TWh)</t>
  </si>
  <si>
    <t>egy.mit.elec.twh.coa.2</t>
  </si>
  <si>
    <t>egy.mit.elec.twh.coa.2_EG1</t>
  </si>
  <si>
    <t>Electricity generation from natural gas, policy (TWh)</t>
  </si>
  <si>
    <t>egy.mit.elec.twh.nga.2</t>
  </si>
  <si>
    <t>egy.mit.elec.twh.nga.2_EG1</t>
  </si>
  <si>
    <t>Electricity generation from non-road oil, policy (TWh)</t>
  </si>
  <si>
    <t>egy.mit.elec.twh.oop.2</t>
  </si>
  <si>
    <t>egy.mit.elec.twh.oop.2_EG1</t>
  </si>
  <si>
    <t>Electricity generation from nuclear, policy (TWh)</t>
  </si>
  <si>
    <t>egy.mit.elec.twh.nuc.2</t>
  </si>
  <si>
    <t>egy.mit.elec.twh.nuc.2_EG1</t>
  </si>
  <si>
    <t>Electricity generation from wind, policy (TWh)</t>
  </si>
  <si>
    <t>egy.mit.elec.twh.wnd.2</t>
  </si>
  <si>
    <t>egy.mit.elec.twh.wnd.2_EG1</t>
  </si>
  <si>
    <t>Electricity generation from solar, policy (TWh)</t>
  </si>
  <si>
    <t>egy.mit.elec.twh.sol.2</t>
  </si>
  <si>
    <t>egy.mit.elec.twh.sol.2_EG1</t>
  </si>
  <si>
    <t>Electricity generation from hydro, policy (TWh)</t>
  </si>
  <si>
    <t>egy.mit.elec.twh.hyd.2</t>
  </si>
  <si>
    <t>egy.mit.elec.twh.hyd.2_EG1</t>
  </si>
  <si>
    <t>Electricity generation from other renewables, policy (TWh)</t>
  </si>
  <si>
    <t>egy.mit.elec.twh.ore.2</t>
  </si>
  <si>
    <t>egy.mit.elec.twh.ore.2_EG1</t>
  </si>
  <si>
    <t>Electricity generation from biomass, policy (TWh)</t>
  </si>
  <si>
    <t>egy.mit.elec.twh.bio.2</t>
  </si>
  <si>
    <t>egy.mit.elec.twh.bio.2_EG1</t>
  </si>
  <si>
    <t>Electricity generation from decentralized renewables, policy (TWh)</t>
  </si>
  <si>
    <t>egy.mit.elec.twh.ren.2</t>
  </si>
  <si>
    <t>egy.mit.elec.twh.ren.2_EG1</t>
  </si>
  <si>
    <t>Fossil fuel consumption by sector: Transport, policy (ktoe)</t>
  </si>
  <si>
    <t>egy.mit.ener.rod.nga.pass.e.2</t>
  </si>
  <si>
    <t>egy.mit.ener.rod.nga.pass.e.2_EG1</t>
  </si>
  <si>
    <t>Energy consumption, road, coal, policy</t>
  </si>
  <si>
    <t>egy.mit.tot.rod.nga.e.2</t>
  </si>
  <si>
    <t>egy.mit.tot.rod.nga.e.2_EG1</t>
  </si>
  <si>
    <t>Energy consumption, road, natural gas, policy</t>
  </si>
  <si>
    <t>0_EG1</t>
  </si>
  <si>
    <t>Energy consumption, road, gasoline, policy</t>
  </si>
  <si>
    <t>Energy consumption, road, diesel, policy</t>
  </si>
  <si>
    <t>egy.mit.tot.rod.ele.e.2</t>
  </si>
  <si>
    <t>egy.mit.tot.rod.ele.e.2_EG1</t>
  </si>
  <si>
    <t>Energy consumption, road, lpg, policy</t>
  </si>
  <si>
    <t>Energy consumption, road, kerosene, policy</t>
  </si>
  <si>
    <t>egy.mit.pass.vkt.all.e.2</t>
  </si>
  <si>
    <t>egy.mit.pass.vkt.all.e.2_EG1</t>
  </si>
  <si>
    <t>Energy consumption, road, other oil products, policy</t>
  </si>
  <si>
    <t>egy.mit.fre.vkt.all.e.2</t>
  </si>
  <si>
    <t>egy.mit.fre.vkt.all.e.2_EG1</t>
  </si>
  <si>
    <t>Energy consumption, road, biomass, policy</t>
  </si>
  <si>
    <t>egy.mit.motor.vkt.all.e.2</t>
  </si>
  <si>
    <t>egy.mit.motor.vkt.all.e.2_EG1</t>
  </si>
  <si>
    <t>Energy consumption, road, sector-generated renewables, policy</t>
  </si>
  <si>
    <t>Energy consumption, rail, coal, policy</t>
  </si>
  <si>
    <t>Energy consumption, rail, natural gas, policy</t>
  </si>
  <si>
    <t>Energy consumption, rail, gasoline, policy</t>
  </si>
  <si>
    <t>egy.mit.fecon.die.all.e.2</t>
  </si>
  <si>
    <t>egy.mit.fecon.die.all.e.2_EG1</t>
  </si>
  <si>
    <t>Energy consumption, rail, diesel, policy</t>
  </si>
  <si>
    <t>Energy consumption, rail, lpg, policy</t>
  </si>
  <si>
    <t>Energy consumption, rail, kerosene, policy</t>
  </si>
  <si>
    <t>Energy consumption, rail, other oil products, policy</t>
  </si>
  <si>
    <t>egy.mit.fecon.lpg.all.e.2</t>
  </si>
  <si>
    <t>egy.mit.fecon.lpg.all.e.2_EG1</t>
  </si>
  <si>
    <t>Energy consumption, rail, biomass, policy</t>
  </si>
  <si>
    <t>Energy consumption, rail, sector-generated renewables, policy</t>
  </si>
  <si>
    <t>Energy consumption, navigation, coal, policy</t>
  </si>
  <si>
    <t>Energy consumption, navigation, natural gas, policy</t>
  </si>
  <si>
    <t>Energy consumption, navigation, gasoline, policy</t>
  </si>
  <si>
    <t>Energy consumption, navigation, diesel, policy</t>
  </si>
  <si>
    <t>Energy consumption, navigation, lpg, policy</t>
  </si>
  <si>
    <t>Output Code_EG1</t>
  </si>
  <si>
    <t>Energy consumption, navigation, kerosene, policy</t>
  </si>
  <si>
    <t>Energy consumption, navigation, other oil products, policy</t>
  </si>
  <si>
    <t>egy.mit.atp.rod.coa.e.2</t>
  </si>
  <si>
    <t>egy.mit.atp.rod.coa.e.2_EG1</t>
  </si>
  <si>
    <t>Energy consumption, navigation, biomass, policy</t>
  </si>
  <si>
    <t>egy.mit.atp.rod.nga.e.2</t>
  </si>
  <si>
    <t>egy.mit.atp.rod.nga.e.2_EG1</t>
  </si>
  <si>
    <t>Energy consumption, navigation, sector-generated renewables, policy</t>
  </si>
  <si>
    <t>egy.mit.atp.rod.gso.e.2</t>
  </si>
  <si>
    <t>egy.mit.atp.rod.gso.e.2_EG1</t>
  </si>
  <si>
    <t>Energy consumption, aviation, coal, policy</t>
  </si>
  <si>
    <t>Energy consumption, aviation, natural gas, policy</t>
  </si>
  <si>
    <t>Energy consumption, aviation, gasoline, policy</t>
  </si>
  <si>
    <t>Energy consumption, aviation, diesel, policy</t>
  </si>
  <si>
    <t>Energy consumption, aviation, lpg, policy</t>
  </si>
  <si>
    <t>Energy consumption, aviation, kerosene, policy</t>
  </si>
  <si>
    <t>Energy consumption, aviation, other oil products, policy</t>
  </si>
  <si>
    <t>Energy consumption, aviation, biomass, policy</t>
  </si>
  <si>
    <t>Energy consumption, aviation, sector-generated renewables, policy</t>
  </si>
  <si>
    <t>Energy consumption, aviation, jetfuel, policy</t>
  </si>
  <si>
    <t>Fossil fuel consumption by sector, Buildings, policy (ktoe)</t>
  </si>
  <si>
    <t>Energy consumption, residential, coal, policy</t>
  </si>
  <si>
    <t>egy.mit.atp.ral.oop.e.2</t>
  </si>
  <si>
    <t>egy.mit.atp.ral.oop.e.2_EG1</t>
  </si>
  <si>
    <t>Energy consumption, residential, natural gas, policy</t>
  </si>
  <si>
    <t>egy.mit.atp.ral.bio.e.2</t>
  </si>
  <si>
    <t>egy.mit.atp.ral.bio.e.2_EG1</t>
  </si>
  <si>
    <t>Energy consumption, residential, gasoline, policy</t>
  </si>
  <si>
    <t>egy.mit.atp.ral.ren.e.2</t>
  </si>
  <si>
    <t>egy.mit.atp.ral.ren.e.2_EG1</t>
  </si>
  <si>
    <t>Energy consumption, residential, diesel, policy</t>
  </si>
  <si>
    <t>Energy consumption, residential, lpg, policy</t>
  </si>
  <si>
    <t>Energy consumption, residential, kerosene, policy</t>
  </si>
  <si>
    <t>egy.mit.ener.ral.coa.e.2</t>
  </si>
  <si>
    <t>egy.mit.ener.ral.coa.e.2_EG1</t>
  </si>
  <si>
    <t>Energy consumption, residential, other oil products, policy</t>
  </si>
  <si>
    <t>egy.mit.ener.ral.nga.e.2</t>
  </si>
  <si>
    <t>egy.mit.ener.ral.nga.e.2_EG1</t>
  </si>
  <si>
    <t>Energy consumption, residential, biomass, policy</t>
  </si>
  <si>
    <t>egy.mit.ener.ral.gso.e.2</t>
  </si>
  <si>
    <t>egy.mit.ener.ral.gso.e.2_EG1</t>
  </si>
  <si>
    <t>Energy consumption, residential, sector-generated renewables, policy</t>
  </si>
  <si>
    <t>egy.mit.ener.ral.die.e.2</t>
  </si>
  <si>
    <t>egy.mit.ener.ral.die.e.2_EG1</t>
  </si>
  <si>
    <t>Energy consumption, food &amp; forestry, coal, policy</t>
  </si>
  <si>
    <t>egy.mit.ener.nav.nga.e.2</t>
  </si>
  <si>
    <t>egy.mit.ener.nav.nga.e.2_EG1</t>
  </si>
  <si>
    <t>Energy consumption, food &amp; forestry, natural gas, policy</t>
  </si>
  <si>
    <t>egy.mit.ener.nav.gso.e.2</t>
  </si>
  <si>
    <t>egy.mit.ener.nav.gso.e.2_EG1</t>
  </si>
  <si>
    <t>Energy consumption, food &amp; forestry, gasoline, policy</t>
  </si>
  <si>
    <t>egy.mit.ener.nav.die.e.2</t>
  </si>
  <si>
    <t>egy.mit.ener.nav.die.e.2_EG1</t>
  </si>
  <si>
    <t>Energy consumption, food &amp; forestry, diesel, policy</t>
  </si>
  <si>
    <t>egy.mit.ener.nav.lpg.e.2</t>
  </si>
  <si>
    <t>egy.mit.ener.nav.lpg.e.2_EG1</t>
  </si>
  <si>
    <t>Energy consumption, food &amp; forestry, lpg, policy</t>
  </si>
  <si>
    <t>egy.mit.ener.nav.ker.e.2</t>
  </si>
  <si>
    <t>egy.mit.ener.nav.ker.e.2_EG1</t>
  </si>
  <si>
    <t>Energy consumption, food &amp; forestry, kerosene, policy</t>
  </si>
  <si>
    <t>egy.mit.ener.nav.oop.e.2</t>
  </si>
  <si>
    <t>egy.mit.ener.nav.oop.e.2_EG1</t>
  </si>
  <si>
    <t>Energy consumption, food &amp; forestry, other oil products, policy</t>
  </si>
  <si>
    <t>egy.mit.ener.nav.bio.e.2</t>
  </si>
  <si>
    <t>egy.mit.ener.nav.bio.e.2_EG1</t>
  </si>
  <si>
    <t>Energy consumption, food &amp; forestry, biomass, policy</t>
  </si>
  <si>
    <t>egy.mit.ener.nav.ren.e.2</t>
  </si>
  <si>
    <t>egy.mit.ener.nav.ren.e.2_EG1</t>
  </si>
  <si>
    <t>Energy consumption, food &amp; forestry, sector-generated renewables, policy</t>
  </si>
  <si>
    <t>egy.mit.ener.nav.tot.e.2</t>
  </si>
  <si>
    <t>egy.mit.ener.nav.tot.e.2_EG1</t>
  </si>
  <si>
    <t>Energy consumption, services (public &amp; private), coal, policy</t>
  </si>
  <si>
    <t>egy.mit.ener.tra.tot.e.2</t>
  </si>
  <si>
    <t>egy.mit.ener.tra.tot.e.2_EG1</t>
  </si>
  <si>
    <t>Energy consumption, services (public &amp; private), natural gas, policy</t>
  </si>
  <si>
    <t>Energy consumption, services (public &amp; private), gasoline, policy</t>
  </si>
  <si>
    <t>Energy consumption, services (public &amp; private), diesel, policy</t>
  </si>
  <si>
    <t>Energy consumption, services (public &amp; private), lpg, policy</t>
  </si>
  <si>
    <t>Energy consumption, services (public &amp; private), kerosene, policy</t>
  </si>
  <si>
    <t>Energy consumption, services (public &amp; private), other oil products, policy</t>
  </si>
  <si>
    <t>Energy consumption, services (public &amp; private), biomass, policy</t>
  </si>
  <si>
    <t>Energy consumption, services (public &amp; private), sector-generated renewables, policy</t>
  </si>
  <si>
    <t>egy.mit.atp.res.coa.e.2</t>
  </si>
  <si>
    <t>egy.mit.atp.res.coa.e.2_EG1</t>
  </si>
  <si>
    <t>Fossil fuel consumption by sector, Industry, policy (ktoe)</t>
  </si>
  <si>
    <t>Energy consumption, mining &amp; chemicals, coal, policy</t>
  </si>
  <si>
    <t>Energy consumption, mining &amp; chemicals, natural gas, policy</t>
  </si>
  <si>
    <t>Energy consumption, mining &amp; chemicals, gasoline, policy</t>
  </si>
  <si>
    <t>Energy consumption, mining &amp; chemicals, diesel, policy</t>
  </si>
  <si>
    <t>Energy consumption, mining &amp; chemicals, lpg, policy</t>
  </si>
  <si>
    <t>Energy consumption, mining &amp; chemicals, kerosene, policy</t>
  </si>
  <si>
    <t>Energy consumption, mining &amp; chemicals, other oil products, policy</t>
  </si>
  <si>
    <t>Energy consumption, mining &amp; chemicals, biomass, policy</t>
  </si>
  <si>
    <t>Energy consumption, mining &amp; chemicals, sector-generated renewables, policy</t>
  </si>
  <si>
    <t>Energy consumption, iron and steel, coal, policy</t>
  </si>
  <si>
    <t>egy.mit.atp.foo.oop.e.2</t>
  </si>
  <si>
    <t>egy.mit.atp.foo.oop.e.2_EG1</t>
  </si>
  <si>
    <t>Energy consumption, iron and steel, natural gas, policy</t>
  </si>
  <si>
    <t>egy.mit.atp.foo.bio.e.2</t>
  </si>
  <si>
    <t>egy.mit.atp.foo.bio.e.2_EG1</t>
  </si>
  <si>
    <t>Energy consumption, iron and steel, gasoline, policy</t>
  </si>
  <si>
    <t>egy.mit.atp.foo.ren.e.2</t>
  </si>
  <si>
    <t>egy.mit.atp.foo.ren.e.2_EG1</t>
  </si>
  <si>
    <t>Energy consumption, iron and steel, diesel, policy</t>
  </si>
  <si>
    <t>Energy consumption, iron and steel, lpg, policy</t>
  </si>
  <si>
    <t>Energy consumption, iron and steel, kerosene, policy</t>
  </si>
  <si>
    <t>egy.mit.ener.foo.coa.e.2</t>
  </si>
  <si>
    <t>egy.mit.ener.foo.coa.e.2_EG1</t>
  </si>
  <si>
    <t>Energy consumption, iron and steel, other oil products, policy</t>
  </si>
  <si>
    <t>egy.mit.ener.foo.nga.e.2</t>
  </si>
  <si>
    <t>egy.mit.ener.foo.nga.e.2_EG1</t>
  </si>
  <si>
    <t>Energy consumption, iron and steel, biomass, policy</t>
  </si>
  <si>
    <t>egy.mit.ener.foo.gso.e.2</t>
  </si>
  <si>
    <t>egy.mit.ener.foo.gso.e.2_EG1</t>
  </si>
  <si>
    <t>Energy consumption, iron and steel, sector-generated renewables, policy</t>
  </si>
  <si>
    <t>egy.mit.ener.foo.die.e.2</t>
  </si>
  <si>
    <t>egy.mit.ener.foo.die.e.2_EG1</t>
  </si>
  <si>
    <t>Energy consumption, non-ferrous metals, coal, policy</t>
  </si>
  <si>
    <t>egy.mit.atp.srv.oop.e.2</t>
  </si>
  <si>
    <t>egy.mit.atp.srv.oop.e.2_EG1</t>
  </si>
  <si>
    <t>Energy consumption, non-ferrous metals, natural gas, policy</t>
  </si>
  <si>
    <t>egy.mit.atp.srv.bio.e.2</t>
  </si>
  <si>
    <t>egy.mit.atp.srv.bio.e.2_EG1</t>
  </si>
  <si>
    <t>Energy consumption, non-ferrous metals, gasoline, policy</t>
  </si>
  <si>
    <t>egy.mit.atp.srv.ren.e.2</t>
  </si>
  <si>
    <t>egy.mit.atp.srv.ren.e.2_EG1</t>
  </si>
  <si>
    <t>Energy consumption, non-ferrous metals, diesel, policy</t>
  </si>
  <si>
    <t>Energy consumption, non-ferrous metals, lpg, policy</t>
  </si>
  <si>
    <t>Energy consumption, non-ferrous metals, kerosene, policy</t>
  </si>
  <si>
    <t>egy.mit.ener.srv.coa.e.2</t>
  </si>
  <si>
    <t>egy.mit.ener.srv.coa.e.2_EG1</t>
  </si>
  <si>
    <t>Energy consumption, non-ferrous metals, other oil products, policy</t>
  </si>
  <si>
    <t>egy.mit.ener.srv.nga.e.2</t>
  </si>
  <si>
    <t>egy.mit.ener.srv.nga.e.2_EG1</t>
  </si>
  <si>
    <t>Energy consumption, non-ferrous metals, biomass, policy</t>
  </si>
  <si>
    <t>egy.mit.ener.srv.gso.e.2</t>
  </si>
  <si>
    <t>egy.mit.ener.srv.gso.e.2_EG1</t>
  </si>
  <si>
    <t>Energy consumption, non-ferrous metals, sector-generated renewables, policy</t>
  </si>
  <si>
    <t>egy.mit.ener.srv.die.e.2</t>
  </si>
  <si>
    <t>egy.mit.ener.srv.die.e.2_EG1</t>
  </si>
  <si>
    <t>Energy consumption, machinery, coal, policy</t>
  </si>
  <si>
    <t>Energy consumption, machinery, natural gas, policy</t>
  </si>
  <si>
    <t>Energy consumption, machinery, gasoline, policy</t>
  </si>
  <si>
    <t>Energy consumption, machinery, diesel, policy</t>
  </si>
  <si>
    <t>Energy consumption, machinery, lpg, policy</t>
  </si>
  <si>
    <t>Energy consumption, machinery, kerosene, policy</t>
  </si>
  <si>
    <t>egy.mit.ener.srv.tot.e.2</t>
  </si>
  <si>
    <t>egy.mit.ener.srv.tot.e.2_EG1</t>
  </si>
  <si>
    <t>Energy consumption, machinery, other oil products, policy</t>
  </si>
  <si>
    <t>egy.mit.ener.res.tot.e.2</t>
  </si>
  <si>
    <t>egy.mit.ener.res.tot.e.2_EG1</t>
  </si>
  <si>
    <t>Energy consumption, machinery, biomass, policy</t>
  </si>
  <si>
    <t>Energy consumption, machinery, sector-generated renewables, policy</t>
  </si>
  <si>
    <t>Energy consumption, cement, coal, policy</t>
  </si>
  <si>
    <t>egy.mit.ener.mch.coa.e.2_EG1</t>
  </si>
  <si>
    <t>Energy consumption, cement, natural gas, policy</t>
  </si>
  <si>
    <t>egy.mit.ener.mch.nga.e.2_EG1</t>
  </si>
  <si>
    <t>Energy consumption, cement, gasoline, policy</t>
  </si>
  <si>
    <t>egy.mit.ener.mch.gso.e.2_EG1</t>
  </si>
  <si>
    <t>Energy consumption, cement, diesel, policy</t>
  </si>
  <si>
    <t>egy.mit.ener.mch.die.e.2_EG1</t>
  </si>
  <si>
    <t>Energy consumption, cement, lpg, policy</t>
  </si>
  <si>
    <t>egy.mit.ener.mch.lpg.e.2_EG1</t>
  </si>
  <si>
    <t>Energy consumption, cement, kerosene, policy</t>
  </si>
  <si>
    <t>egy.mit.ener.mch.ker.e.2_EG1</t>
  </si>
  <si>
    <t>Energy consumption, cement, other oil products, policy</t>
  </si>
  <si>
    <t>egy.mit.ener.mch.oop.e.2_EG1</t>
  </si>
  <si>
    <t>Energy consumption, cement, biomass, policy</t>
  </si>
  <si>
    <t>egy.mit.ener.mch.bio.e.2_EG1</t>
  </si>
  <si>
    <t>Energy consumption, cement, sector-generated renewables, policy</t>
  </si>
  <si>
    <t>egy.mit.ener.mch.ren.e.2_EG1</t>
  </si>
  <si>
    <t>Energy consumption, other manufacturing, coal, policy</t>
  </si>
  <si>
    <t>egy.mit.ener.irn.coa.e.2_EG1</t>
  </si>
  <si>
    <t>Energy consumption, other manufacturing, natural gas, policy</t>
  </si>
  <si>
    <t>egy.mit.ener.irn.nga.e.2_EG1</t>
  </si>
  <si>
    <t>Energy consumption, other manufacturing, gasoline, policy</t>
  </si>
  <si>
    <t>egy.mit.ener.irn.gso.e.2_EG1</t>
  </si>
  <si>
    <t>Energy consumption, other manufacturing, diesel, policy</t>
  </si>
  <si>
    <t>egy.mit.ener.irn.die.e.2_EG1</t>
  </si>
  <si>
    <t>Energy consumption, other manufacturing, lpg, policy</t>
  </si>
  <si>
    <t>egy.mit.ener.irn.lpg.e.2_EG1</t>
  </si>
  <si>
    <t>Energy consumption, other manufacturing, kerosene, policy</t>
  </si>
  <si>
    <t>egy.mit.ener.irn.ker.e.2_EG1</t>
  </si>
  <si>
    <t>Energy consumption, other manufacturing, other oil products, policy</t>
  </si>
  <si>
    <t>egy.mit.ener.irn.oop.e.2_EG1</t>
  </si>
  <si>
    <t>Energy consumption, other manufacturing, biomass, policy</t>
  </si>
  <si>
    <t>egy.mit.ener.irn.bio.e.2_EG1</t>
  </si>
  <si>
    <t>Energy consumption, other manufacturing, sector-generated renewables, policy</t>
  </si>
  <si>
    <t>egy.mit.ener.irn.ren.e.2_EG1</t>
  </si>
  <si>
    <t>Energy consumption, construction, coal, policy</t>
  </si>
  <si>
    <t>egy.mit.ener.nfm.coa.e.2_EG1</t>
  </si>
  <si>
    <t>Energy consumption, construction, natural gas, policy</t>
  </si>
  <si>
    <t>egy.mit.ener.nfm.nga.e.2_EG1</t>
  </si>
  <si>
    <t>Energy consumption, construction, gasoline, policy</t>
  </si>
  <si>
    <t>egy.mit.ener.nfm.gso.e.2_EG1</t>
  </si>
  <si>
    <t>Energy consumption, construction, diesel, policy</t>
  </si>
  <si>
    <t>egy.mit.ener.nfm.die.e.2_EG1</t>
  </si>
  <si>
    <t>Energy consumption, construction, lpg, policy</t>
  </si>
  <si>
    <t>egy.mit.ener.nfm.lpg.e.2_EG1</t>
  </si>
  <si>
    <t>Energy consumption, construction, kerosene, policy</t>
  </si>
  <si>
    <t>egy.mit.ener.nfm.ker.e.2_EG1</t>
  </si>
  <si>
    <t>Energy consumption, construction, other oil products, policy</t>
  </si>
  <si>
    <t>egy.mit.ener.nfm.oop.e.2_EG1</t>
  </si>
  <si>
    <t>Energy consumption, construction, biomass, policy</t>
  </si>
  <si>
    <t>egy.mit.ener.nfm.bio.e.2_EG1</t>
  </si>
  <si>
    <t>Energy consumption, construction, sector-generated renewables, policy</t>
  </si>
  <si>
    <t>egy.mit.ener.nfm.ren.e.2_EG1</t>
  </si>
  <si>
    <t>Energy consumption, fuel transformation &amp; transportation, coal, policy</t>
  </si>
  <si>
    <t>egy.mit.ener.mac.coa.e.2</t>
  </si>
  <si>
    <t>egy.mit.ener.mac.coa.e.2_EG1</t>
  </si>
  <si>
    <t>Energy consumption, fuel transformation &amp; transportation, natural gas, policy</t>
  </si>
  <si>
    <t>egy.mit.ener.mac.nga.e.2</t>
  </si>
  <si>
    <t>egy.mit.ener.mac.nga.e.2_EG1</t>
  </si>
  <si>
    <t>Energy consumption, fuel transformation &amp; transportation, gasoline, policy</t>
  </si>
  <si>
    <t>egy.mit.ener.mac.gso.e.2</t>
  </si>
  <si>
    <t>egy.mit.ener.mac.gso.e.2_EG1</t>
  </si>
  <si>
    <t>Energy consumption, fuel transformation &amp; transportation, diesel, policy</t>
  </si>
  <si>
    <t>egy.mit.ener.mac.die.e.2</t>
  </si>
  <si>
    <t>egy.mit.ener.mac.die.e.2_EG1</t>
  </si>
  <si>
    <t>Energy consumption, fuel transformation &amp; transportation, lpg, policy</t>
  </si>
  <si>
    <t>egy.mit.ener.mac.lpg.e.2</t>
  </si>
  <si>
    <t>egy.mit.ener.mac.lpg.e.2_EG1</t>
  </si>
  <si>
    <t>Energy consumption, fuel transformation &amp; transportation, kerosene, policy</t>
  </si>
  <si>
    <t>egy.mit.ener.mac.ker.e.2</t>
  </si>
  <si>
    <t>egy.mit.ener.mac.ker.e.2_EG1</t>
  </si>
  <si>
    <t>Energy consumption, fuel transformation &amp; transportation, other oil products, policy</t>
  </si>
  <si>
    <t>egy.mit.ener.mac.oop.e.2</t>
  </si>
  <si>
    <t>egy.mit.ener.mac.oop.e.2_EG1</t>
  </si>
  <si>
    <t>Energy consumption, fuel transformation &amp; transportation, biomass, policy</t>
  </si>
  <si>
    <t>egy.mit.ener.mac.bio.e.2</t>
  </si>
  <si>
    <t>egy.mit.ener.mac.bio.e.2_EG1</t>
  </si>
  <si>
    <t>Energy consumption, fuel transformation &amp; transportation, sector-generated renewables, policy</t>
  </si>
  <si>
    <t>egy.mit.ener.mac.ren.e.2</t>
  </si>
  <si>
    <t>egy.mit.ener.mac.ren.e.2_EG1</t>
  </si>
  <si>
    <t xml:space="preserve">   Total Electricity consumption, policy (ktoe)</t>
  </si>
  <si>
    <t>egy.mit.ener.foo.ecy.t.2</t>
  </si>
  <si>
    <t>egy.mit.ener.foo.ecy.t.2_EG1</t>
  </si>
  <si>
    <t>Electricity consumption, road, electricity, policy</t>
  </si>
  <si>
    <t>Electricity consumption, rail, electricity, policy</t>
  </si>
  <si>
    <t>Electricity consumption, aviation, electricity, policy</t>
  </si>
  <si>
    <t>Electricity consumption, navigation, electricity, policy</t>
  </si>
  <si>
    <t>Electricity consumption, residential, electricity, policy</t>
  </si>
  <si>
    <t>Electricity consumption, food &amp; forestry, electricity, policy</t>
  </si>
  <si>
    <t>egy.mit.nxp.ecy.2</t>
  </si>
  <si>
    <t>egy.mit.nxp.ecy.2_EG1</t>
  </si>
  <si>
    <t>Electricity consumption, services (public &amp; private), electricity, policy</t>
  </si>
  <si>
    <t>egy.mit.tsd.ecy.2</t>
  </si>
  <si>
    <t>egy.mit.tsd.ecy.2_EG1</t>
  </si>
  <si>
    <t>Electricity consumption, mining &amp; chemicals, electricity, policy</t>
  </si>
  <si>
    <t>egy.mit.eou.ecy.2</t>
  </si>
  <si>
    <t>egy.mit.eou.ecy.2_EG1</t>
  </si>
  <si>
    <t>Electricity consumption, iron and steel, electricity, policy</t>
  </si>
  <si>
    <t>Electricity consumption, non-ferrous metals, electricity, policy</t>
  </si>
  <si>
    <t>Electricity consumption, machinery, electricity, policy</t>
  </si>
  <si>
    <t>CPAT Code</t>
  </si>
  <si>
    <t>CPAT Code_EG1</t>
  </si>
  <si>
    <t>Electricity consumption, cement, electricity, policy</t>
  </si>
  <si>
    <t>egy.mit.ener.rod.ecy.t.2</t>
  </si>
  <si>
    <t>egy.mit.ener.rod.ecy.t.2_EG1</t>
  </si>
  <si>
    <t>Electricity consumption, other manufacturing, electricity, policy</t>
  </si>
  <si>
    <t>egy.mit.ener.ral.ecy.t.2</t>
  </si>
  <si>
    <t>egy.mit.ener.ral.ecy.t.2_EG1</t>
  </si>
  <si>
    <t>Electricity consumption, construction, electricity, policy</t>
  </si>
  <si>
    <t>egy.mit.ener.avi.ecy.t.2</t>
  </si>
  <si>
    <t>egy.mit.ener.avi.ecy.t.2_EG1</t>
  </si>
  <si>
    <t>Electricity consumption, fuel transformation &amp; transportation, electricity, policy</t>
  </si>
  <si>
    <t>Electricity consumption, other energy use, policy</t>
  </si>
  <si>
    <t>egy.mit.ener.nav.ecy.t.2</t>
  </si>
  <si>
    <t>egy.mit.ener.nav.ecy.t.2_EG1</t>
  </si>
  <si>
    <t>Energy consumption, electricity, net exports </t>
  </si>
  <si>
    <t>egy.mit.ener.srv.ecy.t.2</t>
  </si>
  <si>
    <t>egy.mit.ener.srv.ecy.t.2_EG1</t>
  </si>
  <si>
    <t>Fossil fuel consumption by sector, Power, technoeconomic, policy (ktoe)</t>
  </si>
  <si>
    <t>Energy consumption, power, coal, policy</t>
  </si>
  <si>
    <t>Energy consumption, power, natural gas, policy</t>
  </si>
  <si>
    <t>Energy consumption, power, other oil products, policy</t>
  </si>
  <si>
    <t>Energy consumption, power, nuclear, policy</t>
  </si>
  <si>
    <t>Energy consumption, power, wind, policy</t>
  </si>
  <si>
    <t>Energy consumption, power, solar, policy</t>
  </si>
  <si>
    <t>Energy consumption, power, hydro, policy</t>
  </si>
  <si>
    <t>Energy consumption, power, other sector-generated renewables, policy</t>
  </si>
  <si>
    <t>Energy consumption, power, biomass, policy</t>
  </si>
  <si>
    <t>Fossil fuel consumption by sector, Power, elasticity, policy (ktoe)</t>
  </si>
  <si>
    <t>egy.mit.ener.em.ngaoil.e.2</t>
  </si>
  <si>
    <t>egy.mit.ener.em.ngaoil.e.2_EG1</t>
  </si>
  <si>
    <t>egy.mit.ener.em.coa.e.2</t>
  </si>
  <si>
    <t>egy.mit.ener.em.coa.e.2_EG1</t>
  </si>
  <si>
    <t>Fossil fuel consumption by sector, Power, average, policy (ktoe)</t>
  </si>
  <si>
    <t>usd</t>
  </si>
  <si>
    <t>Fiscal revenues, coal, baseline</t>
  </si>
  <si>
    <t>Fiscal revenues, natural gas, baseline</t>
  </si>
  <si>
    <t>Fiscal revenues, non-road oil, baseline</t>
  </si>
  <si>
    <t>Fiscal revenues, gasoline, baseline</t>
  </si>
  <si>
    <t>Fiscal revenues, diesel, baseline</t>
  </si>
  <si>
    <t>Fiscal revenues, lpg &amp; kerosene, baseline</t>
  </si>
  <si>
    <t>egy.mit.rev.new.coa.usd.2_EG1</t>
  </si>
  <si>
    <t>egy.mit.rev.new.nga.usd.2_EG1</t>
  </si>
  <si>
    <t>egy.mit.rev.new.oil.usd.2_EG1</t>
  </si>
  <si>
    <t>egy.mit.rev.new.gso.usd.2_EG1</t>
  </si>
  <si>
    <t>egy.mit.rev.new.die.usd.2_EG1</t>
  </si>
  <si>
    <t>egy.mit.rev.new.lpk.usd.2_EG1</t>
  </si>
  <si>
    <t>Additional fiscal revenues, total, net of subsidies, baseline (real 2021 US$bn)</t>
  </si>
  <si>
    <t>egy.mit.rev.tot.usd.1</t>
  </si>
  <si>
    <t>egy.mit.rev.tot.usd.1_EG1</t>
  </si>
  <si>
    <t>Additional fiscal revenues, coal, baseline</t>
  </si>
  <si>
    <t>egy.mit.rev.tot.coa.usd.1</t>
  </si>
  <si>
    <t>egy.mit.rev.tot.coa.usd.1_EG1</t>
  </si>
  <si>
    <t>Additional fiscal revenues , natural gas, baseline</t>
  </si>
  <si>
    <t>egy.mit.rev.tot.nga.usd.1</t>
  </si>
  <si>
    <t>egy.mit.rev.tot.nga.usd.1_EG1</t>
  </si>
  <si>
    <t>Additional fiscal revenues , non-road oil, baseline</t>
  </si>
  <si>
    <t>egy.mit.rev.tot.oil.usd.1</t>
  </si>
  <si>
    <t>egy.mit.rev.tot.oil.usd.1_EG1</t>
  </si>
  <si>
    <t>Additional fiscal revenues , gasoline, baseline</t>
  </si>
  <si>
    <t>egy.mit.rev.tot.gso.usd.1</t>
  </si>
  <si>
    <t>egy.mit.rev.tot.gso.usd.1_EG1</t>
  </si>
  <si>
    <t>Additional fiscal revenues , diesel, baseline</t>
  </si>
  <si>
    <t>egy.mit.rev.tot.die.usd.1</t>
  </si>
  <si>
    <t>egy.mit.rev.tot.die.usd.1_EG1</t>
  </si>
  <si>
    <t>Additional fiscal revenues , lpg &amp; kerosene, baseline</t>
  </si>
  <si>
    <t>egy.mit.rev.tot.lpk.usd.1</t>
  </si>
  <si>
    <t>egy.mit.rev.tot.lpk.usd.1_EG1</t>
  </si>
  <si>
    <t>Additional fiscal revenues , renewable subsidies, baseline</t>
  </si>
  <si>
    <t>egy.mit.sub.ren.usd.1</t>
  </si>
  <si>
    <t>egy.mit.sub.ren.usd.1_EG1</t>
  </si>
  <si>
    <t>sub</t>
  </si>
  <si>
    <t>Additional fiscal revenues , electricity, baseline</t>
  </si>
  <si>
    <t>egy.mit.rev.tot.ecy.usd.1</t>
  </si>
  <si>
    <t>egy.mit.rev.tot.ecy.usd.1_EG1</t>
  </si>
  <si>
    <t>Additional fiscal revenues, total, net of subsidies, policy (real 2021 US$bn)</t>
  </si>
  <si>
    <t>egy.mit.rev.tot.usd.2</t>
  </si>
  <si>
    <t>egy.mit.rev.tot.usd.2_EG1</t>
  </si>
  <si>
    <t>Additional fiscal revenues , coal, policy</t>
  </si>
  <si>
    <t>egy.mit.rev.tot.coa.usd.2</t>
  </si>
  <si>
    <t>egy.mit.rev.tot.coa.usd.2_EG1</t>
  </si>
  <si>
    <t>Additional fiscal revenues , natural gas, policy</t>
  </si>
  <si>
    <t>egy.mit.rev.tot.nga.usd.2</t>
  </si>
  <si>
    <t>egy.mit.rev.tot.nga.usd.2_EG1</t>
  </si>
  <si>
    <t>Additional fiscal revenues , non-road oil, policy</t>
  </si>
  <si>
    <t>egy.mit.rev.tot.oil.usd.2</t>
  </si>
  <si>
    <t>egy.mit.rev.tot.oil.usd.2_EG1</t>
  </si>
  <si>
    <t>Additional fiscal revenues , gasoline, policy</t>
  </si>
  <si>
    <t>egy.mit.rev.tot.gso.usd.2</t>
  </si>
  <si>
    <t>egy.mit.rev.tot.gso.usd.2_EG1</t>
  </si>
  <si>
    <t>Additional fiscal revenues , diesel, policy</t>
  </si>
  <si>
    <t>egy.mit.rev.tot.die.usd.2</t>
  </si>
  <si>
    <t>egy.mit.rev.tot.die.usd.2_EG1</t>
  </si>
  <si>
    <t>Additional fiscal revenues , lpg &amp; kerosene, policy</t>
  </si>
  <si>
    <t>egy.mit.rev.tot.lpk.usd.2</t>
  </si>
  <si>
    <t>egy.mit.rev.tot.lpk.usd.2_EG1</t>
  </si>
  <si>
    <t>Additional fiscal revenues , renewable subsidies, policy</t>
  </si>
  <si>
    <t>egy.mit.sub.ren.usd.2</t>
  </si>
  <si>
    <t>egy.mit.sub.ren.usd.2_EG1</t>
  </si>
  <si>
    <t>Additional fiscal revenues , electricity, policy</t>
  </si>
  <si>
    <t>egy.mit.rev.tot.ecy.usd.2</t>
  </si>
  <si>
    <t>egy.mit.rev.tot.ecy.usd.2_EG1</t>
  </si>
  <si>
    <t>Ambient PM2.5 - urban, Baseline</t>
  </si>
  <si>
    <t>egy.air.con.pm2.oap.urb.1</t>
  </si>
  <si>
    <t>egy.air.con.pm2.oap.urb.1_EG1</t>
  </si>
  <si>
    <t>air</t>
  </si>
  <si>
    <t>oap</t>
  </si>
  <si>
    <t>Ambient PM2.5 - rural, Baseline</t>
  </si>
  <si>
    <t>egy.air.con.pm2.oap.rur.1</t>
  </si>
  <si>
    <t>egy.air.con.pm2.oap.rur.1_EG1</t>
  </si>
  <si>
    <t>Ambient PM2.5 - urban, Policy</t>
  </si>
  <si>
    <t>egy.air.con.pm2.oap.urb.2</t>
  </si>
  <si>
    <t>egy.air.con.pm2.oap.urb.2_EG1</t>
  </si>
  <si>
    <t>Ambient PM2.5 - rural, Policy</t>
  </si>
  <si>
    <t>egy.air.con.pm2.oap.rur.2</t>
  </si>
  <si>
    <t>egy.air.con.pm2.oap.rur.2_EG1</t>
  </si>
  <si>
    <t>Modeled PM2.5 - all areas Baseline</t>
  </si>
  <si>
    <t>egy.air.con.pm2.mod.all.1</t>
  </si>
  <si>
    <t>egy.air.con.pm2.mod.all.1_EG1</t>
  </si>
  <si>
    <t>mod</t>
  </si>
  <si>
    <t>Observed PM2.5 - all areas Baseline</t>
  </si>
  <si>
    <t>egy.air.con.pm2.obs.all.1</t>
  </si>
  <si>
    <t>egy.air.con.pm2.obs.all.1_EG1</t>
  </si>
  <si>
    <t>obs</t>
  </si>
  <si>
    <t>Recommended WHO concentration</t>
  </si>
  <si>
    <t>who_guidelines</t>
  </si>
  <si>
    <t>who_guidelines_EG1</t>
  </si>
  <si>
    <t>gui</t>
  </si>
  <si>
    <t>whoguidelines</t>
  </si>
  <si>
    <t>Cumulative averted deaths - Ambient ozone</t>
  </si>
  <si>
    <t>egy.air.cad.ao3</t>
  </si>
  <si>
    <t>egy.air.cad.ao3_EG1</t>
  </si>
  <si>
    <t>cad</t>
  </si>
  <si>
    <t>Cumulative averted deaths - Ambient PM2.5</t>
  </si>
  <si>
    <t>egy.air.cad.apm25</t>
  </si>
  <si>
    <t>egy.air.cad.apm25_EG1</t>
  </si>
  <si>
    <t>Cumulative averted deaths - Household PM2.5</t>
  </si>
  <si>
    <t>egy.air.cad.hpm25</t>
  </si>
  <si>
    <t>egy.air.cad.hpm25_EG1</t>
  </si>
  <si>
    <t>egy.air.cad.net_EG1</t>
  </si>
  <si>
    <t>egy.air.ada.2464_EG1</t>
  </si>
  <si>
    <t>ada</t>
  </si>
  <si>
    <t>egy.air.ada.65_EG1</t>
  </si>
  <si>
    <t>egy.air.ada.u24_EG1</t>
  </si>
  <si>
    <t>Averted YLL (years of life lost)</t>
  </si>
  <si>
    <t>egy.air.av.yll</t>
  </si>
  <si>
    <t>egy.air.av.yll_EG1</t>
  </si>
  <si>
    <t>yll</t>
  </si>
  <si>
    <t>Averted YLD (years lived with disability)</t>
  </si>
  <si>
    <t>egy.air.av.yld</t>
  </si>
  <si>
    <t>egy.air.av.yld_EG1</t>
  </si>
  <si>
    <t>yld</t>
  </si>
  <si>
    <t>egy.air.mort_EG1</t>
  </si>
  <si>
    <t>mort</t>
  </si>
  <si>
    <t>Externalities power plants: coal</t>
  </si>
  <si>
    <t>egy.air.ext.pp.coa</t>
  </si>
  <si>
    <t>egy.air.ext.pp.coa_EG1</t>
  </si>
  <si>
    <t>ext</t>
  </si>
  <si>
    <t>Externalities power plants: gas</t>
  </si>
  <si>
    <t>egy.air.ext.pp.gas</t>
  </si>
  <si>
    <t>egy.air.ext.pp.gas_EG1</t>
  </si>
  <si>
    <t>Externalities power plants: oil</t>
  </si>
  <si>
    <t>egy.air.ext.pp.oil</t>
  </si>
  <si>
    <t>egy.air.ext.pp.oil_EG1</t>
  </si>
  <si>
    <t>Externalities industries: coal</t>
  </si>
  <si>
    <t>egy.air.ext.ind.coa</t>
  </si>
  <si>
    <t>egy.air.ext.ind.coa_EG1</t>
  </si>
  <si>
    <t>Externalities industries: gas</t>
  </si>
  <si>
    <t>egy.air.ext.ind.gas</t>
  </si>
  <si>
    <t>egy.air.ext.ind.gas_EG1</t>
  </si>
  <si>
    <t>Externalities industries: oil</t>
  </si>
  <si>
    <t>egy.air.ext.ind.oil</t>
  </si>
  <si>
    <t>egy.air.ext.ind.oil_EG1</t>
  </si>
  <si>
    <t>Externalities road transport: gasoline</t>
  </si>
  <si>
    <t>egy.air.ext.tra.gso</t>
  </si>
  <si>
    <t>egy.air.ext.tra.gso_EG1</t>
  </si>
  <si>
    <t>Externalities road transport: diesel</t>
  </si>
  <si>
    <t>egy.air.ext.tra.die</t>
  </si>
  <si>
    <t>egy.air.ext.tra.die_EG1</t>
  </si>
  <si>
    <t>Baseline GDP loss due to pollution</t>
  </si>
  <si>
    <t>egy.air.gdp.loss</t>
  </si>
  <si>
    <t>egy.air.gdp.loss_EG1</t>
  </si>
  <si>
    <t>gdploss</t>
  </si>
  <si>
    <t>loss</t>
  </si>
  <si>
    <t>Change in GDP loss due to pollution</t>
  </si>
  <si>
    <t>egy.air.gdp.loss.ch</t>
  </si>
  <si>
    <t>egy.air.gdp.loss.ch_EG1</t>
  </si>
  <si>
    <t>Coal air pollution cost per GJ, industry</t>
  </si>
  <si>
    <t>egy.mit.airpol.cost.coa.ind.1</t>
  </si>
  <si>
    <t>egy.mit.airpol.cost.coa.ind.1_EG1</t>
  </si>
  <si>
    <t>airpolcost</t>
  </si>
  <si>
    <t>Coal air pollution cost per GJ, residential</t>
  </si>
  <si>
    <t>egy.mit.airpol.cost.coa.res.1</t>
  </si>
  <si>
    <t>egy.mit.airpol.cost.coa.res.1_EG1</t>
  </si>
  <si>
    <t>Coal air pollution cost per GJ, power sector</t>
  </si>
  <si>
    <t>egy.mit.airpol.cost.coa.pow.1</t>
  </si>
  <si>
    <t>egy.mit.airpol.cost.coa.pow.1_EG1</t>
  </si>
  <si>
    <t>Natural gas air pollution cost per GJ, industry</t>
  </si>
  <si>
    <t>egy.mit.airpol.cost.nga.ind.1</t>
  </si>
  <si>
    <t>egy.mit.airpol.cost.nga.ind.1_EG1</t>
  </si>
  <si>
    <t>Natural gas air pollution cost per GJ, residential</t>
  </si>
  <si>
    <t>egy.mit.airpol.cost.nga.res.1</t>
  </si>
  <si>
    <t>egy.mit.airpol.cost.nga.res.1_EG1</t>
  </si>
  <si>
    <t>Natural gas air pollution cost per GJ, power sector</t>
  </si>
  <si>
    <t>egy.mit.airpol.cost.nga.pow.1</t>
  </si>
  <si>
    <t>egy.mit.airpol.cost.nga.pow.1_EG1</t>
  </si>
  <si>
    <t>Gasoline air pollution cost per liter</t>
  </si>
  <si>
    <t>egy.mit.airpol.cost.gso.1</t>
  </si>
  <si>
    <t>egy.mit.airpol.cost.gso.1_EG1</t>
  </si>
  <si>
    <t>lit</t>
  </si>
  <si>
    <t>Diesel air pollution cost per liter</t>
  </si>
  <si>
    <t>egy.mit.airpol.cost.die.1</t>
  </si>
  <si>
    <t>egy.mit.airpol.cost.die.1_EG1</t>
  </si>
  <si>
    <t>LPG air pollution cost per liter</t>
  </si>
  <si>
    <t>egy.mit.airpol.cost.lpg.1</t>
  </si>
  <si>
    <t>egy.mit.airpol.cost.lpg.1_EG1</t>
  </si>
  <si>
    <t>Kerosene air pollution cost per liter</t>
  </si>
  <si>
    <t>egy.mit.airpol.cost.ker.1</t>
  </si>
  <si>
    <t>egy.mit.airpol.cost.ker.1_EG1</t>
  </si>
  <si>
    <t>Savings health expenditure - Government - Real US$mn</t>
  </si>
  <si>
    <t>egy.air.sav.the.gov</t>
  </si>
  <si>
    <t>egy.air.sav.the.gov_EG1</t>
  </si>
  <si>
    <t>sav</t>
  </si>
  <si>
    <t>usdm</t>
  </si>
  <si>
    <t>Savings health expenditure - Prepaid Private - Real US$mn</t>
  </si>
  <si>
    <t>egy.air.sav.the.ppr</t>
  </si>
  <si>
    <t>egy.air.sav.the.ppr_EG1</t>
  </si>
  <si>
    <t>Savings health expenditure - Out-of-pocket - Real US$mn</t>
  </si>
  <si>
    <t>egy.air.sav.the.opo</t>
  </si>
  <si>
    <t>egy.air.sav.the.opo_EG1</t>
  </si>
  <si>
    <t>Savings health expenditure - Development assistance for health - Real US$mn</t>
  </si>
  <si>
    <t>egy.air.sav.the.das</t>
  </si>
  <si>
    <t>egy.air.sav.the.das_EG1</t>
  </si>
  <si>
    <t>Deaths per Ktoe, Coal power plants</t>
  </si>
  <si>
    <t>egy.dth.ktoe.pow.coa.1</t>
  </si>
  <si>
    <t>egy.dth.ktoe.pow.coa.1_EG1</t>
  </si>
  <si>
    <t>dthktoe</t>
  </si>
  <si>
    <t>deathsktoe</t>
  </si>
  <si>
    <t>Deaths per Ktoe, gas power plants</t>
  </si>
  <si>
    <t>egy.dth.ktoe.pow.nga.1</t>
  </si>
  <si>
    <t>egy.dth.ktoe.pow.nga.1_EG1</t>
  </si>
  <si>
    <t>Deaths per Ktoe, oil power plants</t>
  </si>
  <si>
    <t>egy.dth.ktoe.pow.opp.1</t>
  </si>
  <si>
    <t>egy.dth.ktoe.pow.opp.1_EG1</t>
  </si>
  <si>
    <t>Deaths per Ktoe, gasoline in transport</t>
  </si>
  <si>
    <t>egy.dth.ktoe.rod.gso.1</t>
  </si>
  <si>
    <t>egy.dth.ktoe.rod.gso.1_EG1</t>
  </si>
  <si>
    <t>Deaths per Ktoe, diesel in transport</t>
  </si>
  <si>
    <t>egy.dth.ktoe.rod.die.1</t>
  </si>
  <si>
    <t>egy.dth.ktoe.rod.die.1_EG1</t>
  </si>
  <si>
    <t>Deaths per Ktoe, coal in all industries</t>
  </si>
  <si>
    <t>egy.dth.ktoe.ind.coa.1</t>
  </si>
  <si>
    <t>egy.dth.ktoe.ind.coa.1_EG1</t>
  </si>
  <si>
    <t>Deaths per Ktoe, other oil in all industries</t>
  </si>
  <si>
    <t>egy.dth.ktoe.ind.oop.1</t>
  </si>
  <si>
    <t>egy.dth.ktoe.ind.oop.1_EG1</t>
  </si>
  <si>
    <t>Deaths per Ktoe, natural gas in all industries</t>
  </si>
  <si>
    <t>egy.dth.ktoe.ind.nga.1</t>
  </si>
  <si>
    <t>egy.dth.ktoe.ind.nga.1_EG1</t>
  </si>
  <si>
    <t>Deaths per Ktoe, natural gas in residential</t>
  </si>
  <si>
    <t>egy.dth.ktoe.res.nga.1</t>
  </si>
  <si>
    <t>egy.dth.ktoe.res.nga.1_EG1</t>
  </si>
  <si>
    <t>Baseline PM2.5 (in µg/m3) from coal power plants</t>
  </si>
  <si>
    <t>egy.air.conc.pm2.cpp.1</t>
  </si>
  <si>
    <t>egy.air.conc.pm2.cpp.1_EG1</t>
  </si>
  <si>
    <t>conc_pm</t>
  </si>
  <si>
    <t>ugm3</t>
  </si>
  <si>
    <t>Baseline PM2.5 (in µg/m3) from gas power plants</t>
  </si>
  <si>
    <t>egy.air.conc.pm2.gpp.1</t>
  </si>
  <si>
    <t>egy.air.conc.pm2.gpp.1_EG1</t>
  </si>
  <si>
    <t>Baseline PM2.5 (in µg/m3) from other power plants</t>
  </si>
  <si>
    <t>egy.air.conc.pm2.opp.1</t>
  </si>
  <si>
    <t>egy.air.conc.pm2.opp.1_EG1</t>
  </si>
  <si>
    <t>Baseline PM2.5 (in µg/m3) from road transport</t>
  </si>
  <si>
    <t>egy.air.conc.pm2.rod.1</t>
  </si>
  <si>
    <t>egy.air.conc.pm2.rod.1_EG1</t>
  </si>
  <si>
    <t>Baseline PM2.5 (in µg/m3) from residential, services and construction</t>
  </si>
  <si>
    <t>egy.air.conc.pm2.gro.1</t>
  </si>
  <si>
    <t>egy.air.conc.pm2.gro.1_EG1</t>
  </si>
  <si>
    <t>Baseline PM2.5 (in µg/m3) from industries and other energy</t>
  </si>
  <si>
    <t>egy.air.conc.pm2.oth.1</t>
  </si>
  <si>
    <t>egy.air.conc.pm2.oth.1_EG1</t>
  </si>
  <si>
    <t>Baseline PM2.5 (in µg/m3) from food &amp; forestry</t>
  </si>
  <si>
    <t>egy.air.conc.pm2.foo.1</t>
  </si>
  <si>
    <t>egy.air.conc.pm2.foo.1_EG1</t>
  </si>
  <si>
    <t>Baseline PM2.5 (in µg/m3) total</t>
  </si>
  <si>
    <t>egy.air.conc.pm2.tot.1</t>
  </si>
  <si>
    <t>egy.air.conc.pm2.tot.1_EG1</t>
  </si>
  <si>
    <t>Scenario PM2.5 (in µg/m3) from coal power plants</t>
  </si>
  <si>
    <t>egy.air.conc.pm2.cpp.2</t>
  </si>
  <si>
    <t>egy.air.conc.pm2.cpp.2_EG1</t>
  </si>
  <si>
    <t>Scenario PM2.5 (in µg/m3) from gas power plants</t>
  </si>
  <si>
    <t>egy.air.conc.pm2.gpp.2</t>
  </si>
  <si>
    <t>egy.air.conc.pm2.gpp.2_EG1</t>
  </si>
  <si>
    <t>Scenario PM2.5 (in µg/m3) from other power plants</t>
  </si>
  <si>
    <t>egy.air.conc.pm2.opp.2</t>
  </si>
  <si>
    <t>egy.air.conc.pm2.opp.2_EG1</t>
  </si>
  <si>
    <t>Scenario PM2.5 (in µg/m3) from road transport</t>
  </si>
  <si>
    <t>egy.air.conc.pm2.rod.2</t>
  </si>
  <si>
    <t>egy.air.conc.pm2.rod.2_EG1</t>
  </si>
  <si>
    <t>Scenario PM2.5 (in µg/m3) from residential, services and construction</t>
  </si>
  <si>
    <t>egy.air.conc.pm2.gro.2</t>
  </si>
  <si>
    <t>egy.air.conc.pm2.gro.2_EG1</t>
  </si>
  <si>
    <t>Scenario PM2.5 (in µg/m3) from industries and other energy</t>
  </si>
  <si>
    <t>egy.air.conc.pm2.oth.2</t>
  </si>
  <si>
    <t>egy.air.conc.pm2.oth.2_EG1</t>
  </si>
  <si>
    <t>Scenario PM2.5 (in µg/m3) from food &amp; forestry</t>
  </si>
  <si>
    <t>egy.air.conc.pm2.foo.2</t>
  </si>
  <si>
    <t>egy.air.conc.pm2.foo.2_EG1</t>
  </si>
  <si>
    <t>Scenario PM2.5 (in µg/m3) total</t>
  </si>
  <si>
    <t>egy.air.conc.pm2.tot.2</t>
  </si>
  <si>
    <t>egy.air.conc.pm2.tot.2_EG1</t>
  </si>
  <si>
    <t>Coal climate costs per GJ</t>
  </si>
  <si>
    <t>egy.mit.cc.code.coa.1</t>
  </si>
  <si>
    <t>egy.mit.cc.code.coa.1_EG1</t>
  </si>
  <si>
    <t>cccosts</t>
  </si>
  <si>
    <t>Natural gas climate costs per GJ</t>
  </si>
  <si>
    <t>egy.mit.cc.code.nga.1</t>
  </si>
  <si>
    <t>egy.mit.cc.code.nga.1_EG1</t>
  </si>
  <si>
    <t>Gasoline climate costs per GJ</t>
  </si>
  <si>
    <t>egy.mit.cc.code.gso.1</t>
  </si>
  <si>
    <t>egy.mit.cc.code.gso.1_EG1</t>
  </si>
  <si>
    <t>Diesel climate costs per GJ</t>
  </si>
  <si>
    <t>egy.mit.cc.code.die.1</t>
  </si>
  <si>
    <t>egy.mit.cc.code.die.1_EG1</t>
  </si>
  <si>
    <t>LPG climate costs per GJ</t>
  </si>
  <si>
    <t>egy.mit.cc.code.lpg.1</t>
  </si>
  <si>
    <t>egy.mit.cc.code.lpg.1_EG1</t>
  </si>
  <si>
    <t>Kerosene climate costs per GJ</t>
  </si>
  <si>
    <t>egy.mit.cc.code.ker.1</t>
  </si>
  <si>
    <t>egy.mit.cc.code.ker.1_EG1</t>
  </si>
  <si>
    <t>VMT, Baseline</t>
  </si>
  <si>
    <t>egy.tran.vmt.1</t>
  </si>
  <si>
    <t>egy.tran.vmt.1_EG1</t>
  </si>
  <si>
    <t>tran</t>
  </si>
  <si>
    <t>vmt</t>
  </si>
  <si>
    <t>VMT, Policy</t>
  </si>
  <si>
    <t>egy.tran.vmt.2</t>
  </si>
  <si>
    <t>egy.tran.vmt.2_EG1</t>
  </si>
  <si>
    <t>Transport accidents, Baseline</t>
  </si>
  <si>
    <t>egy.tran.deaths.1</t>
  </si>
  <si>
    <t>egy.tran.deaths.1_EG1</t>
  </si>
  <si>
    <t>Transport accidents, Policy</t>
  </si>
  <si>
    <t>egy.tran.deaths.2</t>
  </si>
  <si>
    <t>egy.tran.deaths.2_EG1</t>
  </si>
  <si>
    <t>Cumulative averted deaths from accidents</t>
  </si>
  <si>
    <t>egy.tran.acc.avd.cum.2</t>
  </si>
  <si>
    <t>egy.tran.acc.avd.cum.2_EG1</t>
  </si>
  <si>
    <t>Peak hours: baseline</t>
  </si>
  <si>
    <t>egy.tran.congestionP.1</t>
  </si>
  <si>
    <t>egy.tran.congestionP.1_EG1</t>
  </si>
  <si>
    <t>congestionP</t>
  </si>
  <si>
    <t>Peak hours: policy</t>
  </si>
  <si>
    <t>egy.tran.congestionP.2</t>
  </si>
  <si>
    <t>egy.tran.congestionP.2_EG1</t>
  </si>
  <si>
    <t>Gasoline accident damage per liter</t>
  </si>
  <si>
    <t>egy.tran.acc.cost.gso.1</t>
  </si>
  <si>
    <t>egy.tran.acc.cost.gso.1_EG1</t>
  </si>
  <si>
    <t>acccost</t>
  </si>
  <si>
    <t>Diesel accident damage per liter</t>
  </si>
  <si>
    <t>egy.tran.acc.cost.die.1</t>
  </si>
  <si>
    <t>egy.tran.acc.cost.die.1_EG1</t>
  </si>
  <si>
    <t>Gasoline congestion damage per liter</t>
  </si>
  <si>
    <t>egy.tran.con.cost.gso.1</t>
  </si>
  <si>
    <t>egy.tran.con.cost.gso.1_EG1</t>
  </si>
  <si>
    <t>concost</t>
  </si>
  <si>
    <t>Diesel congestion damage per liter</t>
  </si>
  <si>
    <t>egy.tran.con.cost.die.1</t>
  </si>
  <si>
    <t>egy.tran.con.cost.die.1_EG1</t>
  </si>
  <si>
    <t>Gasoline road damage per liter</t>
  </si>
  <si>
    <t>egy.tran.rdm.cost.gso.1</t>
  </si>
  <si>
    <t>egy.tran.rdm.cost.gso.1_EG1</t>
  </si>
  <si>
    <t>rdmcost</t>
  </si>
  <si>
    <t>Diesel road damage per liter</t>
  </si>
  <si>
    <t>egy.tran.rdm.cost.die.1</t>
  </si>
  <si>
    <t>egy.tran.rdm.cost.die.1_EG1</t>
  </si>
  <si>
    <t>Averted climate damages (national) (real US$ 2026 bn)</t>
  </si>
  <si>
    <t>egy.mit.wel.cli.usd</t>
  </si>
  <si>
    <t>egy.mit.wel.cli.usd_EG1</t>
  </si>
  <si>
    <t>wel</t>
  </si>
  <si>
    <t>Averted air pollution mortality/morbidity (real US$ 2026 bn)</t>
  </si>
  <si>
    <t>egy.mit.wel.air.usd</t>
  </si>
  <si>
    <t>egy.mit.wel.air.usd_EG1</t>
  </si>
  <si>
    <t>Averted road accidents (real US$ 2026 bn)</t>
  </si>
  <si>
    <t>egy.mit.wel.rod.aci.usd</t>
  </si>
  <si>
    <t>egy.mit.wel.rod.aci.usd_EG1</t>
  </si>
  <si>
    <t>Reduced congestion (real US$ 2026 bn)</t>
  </si>
  <si>
    <t>egy.mit.wel.rod.con.usd</t>
  </si>
  <si>
    <t>egy.mit.wel.rod.con.usd_EG1</t>
  </si>
  <si>
    <t>Efficiency costs (real US$ 2026 bn)</t>
  </si>
  <si>
    <t>egy.mit.wel.eco.dwl.usd</t>
  </si>
  <si>
    <t>egy.mit.wel.eco.dwl.usd_EG1</t>
  </si>
  <si>
    <t>Total national welfare benefits (real US$ 2026 bn)</t>
  </si>
  <si>
    <t>egy.mit.wel.tot.tot</t>
  </si>
  <si>
    <t>egy.mit.wel.tot.tot_EG1</t>
  </si>
  <si>
    <t>Climate benefits (real US$ 2026 bn)</t>
  </si>
  <si>
    <t>egy.mit.wel.cli.pct</t>
  </si>
  <si>
    <t>egy.mit.wel.cli.pct_EG1</t>
  </si>
  <si>
    <t>egy.mit.wel.air.pct_EG1</t>
  </si>
  <si>
    <t>Transport co-benefits (% GDP)</t>
  </si>
  <si>
    <t>egy.mit.wel.rod.pct</t>
  </si>
  <si>
    <t>egy.mit.wel.rod.pct_EG1</t>
  </si>
  <si>
    <t>Efficiency costs (% GDP)</t>
  </si>
  <si>
    <t>egy.mit.wel.eco.dwl.pct</t>
  </si>
  <si>
    <t>egy.mit.wel.eco.dwl.pct_EG1</t>
  </si>
  <si>
    <t>Total national welfare benefits (% GDP)</t>
  </si>
  <si>
    <t>egy.mit.wel.tot.pct</t>
  </si>
  <si>
    <t>egy.mit.wel.tot.pct_EG1</t>
  </si>
  <si>
    <t>Relative loss in consumption by prices increases on rural population (% consumption)</t>
  </si>
  <si>
    <t>egy.distn.tef.tot.dec.rur</t>
  </si>
  <si>
    <t>egy.distn.tef.tot.dec.rur_EG1</t>
  </si>
  <si>
    <t>distn</t>
  </si>
  <si>
    <t>tef</t>
  </si>
  <si>
    <t>dec</t>
  </si>
  <si>
    <t>Relative loss in consumption by prices increases on urban population (% consumption)</t>
  </si>
  <si>
    <t>egy.distn.tef.tot.dec.urb</t>
  </si>
  <si>
    <t>egy.distn.tef.tot.dec.urb_EG1</t>
  </si>
  <si>
    <t>Relative price impacts on consumption deciles: direct effect  (% consumption)</t>
  </si>
  <si>
    <t>egy.distn.def.tot.dec.ove</t>
  </si>
  <si>
    <t>egy.distn.def.tot.dec.ove_EG1</t>
  </si>
  <si>
    <t>def</t>
  </si>
  <si>
    <t>Relative price impacts on consumption deciles: coal direct effect  (% consumption)</t>
  </si>
  <si>
    <t>egy.distn.def.coa.dec.ove</t>
  </si>
  <si>
    <t>egy.distn.def.coa.dec.ove_EG1</t>
  </si>
  <si>
    <t>Relative price impacts on consumption deciles: electricity direct effect  (% consumption)</t>
  </si>
  <si>
    <t>egy.distn.def.ely.dec.ove</t>
  </si>
  <si>
    <t>egy.distn.def.ely.dec.ove_EG1</t>
  </si>
  <si>
    <t>Relative price impacts on consumption deciles: natural gas direct effect  (% consumption)</t>
  </si>
  <si>
    <t>egy.distn.def.nga.dec.ove</t>
  </si>
  <si>
    <t>egy.distn.def.nga.dec.ove_EG1</t>
  </si>
  <si>
    <t>Relative price impacts on consumption deciles: oil direct effect  (% consumption)</t>
  </si>
  <si>
    <t>egy.distn.def.oil.dec.ove</t>
  </si>
  <si>
    <t>egy.distn.def.oil.dec.ove_EG1</t>
  </si>
  <si>
    <t>Relative price impacts on consumption deciles: gasoline direct effect  (% consumption)</t>
  </si>
  <si>
    <t>egy.distn.def.gso.dec.ove</t>
  </si>
  <si>
    <t>egy.distn.def.gso.dec.ove_EG1</t>
  </si>
  <si>
    <t>Relative price impacts on consumption deciles: diesel direct effect  (% consumption)</t>
  </si>
  <si>
    <t>egy.distn.def.die.dec.ove</t>
  </si>
  <si>
    <t>egy.distn.def.die.dec.ove_EG1</t>
  </si>
  <si>
    <t>Relative price impacts on consumption deciles: kerosene direct effect  (% consumption)</t>
  </si>
  <si>
    <t>egy.distn.def.ker.dec.ove</t>
  </si>
  <si>
    <t>egy.distn.def.ker.dec.ove_EG1</t>
  </si>
  <si>
    <t>Relative price impacts on consumption deciles: lpg direct effect  (% consumption)</t>
  </si>
  <si>
    <t>egy.distn.def.lpg.dec.ove</t>
  </si>
  <si>
    <t>egy.distn.def.lpg.dec.ove_EG1</t>
  </si>
  <si>
    <t>Relative price impacts on consumption deciles: indirect effect  (% consumption)</t>
  </si>
  <si>
    <t>egy.distn.ief.tot.dec.ove</t>
  </si>
  <si>
    <t>egy.distn.ief.tot.dec.ove_EG1</t>
  </si>
  <si>
    <t>ief</t>
  </si>
  <si>
    <t>Relative price impacts on consumption deciles: appliances indirect effect  (% consumption)</t>
  </si>
  <si>
    <t>egy.distn.ief.app.dec.ove</t>
  </si>
  <si>
    <t>egy.distn.ief.app.dec.ove_EG1</t>
  </si>
  <si>
    <t>Relative price impacts on consumption deciles: chemicals indirect effect  (% consumption)</t>
  </si>
  <si>
    <t>egy.distn.ief.che.dec.ove</t>
  </si>
  <si>
    <t>egy.distn.ief.che.dec.ove_EG1</t>
  </si>
  <si>
    <t>Relative price impacts on consumption deciles: clothing indirect effect  (% consumption)</t>
  </si>
  <si>
    <t>egy.distn.ief.clo.dec.ove</t>
  </si>
  <si>
    <t>egy.distn.ief.clo.dec.ove_EG1</t>
  </si>
  <si>
    <t>Relative price impacts on consumption deciles: communications indirect effect  (% consumption)</t>
  </si>
  <si>
    <t>egy.distn.ief.com.dec.ove</t>
  </si>
  <si>
    <t>egy.distn.ief.com.dec.ove_EG1</t>
  </si>
  <si>
    <t>Relative price impacts on consumption deciles: education indirect effect  (% consumption)</t>
  </si>
  <si>
    <t>egy.distn.ief.edu.dec.ove</t>
  </si>
  <si>
    <t>egy.distn.ief.edu.dec.ove_EG1</t>
  </si>
  <si>
    <t>Relative price impacts on consumption deciles: food indirect effect  (% consumption)</t>
  </si>
  <si>
    <t>egy.distn.ief.food.dec.ove</t>
  </si>
  <si>
    <t>egy.distn.ief.food.dec.ove_EG1</t>
  </si>
  <si>
    <t>Relative price impacts on consumption deciles: health services indirect effect  (% consumption)</t>
  </si>
  <si>
    <t>egy.distn.ief.hea.dec.ove</t>
  </si>
  <si>
    <t>egy.distn.ief.hea.dec.ove_EG1</t>
  </si>
  <si>
    <t>Relative price impacts on consumption deciles: housing indirect effect  (% consumption)</t>
  </si>
  <si>
    <t>egy.distn.ief.hou.dec.ove</t>
  </si>
  <si>
    <t>egy.distn.ief.hou.dec.ove_EG1</t>
  </si>
  <si>
    <t>Relative price impacts on consumption deciles: other indirect effect  (% consumption)</t>
  </si>
  <si>
    <t>egy.distn.ief.oth.dec.ove</t>
  </si>
  <si>
    <t>egy.distn.ief.oth.dec.ove_EG1</t>
  </si>
  <si>
    <t>Relative price impacts on consumption deciles: paper indirect effect  (% consumption)</t>
  </si>
  <si>
    <t>egy.distn.ief.pap.dec.ove</t>
  </si>
  <si>
    <t>egy.distn.ief.pap.dec.ove_EG1</t>
  </si>
  <si>
    <t>Relative price impacts on consumption deciles: pharmaceuticals indirect effect  (% consumption)</t>
  </si>
  <si>
    <t>egy.distn.ief.pha.dec.ove</t>
  </si>
  <si>
    <t>egy.distn.ief.pha.dec.ove_EG1</t>
  </si>
  <si>
    <t>Relative price impacts on consumption deciles: recreation and tourism indirect effect  (% consumption)</t>
  </si>
  <si>
    <t>egy.distn.ief.ret.dec.ove</t>
  </si>
  <si>
    <t>egy.distn.ief.ret.dec.ove_EG1</t>
  </si>
  <si>
    <t>Relative price impacts on consumption deciles: transportation equipment indirect effect  (% consumption)</t>
  </si>
  <si>
    <t>egy.distn.ief.teq.dec.ove</t>
  </si>
  <si>
    <t>egy.distn.ief.teq.dec.ove_EG1</t>
  </si>
  <si>
    <t>Relative price impacts on consumption deciles: public transportation indirect effect  (% consumption)</t>
  </si>
  <si>
    <t>egy.distn.ief.tpu.dec.ove</t>
  </si>
  <si>
    <t>egy.distn.ief.tpu.dec.ove_EG1</t>
  </si>
  <si>
    <t>Budget shares for consumption deciles: coal (% consumption)</t>
  </si>
  <si>
    <t>egy.distn.bsh.coa.dec.ove</t>
  </si>
  <si>
    <t>egy.distn.bsh.coa.dec.ove_EG1</t>
  </si>
  <si>
    <t>bsh</t>
  </si>
  <si>
    <t>Budget shares for consumption deciles: electricity (% consumption)</t>
  </si>
  <si>
    <t>egy.distn.bsh.ely.dec.ove</t>
  </si>
  <si>
    <t>egy.distn.bsh.ely.dec.ove_EG1</t>
  </si>
  <si>
    <t>Budget shares for consumption deciles: natural gas (% consumption)</t>
  </si>
  <si>
    <t>egy.distn.bsh.nga.dec.ove</t>
  </si>
  <si>
    <t>egy.distn.bsh.nga.dec.ove_EG1</t>
  </si>
  <si>
    <t>Budget shares for consumption deciles: oil (% consumption)</t>
  </si>
  <si>
    <t>egy.distn.bsh.oil.dec.ove</t>
  </si>
  <si>
    <t>egy.distn.bsh.oil.dec.ove_EG1</t>
  </si>
  <si>
    <t>Budget shares for consumption deciles: gasoline (% consumption)</t>
  </si>
  <si>
    <t>egy.distn.bsh.gso.dec.ove</t>
  </si>
  <si>
    <t>egy.distn.bsh.gso.dec.ove_EG1</t>
  </si>
  <si>
    <t>Budget shares for consumption deciles: diesel (% consumption)</t>
  </si>
  <si>
    <t>egy.distn.bsh.die.dec.ove</t>
  </si>
  <si>
    <t>egy.distn.bsh.die.dec.ove_EG1</t>
  </si>
  <si>
    <t>Budget shares for consumption deciles: kerosene (% consumption)</t>
  </si>
  <si>
    <t>egy.distn.bsh.ker.dec.ove</t>
  </si>
  <si>
    <t>egy.distn.bsh.ker.dec.ove_EG1</t>
  </si>
  <si>
    <t>Budget shares for consumption deciles: lpg (% consumption)</t>
  </si>
  <si>
    <t>egy.distn.bsh.lpg.dec.ove</t>
  </si>
  <si>
    <t>egy.distn.bsh.lpg.dec.ove_EG1</t>
  </si>
  <si>
    <t>Budget shares for consumption deciles: charcoal (% consumption)</t>
  </si>
  <si>
    <t>egy.distn.bsh.ccl.dec.ove</t>
  </si>
  <si>
    <t>egy.distn.bsh.ccl.dec.ove_EG1</t>
  </si>
  <si>
    <t>Budget shares for consumption deciles: ethanol (% consumption)</t>
  </si>
  <si>
    <t>egy.distn.bsh.ethanol.dec.ove</t>
  </si>
  <si>
    <t>egy.distn.bsh.ethanol.dec.ove_EG1</t>
  </si>
  <si>
    <t>Budget shares for consumption deciles: firewood (% consumption)</t>
  </si>
  <si>
    <t>egy.distn.bsh.fwd.dec.ove</t>
  </si>
  <si>
    <t>egy.distn.bsh.fwd.dec.ove_EG1</t>
  </si>
  <si>
    <t>Budget shares for consumption deciles: appliances (% consumption)</t>
  </si>
  <si>
    <t>egy.distn.bsh.app.dec.ove</t>
  </si>
  <si>
    <t>egy.distn.bsh.app.dec.ove_EG1</t>
  </si>
  <si>
    <t>Budget shares for consumption deciles: chemicals (% consumption)</t>
  </si>
  <si>
    <t>egy.distn.bsh.che.dec.ove</t>
  </si>
  <si>
    <t>egy.distn.bsh.che.dec.ove_EG1</t>
  </si>
  <si>
    <t>Budget shares for consumption deciles: clothing (% consumption)</t>
  </si>
  <si>
    <t>egy.distn.bsh.clo.dec.ove</t>
  </si>
  <si>
    <t>egy.distn.bsh.clo.dec.ove_EG1</t>
  </si>
  <si>
    <t>Budget shares for consumption deciles: communications (% consumption)</t>
  </si>
  <si>
    <t>egy.distn.bsh.com.dec.ove</t>
  </si>
  <si>
    <t>egy.distn.bsh.com.dec.ove_EG1</t>
  </si>
  <si>
    <t>Budget shares for consumption deciles: education (% consumption)</t>
  </si>
  <si>
    <t>egy.distn.bsh.edu.dec.ove</t>
  </si>
  <si>
    <t>egy.distn.bsh.edu.dec.ove_EG1</t>
  </si>
  <si>
    <t>Budget shares for consumption deciles: food (% consumption)</t>
  </si>
  <si>
    <t>egy.distn.bsh.food.dec.ove</t>
  </si>
  <si>
    <t>egy.distn.bsh.food.dec.ove_EG1</t>
  </si>
  <si>
    <t>Budget shares for consumption deciles: heatlh services (% consumption)</t>
  </si>
  <si>
    <t>egy.distn.bsh.hea.dec.ove</t>
  </si>
  <si>
    <t>egy.distn.bsh.hea.dec.ove_EG1</t>
  </si>
  <si>
    <t>Budget shares for consumption deciles: housing (% consumption)</t>
  </si>
  <si>
    <t>egy.distn.bsh.hou.dec.ove</t>
  </si>
  <si>
    <t>egy.distn.bsh.hou.dec.ove_EG1</t>
  </si>
  <si>
    <t>Budget shares for consumption deciles: other (% consumption)</t>
  </si>
  <si>
    <t>egy.distn.bsh.oth.dec.ove</t>
  </si>
  <si>
    <t>egy.distn.bsh.oth.dec.ove_EG1</t>
  </si>
  <si>
    <t>Budget shares for consumption deciles: paper (% consumption)</t>
  </si>
  <si>
    <t>egy.distn.bsh.pap.dec.ove</t>
  </si>
  <si>
    <t>egy.distn.bsh.pap.dec.ove_EG1</t>
  </si>
  <si>
    <t>Budget shares for consumption deciles: pharmaceuticals (% consumption)</t>
  </si>
  <si>
    <t>egy.distn.bsh.pha.dec.ove</t>
  </si>
  <si>
    <t>egy.distn.bsh.pha.dec.ove_EG1</t>
  </si>
  <si>
    <t>Budget shares for consumption deciles: recreation and tourism (% consumption)</t>
  </si>
  <si>
    <t>egy.distn.bsh.ret.dec.ove</t>
  </si>
  <si>
    <t>egy.distn.bsh.ret.dec.ove_EG1</t>
  </si>
  <si>
    <t>Budget shares for consumption deciles: transportation equipment (% consumption)</t>
  </si>
  <si>
    <t>egy.distn.bsh.teq.dec.ove</t>
  </si>
  <si>
    <t>egy.distn.bsh.teq.dec.ove_EG1</t>
  </si>
  <si>
    <t>Budget shares for consumption deciles: public transportation (% consumption)</t>
  </si>
  <si>
    <t>egy.distn.bsh.tpu.dec.ove</t>
  </si>
  <si>
    <t>egy.distn.bsh.tpu.dec.ove_EG1</t>
  </si>
  <si>
    <t>Real per-capita national accounts-adjusted consumption by decile (real 2026 LCU in year 2030)</t>
  </si>
  <si>
    <t>egy.distn.cons_pc_na.dec.ove</t>
  </si>
  <si>
    <t>egy.distn.cons_pc_na.dec.ove_EG1</t>
  </si>
  <si>
    <t>cons_pc_na</t>
  </si>
  <si>
    <t>Real total national accounts-adjusted consumption by decile (real 2026 LCU in year 2030)</t>
  </si>
  <si>
    <t>egy.distn.tot_cons_na.dec.ove</t>
  </si>
  <si>
    <t>egy.distn.tot_cons_na.dec.ove_EG1</t>
  </si>
  <si>
    <t>tot_cons_na</t>
  </si>
  <si>
    <t>Total population by decile (individuals in year 2030)</t>
  </si>
  <si>
    <t>egy.distn.pop_tot_adj.dec.ove</t>
  </si>
  <si>
    <t>egy.distn.pop_tot_adj.dec.ove_EG1</t>
  </si>
  <si>
    <t>pop_tot_adj</t>
  </si>
  <si>
    <t>Share of CP Revenues to Compenate each Decile - Rural</t>
  </si>
  <si>
    <t>egy.distn.pctrev_comp.dec.rur</t>
  </si>
  <si>
    <t>egy.distn.pctrev_comp.dec.rur_EG1</t>
  </si>
  <si>
    <t>pctrev_comp</t>
  </si>
  <si>
    <t>Share of CP Revenues to Compenate each Decile - Urban</t>
  </si>
  <si>
    <t>egy.distn.pctrev_comp.dec.urb</t>
  </si>
  <si>
    <t>egy.distn.pctrev_comp.dec.urb_EG1</t>
  </si>
  <si>
    <t>Share of CP Revenues to Compenate each Decile - Overall</t>
  </si>
  <si>
    <t>egy.distn.pctrev_comp.dec.ove</t>
  </si>
  <si>
    <t>egy.distn.pctrev_comp.dec.ove_EG1</t>
  </si>
  <si>
    <t>Percent change in consumption-based Gini coefficient (% excl. recycling) - Overall</t>
  </si>
  <si>
    <t>egy.distn.pct_gini_norec.dec.ove</t>
  </si>
  <si>
    <t>egy.distn.pct_gini_norec.dec.ove_EG1</t>
  </si>
  <si>
    <t>pct_gini_norec</t>
  </si>
  <si>
    <t>Percent change in consumption-based Gini coefficient (% excl. recycling) - Urban</t>
  </si>
  <si>
    <t>egy.distn.pct_gini_norec.dec.urb</t>
  </si>
  <si>
    <t>egy.distn.pct_gini_norec.dec.urb_EG1</t>
  </si>
  <si>
    <t>Percent change in consumption-based Gini coefficient (% excl. recycling) - Rural</t>
  </si>
  <si>
    <t>egy.distn.pct_gini_norec.dec.rur</t>
  </si>
  <si>
    <t>egy.distn.pct_gini_norec.dec.rur_EG1</t>
  </si>
  <si>
    <t>Percent change in consumption-based Gini coefficient (% incl. recycling) - Overall</t>
  </si>
  <si>
    <t>egy.distn.pct_gini_rec.dec.ove</t>
  </si>
  <si>
    <t>egy.distn.pct_gini_rec.dec.ove_EG1</t>
  </si>
  <si>
    <t>pct_gini_rec</t>
  </si>
  <si>
    <t>Percent change in consumption-based Gini coefficient (% incl. recycling) - Urban</t>
  </si>
  <si>
    <t>egy.distn.pct_gini_rec.dec.urb</t>
  </si>
  <si>
    <t>egy.distn.pct_gini_rec.dec.urb_EG1</t>
  </si>
  <si>
    <t>Percent change in consumption-based Gini coefficient (% incl. recycling) - Rural</t>
  </si>
  <si>
    <t>egy.distn.pct_gini_rec.dec.rur</t>
  </si>
  <si>
    <t>egy.distn.pct_gini_rec.dec.rur_EG1</t>
  </si>
  <si>
    <t>Percent Price Increases: coal (%)</t>
  </si>
  <si>
    <t>egy.distn.dpr.coa.res</t>
  </si>
  <si>
    <t>egy.distn.dpr.coa.res_EG1</t>
  </si>
  <si>
    <t>dpr</t>
  </si>
  <si>
    <t>Percent Price Increases: electricity (%)</t>
  </si>
  <si>
    <t>egy.distn.dpr.ely.res</t>
  </si>
  <si>
    <t>egy.distn.dpr.ely.res_EG1</t>
  </si>
  <si>
    <t>Percent Price Increases: natural gas (%)</t>
  </si>
  <si>
    <t>egy.distn.dpr.nga.res</t>
  </si>
  <si>
    <t>egy.distn.dpr.nga.res_EG1</t>
  </si>
  <si>
    <t>Percent Price Increases: oil (%)</t>
  </si>
  <si>
    <t>egy.distn.dpr.oop.res</t>
  </si>
  <si>
    <t>egy.distn.dpr.oop.res_EG1</t>
  </si>
  <si>
    <t>Percent Price Increases: gasoline (%)</t>
  </si>
  <si>
    <t>egy.distn.dpr.gso.res</t>
  </si>
  <si>
    <t>egy.distn.dpr.gso.res_EG1</t>
  </si>
  <si>
    <t>Percent Price Increases: diesel (%)</t>
  </si>
  <si>
    <t>egy.distn.dpr.die.res</t>
  </si>
  <si>
    <t>egy.distn.dpr.die.res_EG1</t>
  </si>
  <si>
    <t>Percent Price Increases: kerosene (%)</t>
  </si>
  <si>
    <t>egy.distn.dpr.ker.res</t>
  </si>
  <si>
    <t>egy.distn.dpr.ker.res_EG1</t>
  </si>
  <si>
    <t>Percent Price Increases: lpg (%)</t>
  </si>
  <si>
    <t>egy.distn.dpr.lpg.res</t>
  </si>
  <si>
    <t>egy.distn.dpr.lpg.res_EG1</t>
  </si>
  <si>
    <t>Percent Price Increases: appliances (%)</t>
  </si>
  <si>
    <t>egy.distn.dpr.app</t>
  </si>
  <si>
    <t>egy.distn.dpr.app_EG1</t>
  </si>
  <si>
    <t>Percent Price Increases: chemicals (%)</t>
  </si>
  <si>
    <t>egy.distn.dpr.che</t>
  </si>
  <si>
    <t>egy.distn.dpr.che_EG1</t>
  </si>
  <si>
    <t>Percent Price Increases: clothing (%)</t>
  </si>
  <si>
    <t>egy.distn.dpr.clo</t>
  </si>
  <si>
    <t>egy.distn.dpr.clo_EG1</t>
  </si>
  <si>
    <t>Percent Price Increases: communications (%)</t>
  </si>
  <si>
    <t>egy.distn.dpr.com</t>
  </si>
  <si>
    <t>egy.distn.dpr.com_EG1</t>
  </si>
  <si>
    <t>Percent Price Increases: education (%)</t>
  </si>
  <si>
    <t>egy.distn.dpr.edu</t>
  </si>
  <si>
    <t>egy.distn.dpr.edu_EG1</t>
  </si>
  <si>
    <t>Percent Price Increases: food (%)</t>
  </si>
  <si>
    <t>egy.distn.dpr.food</t>
  </si>
  <si>
    <t>egy.distn.dpr.food_EG1</t>
  </si>
  <si>
    <t>Percent Price Increases: heatlh services (%)</t>
  </si>
  <si>
    <t>egy.distn.dpr.hea</t>
  </si>
  <si>
    <t>egy.distn.dpr.hea_EG1</t>
  </si>
  <si>
    <t>Percent Price Increases: housing (%)</t>
  </si>
  <si>
    <t>egy.distn.dpr.hou</t>
  </si>
  <si>
    <t>egy.distn.dpr.hou_EG1</t>
  </si>
  <si>
    <t>Percent Price Increases: other (%)</t>
  </si>
  <si>
    <t>egy.distn.dpr.oth</t>
  </si>
  <si>
    <t>egy.distn.dpr.oth_EG1</t>
  </si>
  <si>
    <t>Percent Price Increases: paper (%)</t>
  </si>
  <si>
    <t>egy.distn.dpr.pap</t>
  </si>
  <si>
    <t>egy.distn.dpr.pap_EG1</t>
  </si>
  <si>
    <t>Percent Price Increases: pharmaceuticals (%)</t>
  </si>
  <si>
    <t>egy.distn.dpr.pha</t>
  </si>
  <si>
    <t>egy.distn.dpr.pha_EG1</t>
  </si>
  <si>
    <t>Percent Price Increases: recreation and tourism (%)</t>
  </si>
  <si>
    <t>egy.distn.dpr.ret</t>
  </si>
  <si>
    <t>egy.distn.dpr.ret_EG1</t>
  </si>
  <si>
    <t>Percent Price Increases: transportation equipment (%)</t>
  </si>
  <si>
    <t>egy.distn.dpr.teq</t>
  </si>
  <si>
    <t>egy.distn.dpr.teq_EG1</t>
  </si>
  <si>
    <t>Percent Price Increases: public transportation (%)</t>
  </si>
  <si>
    <t>egy.distn.dpr.tpu</t>
  </si>
  <si>
    <t>egy.distn.dpr.tpu_EG1</t>
  </si>
  <si>
    <t>Relative gains from revenue recycling on consumption deciles: labor tax reductions  (% consumption)</t>
  </si>
  <si>
    <t>egy.distn.pit.tot.dec.ove</t>
  </si>
  <si>
    <t>egy.distn.pit.tot.dec.ove_EG1</t>
  </si>
  <si>
    <t>pit</t>
  </si>
  <si>
    <t>Relative gains from revenue recycling on consumption deciles: public investment  (% consumption)</t>
  </si>
  <si>
    <t>egy.distn.pui.tot.dec.ove</t>
  </si>
  <si>
    <t>egy.distn.pui.tot.dec.ove_EG1</t>
  </si>
  <si>
    <t>pui</t>
  </si>
  <si>
    <t>Relative gains from revenue recycling on consumption deciles: current spending  (% consumption)</t>
  </si>
  <si>
    <t>egy.distn.cts.tot.dec.ove</t>
  </si>
  <si>
    <t>egy.distn.cts.tot.dec.ove_EG1</t>
  </si>
  <si>
    <t>cts</t>
  </si>
  <si>
    <t>Relative gains from revenue recycling on consumption deciles: targeted transfer  (% consumption)</t>
  </si>
  <si>
    <t>egy.distn.tgt.tot.dec.ove</t>
  </si>
  <si>
    <t>egy.distn.tgt.tot.dec.ove_EG1</t>
  </si>
  <si>
    <t>tgt</t>
  </si>
  <si>
    <t>Relative price impacts on consumption deciles: total effect  (% consumption)</t>
  </si>
  <si>
    <t>egy.distn.tef.tot.dec.ove</t>
  </si>
  <si>
    <t>egy.distn.tef.tot.dec.ove_EG1</t>
  </si>
  <si>
    <t>Distributional analysis year</t>
  </si>
  <si>
    <t>dist.year</t>
  </si>
  <si>
    <t>dist.year_EG1</t>
  </si>
  <si>
    <t>Distributional impacts on average, p25, p75, median</t>
  </si>
  <si>
    <t>dist.stat</t>
  </si>
  <si>
    <t>dist.stat_EG1</t>
  </si>
  <si>
    <t>PIT reductions (Personal Allowance)</t>
  </si>
  <si>
    <t>egy.distn.pit.tot.dec.ove.mean</t>
  </si>
  <si>
    <t>Public Investment (All Infr.)</t>
  </si>
  <si>
    <t>egy.distn.pui.tot.dec.ove.mean</t>
  </si>
  <si>
    <t>Current Spending (All Social Protection and Labor)</t>
  </si>
  <si>
    <t>egydistn.cts.tot.dec.ove.mean</t>
  </si>
  <si>
    <t>Targeted Transfer (Cash)</t>
  </si>
  <si>
    <t>egy.distn.tgt.tot.dec.ove.mean</t>
  </si>
  <si>
    <t>Total Recycled - Overall</t>
  </si>
  <si>
    <t>egy.distn.rec.tot.dec.ove.mean</t>
  </si>
  <si>
    <t>rec</t>
  </si>
  <si>
    <t>Rural: PIT reductions (Personal Allowance)</t>
  </si>
  <si>
    <t>egy.distn.pit.tot.dec.rur.mean</t>
  </si>
  <si>
    <t>Rural: Public Investment (All Infr.)</t>
  </si>
  <si>
    <t>egy.distn.pui.tot.dec.rur.mean</t>
  </si>
  <si>
    <t>Rural: Current Spending (All Social Protection and Labor)</t>
  </si>
  <si>
    <t>egy.distn.cts.tot.dec.rur.mean</t>
  </si>
  <si>
    <t>Rural: Targeted Transfer (Cash)</t>
  </si>
  <si>
    <t>egy.distn.tgt.tot.dec.rur.mean</t>
  </si>
  <si>
    <t>Total Recycled - Rural</t>
  </si>
  <si>
    <t>egydistn.rec.tot.dec.rur.mean</t>
  </si>
  <si>
    <t>Urban: PIT reductions (Personal Allowance)</t>
  </si>
  <si>
    <t>egy.distn.pit.tot.dec.urb.mean</t>
  </si>
  <si>
    <t>Urban: Public Investment (All Infr.)</t>
  </si>
  <si>
    <t>egy.distn.pui.tot.dec.urb.mean</t>
  </si>
  <si>
    <t>Urban: Current Spending (All Social Protection and Labor)</t>
  </si>
  <si>
    <t>egy.distn.cts.tot.dec.urb.mean</t>
  </si>
  <si>
    <t>Urban: Targeted Transfer (Cash)</t>
  </si>
  <si>
    <t>egy.distn.tgt.tot.dec.urb.mean</t>
  </si>
  <si>
    <t>Total Recycled - Urban</t>
  </si>
  <si>
    <t>egy.distn.rec.tot.dec.urb.mean</t>
  </si>
  <si>
    <t>food</t>
  </si>
  <si>
    <t>edu</t>
  </si>
  <si>
    <t>hea</t>
  </si>
  <si>
    <t>clo</t>
  </si>
  <si>
    <t>hou</t>
  </si>
  <si>
    <t>app</t>
  </si>
  <si>
    <t>che</t>
  </si>
  <si>
    <t>tpu</t>
  </si>
  <si>
    <t>teq</t>
  </si>
  <si>
    <t>pap</t>
  </si>
  <si>
    <t>com</t>
  </si>
  <si>
    <t>pha</t>
  </si>
  <si>
    <t>ret</t>
  </si>
  <si>
    <t>Aviation</t>
  </si>
  <si>
    <t>egy.ppic.avi</t>
  </si>
  <si>
    <t>egy.ppic.avi_EG1</t>
  </si>
  <si>
    <t>Food</t>
  </si>
  <si>
    <t>egy.ppic.foo</t>
  </si>
  <si>
    <t>egy.ppic.foo_EG1</t>
  </si>
  <si>
    <t>egy.ppic.srv</t>
  </si>
  <si>
    <t>egy.ppic.srv_EG1</t>
  </si>
  <si>
    <t>egy.ppic.con</t>
  </si>
  <si>
    <t>egy.ppic.con_EG1</t>
  </si>
  <si>
    <t>egy.ppic.mac</t>
  </si>
  <si>
    <t>egy.ppic.mac_EG1</t>
  </si>
  <si>
    <t>Iron/steel</t>
  </si>
  <si>
    <t>egy.ppic.irn</t>
  </si>
  <si>
    <t>egy.ppic.irn_EG1</t>
  </si>
  <si>
    <t>Manufactures</t>
  </si>
  <si>
    <t>egy.ppic.man</t>
  </si>
  <si>
    <t>egy.ppic.man_EG1</t>
  </si>
  <si>
    <t>egy.ppic.oth</t>
  </si>
  <si>
    <t>egy.ppic.oth_EG1</t>
  </si>
  <si>
    <t>egy.ppic.cem</t>
  </si>
  <si>
    <t>egy.ppic.cem_EG1</t>
  </si>
  <si>
    <t>Shipping</t>
  </si>
  <si>
    <t>egy.ppic.shi</t>
  </si>
  <si>
    <t>egy.ppic.shi_EG1</t>
  </si>
  <si>
    <t>egy.ppic.res</t>
  </si>
  <si>
    <t>egy.ppic.res_EG1</t>
  </si>
  <si>
    <t>egy.ppic.fuel</t>
  </si>
  <si>
    <t>egy.ppic.fuel_EG1</t>
  </si>
  <si>
    <t>egy.outpriin.avi</t>
  </si>
  <si>
    <t>egy.outpriin.avi_EG1</t>
  </si>
  <si>
    <t>egy.outpriin.shi</t>
  </si>
  <si>
    <t>egy.outpriin.shi_EG1</t>
  </si>
  <si>
    <t>egy.outpriin.cem</t>
  </si>
  <si>
    <t>egy.outpriin.cem_EG1</t>
  </si>
  <si>
    <t>egy.outpriin.irn</t>
  </si>
  <si>
    <t>egy.outpriin.irn_EG1</t>
  </si>
  <si>
    <t>egy.outpriin.oth</t>
  </si>
  <si>
    <t>egy.outpriin.oth_EG1</t>
  </si>
  <si>
    <t>egy.outpriin.man</t>
  </si>
  <si>
    <t>egy.outpriin.man_EG1</t>
  </si>
  <si>
    <t>egy.outpriin.foo</t>
  </si>
  <si>
    <t>egy.outpriin.foo_EG1</t>
  </si>
  <si>
    <t>egy.outpriin.mac</t>
  </si>
  <si>
    <t>egy.outpriin.mac_EG1</t>
  </si>
  <si>
    <t>egy.outpriin.res</t>
  </si>
  <si>
    <t>egy.outpriin.res_EG1</t>
  </si>
  <si>
    <t>egy.outpriin.con</t>
  </si>
  <si>
    <t>egy.outpriin.con_EG1</t>
  </si>
  <si>
    <t>egy.outpriin.srv</t>
  </si>
  <si>
    <t>egy.outpriin.srv_EG1</t>
  </si>
  <si>
    <t>Income elasticity - electricity</t>
  </si>
  <si>
    <t>egy.mit.el.inc.ecy.res</t>
  </si>
  <si>
    <t>egy.mit.el.inc.ecy.res_EG1</t>
  </si>
  <si>
    <t>elinc</t>
  </si>
  <si>
    <t>Income elasticity - motor fuels (gasoline)</t>
  </si>
  <si>
    <t>egy.mit.el.inc.gso.res</t>
  </si>
  <si>
    <t>egy.mit.el.inc.gso.res_EG1</t>
  </si>
  <si>
    <t>Income elasticity - non-road transport (diesel)</t>
  </si>
  <si>
    <t>egy.mit.el.inc.die.res</t>
  </si>
  <si>
    <t>egy.mit.el.inc.die.res_EG1</t>
  </si>
  <si>
    <t>GDP (USD bn)</t>
  </si>
  <si>
    <t>gdp_EG1</t>
  </si>
  <si>
    <t>gdpr</t>
  </si>
  <si>
    <t xml:space="preserve">Power sector CO2 emissions </t>
  </si>
  <si>
    <t>emisco2</t>
  </si>
  <si>
    <t>emisco2_EG1</t>
  </si>
  <si>
    <t>Total CO2 Emissions (all sectors)</t>
  </si>
  <si>
    <t>co2_EG1</t>
  </si>
  <si>
    <t>Total CO2 emisions to USD GDP</t>
  </si>
  <si>
    <t>co2intensityusdgdp</t>
  </si>
  <si>
    <t>co2intensityusdgdp_EG1</t>
  </si>
  <si>
    <t>co2inte</t>
  </si>
  <si>
    <t>Electricity Generated</t>
  </si>
  <si>
    <t>elec_EG1</t>
  </si>
  <si>
    <t>Proportion of renewables in total generation, base year</t>
  </si>
  <si>
    <t>renpropbase</t>
  </si>
  <si>
    <t>renpropbase_EG1</t>
  </si>
  <si>
    <t>renprop</t>
  </si>
  <si>
    <t>Proportion of variable renewables in total</t>
  </si>
  <si>
    <t>renprop_EG1</t>
  </si>
  <si>
    <t>CO2 intensity of power generation</t>
  </si>
  <si>
    <t>co2intpow</t>
  </si>
  <si>
    <t>co2intpow_EG1</t>
  </si>
  <si>
    <t>co2intp</t>
  </si>
  <si>
    <t>Transmission &amp; Stat Differences</t>
  </si>
  <si>
    <t>egy.mit.tsd.ecy.1</t>
  </si>
  <si>
    <t>egy.mit.tsd.ecy.1_EG1</t>
  </si>
  <si>
    <t>tsd</t>
  </si>
  <si>
    <t>Energy Industry Own Use</t>
  </si>
  <si>
    <t>egy.mit.eou.ecy.1</t>
  </si>
  <si>
    <t>egy.mit.eou.ecy.1_EG1</t>
  </si>
  <si>
    <t>eou</t>
  </si>
  <si>
    <t>Net Exports (Imports negative)</t>
  </si>
  <si>
    <t>egy.mit.nxp.ecy.1</t>
  </si>
  <si>
    <t>egy.mit.nxp.ecy.1_EG1</t>
  </si>
  <si>
    <t>nxp</t>
  </si>
  <si>
    <t>Energy Consumption - Electricity</t>
  </si>
  <si>
    <t>egy.mit.ec.ele.2026.1</t>
  </si>
  <si>
    <t>egy.mit.ec.ele.2026.1_EG1</t>
  </si>
  <si>
    <t>ec</t>
  </si>
  <si>
    <t>Energy Consumption - Coal</t>
  </si>
  <si>
    <t>egy.mit.ec.coa.2026.1</t>
  </si>
  <si>
    <t>egy.mit.ec.coa.2026.1_EG1</t>
  </si>
  <si>
    <t>Energy Consumption - Natural gas</t>
  </si>
  <si>
    <t>egy.mit.ec.nga.2026.1</t>
  </si>
  <si>
    <t>egy.mit.ec.nga.2026.1_EG1</t>
  </si>
  <si>
    <t>Energy Consumption - Other oil products</t>
  </si>
  <si>
    <t>egy.mit.ec.oop.2026.1</t>
  </si>
  <si>
    <t>egy.mit.ec.oop.2026.1_EG1</t>
  </si>
  <si>
    <t>Energy Consumption - Gasoline</t>
  </si>
  <si>
    <t>egy.mit.ec.gso.2026.1</t>
  </si>
  <si>
    <t>egy.mit.ec.gso.2026.1_EG1</t>
  </si>
  <si>
    <t>Energy Consumption - Diesel</t>
  </si>
  <si>
    <t>egy.mit.ec.die.2026.1</t>
  </si>
  <si>
    <t>egy.mit.ec.die.2026.1_EG1</t>
  </si>
  <si>
    <t>Energy Consumption - Kerosene</t>
  </si>
  <si>
    <t>egy.mit.ec.ker.2026.1</t>
  </si>
  <si>
    <t>egy.mit.ec.ker.2026.1_EG1</t>
  </si>
  <si>
    <t>Energy Consumption - LPG</t>
  </si>
  <si>
    <t>egy.mit.ec.lpg.2026.1</t>
  </si>
  <si>
    <t>egy.mit.ec.lpg.2026.1_EG1</t>
  </si>
  <si>
    <t>Energy Consumption - Jet fuel</t>
  </si>
  <si>
    <t>egy.mit.ec.jfu.2026.1</t>
  </si>
  <si>
    <t>egy.mit.ec.jfu.2026.1_EG1</t>
  </si>
  <si>
    <t>Energy Consumption - Wind</t>
  </si>
  <si>
    <t>egy.mit.ec.wnd.2026.1</t>
  </si>
  <si>
    <t>egy.mit.ec.wnd.2026.1_EG1</t>
  </si>
  <si>
    <t>Energy Consumption - Solar</t>
  </si>
  <si>
    <t>egy.mit.ec.sol.2026.1</t>
  </si>
  <si>
    <t>egy.mit.ec.sol.2026.1_EG1</t>
  </si>
  <si>
    <t>Energy Consumption - Hydro</t>
  </si>
  <si>
    <t>egy.mit.ec.hyd.2026.1</t>
  </si>
  <si>
    <t>egy.mit.ec.hyd.2026.1_EG1</t>
  </si>
  <si>
    <t>Energy Consumption - Other renewables / Total self generated renewables</t>
  </si>
  <si>
    <t>egy.mit.ec.ore.2026.1</t>
  </si>
  <si>
    <t>egy.mit.ec.ore.2026.1_EG1</t>
  </si>
  <si>
    <t>Energy Consumption - Nuclear</t>
  </si>
  <si>
    <t>egy.mit.ec.nuc.2026.1</t>
  </si>
  <si>
    <t>egy.mit.ec.nuc.2026.1_EG1</t>
  </si>
  <si>
    <t>Energy Consumption - Biomass</t>
  </si>
  <si>
    <t>egy.mit.ec.bio.2026.1</t>
  </si>
  <si>
    <t>egy.mit.ec.bio.2026.1_EG1</t>
  </si>
  <si>
    <t>Energy Consumption - - in which: biogasoline</t>
  </si>
  <si>
    <t>egy.mit.ec.bgs.2026.1</t>
  </si>
  <si>
    <t>egy.mit.ec.bgs.2026.1_EG1</t>
  </si>
  <si>
    <t>Energy Consumption - - in which: biodiesel</t>
  </si>
  <si>
    <t>egy.mit.ec.bdi.2026.1</t>
  </si>
  <si>
    <t>egy.mit.ec.bdi.2026.1_EG1</t>
  </si>
  <si>
    <t>Energy Consumption - - in which: other liquid biofuels</t>
  </si>
  <si>
    <t>egy.mit.ec.obf.2026.1</t>
  </si>
  <si>
    <t>egy.mit.ec.obf.2026.1_EG1</t>
  </si>
  <si>
    <t>Energy Consumption - Heat</t>
  </si>
  <si>
    <t>egy.mit.ec.heat.2026.1</t>
  </si>
  <si>
    <t>egy.mit.ec.heat.2026.1_EG1</t>
  </si>
  <si>
    <t xml:space="preserve">Power demand TWh - Total - Baseline </t>
  </si>
  <si>
    <t>egy.mit.elec.twh.sel.tot.ecy.1</t>
  </si>
  <si>
    <t>egy.mit.elec.twh.sel.tot.ecy.1_EG1</t>
  </si>
  <si>
    <t xml:space="preserve">Power demand TWh - Total - Policy </t>
  </si>
  <si>
    <t>egy.mit.elec.twh.sel.tot.ecy.2</t>
  </si>
  <si>
    <t>egy.mit.elec.twh.sel.tot.ecy.2_EG1</t>
  </si>
  <si>
    <t>Nameplate Capacity (MW) - Total - Baseline</t>
  </si>
  <si>
    <t>egy.mit.msc.pow.hyd.t.1</t>
  </si>
  <si>
    <t>egy.mit.msc.pow.hyd.t.1_EG1</t>
  </si>
  <si>
    <t>cap</t>
  </si>
  <si>
    <t>MWe</t>
  </si>
  <si>
    <t>Effective Capacity (MW) - Total - Baseline</t>
  </si>
  <si>
    <t>egy.mit.mancap.pow.oop.t.1</t>
  </si>
  <si>
    <t>egy.mit.mancap.pow.oop.t.1_EG1</t>
  </si>
  <si>
    <t>effcap</t>
  </si>
  <si>
    <t>New Investment MW - Coal - Baseline</t>
  </si>
  <si>
    <t>egy.mit.nim.pow.coa.t.1</t>
  </si>
  <si>
    <t>egy.mit.nim.pow.coa.t.1_EG1</t>
  </si>
  <si>
    <t>nni</t>
  </si>
  <si>
    <t>New Investment MW - Natural gas - Baseline</t>
  </si>
  <si>
    <t>egy.mit.nim.pow.nga.t.1</t>
  </si>
  <si>
    <t>egy.mit.nim.pow.nga.t.1_EG1</t>
  </si>
  <si>
    <t>New Investment MW - Oil - Baseline</t>
  </si>
  <si>
    <t>egy.mit.nim.pow.oop.t.1</t>
  </si>
  <si>
    <t>egy.mit.nim.pow.oop.t.1_EG1</t>
  </si>
  <si>
    <t>New Investment MW - Nuclear - Baseline</t>
  </si>
  <si>
    <t>egy.mit.nim.pow.nuc.t.1</t>
  </si>
  <si>
    <t>egy.mit.nim.pow.nuc.t.1_EG1</t>
  </si>
  <si>
    <t>New Investment MW - Wind - Baseline</t>
  </si>
  <si>
    <t>egy.mit.nim.pow.wnd.t.1</t>
  </si>
  <si>
    <t>egy.mit.nim.pow.wnd.t.1_EG1</t>
  </si>
  <si>
    <t>New Investment MW - Solar - Baseline</t>
  </si>
  <si>
    <t>egy.mit.nim.pow.sol.t.1</t>
  </si>
  <si>
    <t>egy.mit.nim.pow.sol.t.1_EG1</t>
  </si>
  <si>
    <t>New Investment MW - Hydro - Baseline</t>
  </si>
  <si>
    <t>egy.mit.nim.pow.hyd.t.1</t>
  </si>
  <si>
    <t>egy.mit.nim.pow.hyd.t.1_EG1</t>
  </si>
  <si>
    <t>New Investment MW - Other renewables - Baseline</t>
  </si>
  <si>
    <t>egy.mit.nim.pow.ore.t.1</t>
  </si>
  <si>
    <t>egy.mit.nim.pow.ore.t.1_EG1</t>
  </si>
  <si>
    <t>New Investment MW - Biomass - Baseline</t>
  </si>
  <si>
    <t>egy.mit.nim.pow.bio.t.1</t>
  </si>
  <si>
    <t>egy.mit.nim.pow.bio.t.1_EG1</t>
  </si>
  <si>
    <t>New Investment MW - Coal - Policy</t>
  </si>
  <si>
    <t>egy.mit.nim.pow.coa.t.2</t>
  </si>
  <si>
    <t>egy.mit.nim.pow.coa.t.2_EG1</t>
  </si>
  <si>
    <t>New Investment MW - Natural gas - Policy</t>
  </si>
  <si>
    <t>egy.mit.nim.pow.nga.t.2</t>
  </si>
  <si>
    <t>egy.mit.nim.pow.nga.t.2_EG1</t>
  </si>
  <si>
    <t>New Investment MW - Oil - Policy</t>
  </si>
  <si>
    <t>egy.mit.nim.pow.oop.t.2</t>
  </si>
  <si>
    <t>egy.mit.nim.pow.oop.t.2_EG1</t>
  </si>
  <si>
    <t>New Investment MW - Nuclear - Policy</t>
  </si>
  <si>
    <t>egy.mit.nim.pow.nuc.t.2</t>
  </si>
  <si>
    <t>egy.mit.nim.pow.nuc.t.2_EG1</t>
  </si>
  <si>
    <t>New Investment MW - Wind - Policy</t>
  </si>
  <si>
    <t>egy.mit.nim.pow.wnd.t.2</t>
  </si>
  <si>
    <t>egy.mit.nim.pow.wnd.t.2_EG1</t>
  </si>
  <si>
    <t>New Investment MW - Solar - Policy</t>
  </si>
  <si>
    <t>egy.mit.nim.pow.sol.t.2</t>
  </si>
  <si>
    <t>egy.mit.nim.pow.sol.t.2_EG1</t>
  </si>
  <si>
    <t>New Investment MW - Hydro - Policy</t>
  </si>
  <si>
    <t>egy.mit.nim.pow.hyd.t.2</t>
  </si>
  <si>
    <t>egy.mit.nim.pow.hyd.t.2_EG1</t>
  </si>
  <si>
    <t>New Investment MW - Other renewables - Policy</t>
  </si>
  <si>
    <t>egy.mit.nim.pow.ore.t.2</t>
  </si>
  <si>
    <t>egy.mit.nim.pow.ore.t.2_EG1</t>
  </si>
  <si>
    <t>New Investment MW - Biomass - Policy</t>
  </si>
  <si>
    <t>egy.mit.nim.pow.bio.t.2</t>
  </si>
  <si>
    <t>egy.mit.nim.pow.bio.t.2_EG1</t>
  </si>
  <si>
    <t>New Investment USDbn- Coal - Baseline</t>
  </si>
  <si>
    <t>egy.mit.nid.pow.coa.t.1</t>
  </si>
  <si>
    <t>egy.mit.nid.pow.coa.t.1_EG1</t>
  </si>
  <si>
    <t>New Investment USDbn- Natural gas - Baseline</t>
  </si>
  <si>
    <t>egy.mit.nid.pow.nga.t.1</t>
  </si>
  <si>
    <t>egy.mit.nid.pow.nga.t.1_EG1</t>
  </si>
  <si>
    <t>New Investment USDbn- Oil - Baseline</t>
  </si>
  <si>
    <t>egy.mit.nid.pow.oop.t.1</t>
  </si>
  <si>
    <t>egy.mit.nid.pow.oop.t.1_EG1</t>
  </si>
  <si>
    <t>New Investment USDbn- Nuclear - Baseline</t>
  </si>
  <si>
    <t>egy.mit.nid.pow.nuc.t.1</t>
  </si>
  <si>
    <t>egy.mit.nid.pow.nuc.t.1_EG1</t>
  </si>
  <si>
    <t>New Investment USDbn- Wind - Baseline</t>
  </si>
  <si>
    <t>egy.mit.nid.pow.wnd.t.1</t>
  </si>
  <si>
    <t>egy.mit.nid.pow.wnd.t.1_EG1</t>
  </si>
  <si>
    <t>New Investment USDbn- Solar - Baseline</t>
  </si>
  <si>
    <t>egy.mit.nid.pow.sol.t.1</t>
  </si>
  <si>
    <t>egy.mit.nid.pow.sol.t.1_EG1</t>
  </si>
  <si>
    <t>New Investment USDbn- Hydro - Baseline</t>
  </si>
  <si>
    <t>egy.mit.nid.pow.hyd.t.1</t>
  </si>
  <si>
    <t>egy.mit.nid.pow.hyd.t.1_EG1</t>
  </si>
  <si>
    <t>New Investment USDbn- Other renewables - Baseline</t>
  </si>
  <si>
    <t>egy.mit.nid.pow.ore.t.1</t>
  </si>
  <si>
    <t>egy.mit.nid.pow.ore.t.1_EG1</t>
  </si>
  <si>
    <t>New Investment USDbn- Biomass - Baseline</t>
  </si>
  <si>
    <t>egy.mit.nid.pow.bio.t.1</t>
  </si>
  <si>
    <t>egy.mit.nid.pow.bio.t.1_EG1</t>
  </si>
  <si>
    <t>New Investment USDbn- Coal - Policy</t>
  </si>
  <si>
    <t>egy.mit.nid.pow.coa.t.2</t>
  </si>
  <si>
    <t>egy.mit.nid.pow.coa.t.2_EG1</t>
  </si>
  <si>
    <t>New Investment USDbn- Natural gas - Policy</t>
  </si>
  <si>
    <t>egy.mit.nid.pow.nga.t.2</t>
  </si>
  <si>
    <t>egy.mit.nid.pow.nga.t.2_EG1</t>
  </si>
  <si>
    <t>New Investment USDbn- Oil - Policy</t>
  </si>
  <si>
    <t>egy.mit.nid.pow.oop.t.2</t>
  </si>
  <si>
    <t>egy.mit.nid.pow.oop.t.2_EG1</t>
  </si>
  <si>
    <t>New Investment USDbn- Nuclear - Policy</t>
  </si>
  <si>
    <t>egy.mit.nid.pow.nuc.t.2</t>
  </si>
  <si>
    <t>egy.mit.nid.pow.nuc.t.2_EG1</t>
  </si>
  <si>
    <t>New Investment USDbn- Wind - Policy</t>
  </si>
  <si>
    <t>egy.mit.nid.pow.wnd.t.2</t>
  </si>
  <si>
    <t>egy.mit.nid.pow.wnd.t.2_EG1</t>
  </si>
  <si>
    <t>New Investment USDbn- Solar - Policy</t>
  </si>
  <si>
    <t>egy.mit.nid.pow.sol.t.2</t>
  </si>
  <si>
    <t>egy.mit.nid.pow.sol.t.2_EG1</t>
  </si>
  <si>
    <t>New Investment USDbn- Hydro - Policy</t>
  </si>
  <si>
    <t>egy.mit.nid.pow.hyd.t.2</t>
  </si>
  <si>
    <t>egy.mit.nid.pow.hyd.t.2_EG1</t>
  </si>
  <si>
    <t>New Investment USDbn- Other renewables - Policy</t>
  </si>
  <si>
    <t>egy.mit.nid.pow.ore.t.2</t>
  </si>
  <si>
    <t>egy.mit.nid.pow.ore.t.2_EG1</t>
  </si>
  <si>
    <t>New Investment USDbn- Biomass - Policy</t>
  </si>
  <si>
    <t>egy.mit.nid.pow.bio.t.2</t>
  </si>
  <si>
    <t>egy.mit.nid.pow.bio.t.2_EG1</t>
  </si>
  <si>
    <t>Inflation index, 2026 = 100</t>
  </si>
  <si>
    <t>inflation</t>
  </si>
  <si>
    <t>inflation_EG1</t>
  </si>
  <si>
    <t>VAT rate</t>
  </si>
  <si>
    <t>vat_EG1</t>
  </si>
  <si>
    <t>Crude Oil forecast - international</t>
  </si>
  <si>
    <t>realoilbbl</t>
  </si>
  <si>
    <t>realoilbbl_EG1</t>
  </si>
  <si>
    <t>usdbbl</t>
  </si>
  <si>
    <t>Coal forecast  - international</t>
  </si>
  <si>
    <t>realcoalton</t>
  </si>
  <si>
    <t>realcoalton_EG1</t>
  </si>
  <si>
    <t>usdton</t>
  </si>
  <si>
    <t>Natural gas forecast - international</t>
  </si>
  <si>
    <t>realngammbtu</t>
  </si>
  <si>
    <t>realngammbtu_EG1</t>
  </si>
  <si>
    <t>usdbbbtu</t>
  </si>
  <si>
    <t>realoilglobal</t>
  </si>
  <si>
    <t>realoilglobal_EG1</t>
  </si>
  <si>
    <t>reacoalglobal</t>
  </si>
  <si>
    <t>reacoalglobal_EG1</t>
  </si>
  <si>
    <t>realngaglobal</t>
  </si>
  <si>
    <t>realngaglobal_EG1</t>
  </si>
  <si>
    <t>For gasoline mark-up</t>
  </si>
  <si>
    <t>forgasolinemarkup</t>
  </si>
  <si>
    <t>forgasolinemarkup_EG1</t>
  </si>
  <si>
    <t>usdpl</t>
  </si>
  <si>
    <t>For diesel mark-up</t>
  </si>
  <si>
    <t>fordieselmarkup</t>
  </si>
  <si>
    <t>fordieselmarkup_EG1</t>
  </si>
  <si>
    <t>For kerosene mark-up</t>
  </si>
  <si>
    <t>forkerosenemarkup</t>
  </si>
  <si>
    <t>forkerosenemarkup_EG1</t>
  </si>
  <si>
    <t>For LPG mark-up</t>
  </si>
  <si>
    <t>forglpgmarkup</t>
  </si>
  <si>
    <t>forglpgmarkup_EG1</t>
  </si>
  <si>
    <t>Markup1 (global price to Retail price) coa - pow</t>
  </si>
  <si>
    <t>egy.mit.mu1.coa.res.1</t>
  </si>
  <si>
    <t>egy.mit.mu1.coa.res.1_EG1</t>
  </si>
  <si>
    <t>Markup1 (global price to Retail price) coa - res</t>
  </si>
  <si>
    <t>egy.mit.mu1.coa.ind.1</t>
  </si>
  <si>
    <t>egy.mit.mu1.coa.ind.1_EG1</t>
  </si>
  <si>
    <t>Markup1 (global price to Retail price) coa - ind</t>
  </si>
  <si>
    <t>egy.mit.mu1.nga.pow.1</t>
  </si>
  <si>
    <t>egy.mit.mu1.nga.pow.1_EG1</t>
  </si>
  <si>
    <t>mu1</t>
  </si>
  <si>
    <t>Markup1 (global price to Retail price) nga - pow</t>
  </si>
  <si>
    <t>egy.mit.mu1.nga.res.1</t>
  </si>
  <si>
    <t>egy.mit.mu1.nga.res.1_EG1</t>
  </si>
  <si>
    <t>Markup1 (global price to Retail price) nga - res</t>
  </si>
  <si>
    <t>egy.mit.mu1.nga.ind.1</t>
  </si>
  <si>
    <t>egy.mit.mu1.nga.ind.1_EG1</t>
  </si>
  <si>
    <t>Markup1 (global price to Retail price) nga - ind</t>
  </si>
  <si>
    <t>egy.mit.mu1.gso.all.1</t>
  </si>
  <si>
    <t>egy.mit.mu1.gso.all.1_EG1</t>
  </si>
  <si>
    <t>Markup1 (global price to Retail price) gso - all</t>
  </si>
  <si>
    <t>egy.mit.mu1.die.all.1</t>
  </si>
  <si>
    <t>egy.mit.mu1.die.all.1_EG1</t>
  </si>
  <si>
    <t>Markup1 (global price to Retail price) die - all</t>
  </si>
  <si>
    <t>egy.mit.mu1.lpg.all.1</t>
  </si>
  <si>
    <t>egy.mit.mu1.lpg.all.1_EG1</t>
  </si>
  <si>
    <t>Markup1 (global price to Retail price) lpg - all</t>
  </si>
  <si>
    <t>egy.mit.mu1.ker.all.1</t>
  </si>
  <si>
    <t>egy.mit.mu1.ker.all.1_EG1</t>
  </si>
  <si>
    <t>Markup1 (global price to Retail price) ker - all</t>
  </si>
  <si>
    <t>egy.mit.mu1.oop.all.1</t>
  </si>
  <si>
    <t>egy.mit.mu1.oop.all.1_EG1</t>
  </si>
  <si>
    <t>Markup1 (global price to Retail price) oop - all</t>
  </si>
  <si>
    <t>egy.mit.mu1.bio.all.1</t>
  </si>
  <si>
    <t>egy.mit.mu1.bio.all.1_EG1</t>
  </si>
  <si>
    <t>Markup1 (global price to Retail price) bio - all</t>
  </si>
  <si>
    <t>egy.mit.mu2.coa.pow.1</t>
  </si>
  <si>
    <t>egy.mit.mu2.coa.pow.1_EG1</t>
  </si>
  <si>
    <t>mu2</t>
  </si>
  <si>
    <t>Markup2 (pretax to Retail Price) coa - res</t>
  </si>
  <si>
    <t>egy.mit.mu2.coa.res.1</t>
  </si>
  <si>
    <t>egy.mit.mu2.coa.res.1_EG1</t>
  </si>
  <si>
    <t>Markup2 (pretax to Retail Price) coa - ind</t>
  </si>
  <si>
    <t>egy.mit.mu2.coa.ind.1</t>
  </si>
  <si>
    <t>egy.mit.mu2.coa.ind.1_EG1</t>
  </si>
  <si>
    <t>Markup2 (pretax to Retail Price) nga - pow</t>
  </si>
  <si>
    <t>egy.mit.mu2.nga.pow.1</t>
  </si>
  <si>
    <t>egy.mit.mu2.nga.pow.1_EG1</t>
  </si>
  <si>
    <t>Markup2 (pretax to Retail Price) nga - res</t>
  </si>
  <si>
    <t>egy.mit.mu2.nga.res.1</t>
  </si>
  <si>
    <t>egy.mit.mu2.nga.res.1_EG1</t>
  </si>
  <si>
    <t>Markup2 (pretax to Retail Price) nga - ind</t>
  </si>
  <si>
    <t>egy.mit.mu2.nga.ind.1</t>
  </si>
  <si>
    <t>egy.mit.mu2.nga.ind.1_EG1</t>
  </si>
  <si>
    <t>Markup2 (pretax to Retail Price) gso - all</t>
  </si>
  <si>
    <t>egy.mit.mu2.gso.all.1</t>
  </si>
  <si>
    <t>egy.mit.mu2.gso.all.1_EG1</t>
  </si>
  <si>
    <t>Markup2 (pretax to Retail Price) die - all</t>
  </si>
  <si>
    <t>egy.mit.mu2.die.all.1</t>
  </si>
  <si>
    <t>egy.mit.mu2.die.all.1_EG1</t>
  </si>
  <si>
    <t>Markup2 (pretax to Retail Price) lpg - all</t>
  </si>
  <si>
    <t>egy.mit.mu2.lpg.all.1</t>
  </si>
  <si>
    <t>egy.mit.mu2.lpg.all.1_EG1</t>
  </si>
  <si>
    <t>Markup2 (pretax to Retail Price) ker - all</t>
  </si>
  <si>
    <t>egy.mit.mu2.ker.all.1</t>
  </si>
  <si>
    <t>egy.mit.mu2.ker.all.1_EG1</t>
  </si>
  <si>
    <t>Markup2 (pretax to Retail Price) oop - all</t>
  </si>
  <si>
    <t>egy.mit.mu2.oop.all.1</t>
  </si>
  <si>
    <t>egy.mit.mu2.oop.all.1_EG1</t>
  </si>
  <si>
    <t>Markup2 (pretax to Retail Price) bio - all</t>
  </si>
  <si>
    <t>egy.mit.mu2.bio.all.1</t>
  </si>
  <si>
    <t>egy.mit.mu2.bio.all.1_EG1</t>
  </si>
  <si>
    <t>Forecasted Pretax Price - coa - pow</t>
  </si>
  <si>
    <t>egy.mit.sp.coa.pow.1</t>
  </si>
  <si>
    <t>egy.mit.sp.coa.pow.1_EG1</t>
  </si>
  <si>
    <t>Forecasted Pretax Price - coa - res</t>
  </si>
  <si>
    <t>egy.mit.sp.coa.res.1</t>
  </si>
  <si>
    <t>egy.mit.sp.coa.res.1_EG1</t>
  </si>
  <si>
    <t>Forecasted Pretax Price - coa - ind</t>
  </si>
  <si>
    <t>egy.mit.sp.coa.ind.1</t>
  </si>
  <si>
    <t>egy.mit.sp.coa.ind.1_EG1</t>
  </si>
  <si>
    <t>Forecasted Pretax Price - nga - pow</t>
  </si>
  <si>
    <t>egy.mit.sp.nga.pow.1</t>
  </si>
  <si>
    <t>egy.mit.sp.nga.pow.1_EG1</t>
  </si>
  <si>
    <t>Forecasted Pretax Price - nga - res</t>
  </si>
  <si>
    <t>egy.mit.sp.nga.res.1</t>
  </si>
  <si>
    <t>egy.mit.sp.nga.res.1_EG1</t>
  </si>
  <si>
    <t>Forecasted Pretax Price - nga - ind</t>
  </si>
  <si>
    <t>egy.mit.sp.nga.ind.1</t>
  </si>
  <si>
    <t>egy.mit.sp.nga.ind.1_EG1</t>
  </si>
  <si>
    <t>Forecasted Pretax Price - gso - all</t>
  </si>
  <si>
    <t>egy.mit.sp.gso.all.1</t>
  </si>
  <si>
    <t>egy.mit.sp.gso.all.1_EG1</t>
  </si>
  <si>
    <t>Forecasted Pretax Price - die - all</t>
  </si>
  <si>
    <t>egy.mit.sp.die.all.1</t>
  </si>
  <si>
    <t>egy.mit.sp.die.all.1_EG1</t>
  </si>
  <si>
    <t>Forecasted Pretax Price - lpg - all</t>
  </si>
  <si>
    <t>egy.mit.sp.lpg.all.1</t>
  </si>
  <si>
    <t>egy.mit.sp.lpg.all.1_EG1</t>
  </si>
  <si>
    <t>Forecasted Pretax Price - ker - all</t>
  </si>
  <si>
    <t>egy.mit.sp.ker.all.1</t>
  </si>
  <si>
    <t>egy.mit.sp.ker.all.1_EG1</t>
  </si>
  <si>
    <t>Forecasted Pretax Price - oop - all</t>
  </si>
  <si>
    <t>egy.mit.sp.oop.all.1</t>
  </si>
  <si>
    <t>egy.mit.sp.oop.all.1_EG1</t>
  </si>
  <si>
    <t>Retail Price - coa - pow</t>
  </si>
  <si>
    <t>Retail Price - coa - res</t>
  </si>
  <si>
    <t>Retail Price - coa - ind</t>
  </si>
  <si>
    <t>Retail Price - nga - pow</t>
  </si>
  <si>
    <t>Retail Price - nga - res</t>
  </si>
  <si>
    <t>Retail Price - nga - ind</t>
  </si>
  <si>
    <t>Retail Price - die - all</t>
  </si>
  <si>
    <t>egy.mit.rp.all.die.a.1</t>
  </si>
  <si>
    <t>egy.mit.rp.all.die.a.1_EG1</t>
  </si>
  <si>
    <t>Retail Price - lpg - all</t>
  </si>
  <si>
    <t>egy.mit.rp.all.lpg.a.1</t>
  </si>
  <si>
    <t>egy.mit.rp.all.lpg.a.1_EG1</t>
  </si>
  <si>
    <t>Retail Price - ker - all</t>
  </si>
  <si>
    <t>egy.mit.rp.all.ker.a.1</t>
  </si>
  <si>
    <t>egy.mit.rp.all.ker.a.1_EG1</t>
  </si>
  <si>
    <t>Retail Price - oop - all</t>
  </si>
  <si>
    <t>egy.mit.rp.all.oop.a.1</t>
  </si>
  <si>
    <t>egy.mit.rp.all.oop.a.1_EG1</t>
  </si>
  <si>
    <t>Oil and natural gas extraction - CH4 emissions factor, after abatement - baseline</t>
  </si>
  <si>
    <t>egy.air.ef.ext.ngaoil.ch4.1</t>
  </si>
  <si>
    <t>egy.air.ef.ext.ngaoil.ch4.1_EG1</t>
  </si>
  <si>
    <t>ef</t>
  </si>
  <si>
    <t>Oil and natural gas extraction - CH4 emissions factor, after abatement - policy</t>
  </si>
  <si>
    <t>egy.air.ef.ext.ngaoil.ch4.2</t>
  </si>
  <si>
    <t>egy.air.ef.ext.ngaoil.ch4.2_EG1</t>
  </si>
  <si>
    <t>Coal extraction - CH4 emissions factor, after abatement - baseline</t>
  </si>
  <si>
    <t>egy.air.ef.ext.coa.ch4.1</t>
  </si>
  <si>
    <t>egy.air.ef.ext.coa.ch4.1_EG1</t>
  </si>
  <si>
    <t>Coal extraction - CH4 emissions factor, after abatement - policy</t>
  </si>
  <si>
    <t>egy.air.ef.ext.coa.ch4.2</t>
  </si>
  <si>
    <t>egy.air.ef.ext.coa.ch4.2_EG1</t>
  </si>
  <si>
    <t>Energy related CH4 emissions - baseline</t>
  </si>
  <si>
    <t>Agriculture CH4 emissions - baseline</t>
  </si>
  <si>
    <t>Waste CH4 emissions - baseline</t>
  </si>
  <si>
    <t>Other CH4 emissions - baseline</t>
  </si>
  <si>
    <t>Total CH4 emissions, including LULUCF - baseline</t>
  </si>
  <si>
    <t>Total CH4 emissions, excluding LULUCF - baseline</t>
  </si>
  <si>
    <t>Energy related CH4 emissions - policy</t>
  </si>
  <si>
    <t>Agriculture CH4 emissions - policy</t>
  </si>
  <si>
    <t>Waste CH4 emissions - policy</t>
  </si>
  <si>
    <t>Other CH4 emissions - policy</t>
  </si>
  <si>
    <t>Total CH4 emissions, including LULUCF - policy</t>
  </si>
  <si>
    <t>Total CH4 emissions, excluding LULUCF - policy</t>
  </si>
  <si>
    <t>Methane fee - fossil, baseline</t>
  </si>
  <si>
    <t>egy.mit.mftrajfossil.1</t>
  </si>
  <si>
    <t>egy.mit.mftrajfossil.1_EG1</t>
  </si>
  <si>
    <t>Methane fee - non-fossil, baseline</t>
  </si>
  <si>
    <t>egy.mit.mftrajnonfossil.1</t>
  </si>
  <si>
    <t>egy.mit.mftrajnonfossil.1_EG1</t>
  </si>
  <si>
    <t>Methane fee - fossil, policy</t>
  </si>
  <si>
    <t>egy.mit.mftrajfossil.2</t>
  </si>
  <si>
    <t>egy.mit.mftrajfossil.2_EG1</t>
  </si>
  <si>
    <t>Methane fee - non-fossil, policy</t>
  </si>
  <si>
    <t>egy.mit.mftrajnonfossil.2</t>
  </si>
  <si>
    <t>egy.mit.mftrajnonfossil.2_EG1</t>
  </si>
  <si>
    <t>Efficiency cost - extractives</t>
  </si>
  <si>
    <t>egy.mit.wel.eco.ext.dwl.pct</t>
  </si>
  <si>
    <t>egy.mit.wel.eco.ext.dwl.pct_EG1</t>
  </si>
  <si>
    <t>Efficiency cost - agriculture</t>
  </si>
  <si>
    <t>egy.mit.wel.eco.agc.dwl.pct</t>
  </si>
  <si>
    <t>egy.mit.wel.eco.agc.dwl.pct_EG1</t>
  </si>
  <si>
    <t>Efficiency cost - waste</t>
  </si>
  <si>
    <t>egy.mit.wel.eco.was.dwl.pct</t>
  </si>
  <si>
    <t>egy.mit.wel.eco.was.dwl.pct_EG1</t>
  </si>
  <si>
    <t>Crude oil - producer price increase, percent</t>
  </si>
  <si>
    <t>egy.mit.ener.mfpct.oil.e.2</t>
  </si>
  <si>
    <t>egy.mit.ener.mfpct.oil.e.2_EG1</t>
  </si>
  <si>
    <t>Natural gas - producer price increase, percent</t>
  </si>
  <si>
    <t>egy.mit.ener.mfpct.coa.e.2</t>
  </si>
  <si>
    <t>egy.mit.ener.mfpct.coa.e.2_EG1</t>
  </si>
  <si>
    <t>Coal - producer price increase, percent</t>
  </si>
  <si>
    <t>egy.mit.ener.mfpct.nga.e.2</t>
  </si>
  <si>
    <t>egy.mit.ener.mfpct.nga.e.2_EG1</t>
  </si>
  <si>
    <t>Gasoline - portion used for transportation</t>
  </si>
  <si>
    <t>egy.mit.trs.gso.all.a.1</t>
  </si>
  <si>
    <t>egy.mit.trs.gso.all.a.1_EG1</t>
  </si>
  <si>
    <t>trs</t>
  </si>
  <si>
    <t>Gasoline - VAT rate</t>
  </si>
  <si>
    <t>egy.mit.vatrate.all.gso.a.1</t>
  </si>
  <si>
    <t>egy.mit.vatrate.all.gso.a.1_EG1</t>
  </si>
  <si>
    <t>Gasoline - portion used for residential consumption</t>
  </si>
  <si>
    <t>egy.mit.rescon.gso.all.1</t>
  </si>
  <si>
    <t>egy.mit.rescon.gso.all.1_EG1</t>
  </si>
  <si>
    <t>Gasoline - efficient price</t>
  </si>
  <si>
    <t>egy.mit.effprice.gso.all.1</t>
  </si>
  <si>
    <t>egy.mit.effprice.gso.all.1_EG1</t>
  </si>
  <si>
    <t>eff</t>
  </si>
  <si>
    <t>Gasoline - consumption</t>
  </si>
  <si>
    <t>egy.mit.con.gso.all.1</t>
  </si>
  <si>
    <t>egy.mit.con.gso.all.1_EG1</t>
  </si>
  <si>
    <t>con</t>
  </si>
  <si>
    <t>Gasoline - explicit subsidy</t>
  </si>
  <si>
    <t>egy.mit.expsub.con.gso.all.1</t>
  </si>
  <si>
    <t>egy.mit.expsub.con.gso.all.1_EG1</t>
  </si>
  <si>
    <t>exp</t>
  </si>
  <si>
    <t>Gasoline - implicit subsidy</t>
  </si>
  <si>
    <t>egy.mit.impsub.con.gso.all.1</t>
  </si>
  <si>
    <t>egy.mit.impsub.con.gso.all.1_EG1</t>
  </si>
  <si>
    <t>imp</t>
  </si>
  <si>
    <t>Diesel - portion used for transportation</t>
  </si>
  <si>
    <t>egy.mit.trs.die.all.a.1</t>
  </si>
  <si>
    <t>egy.mit.trs.die.all.a.1_EG1</t>
  </si>
  <si>
    <t>Diesel - VAT rate</t>
  </si>
  <si>
    <t>egy.mit.vatrate.all.die.a.1</t>
  </si>
  <si>
    <t>egy.mit.vatrate.all.die.a.1_EG1</t>
  </si>
  <si>
    <t>Diesel - portion used for residential consumption</t>
  </si>
  <si>
    <t>egy.mit.rescon.die.all.1</t>
  </si>
  <si>
    <t>egy.mit.rescon.die.all.1_EG1</t>
  </si>
  <si>
    <t>Diesel - efficient price</t>
  </si>
  <si>
    <t>egy.mit.effprice.die.all.1</t>
  </si>
  <si>
    <t>egy.mit.effprice.die.all.1_EG1</t>
  </si>
  <si>
    <t>Diesel - consumption</t>
  </si>
  <si>
    <t>egy.mit.con.die.all.1</t>
  </si>
  <si>
    <t>egy.mit.con.die.all.1_EG1</t>
  </si>
  <si>
    <t>Diesel - explicit subsidy</t>
  </si>
  <si>
    <t>egy.mit.expsub.con.die.all.1</t>
  </si>
  <si>
    <t>egy.mit.expsub.con.die.all.1_EG1</t>
  </si>
  <si>
    <t>Diesel - implicit subsidy</t>
  </si>
  <si>
    <t>egy.mit.impsub.con.die.all.1</t>
  </si>
  <si>
    <t>egy.mit.impsub.con.die.all.1_EG1</t>
  </si>
  <si>
    <t>LPG - VAT rate</t>
  </si>
  <si>
    <t>egy.mit.vatrate.all.lpg.a.1</t>
  </si>
  <si>
    <t>egy.mit.vatrate.all.lpg.a.1_EG1</t>
  </si>
  <si>
    <t>LPG - portion used for residential consumption</t>
  </si>
  <si>
    <t>egy.mit.rescon.lpg.all.1</t>
  </si>
  <si>
    <t>egy.mit.rescon.lpg.all.1_EG1</t>
  </si>
  <si>
    <t>LPG - efficient price</t>
  </si>
  <si>
    <t>egy.mit.effprice.lpg.all.1</t>
  </si>
  <si>
    <t>egy.mit.effprice.lpg.all.1_EG1</t>
  </si>
  <si>
    <t>LPG - consumption</t>
  </si>
  <si>
    <t>egy.mit.con.lpg.all.1</t>
  </si>
  <si>
    <t>egy.mit.con.lpg.all.1_EG1</t>
  </si>
  <si>
    <t>LPG - explicit subsidy</t>
  </si>
  <si>
    <t>egy.mit.expsub.con.lpg.all.1</t>
  </si>
  <si>
    <t>egy.mit.expsub.con.lpg.all.1_EG1</t>
  </si>
  <si>
    <t>LPG - implicit subsidy</t>
  </si>
  <si>
    <t>egy.mit.impsub.con.lpg.all.1</t>
  </si>
  <si>
    <t>egy.mit.impsub.con.lpg.all.1_EG1</t>
  </si>
  <si>
    <t>Kerosene - VAT rate</t>
  </si>
  <si>
    <t>egy.mit.vatrate.all.ker.a.1</t>
  </si>
  <si>
    <t>egy.mit.vatrate.all.ker.a.1_EG1</t>
  </si>
  <si>
    <t>Kerosene - portion used for residential consumption</t>
  </si>
  <si>
    <t>egy.mit.rescon.ker.all.1</t>
  </si>
  <si>
    <t>egy.mit.rescon.ker.all.1_EG1</t>
  </si>
  <si>
    <t>Kerosene - efficient price</t>
  </si>
  <si>
    <t>egy.mit.effprice.ker.all.1</t>
  </si>
  <si>
    <t>egy.mit.effprice.ker.all.1_EG1</t>
  </si>
  <si>
    <t>Kerosene - consumption</t>
  </si>
  <si>
    <t>egy.mit.con.ker.all.1</t>
  </si>
  <si>
    <t>egy.mit.con.ker.all.1_EG1</t>
  </si>
  <si>
    <t>Kerosene - explicit subsidy</t>
  </si>
  <si>
    <t>egy.mit.expsub.con.ker.all.1</t>
  </si>
  <si>
    <t>egy.mit.expsub.con.ker.all.1_EG1</t>
  </si>
  <si>
    <t>Kerosene - implicit subsidy</t>
  </si>
  <si>
    <t>egy.mit.impsub.con.ker.all.1</t>
  </si>
  <si>
    <t>egy.mit.impsub.con.ker.all.1_EG1</t>
  </si>
  <si>
    <t>Other oil products - VAT rate</t>
  </si>
  <si>
    <t>egy.mit.vatrate.all.oop.a.1</t>
  </si>
  <si>
    <t>egy.mit.vatrate.all.oop.a.1_EG1</t>
  </si>
  <si>
    <t>Other oil products - portion used for residential consumption</t>
  </si>
  <si>
    <t>egy.mit.rescon.oop.all.1</t>
  </si>
  <si>
    <t>egy.mit.rescon.oop.all.1_EG1</t>
  </si>
  <si>
    <t>Other oil products - efficient price</t>
  </si>
  <si>
    <t>egy.mit.effprice.oop.all.1</t>
  </si>
  <si>
    <t>egy.mit.effprice.oop.all.1_EG1</t>
  </si>
  <si>
    <t>Other oil products - retail price, baseline</t>
  </si>
  <si>
    <t>egy.mit.rp.oop.all.1</t>
  </si>
  <si>
    <t>egy.mit.rp.oop.all.1_EG1</t>
  </si>
  <si>
    <t>rp.</t>
  </si>
  <si>
    <t>Other oil products - consumption</t>
  </si>
  <si>
    <t>egy.mit.con.oop.all.1</t>
  </si>
  <si>
    <t>egy.mit.con.oop.all.1_EG1</t>
  </si>
  <si>
    <t>Other oil products - explicit subsidy</t>
  </si>
  <si>
    <t>egy.mit.expsub.con.oop.all.1</t>
  </si>
  <si>
    <t>egy.mit.expsub.con.oop.all.1_EG1</t>
  </si>
  <si>
    <t>Natural gas, industry - VAT</t>
  </si>
  <si>
    <t>egy.mit.vatext.nga.ind.1</t>
  </si>
  <si>
    <t>egy.mit.vatext.nga.ind.1_EG1</t>
  </si>
  <si>
    <t>Natural gas, industry - efficient price</t>
  </si>
  <si>
    <t>egy.mit.effprice.nga.ind.1</t>
  </si>
  <si>
    <t>egy.mit.effprice.nga.ind.1_EG1</t>
  </si>
  <si>
    <t>Natural gas, industry - consumption</t>
  </si>
  <si>
    <t>egy.mit.con.nga.ind.1</t>
  </si>
  <si>
    <t>egy.mit.con.nga.ind.1_EG1</t>
  </si>
  <si>
    <t>Natural gas, industry - explicit subsidy</t>
  </si>
  <si>
    <t>egy.mit.expsub.con.nga.ind.1</t>
  </si>
  <si>
    <t>egy.mit.expsub.con.nga.ind.1_EG1</t>
  </si>
  <si>
    <t>Natural gas, industry - implicit subsidy</t>
  </si>
  <si>
    <t>egy.mit.impsub.con.nga.ind.1</t>
  </si>
  <si>
    <t>egy.mit.impsub.con.nga.ind.1_EG1</t>
  </si>
  <si>
    <t>Natural gas, residential - VAT rate</t>
  </si>
  <si>
    <t>egy.mit.vatrate.res.nga.a.1</t>
  </si>
  <si>
    <t>egy.mit.vatrate.res.nga.a.1_EG1</t>
  </si>
  <si>
    <t>Natural gas, residential - efficient price</t>
  </si>
  <si>
    <t>egy.mit.effprice.nga.res.1</t>
  </si>
  <si>
    <t>egy.mit.effprice.nga.res.1_EG1</t>
  </si>
  <si>
    <t>Natural gas, residential - consumption</t>
  </si>
  <si>
    <t>egy.mit.con.nga.res.1</t>
  </si>
  <si>
    <t>egy.mit.con.nga.res.1_EG1</t>
  </si>
  <si>
    <t>Natural gas, residential - explicit subsidy</t>
  </si>
  <si>
    <t>egy.mit.expsub.con.nga.res.1</t>
  </si>
  <si>
    <t>egy.mit.expsub.con.nga.res.1_EG1</t>
  </si>
  <si>
    <t>Natural gas, residential - implicit subsidy</t>
  </si>
  <si>
    <t>egy.mit.impsub.con.nga.res.1</t>
  </si>
  <si>
    <t>egy.mit.impsub.con.nga.res.1_EG1</t>
  </si>
  <si>
    <t>Natural gas, power - efficient price</t>
  </si>
  <si>
    <t>egy.mit.effprice.nga.pow.1</t>
  </si>
  <si>
    <t>egy.mit.effprice.nga.pow.1_EG1</t>
  </si>
  <si>
    <t>Natural gas, power - consumption</t>
  </si>
  <si>
    <t>egy.mit.con.nga.pow.1</t>
  </si>
  <si>
    <t>egy.mit.con.nga.pow.1_EG1</t>
  </si>
  <si>
    <t>Natural gas, power - explicit subsidy</t>
  </si>
  <si>
    <t>egy.mit.expsub.con.nga.pow.1</t>
  </si>
  <si>
    <t>egy.mit.expsub.con.nga.pow.1_EG1</t>
  </si>
  <si>
    <t>Natural gas, power - implicit subsidy</t>
  </si>
  <si>
    <t>egy.mit.impsub.con.nga.pow.1</t>
  </si>
  <si>
    <t>egy.mit.impsub.con.nga.pow.1_EG1</t>
  </si>
  <si>
    <t>Natural gas, other - supply cost</t>
  </si>
  <si>
    <t>egy.mit.supcost.nga.other.1</t>
  </si>
  <si>
    <t>egy.mit.supcost.nga.other.1_EG1</t>
  </si>
  <si>
    <t>sup</t>
  </si>
  <si>
    <t>Natural gas, other - externalities</t>
  </si>
  <si>
    <t>egy.mit.extcost.nga.other.1</t>
  </si>
  <si>
    <t>egy.mit.extcost.nga.other.1_EG1</t>
  </si>
  <si>
    <t>Natural gas, other - VAT</t>
  </si>
  <si>
    <t>egy.mit.vatext.nga.other.1</t>
  </si>
  <si>
    <t>egy.mit.vatext.nga.other.1_EG1</t>
  </si>
  <si>
    <t>Natural gas, other - efficient price</t>
  </si>
  <si>
    <t>egy.mit.effprice.nga.other.1</t>
  </si>
  <si>
    <t>egy.mit.effprice.nga.other.1_EG1</t>
  </si>
  <si>
    <t>Natural gas, other - retail price, baseline</t>
  </si>
  <si>
    <t>egy.mit.rp.nga.other.1</t>
  </si>
  <si>
    <t>egy.mit.rp.nga.other.1_EG1</t>
  </si>
  <si>
    <t>Natural gas, other - consumption</t>
  </si>
  <si>
    <t>egy.mit.con.nga.other.1</t>
  </si>
  <si>
    <t>egy.mit.con.nga.other.1_EG1</t>
  </si>
  <si>
    <t>Natural gas, other - explicit subsidy</t>
  </si>
  <si>
    <t>egy.mit.expsub.con.nga.other.1</t>
  </si>
  <si>
    <t>egy.mit.expsub.con.nga.other.1_EG1</t>
  </si>
  <si>
    <t>Natural gas, other - implicit subsidy</t>
  </si>
  <si>
    <t>egy.mit.impsub.con.nga.other.1</t>
  </si>
  <si>
    <t>egy.mit.impsub.con.nga.other.1_EG1</t>
  </si>
  <si>
    <t>Coal, industry - efficient price</t>
  </si>
  <si>
    <t>egy.mit.effprice.coa.ind.1</t>
  </si>
  <si>
    <t>egy.mit.effprice.coa.ind.1_EG1</t>
  </si>
  <si>
    <t>Coal, industry - consumption</t>
  </si>
  <si>
    <t>egy.mit.con.coa.ind.1</t>
  </si>
  <si>
    <t>egy.mit.con.coa.ind.1_EG1</t>
  </si>
  <si>
    <t>Coal, industry - explicit subsidy</t>
  </si>
  <si>
    <t>egy.mit.expsub.con.coa.ind.1</t>
  </si>
  <si>
    <t>egy.mit.expsub.con.coa.ind.1_EG1</t>
  </si>
  <si>
    <t>Coal, industry - implicit subsidy</t>
  </si>
  <si>
    <t>egy.mit.impsub.con.coa.ind.1</t>
  </si>
  <si>
    <t>egy.mit.impsub.con.coa.ind.1_EG1</t>
  </si>
  <si>
    <t>Coal, residential - VAT rate</t>
  </si>
  <si>
    <t>egy.mit.vatrate.res.coa.a.1</t>
  </si>
  <si>
    <t>egy.mit.vatrate.res.coa.a.1_EG1</t>
  </si>
  <si>
    <t>Coal, residential - efficient price</t>
  </si>
  <si>
    <t>egy.mit.effprice.coa.res.1</t>
  </si>
  <si>
    <t>egy.mit.effprice.coa.res.1_EG1</t>
  </si>
  <si>
    <t>Coal, residential - consumption</t>
  </si>
  <si>
    <t>egy.mit.con.coa.res.1</t>
  </si>
  <si>
    <t>egy.mit.con.coa.res.1_EG1</t>
  </si>
  <si>
    <t>Coal, residential - explicit subsidy</t>
  </si>
  <si>
    <t>egy.mit.expsub.con.coa.res.1</t>
  </si>
  <si>
    <t>egy.mit.expsub.con.coa.res.1_EG1</t>
  </si>
  <si>
    <t>Coal, residential - implicit subsidy</t>
  </si>
  <si>
    <t>egy.mit.impsub.con.coa.res.1</t>
  </si>
  <si>
    <t>egy.mit.impsub.con.coa.res.1_EG1</t>
  </si>
  <si>
    <t>Coal, power - efficient price</t>
  </si>
  <si>
    <t>egy.mit.effprice.coa.pow.1</t>
  </si>
  <si>
    <t>egy.mit.effprice.coa.pow.1_EG1</t>
  </si>
  <si>
    <t>Coal, power - consumption</t>
  </si>
  <si>
    <t>egy.mit.con.coa.pow.1</t>
  </si>
  <si>
    <t>egy.mit.con.coa.pow.1_EG1</t>
  </si>
  <si>
    <t>Coal, power - explicit subsidy</t>
  </si>
  <si>
    <t>egy.mit.expsub.con.coa.pow.1</t>
  </si>
  <si>
    <t>egy.mit.expsub.con.coa.pow.1_EG1</t>
  </si>
  <si>
    <t>Coal, power - implicit subsidy</t>
  </si>
  <si>
    <t>egy.mit.impsub.con.coa.pow.1</t>
  </si>
  <si>
    <t>egy.mit.impsub.con.coa.pow.1_EG1</t>
  </si>
  <si>
    <t>Coal, other - supply cost</t>
  </si>
  <si>
    <t>egy.mit.supcost.coa.other.1</t>
  </si>
  <si>
    <t>egy.mit.supcost.coa.other.1_EG1</t>
  </si>
  <si>
    <t>Coal, other - externalities</t>
  </si>
  <si>
    <t>egy.mit.extcost.coa.other.1</t>
  </si>
  <si>
    <t>egy.mit.extcost.coa.other.1_EG1</t>
  </si>
  <si>
    <t>Coal, other - VAT</t>
  </si>
  <si>
    <t>egy.mit.vatext.coa.other.1</t>
  </si>
  <si>
    <t>egy.mit.vatext.coa.other.1_EG1</t>
  </si>
  <si>
    <t>Coal, other - efficient price</t>
  </si>
  <si>
    <t>egy.mit.effprice.coa.other.1</t>
  </si>
  <si>
    <t>egy.mit.effprice.coa.other.1_EG1</t>
  </si>
  <si>
    <t>Coal, other - retail price, baseline</t>
  </si>
  <si>
    <t>egy.mit.rp.coa.other.1</t>
  </si>
  <si>
    <t>egy.mit.rp.coa.other.1_EG1</t>
  </si>
  <si>
    <t>Coal, other - consumption</t>
  </si>
  <si>
    <t>egy.mit.con.coa.other.1</t>
  </si>
  <si>
    <t>egy.mit.con.coa.other.1_EG1</t>
  </si>
  <si>
    <t>Coal, other - explicit subsidy</t>
  </si>
  <si>
    <t>egy.mit.expsub.con.coa.other.1</t>
  </si>
  <si>
    <t>egy.mit.expsub.con.coa.other.1_EG1</t>
  </si>
  <si>
    <t>Coal, other - implicit subsidy</t>
  </si>
  <si>
    <t>egy.mit.impsub.con.coa.other.1</t>
  </si>
  <si>
    <t>egy.mit.impsub.con.coa.other.1_EG1</t>
  </si>
  <si>
    <t>Electricity, industry - efficient price</t>
  </si>
  <si>
    <t>egy.mit.effprice.ecy.ind.1</t>
  </si>
  <si>
    <t>egy.mit.effprice.ecy.ind.1_EG1</t>
  </si>
  <si>
    <t>Electricity, industry - consumption</t>
  </si>
  <si>
    <t>egy.mit.con.ecy.ind.1</t>
  </si>
  <si>
    <t>egy.mit.con.ecy.ind.1_EG1</t>
  </si>
  <si>
    <t>Electricity, industry - explicit subsidy</t>
  </si>
  <si>
    <t>egy.mit.expsub.con.ecy.ind.1</t>
  </si>
  <si>
    <t>egy.mit.expsub.con.ecy.ind.1_EG1</t>
  </si>
  <si>
    <t>Electricity, industry - implicit subsidy</t>
  </si>
  <si>
    <t>egy.mit.impsub.con.ecy.ind.1</t>
  </si>
  <si>
    <t>egy.mit.impsub.con.ecy.ind.1_EG1</t>
  </si>
  <si>
    <t>Electricity, residential - VAT rate</t>
  </si>
  <si>
    <t>egy.mit.vatrate.res.ecy.t.1</t>
  </si>
  <si>
    <t>egy.mit.vatrate.res.ecy.t.1_EG1</t>
  </si>
  <si>
    <t>Electricity, residential - efficient price</t>
  </si>
  <si>
    <t>egy.mit.effprice.ecy.res.1</t>
  </si>
  <si>
    <t>egy.mit.effprice.ecy.res.1_EG1</t>
  </si>
  <si>
    <t>Electricity, residential - consumption</t>
  </si>
  <si>
    <t>egy.mit.con.ecy.res.1</t>
  </si>
  <si>
    <t>egy.mit.con.ecy.res.1_EG1</t>
  </si>
  <si>
    <t>Electricity, residential - explicit subsidy</t>
  </si>
  <si>
    <t>egy.mit.expsub.con.ecy.res.1</t>
  </si>
  <si>
    <t>egy.mit.expsub.con.ecy.res.1_EG1</t>
  </si>
  <si>
    <t>Electricity, residential - implicit subsidy</t>
  </si>
  <si>
    <t>egy.mit.impsub.con.ecy.res.1</t>
  </si>
  <si>
    <t>egy.mit.impsub.con.ecy.res.1_EG1</t>
  </si>
  <si>
    <t>Electricity, other - supply cost</t>
  </si>
  <si>
    <t>egy.mit.supcost.ecy.other.1</t>
  </si>
  <si>
    <t>egy.mit.supcost.ecy.other.1_EG1</t>
  </si>
  <si>
    <t>Electricity, other - externalities</t>
  </si>
  <si>
    <t>egy.mit.extcost.ecy.other.1</t>
  </si>
  <si>
    <t>egy.mit.extcost.ecy.other.1_EG1</t>
  </si>
  <si>
    <t>Electricity, other - VAT</t>
  </si>
  <si>
    <t>egy.mit.vatext.ecy.other.1</t>
  </si>
  <si>
    <t>egy.mit.vatext.ecy.other.1_EG1</t>
  </si>
  <si>
    <t>Electricity, other - efficient price</t>
  </si>
  <si>
    <t>egy.mit.effprice.ecy.other.1</t>
  </si>
  <si>
    <t>egy.mit.effprice.ecy.other.1_EG1</t>
  </si>
  <si>
    <t>Electricity, other - retail price, baseline</t>
  </si>
  <si>
    <t>egy.mit.rp.ecy.other.1</t>
  </si>
  <si>
    <t>egy.mit.rp.ecy.other.1_EG1</t>
  </si>
  <si>
    <t>Electricity, other - consumption</t>
  </si>
  <si>
    <t>egy.mit.con.ecy.other.1</t>
  </si>
  <si>
    <t>egy.mit.con.ecy.other.1_EG1</t>
  </si>
  <si>
    <t>Electricity, other - explicit subsidy</t>
  </si>
  <si>
    <t>egy.mit.expsub.con.ecy.other.1</t>
  </si>
  <si>
    <t>egy.mit.expsub.con.ecy.other.1_EG1</t>
  </si>
  <si>
    <t>Electricity, other - implicit subsidy</t>
  </si>
  <si>
    <t>egy.mit.impsub.con.ecy.other.1</t>
  </si>
  <si>
    <t>egy.mit.impsub.con.ecy.other.1_EG1</t>
  </si>
  <si>
    <t>Total - explicit subsidy</t>
  </si>
  <si>
    <t>egy.mit.expsub.con.all.all.1</t>
  </si>
  <si>
    <t>egy.mit.expsub.con.all.all.1_EG1</t>
  </si>
  <si>
    <t>Total - implicit subsidy</t>
  </si>
  <si>
    <t>egy.mit.impsub.con.all.all.1</t>
  </si>
  <si>
    <t>egy.mit.impsub.con.all.all.1_EG1</t>
  </si>
  <si>
    <t>egy.mit.expsubgdp.con.all.all.1</t>
  </si>
  <si>
    <t>egy.mit.expsubgdp.con.all.all.1_EG1</t>
  </si>
  <si>
    <t>egy.mit.impsubgdp.con.all.all.1</t>
  </si>
  <si>
    <t>egy.mit.impsubgdp.con.all.all.1_EG1</t>
  </si>
  <si>
    <t>egy.mit.co2cov.2_EG2</t>
  </si>
  <si>
    <t>egy.mit.cptraj.2_EG2</t>
  </si>
  <si>
    <t>egy.mit.eff.cptraj.2_EG2</t>
  </si>
  <si>
    <t>egy.mit.etstraj.2_EG2</t>
  </si>
  <si>
    <t>egy.mit.co2cov.pow.cont.2_EG2</t>
  </si>
  <si>
    <t>egy.mit.co2cov.tra.cont.2_EG2</t>
  </si>
  <si>
    <t>egy.mit.co2cov.res.cont.2_EG2</t>
  </si>
  <si>
    <t>egy.mit.co2cov.ind.cont.2_EG2</t>
  </si>
  <si>
    <t>egy.mit.co2cov.oth.cont.2_EG2</t>
  </si>
  <si>
    <t>egy.mit.gdp.pre.pct.2_EG2</t>
  </si>
  <si>
    <t>egy.mit.gdp.exc.pct.2_EG2</t>
  </si>
  <si>
    <t>egy.mit.gdp.pit.pct.2_EG2</t>
  </si>
  <si>
    <t>egy.mit.gdp.inv.pct.2_EG2</t>
  </si>
  <si>
    <t>egy.mit.gdp.cur.pct.2_EG2</t>
  </si>
  <si>
    <t>egy.mit.gdp.tra.pct.2_EG2</t>
  </si>
  <si>
    <t>egy.mit.gdp.tot.pct.2_EG2</t>
  </si>
  <si>
    <t>egy.mit.rev.new.usd.1_EG2</t>
  </si>
  <si>
    <t>egy.mit.rev.new.usd.2_EG2</t>
  </si>
  <si>
    <t>egy.mit.rev.new.pct.1_EG2</t>
  </si>
  <si>
    <t>egy.mit.rev.new.pct.2_EG2</t>
  </si>
  <si>
    <t>egy.mit.ers_EG2</t>
  </si>
  <si>
    <t>egy.mit.rcp_EG2</t>
  </si>
  <si>
    <t>egy.mit.rcp.pow_EG2</t>
  </si>
  <si>
    <t>egy.mit.rcp.trs_EG2</t>
  </si>
  <si>
    <t>egy.mit.rcp.bld_EG2</t>
  </si>
  <si>
    <t>egy.mit.rcp.ind_EG2</t>
  </si>
  <si>
    <t>egy.mit.ln.gdppc_EG2</t>
  </si>
  <si>
    <t>egy.mit.gdp.pre.lvl.1_EG2</t>
  </si>
  <si>
    <t>egy.mit.gdp.pst.lvl.2_EG2</t>
  </si>
  <si>
    <t>egy.mit.pop.mn_EG2</t>
  </si>
  <si>
    <t>egy.mit.ghg.tot.exc.1_EG2</t>
  </si>
  <si>
    <t>egy.mit.ghg.tot.inc.1_EG2</t>
  </si>
  <si>
    <t>egy.mit.ghg.enr.tot.1_EG2</t>
  </si>
  <si>
    <t>egy.mit.ghg.ipr.tot.1_EG2</t>
  </si>
  <si>
    <t>egy.mit.ghg.agr.tot.1_EG2</t>
  </si>
  <si>
    <t>egy.mit.ghg.wst.tot.1_EG2</t>
  </si>
  <si>
    <t>egy.mit.ghg.lucf.tot.1_EG2</t>
  </si>
  <si>
    <t>egy.mit.co2.tot.1_EG2</t>
  </si>
  <si>
    <t>egy.mit.co2.enr.tot.1_EG2</t>
  </si>
  <si>
    <t>egy.mit.co2.coa.1_EG2</t>
  </si>
  <si>
    <t>egy.mit.co2.nga.1_EG2</t>
  </si>
  <si>
    <t>egy.mit.co2.oil.1_EG2</t>
  </si>
  <si>
    <t>egy.mit.co2.gso.1_EG2</t>
  </si>
  <si>
    <t>egy.mit.co2.die.1_EG2</t>
  </si>
  <si>
    <t>egy.mit.co2.lpg.1_EG2</t>
  </si>
  <si>
    <t>egy.mit.co2.ker.1_EG2</t>
  </si>
  <si>
    <t>egy.mit.co2.pow.1_EG2</t>
  </si>
  <si>
    <t>egy.mit.co2.tra.1_EG2</t>
  </si>
  <si>
    <t>egy.mit.co2.res.1_EG2</t>
  </si>
  <si>
    <t>egy.mit.co2.ind.1_EG2</t>
  </si>
  <si>
    <t>egy.mit.co2.oth.1_EG2</t>
  </si>
  <si>
    <t>egy.mit.ghg.tot.exc.2_EG2</t>
  </si>
  <si>
    <t>egy.mit.ghg.tot.inc.2_EG2</t>
  </si>
  <si>
    <t>egy.mit.ghg.enr.tot.2_EG2</t>
  </si>
  <si>
    <t>egy.mit.ghg.ipr.tot.2_EG2</t>
  </si>
  <si>
    <t>egy.mit.ghg.agr.tot.2_EG2</t>
  </si>
  <si>
    <t>egy.mit.ghg.lucf.tot.2_EG2</t>
  </si>
  <si>
    <t>egy.mit.ghg.wst.tot.2_EG2</t>
  </si>
  <si>
    <t>egy.mit.co2.tot.2_EG2</t>
  </si>
  <si>
    <t>egy.mit.co2.enr.tot.2_EG2</t>
  </si>
  <si>
    <t>egy.mit.co2.coa.2_EG2</t>
  </si>
  <si>
    <t>egy.mit.co2.nga.2_EG2</t>
  </si>
  <si>
    <t>egy.mit.co2.oil.2_EG2</t>
  </si>
  <si>
    <t>egy.mit.co2.gso.2_EG2</t>
  </si>
  <si>
    <t>egy.mit.co2.die.2_EG2</t>
  </si>
  <si>
    <t>egy.mit.co2.lpg.2_EG2</t>
  </si>
  <si>
    <t>egy.mit.co2.ker.2_EG2</t>
  </si>
  <si>
    <t>egy.mit.co2.pow.2_EG2</t>
  </si>
  <si>
    <t>egy.mit.co2.tra.2_EG2</t>
  </si>
  <si>
    <t>egy.mit.co2.res.2_EG2</t>
  </si>
  <si>
    <t>egy.mit.co2.ind.2_EG2</t>
  </si>
  <si>
    <t>egy.mit.co2.oth.2_EG2</t>
  </si>
  <si>
    <t>egy.mit.co2.tot.red.pct_EG2</t>
  </si>
  <si>
    <t>egy.mit.ghg.tot.exc.fuel.1_EG2</t>
  </si>
  <si>
    <t>egy.mit.ch4.tot.1_EG2</t>
  </si>
  <si>
    <t>egy.mit.nox.tot.1_EG2</t>
  </si>
  <si>
    <t>egy.mit.fga.tot.1_EG2</t>
  </si>
  <si>
    <t>egy.mit.ghg.tot.exc.fuel.2_EG2</t>
  </si>
  <si>
    <t>egy.mit.ch4.tot.2_EG2</t>
  </si>
  <si>
    <t>egy.mit.nox.tot.2_EG2</t>
  </si>
  <si>
    <t>egy.mit.fga.tot.2_EG2</t>
  </si>
  <si>
    <t>egy.mit.ghg.tot.inc.ch4.1_EG2</t>
  </si>
  <si>
    <t>egy.mit.ghg.tot.exc.ch4.1_EG2</t>
  </si>
  <si>
    <t>egy.mit.ghg.enr.ch4.1_EG2</t>
  </si>
  <si>
    <t>egy.mit.ghg.ipr.ch4.1_EG2</t>
  </si>
  <si>
    <t>egy.mit.ghg.agr.ch4.1_EG2</t>
  </si>
  <si>
    <t>egy.mit.ghg.lucf.ch4.1_EG2</t>
  </si>
  <si>
    <t>egy.mit.ghg.wst.ch4.1_EG2</t>
  </si>
  <si>
    <t>egy.mit.ghg.oth.ch4.1_EG2</t>
  </si>
  <si>
    <t>egy.mit.ghg.fug.ch4.1_EG2</t>
  </si>
  <si>
    <t>egy.mit.ghg.tot.inc.ch4.2_EG2</t>
  </si>
  <si>
    <t>egy.mit.ghg.tot.exc.ch4.2_EG2</t>
  </si>
  <si>
    <t>egy.mit.ghg.enr.ch4.2_EG2</t>
  </si>
  <si>
    <t>egy.mit.ghg.ipr.ch4.2_EG2</t>
  </si>
  <si>
    <t>egy.mit.ghg.agr.ch4.2_EG2</t>
  </si>
  <si>
    <t>egy.mit.ghg.lucf.ch4.2_EG2</t>
  </si>
  <si>
    <t>egy.mit.ghg.wst.ch4.2_EG2</t>
  </si>
  <si>
    <t>egy.mit.ghg.oth.ch4.2_EG2</t>
  </si>
  <si>
    <t>egy.mit.ghg.fug.ch4.2_EG2</t>
  </si>
  <si>
    <t>egy.mit.ghg.index.1_EG2</t>
  </si>
  <si>
    <t>egy.mit.ghg.index.2_EG2</t>
  </si>
  <si>
    <t>egy.mit.ghg.tot.inc.red.pct_EG2</t>
  </si>
  <si>
    <t>egy.mit.ndc.option_EG2</t>
  </si>
  <si>
    <t>egy.mit.ndc.targetyear_EG2</t>
  </si>
  <si>
    <t>egy.mit.ndc.desc.lng_EG2</t>
  </si>
  <si>
    <t>egy.mit.ndc.desc.sht_EG2</t>
  </si>
  <si>
    <t>egy.mit.undc.index_EG2</t>
  </si>
  <si>
    <t>egy.mit.cndc.index_EG2</t>
  </si>
  <si>
    <t>egy.mit.undc.trg.ton_EG2</t>
  </si>
  <si>
    <t>egy.mit.cndc.trg.ton_EG2</t>
  </si>
  <si>
    <t>egy.mit.undc.2030.pct_EG2</t>
  </si>
  <si>
    <t>egy.mit.cndc.2030.pct_EG2</t>
  </si>
  <si>
    <t>egy.mit.andc.2030.pct_EG2</t>
  </si>
  <si>
    <t>egy.mit.emin.cem_EG2</t>
  </si>
  <si>
    <t>egy.mit.emin.irn_EG2</t>
  </si>
  <si>
    <t>egy.mit.emin.mch_EG2</t>
  </si>
  <si>
    <t>egy.mit.emin.man_EG2</t>
  </si>
  <si>
    <t>egy.mit.emin.oth_EG2</t>
  </si>
  <si>
    <t>egy.mit.emin.foo_EG2</t>
  </si>
  <si>
    <t>egy.mit.emin.srv_EG2</t>
  </si>
  <si>
    <t>egy.mit.emin.mac_EG2</t>
  </si>
  <si>
    <t>egy.mit.emin.cst_EG2</t>
  </si>
  <si>
    <t>egy.mit.emin.ftr_EG2</t>
  </si>
  <si>
    <t>egy.mit.emin.con_EG2</t>
  </si>
  <si>
    <t>egy.mit.rp.all.ecy.wtd.1_EG2</t>
  </si>
  <si>
    <t>egy.mit.rp.all.coa.wtd.1_EG2</t>
  </si>
  <si>
    <t>egy.mit.rp.all.nga.wtd.1_EG2</t>
  </si>
  <si>
    <t>egy.mit.rp.all.oil.wtd.1_EG2</t>
  </si>
  <si>
    <t>egy.mit.rp.all.gso.wtd.1_EG2</t>
  </si>
  <si>
    <t>egy.mit.rp.all.die.wtd.1_EG2</t>
  </si>
  <si>
    <t>egy.mit.rp.all.lpg.wtd.1_EG2</t>
  </si>
  <si>
    <t>egy.mit.rp.all.ker.wtd.1_EG2</t>
  </si>
  <si>
    <t>egy.mit.rp.all.ecy.wtd.2_EG2</t>
  </si>
  <si>
    <t>egy.mit.rp.coa.wtd.2_EG2</t>
  </si>
  <si>
    <t>egy.mit.rp.nga.wtd.2_EG2</t>
  </si>
  <si>
    <t>egy.mit.rp.oil.wtd.2_EG2</t>
  </si>
  <si>
    <t>egy.mit.rp.gso.wtd.2_EG2</t>
  </si>
  <si>
    <t>egy.mit.rp.die.wtd.2_EG2</t>
  </si>
  <si>
    <t>egy.mit.rp.lpg.wtd.2_EG2</t>
  </si>
  <si>
    <t>egy.mit.rp.ker.wtd.2_EG2</t>
  </si>
  <si>
    <t>egy.mit.rp.all.ecy.pct.2_EG2</t>
  </si>
  <si>
    <t>egy.mit.rp.all.coa.pct.2_EG2</t>
  </si>
  <si>
    <t>egy.mit.rp.all.nga.pct.2_EG2</t>
  </si>
  <si>
    <t>egy.mit.rp.all.oil.pct.2_EG2</t>
  </si>
  <si>
    <t>egy.mit.rp.all.gso.pct.2_EG2</t>
  </si>
  <si>
    <t>egy.mit.rp.all.die.pct.2_EG2</t>
  </si>
  <si>
    <t>egy.mit.rp.all.lpg.pct.2_EG2</t>
  </si>
  <si>
    <t>egy.mit.rp.all.ker.pct.2_EG2</t>
  </si>
  <si>
    <t>egy.mit.co2.ela.eco.2_EG2</t>
  </si>
  <si>
    <t>egy.mit.ndc.ecr.2_EG2</t>
  </si>
  <si>
    <t>egy.mit.ecr.1_EG2</t>
  </si>
  <si>
    <t>egy.mit.ecr.2_EG2</t>
  </si>
  <si>
    <t>egy.mit.rp.ind.ecy.t.1_EG2</t>
  </si>
  <si>
    <t>egy.mit.rp.res.ecy.t.1_EG2</t>
  </si>
  <si>
    <t>egy.mit.rp.ind.coa.a.1_EG2</t>
  </si>
  <si>
    <t>egy.mit.rp.ind.nga.a.1_EG2</t>
  </si>
  <si>
    <t>egy.mit.rp.res.coa.a.1_EG2</t>
  </si>
  <si>
    <t>egy.mit.rp.res.nga.a.1_EG2</t>
  </si>
  <si>
    <t>egy.mit.rp.pow.coa.a.1_EG2</t>
  </si>
  <si>
    <t>egy.mit.rp.pow.nga.a.1_EG2</t>
  </si>
  <si>
    <t>egy.mit.rp.ind.ecy.t.2_EG2</t>
  </si>
  <si>
    <t>egy.mit.rp.res.ecy.t.2_EG2</t>
  </si>
  <si>
    <t>egy.mit.rp.ind.coa.a.2_EG2</t>
  </si>
  <si>
    <t>egy.mit.rp.ind.nga.a.2_EG2</t>
  </si>
  <si>
    <t>egy.mit.rp.res.coa.a.2_EG2</t>
  </si>
  <si>
    <t>egy.mit.rp.res.nga.a.2_EG2</t>
  </si>
  <si>
    <t>egy.mit.rp.pow.coa.a.2_EG2</t>
  </si>
  <si>
    <t>egy.mit.rp.pow.nga.a.2_EG2</t>
  </si>
  <si>
    <t>egy.mit.sup.cost.ecy.ind.1_EG2</t>
  </si>
  <si>
    <t>egy.mit.sup.cost.ecy.res.2_EG2</t>
  </si>
  <si>
    <t>egy.mit.sp.ind.coa.a.1_EG2</t>
  </si>
  <si>
    <t>egy.mit.sp.ind.nga.a.1_EG2</t>
  </si>
  <si>
    <t>egy.mit.sp.res.coa.a.1_EG2</t>
  </si>
  <si>
    <t>egy.mit.sp.res.nga.a.1_EG2</t>
  </si>
  <si>
    <t>egy.mit.sp.pow.coa.a.1_EG2</t>
  </si>
  <si>
    <t>egy.mit.sp.pow.nga.a.1_EG2</t>
  </si>
  <si>
    <t>egy.mit.sp.all.oop.a.1_EG2</t>
  </si>
  <si>
    <t>egy.mit.sp.all.gso.a.1_EG2</t>
  </si>
  <si>
    <t>egy.mit.sp.all.die.a.1_EG2</t>
  </si>
  <si>
    <t>egy.mit.sp.all.lpg.a.1_EG2</t>
  </si>
  <si>
    <t>egy.mit.sp.all.ker.a.1_EG2</t>
  </si>
  <si>
    <t>egy.mit.txo.ind.ecy.t.1_EG2</t>
  </si>
  <si>
    <t>egy.mit.txo.res.ecy.t.1_EG2</t>
  </si>
  <si>
    <t>egy.mit.txo.ind.coa.a.1_EG2</t>
  </si>
  <si>
    <t>egy.mit.txo.ind.nga.a.1_EG2</t>
  </si>
  <si>
    <t>egy.mit.txo.res.coa.a.1_EG2</t>
  </si>
  <si>
    <t>egy.mit.txo.res.nga.a.1_EG2</t>
  </si>
  <si>
    <t>egy.mit.txo.pow.coa.a.1_EG2</t>
  </si>
  <si>
    <t>egy.mit.txo.pow.nga.a.1_EG2</t>
  </si>
  <si>
    <t>egy.mit.txo.all.oop.a.1_EG2</t>
  </si>
  <si>
    <t>egy.mit.txo.all.gso.a.1_EG2</t>
  </si>
  <si>
    <t>egy.mit.txo.all.die.a.1_EG2</t>
  </si>
  <si>
    <t>egy.mit.txo.all.lpg.a.1_EG2</t>
  </si>
  <si>
    <t>egy.mit.txo.all.ker.a.1_EG2</t>
  </si>
  <si>
    <t>egy.mit.vat.ind.ecy.t.1_EG2</t>
  </si>
  <si>
    <t>egy.mit.vat.res.ecy.t.1_EG2</t>
  </si>
  <si>
    <t>egy.mit.vat.ind.coa.a.1_EG2</t>
  </si>
  <si>
    <t>egy.mit.vat.ind.nga.a.1_EG2</t>
  </si>
  <si>
    <t>egy.mit.vat.res.coa.a.1_EG2</t>
  </si>
  <si>
    <t>egy.mit.vat.res.nga.a.1_EG2</t>
  </si>
  <si>
    <t>egy.mit.vat.pow.coa.a.1_EG2</t>
  </si>
  <si>
    <t>egy.mit.vat.pow.nga.a.1_EG2</t>
  </si>
  <si>
    <t>egy.mit.vat.all.oop.a.1_EG2</t>
  </si>
  <si>
    <t>egy.mit.vat.all.gso.a.1_EG2</t>
  </si>
  <si>
    <t>egy.mit.vat.all.die.a.1_EG2</t>
  </si>
  <si>
    <t>egy.mit.vat.all.lpg.a.1_EG2</t>
  </si>
  <si>
    <t>egy.mit.vat.all.ker.a.1_EG2</t>
  </si>
  <si>
    <t>egy.mit.ctx.ind.ecy.t.1_EG2</t>
  </si>
  <si>
    <t>egy.mit.ctx.res.ecy.t.1_EG2</t>
  </si>
  <si>
    <t>egy.mit.ctx.ind.coa.a.1_EG2</t>
  </si>
  <si>
    <t>egy.mit.ctx.ind.nga.a.1_EG2</t>
  </si>
  <si>
    <t>egy.mit.ctx.res.coa.a.1_EG2</t>
  </si>
  <si>
    <t>egy.mit.ctx.res.nga.a.1_EG2</t>
  </si>
  <si>
    <t>egy.mit.ctx.pow.coa.a.1_EG2</t>
  </si>
  <si>
    <t>egy.mit.ctx.pow.nga.a.1_EG2</t>
  </si>
  <si>
    <t>egy.mit.ctx.all.oop.a.1_EG2</t>
  </si>
  <si>
    <t>egy.mit.ctx.all.gso.a.1_EG2</t>
  </si>
  <si>
    <t>egy.mit.ctx.all.die.a.1_EG2</t>
  </si>
  <si>
    <t>egy.mit.ctx.all.lpg.a.1_EG2</t>
  </si>
  <si>
    <t>egy.mit.ctx.all.ker.a.1_EG2</t>
  </si>
  <si>
    <t>egy.mit.ets.ind.ecy.t.1_EG2</t>
  </si>
  <si>
    <t>egy.mit.ets.res.ecy.t.1_EG2</t>
  </si>
  <si>
    <t>egy.mit.ets.ind.coa.a.1_EG2</t>
  </si>
  <si>
    <t>egy.mit.ets.ind.nga.a.1_EG2</t>
  </si>
  <si>
    <t>egy.mit.ets.res.coa.a.1_EG2</t>
  </si>
  <si>
    <t>egy.mit.ets.res.nga.a.1_EG2</t>
  </si>
  <si>
    <t>egy.mit.ets.pow.coa.a.1_EG2</t>
  </si>
  <si>
    <t>egy.mit.ets.pow.nga.a.1_EG2</t>
  </si>
  <si>
    <t>egy.mit.ets.all.oop.a.1_EG2</t>
  </si>
  <si>
    <t>egy.mit.ets.all.gso.a.1_EG2</t>
  </si>
  <si>
    <t>egy.mit.ets.all.die.a.1_EG2</t>
  </si>
  <si>
    <t>egy.mit.ets.all.lpg.a.1_EG2</t>
  </si>
  <si>
    <t>egy.mit.ets.all.ker.a.1_EG2</t>
  </si>
  <si>
    <t>egy.mit.tcp.all.coa.a.1_EG2</t>
  </si>
  <si>
    <t>egy.mit.tcp.all.nga.a.1_EG2</t>
  </si>
  <si>
    <t>egy.mit.tcp_csf.rod.gso.a.1_EG2</t>
  </si>
  <si>
    <t>egy.mit.tcp_csf.rod.die.a1_EG2</t>
  </si>
  <si>
    <t>egy.mit.tcp_csf.res.lpg.a.1_EG2</t>
  </si>
  <si>
    <t>egy.mit.tcp_csf.all.ker.a.1_EG2</t>
  </si>
  <si>
    <t>egy.mit.tcp_csf.all.oop.a.1_EG2</t>
  </si>
  <si>
    <t>egy.mit.tcp.all.all.a.1_EG2</t>
  </si>
  <si>
    <t>egy.mit.tcp.all.coa.a.2_EG2</t>
  </si>
  <si>
    <t>egy.mit.tcp.all.nga.a.2_EG2</t>
  </si>
  <si>
    <t>egy.mit.tcp_csf.rod.gso.a.2_EG2</t>
  </si>
  <si>
    <t>egy.mit.tcp_csf.rod.die.a2_EG2</t>
  </si>
  <si>
    <t>egy.mit.tcp_csf.res.lpg.a.2_EG2</t>
  </si>
  <si>
    <t>egy.mit.tcp_csf.all.ker.a.2_EG2</t>
  </si>
  <si>
    <t>egy.mit.tcp_csf.all.oop.a.2_EG2</t>
  </si>
  <si>
    <t>egy.mit.tcp.all.all.a.2_EG2</t>
  </si>
  <si>
    <t>egy.mit.eff.price.gso.all.2_EG2</t>
  </si>
  <si>
    <t>egy.mit.sup.cost.gso.all.2_EG2</t>
  </si>
  <si>
    <t>egy.mit.airpol.cost.gso.all.2_EG2</t>
  </si>
  <si>
    <t>egy.mit.acc.cost.gso.all.2_EG2</t>
  </si>
  <si>
    <t>egy.mit.con.cost.gso.all.2_EG2</t>
  </si>
  <si>
    <t>egy.mit.rdm.cost.gso.all.2_EG2</t>
  </si>
  <si>
    <t>egy.mit.scc.cost.gso.all.2_EG2</t>
  </si>
  <si>
    <t>egy.mit.vat.cost.gso.all.2_EG2</t>
  </si>
  <si>
    <t>egy.mit.rp.gso.all.2_EG2</t>
  </si>
  <si>
    <t>egy.mit.tgap.gso.all.2_EG2</t>
  </si>
  <si>
    <t>egy.mit.txo.co2e.gso.all.1_EG2</t>
  </si>
  <si>
    <t>egy.mit.pig.gso.all.2_EG2</t>
  </si>
  <si>
    <t>egy.mit.pig.co2e.gso.all.2_EG2</t>
  </si>
  <si>
    <t>egy.mit.eff.price.die.all.2_EG2</t>
  </si>
  <si>
    <t>egy.mit.sup.cost.die.all.2_EG2</t>
  </si>
  <si>
    <t>egy.mit.airpol.cost.die.all.2_EG2</t>
  </si>
  <si>
    <t>egy.mit.acc.cost.die.all.2_EG2</t>
  </si>
  <si>
    <t>egy.mit.con.cost.die.all.2_EG2</t>
  </si>
  <si>
    <t>egy.mit.rdm.cost.die.all.2_EG2</t>
  </si>
  <si>
    <t>egy.mit.scc.cost.die.all.2_EG2</t>
  </si>
  <si>
    <t>egy.mit.vat.cost.die.all.2_EG2</t>
  </si>
  <si>
    <t>egy.mit.rp.die.all.2_EG2</t>
  </si>
  <si>
    <t>egy.mit.tgap.die.all.2_EG2</t>
  </si>
  <si>
    <t>egy.mit.txo.co2e.die.all.1_EG2</t>
  </si>
  <si>
    <t>egy.mit.pig.die.all.2_EG2</t>
  </si>
  <si>
    <t>egy.mit.pig.co2e.die.all.2_EG2</t>
  </si>
  <si>
    <t>egy.mit.eff.price.lpg.all.2_EG2</t>
  </si>
  <si>
    <t>egy.mit.sup.cost.lpg.all.2_EG2</t>
  </si>
  <si>
    <t>egy.mit.airpol.cost.lpg.all.2_EG2</t>
  </si>
  <si>
    <t>egy.mit.scc.cost.lpg.all.2_EG2</t>
  </si>
  <si>
    <t>egy.mit.vat.cost.lpg.all.2_EG2</t>
  </si>
  <si>
    <t>egy.mit.rp.lpg.all.2_EG2</t>
  </si>
  <si>
    <t>egy.mit.tgap.lpg.all.2_EG2</t>
  </si>
  <si>
    <t>egy.mit.txo.co2e.lpg.all.1_EG2</t>
  </si>
  <si>
    <t>egy.mit.pig.lpg.all.2_EG2</t>
  </si>
  <si>
    <t>egy.mit.pig.co2e.lpg.all.2_EG2</t>
  </si>
  <si>
    <t>egy.mit.eff.price.ker.all.2_EG2</t>
  </si>
  <si>
    <t>egy.mit.sup.cost.ker.all.2_EG2</t>
  </si>
  <si>
    <t>egy.mit.airpol.cost.ker.all.2_EG2</t>
  </si>
  <si>
    <t>egy.mit.scc.cost.ker.all.2_EG2</t>
  </si>
  <si>
    <t>egy.mit.vat.cost.ker.all.2_EG2</t>
  </si>
  <si>
    <t>egy.mit.rp.ker.all.2_EG2</t>
  </si>
  <si>
    <t>egy.mit.tgap.ker.all.2_EG2</t>
  </si>
  <si>
    <t>egy.mit.txo.co2e.ker.all.1_EG2</t>
  </si>
  <si>
    <t>egy.mit.pig.ker.all.2_EG2</t>
  </si>
  <si>
    <t>egy.mit.pig.co2e.ker.all.2_EG2</t>
  </si>
  <si>
    <t>egy.mit.eff.price.coa.ind.2_EG2</t>
  </si>
  <si>
    <t>egy.mit.sup.cost.coa.ind.2_EG2</t>
  </si>
  <si>
    <t>egy.mit.airpol.cost.coa.ind.2_EG2</t>
  </si>
  <si>
    <t>egy.mit.scc.cost.coa.ind.2_EG2</t>
  </si>
  <si>
    <t>egy.mit.vat.cost.coa.ind.2_EG2</t>
  </si>
  <si>
    <t>egy.mit.rp.coa.ind.2_EG2</t>
  </si>
  <si>
    <t>egy.mit.tgap.coa.ind.2_EG2</t>
  </si>
  <si>
    <t>egy.mit.txo.co2e.coa.ind.1_EG2</t>
  </si>
  <si>
    <t>egy.mit.pig.coa.ind.2_EG2</t>
  </si>
  <si>
    <t>egy.mit.pig.co2e.coa.ind.2_EG2</t>
  </si>
  <si>
    <t>egy.mit.eff.price.coa.res.2_EG2</t>
  </si>
  <si>
    <t>egy.mit.sup.cost.coa.res.2_EG2</t>
  </si>
  <si>
    <t>egy.mit.airpol.cost.coa.res.2_EG2</t>
  </si>
  <si>
    <t>egy.mit.scc.cost.coa.res.2_EG2</t>
  </si>
  <si>
    <t>egy.mit.vat.cost.coa.res.2_EG2</t>
  </si>
  <si>
    <t>egy.mit.rp.coa.res.2_EG2</t>
  </si>
  <si>
    <t>egy.mit.tgap.coa.res.2_EG2</t>
  </si>
  <si>
    <t>egy.mit.txo.co2e.coa.res.1_EG2</t>
  </si>
  <si>
    <t>egy.mit.pig.coa.res.2_EG2</t>
  </si>
  <si>
    <t>egy.mit.pig.co2e.coa.res.2_EG2</t>
  </si>
  <si>
    <t>egy.mit.eff.price.coa.pow.2_EG2</t>
  </si>
  <si>
    <t>egy.mit.sup.cost.coa.pow.2_EG2</t>
  </si>
  <si>
    <t>egy.mit.airpol.cost.coa.pow.2_EG2</t>
  </si>
  <si>
    <t>egy.mit.scc.cost.coa.pow.2_EG2</t>
  </si>
  <si>
    <t>egy.mit.vat.cost.coa.pow.2_EG2</t>
  </si>
  <si>
    <t>egy.mit.rp.coa.pow.2_EG2</t>
  </si>
  <si>
    <t>egy.mit.tgap.coa.pow.2_EG2</t>
  </si>
  <si>
    <t>egy.mit.txo.co2e.coa.pow.1_EG2</t>
  </si>
  <si>
    <t>egy.mit.pig.coa.pow.2_EG2</t>
  </si>
  <si>
    <t>egy.mit.pig.co2e.coa.pow.2_EG2</t>
  </si>
  <si>
    <t>egy.mit.eff.price.nga.ind.2_EG2</t>
  </si>
  <si>
    <t>egy.mit.sup.cost.nga.ind.2_EG2</t>
  </si>
  <si>
    <t>egy.mit.airpol.cost.nga.ind.2_EG2</t>
  </si>
  <si>
    <t>egy.mit.scc.cost.nga.ind.2_EG2</t>
  </si>
  <si>
    <t>egy.mit.vat.cost.nga.ind.2_EG2</t>
  </si>
  <si>
    <t>egy.mit.rp.nga.ind.2_EG2</t>
  </si>
  <si>
    <t>egy.mit.tgap.nga.ind.2_EG2</t>
  </si>
  <si>
    <t>egy.mit.txo.co2e.nga.ind.1_EG2</t>
  </si>
  <si>
    <t>egy.mit.pig.nga.ind.2_EG2</t>
  </si>
  <si>
    <t>egy.mit.pig.co2e.nga.ind.2_EG2</t>
  </si>
  <si>
    <t>egy.mit.eff.price.nga.res.2_EG2</t>
  </si>
  <si>
    <t>egy.mit.sup.cost.nga.res.2_EG2</t>
  </si>
  <si>
    <t>egy.mit.airpol.cost.nga.res.2_EG2</t>
  </si>
  <si>
    <t>egy.mit.scc.cost.nga.res.2_EG2</t>
  </si>
  <si>
    <t>egy.mit.vat.cost.nga.res.2_EG2</t>
  </si>
  <si>
    <t>egy.mit.rp.nga.res.2_EG2</t>
  </si>
  <si>
    <t>egy.mit.tgap.nga.res.2_EG2</t>
  </si>
  <si>
    <t>egy.mit.txo.co2e.nga.res.1_EG2</t>
  </si>
  <si>
    <t>egy.mit.pig.nga.res.2_EG2</t>
  </si>
  <si>
    <t>egy.mit.pig.co2e.nga.res.2_EG2</t>
  </si>
  <si>
    <t>egy.mit.eff.price.nga.pow.2_EG2</t>
  </si>
  <si>
    <t>egy.mit.sup.cost.nga.pow.2_EG2</t>
  </si>
  <si>
    <t>egy.mit.airpol.cost.nga.pow.2_EG2</t>
  </si>
  <si>
    <t>egy.mit.scc.cost.nga.pow.2_EG2</t>
  </si>
  <si>
    <t>egy.mit.vat.cost.nga.pow.2_EG2</t>
  </si>
  <si>
    <t>egy.mit.rp.nga.pow.2_EG2</t>
  </si>
  <si>
    <t>egy.mit.tgap.nga.pow.2_EG2</t>
  </si>
  <si>
    <t>egy.mit.txo.co2e.nga.pow.1_EG2</t>
  </si>
  <si>
    <t>egy.mit.pig.nga.pow.2_EG2</t>
  </si>
  <si>
    <t>egy.mit.pig.co2e.nga.pow.2_EG2</t>
  </si>
  <si>
    <t>egy.mit.eff.price.ecy.ind.2_EG2</t>
  </si>
  <si>
    <t>egy.mit.sup.cost.ecy.ind.2_EG2</t>
  </si>
  <si>
    <t>egy.mit.airpol.cost.ecy.ind.2_EG2</t>
  </si>
  <si>
    <t>egy.mit.scc.cost.ecy.ind.2_EG2</t>
  </si>
  <si>
    <t>egy.mit.vat.cost.ecy.ind.2_EG2</t>
  </si>
  <si>
    <t>egy.mit.rp.ecy.ind.2_EG2</t>
  </si>
  <si>
    <t>egy.mit.tgap.ecy.ind.2_EG2</t>
  </si>
  <si>
    <t>egy.mit.txo.co2e.ecy.ind.1_EG2</t>
  </si>
  <si>
    <t>egy.mit.pig.ecy.ind.2_EG2</t>
  </si>
  <si>
    <t>egy.mit.pig.co2e.ecy.ind.2_EG2</t>
  </si>
  <si>
    <t>egy.mit.eff.price.ecy.res.2_EG2</t>
  </si>
  <si>
    <t>egy.mit.airpol.cost.ecy.res.2_EG2</t>
  </si>
  <si>
    <t>egy.mit.scc.cost.ecy.res.2_EG2</t>
  </si>
  <si>
    <t>egy.mit.vat.cost.ecy.res.2_EG2</t>
  </si>
  <si>
    <t>egy.mit.rp.ecy.res.2_EG2</t>
  </si>
  <si>
    <t>egy.mit.tgap.ecy.res.2_EG2</t>
  </si>
  <si>
    <t>egy.mit.txo.co2e.ecy.res.1_EG2</t>
  </si>
  <si>
    <t>egy.mit.pig.ecy.res.2_EG2</t>
  </si>
  <si>
    <t>egy.mit.pig.co2e.ecy.res.2_EG2</t>
  </si>
  <si>
    <t>egy.mit.pig.co2e.all.all.1_EG2</t>
  </si>
  <si>
    <t>egy.mit.pig.co2e.all.all.2_EG2</t>
  </si>
  <si>
    <t>egy.mit.app.gso.all.2_EG2</t>
  </si>
  <si>
    <t>egy.mit.app.die.all.2_EG2</t>
  </si>
  <si>
    <t>egy.mit.app.lpg.all.2_EG2</t>
  </si>
  <si>
    <t>egy.mit.app.ker.all.2_EG2</t>
  </si>
  <si>
    <t>egy.mit.app.coa.ind.2_EG2</t>
  </si>
  <si>
    <t>egy.mit.app.coa.res.2_EG2</t>
  </si>
  <si>
    <t>egy.mit.app.coa.pow.2_EG2</t>
  </si>
  <si>
    <t>egy.mit.app.nga.ind.2_EG2</t>
  </si>
  <si>
    <t>egy.mit.app.nga.res.2_EG2</t>
  </si>
  <si>
    <t>egy.mit.app.nga.pow.2_EG2</t>
  </si>
  <si>
    <t>egy.mit.app.co2e.all.all.1_EG2</t>
  </si>
  <si>
    <t>egy.mit.app.co2e.all.all.2_EG2</t>
  </si>
  <si>
    <t>egy.mit.scc.1_EG2</t>
  </si>
  <si>
    <t>egy.mit.ener.con.tot.1_EG2</t>
  </si>
  <si>
    <t>egy.mit.ener.con.coa.1_EG2</t>
  </si>
  <si>
    <t>egy.mit.ener.con.nga.1_EG2</t>
  </si>
  <si>
    <t>egy.mit.ener.con.oop.1_EG2</t>
  </si>
  <si>
    <t>egy.mit.ener.con.gso.1_EG2</t>
  </si>
  <si>
    <t>egy.mit.ener.con.die.1_EG2</t>
  </si>
  <si>
    <t>egy.mit.ener.con.lpg.1_EG2</t>
  </si>
  <si>
    <t>egy.mit.ener.con.ker.1_EG2</t>
  </si>
  <si>
    <t>egy.mit.ener.con.nuc.1_EG2</t>
  </si>
  <si>
    <t>egy.mit.ener.con.rnw.1_EG2</t>
  </si>
  <si>
    <t>egy.mit.ener.con.bio.1_EG2</t>
  </si>
  <si>
    <t>egy.mit.ener.con.tot.2_EG2</t>
  </si>
  <si>
    <t>egy.mit.ener.con.coa.2_EG2</t>
  </si>
  <si>
    <t>egy.mit.ener.con.nga.2_EG2</t>
  </si>
  <si>
    <t>egy.mit.ener.con.oop.2_EG2</t>
  </si>
  <si>
    <t>egy.mit.ener.con.gso.2_EG2</t>
  </si>
  <si>
    <t>egy.mit.ener.con.die.2_EG2</t>
  </si>
  <si>
    <t>egy.mit.ener.con.lpg.2_EG2</t>
  </si>
  <si>
    <t>egy.mit.ener.con.ker.2_EG2</t>
  </si>
  <si>
    <t>egy.mit.ener.con.nuc.2_EG2</t>
  </si>
  <si>
    <t>egy.mit.ener.con.rnw.2_EG2</t>
  </si>
  <si>
    <t>egy.mit.ener.con.bio.2_EG2</t>
  </si>
  <si>
    <t>egy.mit.ener.coa.pow.1_EG2</t>
  </si>
  <si>
    <t>egy.mit.ener.coa.tra.1_EG2</t>
  </si>
  <si>
    <t>egy.mit.ener.coa.res.1_EG2</t>
  </si>
  <si>
    <t>egy.mit.ener.coa.ind.1_EG2</t>
  </si>
  <si>
    <t>egy.mit.ener.coa.oen.1_EG2</t>
  </si>
  <si>
    <t>egy.mit.ener.nga.pow.1_EG2</t>
  </si>
  <si>
    <t>egy.mit.ener.nga.tra.1_EG2</t>
  </si>
  <si>
    <t>egy.mit.ener.nga.res.1_EG2</t>
  </si>
  <si>
    <t>egy.mit.ener.nga.ind.1_EG2</t>
  </si>
  <si>
    <t>egy.mit.ener.nga.oen.1_EG2</t>
  </si>
  <si>
    <t>egy.mit.ener.gso.pow.1_EG2</t>
  </si>
  <si>
    <t>egy.mit.ener.gso.tra.1_EG2</t>
  </si>
  <si>
    <t>egy.mit.ener.gso.res.1_EG2</t>
  </si>
  <si>
    <t>egy.mit.ener.gso.ind.1_EG2</t>
  </si>
  <si>
    <t>egy.mit.ener.gso.oen.1_EG2</t>
  </si>
  <si>
    <t>egy.mit.ener.die.pow.1_EG2</t>
  </si>
  <si>
    <t>egy.mit.ener.die.tra.1_EG2</t>
  </si>
  <si>
    <t>egy.mit.ener.die.res.1_EG2</t>
  </si>
  <si>
    <t>egy.mit.ener.die.ind.1_EG2</t>
  </si>
  <si>
    <t>egy.mit.ener.die.oen.1_EG2</t>
  </si>
  <si>
    <t>egy.mit.ener.lpg.pow.1_EG2</t>
  </si>
  <si>
    <t>egy.mit.ener.lpg.tra.1_EG2</t>
  </si>
  <si>
    <t>egy.mit.ener.lpg.res.1_EG2</t>
  </si>
  <si>
    <t>egy.mit.ener.lpg.ind.1_EG2</t>
  </si>
  <si>
    <t>egy.mit.ener.lpg.oen.1_EG2</t>
  </si>
  <si>
    <t>egy.mit.ener.ker.pow.1_EG2</t>
  </si>
  <si>
    <t>egy.mit.ener.ker.tra.1_EG2</t>
  </si>
  <si>
    <t>egy.mit.ener.ker.res.1_EG2</t>
  </si>
  <si>
    <t>egy.mit.ener.ker.ind.1_EG2</t>
  </si>
  <si>
    <t>egy.mit.ener.ker.oen.1_EG2</t>
  </si>
  <si>
    <t>egy.mit.ener.oop.pow.1_EG2</t>
  </si>
  <si>
    <t>egy.mit.ener.oop.tra.1_EG2</t>
  </si>
  <si>
    <t>egy.mit.ener.oop.res.1_EG2</t>
  </si>
  <si>
    <t>egy.mit.ener.oop.ind.1_EG2</t>
  </si>
  <si>
    <t>egy.mit.ener.oop.oen.1_EG2</t>
  </si>
  <si>
    <t>egy.mit.ener.tot.tot.1_EG2</t>
  </si>
  <si>
    <t>egy.mit.ener.bio.pow.1_EG2</t>
  </si>
  <si>
    <t>egy.mit.ener.bio.tra.1_EG2</t>
  </si>
  <si>
    <t>egy.mit.ener.bio.res.1_EG2</t>
  </si>
  <si>
    <t>egy.mit.ener.bio.ind.1_EG2</t>
  </si>
  <si>
    <t>egy.mit.ener.bio.oen.1_EG2</t>
  </si>
  <si>
    <t>egy.mit.ener.con.nrn.1_EG2</t>
  </si>
  <si>
    <t>egy.mit.ener.coa.pow.2_EG2</t>
  </si>
  <si>
    <t>egy.mit.ener.coa.tra.2_EG2</t>
  </si>
  <si>
    <t>egy.mit.ener.coa.res.2_EG2</t>
  </si>
  <si>
    <t>egy.mit.ener.coa.ind.2_EG2</t>
  </si>
  <si>
    <t>egy.mit.ener.coa.oen.2_EG2</t>
  </si>
  <si>
    <t>egy.mit.ener.nga.pow.2_EG2</t>
  </si>
  <si>
    <t>egy.mit.ener.nga.tra.2_EG2</t>
  </si>
  <si>
    <t>egy.mit.ener.nga.res.2_EG2</t>
  </si>
  <si>
    <t>egy.mit.ener.nga.ind.2_EG2</t>
  </si>
  <si>
    <t>egy.mit.ener.nga.oen.2_EG2</t>
  </si>
  <si>
    <t>egy.mit.ener.gso.pow.2_EG2</t>
  </si>
  <si>
    <t>egy.mit.ener.gso.tra.2_EG2</t>
  </si>
  <si>
    <t>egy.mit.ener.gso.res.2_EG2</t>
  </si>
  <si>
    <t>egy.mit.ener.gso.ind.2_EG2</t>
  </si>
  <si>
    <t>egy.mit.ener.gso.oen.2_EG2</t>
  </si>
  <si>
    <t>egy.mit.ener.die.pow.2_EG2</t>
  </si>
  <si>
    <t>egy.mit.ener.die.tra.2_EG2</t>
  </si>
  <si>
    <t>egy.mit.ener.die.res.2_EG2</t>
  </si>
  <si>
    <t>egy.mit.ener.die.ind.2_EG2</t>
  </si>
  <si>
    <t>egy.mit.ener.die.oen.2_EG2</t>
  </si>
  <si>
    <t>egy.mit.ener.lpg.pow.2_EG2</t>
  </si>
  <si>
    <t>egy.mit.ener.lpg.tra.2_EG2</t>
  </si>
  <si>
    <t>egy.mit.ener.lpg.res.2_EG2</t>
  </si>
  <si>
    <t>egy.mit.ener.lpg.ind.2_EG2</t>
  </si>
  <si>
    <t>egy.mit.ener.lpg.oen.2_EG2</t>
  </si>
  <si>
    <t>egy.mit.ener.ker.pow.2_EG2</t>
  </si>
  <si>
    <t>egy.mit.ener.ker.tra.2_EG2</t>
  </si>
  <si>
    <t>egy.mit.ener.ker.res.2_EG2</t>
  </si>
  <si>
    <t>egy.mit.ener.ker.ind.2_EG2</t>
  </si>
  <si>
    <t>egy.mit.ener.ker.oen.2_EG2</t>
  </si>
  <si>
    <t>egy.mit.ener.oop.pow.2_EG2</t>
  </si>
  <si>
    <t>egy.mit.ener.oop.tra.2_EG2</t>
  </si>
  <si>
    <t>egy.mit.ener.oop.res.2_EG2</t>
  </si>
  <si>
    <t>egy.mit.ener.oop.ind.2_EG2</t>
  </si>
  <si>
    <t>egy.mit.ener.oop.oen.2_EG2</t>
  </si>
  <si>
    <t>egy.mit.ener.tot.tot.2_EG2</t>
  </si>
  <si>
    <t>egy.mit.ener.bio.pow.2_EG2</t>
  </si>
  <si>
    <t>egy.mit.ener.bio.tra.2_EG2</t>
  </si>
  <si>
    <t>egy.mit.ener.bio.res.2_EG2</t>
  </si>
  <si>
    <t>egy.mit.ener.bio.ind.2_EG2</t>
  </si>
  <si>
    <t>egy.mit.ener.bio.oen.2_EG2</t>
  </si>
  <si>
    <t>egy.mit.ener.con.nrn.2_EG2</t>
  </si>
  <si>
    <t>egy.mit.elec.twh.tot.1_EG2</t>
  </si>
  <si>
    <t>egy.mit.elec.twh.coa.1_EG2</t>
  </si>
  <si>
    <t>egy.mit.elec.twh.nga.1_EG2</t>
  </si>
  <si>
    <t>egy.mit.elec.twh.oop.1_EG2</t>
  </si>
  <si>
    <t>egy.mit.elec.twh.nuc.1_EG2</t>
  </si>
  <si>
    <t>egy.mit.elec.twh.wnd.1_EG2</t>
  </si>
  <si>
    <t>egy.mit.elec.twh.sol.1_EG2</t>
  </si>
  <si>
    <t>egy.mit.elec.twh.hyd.1_EG2</t>
  </si>
  <si>
    <t>egy.mit.elec.twh.ore.1_EG2</t>
  </si>
  <si>
    <t>egy.mit.elec.twh.bio.1_EG2</t>
  </si>
  <si>
    <t>egy.mit.elec.twh.ren.1_EG2</t>
  </si>
  <si>
    <t>egy.mit.elec.twh.tot.2_EG2</t>
  </si>
  <si>
    <t>egy.mit.elec.twh.coa.2_EG2</t>
  </si>
  <si>
    <t>egy.mit.elec.twh.nga.2_EG2</t>
  </si>
  <si>
    <t>egy.mit.elec.twh.oop.2_EG2</t>
  </si>
  <si>
    <t>egy.mit.elec.twh.nuc.2_EG2</t>
  </si>
  <si>
    <t>egy.mit.elec.twh.wnd.2_EG2</t>
  </si>
  <si>
    <t>egy.mit.elec.twh.sol.2_EG2</t>
  </si>
  <si>
    <t>egy.mit.elec.twh.hyd.2_EG2</t>
  </si>
  <si>
    <t>egy.mit.elec.twh.ore.2_EG2</t>
  </si>
  <si>
    <t>egy.mit.elec.twh.bio.2_EG2</t>
  </si>
  <si>
    <t>egy.mit.elec.twh.ren.2_EG2</t>
  </si>
  <si>
    <t>egy.mit.ener.rod.nga.pass.e.2_EG2</t>
  </si>
  <si>
    <t>egy.mit.tot.rod.nga.e.2_EG2</t>
  </si>
  <si>
    <t>0_EG2</t>
  </si>
  <si>
    <t>egy.mit.tot.rod.ele.e.2_EG2</t>
  </si>
  <si>
    <t>egy.mit.pass.vkt.all.e.2_EG2</t>
  </si>
  <si>
    <t>egy.mit.fre.vkt.all.e.2_EG2</t>
  </si>
  <si>
    <t>egy.mit.motor.vkt.all.e.2_EG2</t>
  </si>
  <si>
    <t>egy.mit.fecon.die.all.e.2_EG2</t>
  </si>
  <si>
    <t>egy.mit.fecon.lpg.all.e.2_EG2</t>
  </si>
  <si>
    <t>Output Code_EG2</t>
  </si>
  <si>
    <t>egy.mit.atp.rod.coa.e.2_EG2</t>
  </si>
  <si>
    <t>egy.mit.atp.rod.nga.e.2_EG2</t>
  </si>
  <si>
    <t>egy.mit.atp.rod.gso.e.2_EG2</t>
  </si>
  <si>
    <t>egy.mit.atp.ral.oop.e.2_EG2</t>
  </si>
  <si>
    <t>egy.mit.atp.ral.bio.e.2_EG2</t>
  </si>
  <si>
    <t>egy.mit.atp.ral.ren.e.2_EG2</t>
  </si>
  <si>
    <t>egy.mit.ener.ral.coa.e.2_EG2</t>
  </si>
  <si>
    <t>egy.mit.ener.ral.nga.e.2_EG2</t>
  </si>
  <si>
    <t>egy.mit.ener.ral.gso.e.2_EG2</t>
  </si>
  <si>
    <t>egy.mit.ener.ral.die.e.2_EG2</t>
  </si>
  <si>
    <t>egy.mit.ener.nav.nga.e.2_EG2</t>
  </si>
  <si>
    <t>egy.mit.ener.nav.gso.e.2_EG2</t>
  </si>
  <si>
    <t>egy.mit.ener.nav.die.e.2_EG2</t>
  </si>
  <si>
    <t>egy.mit.ener.nav.lpg.e.2_EG2</t>
  </si>
  <si>
    <t>egy.mit.ener.nav.ker.e.2_EG2</t>
  </si>
  <si>
    <t>egy.mit.ener.nav.oop.e.2_EG2</t>
  </si>
  <si>
    <t>egy.mit.ener.nav.bio.e.2_EG2</t>
  </si>
  <si>
    <t>egy.mit.ener.nav.ren.e.2_EG2</t>
  </si>
  <si>
    <t>egy.mit.ener.nav.tot.e.2_EG2</t>
  </si>
  <si>
    <t>egy.mit.ener.tra.tot.e.2_EG2</t>
  </si>
  <si>
    <t>egy.mit.atp.res.coa.e.2_EG2</t>
  </si>
  <si>
    <t>egy.mit.atp.foo.oop.e.2_EG2</t>
  </si>
  <si>
    <t>egy.mit.atp.foo.bio.e.2_EG2</t>
  </si>
  <si>
    <t>egy.mit.atp.foo.ren.e.2_EG2</t>
  </si>
  <si>
    <t>egy.mit.ener.foo.coa.e.2_EG2</t>
  </si>
  <si>
    <t>egy.mit.ener.foo.nga.e.2_EG2</t>
  </si>
  <si>
    <t>egy.mit.ener.foo.gso.e.2_EG2</t>
  </si>
  <si>
    <t>egy.mit.ener.foo.die.e.2_EG2</t>
  </si>
  <si>
    <t>egy.mit.atp.srv.oop.e.2_EG2</t>
  </si>
  <si>
    <t>egy.mit.atp.srv.bio.e.2_EG2</t>
  </si>
  <si>
    <t>egy.mit.atp.srv.ren.e.2_EG2</t>
  </si>
  <si>
    <t>egy.mit.ener.srv.coa.e.2_EG2</t>
  </si>
  <si>
    <t>egy.mit.ener.srv.nga.e.2_EG2</t>
  </si>
  <si>
    <t>egy.mit.ener.srv.gso.e.2_EG2</t>
  </si>
  <si>
    <t>egy.mit.ener.srv.die.e.2_EG2</t>
  </si>
  <si>
    <t>egy.mit.ener.srv.tot.e.2_EG2</t>
  </si>
  <si>
    <t>egy.mit.ener.res.tot.e.2_EG2</t>
  </si>
  <si>
    <t>egy.mit.ener.mch.coa.e.2_EG2</t>
  </si>
  <si>
    <t>egy.mit.ener.mch.nga.e.2_EG2</t>
  </si>
  <si>
    <t>egy.mit.ener.mch.gso.e.2_EG2</t>
  </si>
  <si>
    <t>egy.mit.ener.mch.die.e.2_EG2</t>
  </si>
  <si>
    <t>egy.mit.ener.mch.lpg.e.2_EG2</t>
  </si>
  <si>
    <t>egy.mit.ener.mch.ker.e.2_EG2</t>
  </si>
  <si>
    <t>egy.mit.ener.mch.oop.e.2_EG2</t>
  </si>
  <si>
    <t>egy.mit.ener.mch.bio.e.2_EG2</t>
  </si>
  <si>
    <t>egy.mit.ener.mch.ren.e.2_EG2</t>
  </si>
  <si>
    <t>egy.mit.ener.irn.coa.e.2_EG2</t>
  </si>
  <si>
    <t>egy.mit.ener.irn.nga.e.2_EG2</t>
  </si>
  <si>
    <t>egy.mit.ener.irn.gso.e.2_EG2</t>
  </si>
  <si>
    <t>egy.mit.ener.irn.die.e.2_EG2</t>
  </si>
  <si>
    <t>egy.mit.ener.irn.lpg.e.2_EG2</t>
  </si>
  <si>
    <t>egy.mit.ener.irn.ker.e.2_EG2</t>
  </si>
  <si>
    <t>egy.mit.ener.irn.oop.e.2_EG2</t>
  </si>
  <si>
    <t>egy.mit.ener.irn.bio.e.2_EG2</t>
  </si>
  <si>
    <t>egy.mit.ener.irn.ren.e.2_EG2</t>
  </si>
  <si>
    <t>egy.mit.ener.nfm.coa.e.2_EG2</t>
  </si>
  <si>
    <t>egy.mit.ener.nfm.nga.e.2_EG2</t>
  </si>
  <si>
    <t>egy.mit.ener.nfm.gso.e.2_EG2</t>
  </si>
  <si>
    <t>egy.mit.ener.nfm.die.e.2_EG2</t>
  </si>
  <si>
    <t>egy.mit.ener.nfm.lpg.e.2_EG2</t>
  </si>
  <si>
    <t>egy.mit.ener.nfm.ker.e.2_EG2</t>
  </si>
  <si>
    <t>egy.mit.ener.nfm.oop.e.2_EG2</t>
  </si>
  <si>
    <t>egy.mit.ener.nfm.bio.e.2_EG2</t>
  </si>
  <si>
    <t>egy.mit.ener.nfm.ren.e.2_EG2</t>
  </si>
  <si>
    <t>egy.mit.ener.mac.coa.e.2_EG2</t>
  </si>
  <si>
    <t>egy.mit.ener.mac.nga.e.2_EG2</t>
  </si>
  <si>
    <t>egy.mit.ener.mac.gso.e.2_EG2</t>
  </si>
  <si>
    <t>egy.mit.ener.mac.die.e.2_EG2</t>
  </si>
  <si>
    <t>egy.mit.ener.mac.lpg.e.2_EG2</t>
  </si>
  <si>
    <t>egy.mit.ener.mac.ker.e.2_EG2</t>
  </si>
  <si>
    <t>egy.mit.ener.mac.oop.e.2_EG2</t>
  </si>
  <si>
    <t>egy.mit.ener.mac.bio.e.2_EG2</t>
  </si>
  <si>
    <t>egy.mit.ener.mac.ren.e.2_EG2</t>
  </si>
  <si>
    <t>egy.mit.ener.foo.ecy.t.2_EG2</t>
  </si>
  <si>
    <t>egy.mit.nxp.ecy.2_EG2</t>
  </si>
  <si>
    <t>egy.mit.tsd.ecy.2_EG2</t>
  </si>
  <si>
    <t>egy.mit.eou.ecy.2_EG2</t>
  </si>
  <si>
    <t>CPAT Code_EG2</t>
  </si>
  <si>
    <t>egy.mit.ener.rod.ecy.t.2_EG2</t>
  </si>
  <si>
    <t>egy.mit.ener.ral.ecy.t.2_EG2</t>
  </si>
  <si>
    <t>egy.mit.ener.avi.ecy.t.2_EG2</t>
  </si>
  <si>
    <t>egy.mit.ener.nav.ecy.t.2_EG2</t>
  </si>
  <si>
    <t>egy.mit.ener.srv.ecy.t.2_EG2</t>
  </si>
  <si>
    <t>egy.mit.ener.em.ngaoil.e.2_EG2</t>
  </si>
  <si>
    <t>egy.mit.ener.em.coa.e.2_EG2</t>
  </si>
  <si>
    <t>egy.mit.rev.new.coa.usd.2_EG2</t>
  </si>
  <si>
    <t>egy.mit.rev.new.nga.usd.2_EG2</t>
  </si>
  <si>
    <t>egy.mit.rev.new.oil.usd.2_EG2</t>
  </si>
  <si>
    <t>egy.mit.rev.new.gso.usd.2_EG2</t>
  </si>
  <si>
    <t>egy.mit.rev.new.die.usd.2_EG2</t>
  </si>
  <si>
    <t>egy.mit.rev.new.lpk.usd.2_EG2</t>
  </si>
  <si>
    <t>egy.mit.rev.tot.usd.1_EG2</t>
  </si>
  <si>
    <t>egy.mit.rev.tot.coa.usd.1_EG2</t>
  </si>
  <si>
    <t>egy.mit.rev.tot.nga.usd.1_EG2</t>
  </si>
  <si>
    <t>egy.mit.rev.tot.oil.usd.1_EG2</t>
  </si>
  <si>
    <t>egy.mit.rev.tot.gso.usd.1_EG2</t>
  </si>
  <si>
    <t>egy.mit.rev.tot.die.usd.1_EG2</t>
  </si>
  <si>
    <t>egy.mit.rev.tot.lpk.usd.1_EG2</t>
  </si>
  <si>
    <t>egy.mit.sub.ren.usd.1_EG2</t>
  </si>
  <si>
    <t>egy.mit.rev.tot.ecy.usd.1_EG2</t>
  </si>
  <si>
    <t>egy.mit.rev.tot.usd.2_EG2</t>
  </si>
  <si>
    <t>egy.mit.rev.tot.coa.usd.2_EG2</t>
  </si>
  <si>
    <t>egy.mit.rev.tot.nga.usd.2_EG2</t>
  </si>
  <si>
    <t>egy.mit.rev.tot.oil.usd.2_EG2</t>
  </si>
  <si>
    <t>egy.mit.rev.tot.gso.usd.2_EG2</t>
  </si>
  <si>
    <t>egy.mit.rev.tot.die.usd.2_EG2</t>
  </si>
  <si>
    <t>egy.mit.rev.tot.lpk.usd.2_EG2</t>
  </si>
  <si>
    <t>egy.mit.sub.ren.usd.2_EG2</t>
  </si>
  <si>
    <t>egy.mit.rev.tot.ecy.usd.2_EG2</t>
  </si>
  <si>
    <t>egy.air.con.pm2.oap.urb.1_EG2</t>
  </si>
  <si>
    <t>egy.air.con.pm2.oap.rur.1_EG2</t>
  </si>
  <si>
    <t>egy.air.con.pm2.oap.urb.2_EG2</t>
  </si>
  <si>
    <t>egy.air.con.pm2.oap.rur.2_EG2</t>
  </si>
  <si>
    <t>egy.air.con.pm2.mod.all.1_EG2</t>
  </si>
  <si>
    <t>egy.air.con.pm2.obs.all.1_EG2</t>
  </si>
  <si>
    <t>who_guidelines_EG2</t>
  </si>
  <si>
    <t>egy.air.cad.ao3_EG2</t>
  </si>
  <si>
    <t>egy.air.cad.apm25_EG2</t>
  </si>
  <si>
    <t>egy.air.cad.hpm25_EG2</t>
  </si>
  <si>
    <t>egy.air.cad.net_EG2</t>
  </si>
  <si>
    <t>egy.air.ada.2464_EG2</t>
  </si>
  <si>
    <t>egy.air.ada.65_EG2</t>
  </si>
  <si>
    <t>egy.air.ada.u24_EG2</t>
  </si>
  <si>
    <t>egy.air.av.yll_EG2</t>
  </si>
  <si>
    <t>egy.air.av.yld_EG2</t>
  </si>
  <si>
    <t>egy.air.mort_EG2</t>
  </si>
  <si>
    <t>egy.air.ext.pp.coa_EG2</t>
  </si>
  <si>
    <t>egy.air.ext.pp.gas_EG2</t>
  </si>
  <si>
    <t>egy.air.ext.pp.oil_EG2</t>
  </si>
  <si>
    <t>egy.air.ext.ind.coa_EG2</t>
  </si>
  <si>
    <t>egy.air.ext.ind.gas_EG2</t>
  </si>
  <si>
    <t>egy.air.ext.ind.oil_EG2</t>
  </si>
  <si>
    <t>egy.air.ext.tra.gso_EG2</t>
  </si>
  <si>
    <t>egy.air.ext.tra.die_EG2</t>
  </si>
  <si>
    <t>egy.air.gdp.loss_EG2</t>
  </si>
  <si>
    <t>egy.air.gdp.loss.ch_EG2</t>
  </si>
  <si>
    <t>egy.mit.airpol.cost.coa.ind.1_EG2</t>
  </si>
  <si>
    <t>egy.mit.airpol.cost.coa.res.1_EG2</t>
  </si>
  <si>
    <t>egy.mit.airpol.cost.coa.pow.1_EG2</t>
  </si>
  <si>
    <t>egy.mit.airpol.cost.nga.ind.1_EG2</t>
  </si>
  <si>
    <t>egy.mit.airpol.cost.nga.res.1_EG2</t>
  </si>
  <si>
    <t>egy.mit.airpol.cost.nga.pow.1_EG2</t>
  </si>
  <si>
    <t>egy.mit.airpol.cost.gso.1_EG2</t>
  </si>
  <si>
    <t>egy.mit.airpol.cost.die.1_EG2</t>
  </si>
  <si>
    <t>egy.mit.airpol.cost.lpg.1_EG2</t>
  </si>
  <si>
    <t>egy.mit.airpol.cost.ker.1_EG2</t>
  </si>
  <si>
    <t>egy.air.sav.the.gov_EG2</t>
  </si>
  <si>
    <t>egy.air.sav.the.ppr_EG2</t>
  </si>
  <si>
    <t>egy.air.sav.the.opo_EG2</t>
  </si>
  <si>
    <t>egy.air.sav.the.das_EG2</t>
  </si>
  <si>
    <t>egy.dth.ktoe.pow.coa.1_EG2</t>
  </si>
  <si>
    <t>egy.dth.ktoe.pow.nga.1_EG2</t>
  </si>
  <si>
    <t>egy.dth.ktoe.pow.opp.1_EG2</t>
  </si>
  <si>
    <t>egy.dth.ktoe.rod.gso.1_EG2</t>
  </si>
  <si>
    <t>egy.dth.ktoe.rod.die.1_EG2</t>
  </si>
  <si>
    <t>egy.dth.ktoe.ind.coa.1_EG2</t>
  </si>
  <si>
    <t>egy.dth.ktoe.ind.oop.1_EG2</t>
  </si>
  <si>
    <t>egy.dth.ktoe.ind.nga.1_EG2</t>
  </si>
  <si>
    <t>egy.dth.ktoe.res.nga.1_EG2</t>
  </si>
  <si>
    <t>egy.air.conc.pm2.cpp.1_EG2</t>
  </si>
  <si>
    <t>egy.air.conc.pm2.gpp.1_EG2</t>
  </si>
  <si>
    <t>egy.air.conc.pm2.opp.1_EG2</t>
  </si>
  <si>
    <t>egy.air.conc.pm2.rod.1_EG2</t>
  </si>
  <si>
    <t>egy.air.conc.pm2.gro.1_EG2</t>
  </si>
  <si>
    <t>egy.air.conc.pm2.oth.1_EG2</t>
  </si>
  <si>
    <t>egy.air.conc.pm2.foo.1_EG2</t>
  </si>
  <si>
    <t>egy.air.conc.pm2.tot.1_EG2</t>
  </si>
  <si>
    <t>egy.air.conc.pm2.cpp.2_EG2</t>
  </si>
  <si>
    <t>egy.air.conc.pm2.gpp.2_EG2</t>
  </si>
  <si>
    <t>egy.air.conc.pm2.opp.2_EG2</t>
  </si>
  <si>
    <t>egy.air.conc.pm2.rod.2_EG2</t>
  </si>
  <si>
    <t>egy.air.conc.pm2.gro.2_EG2</t>
  </si>
  <si>
    <t>egy.air.conc.pm2.oth.2_EG2</t>
  </si>
  <si>
    <t>egy.air.conc.pm2.foo.2_EG2</t>
  </si>
  <si>
    <t>egy.air.conc.pm2.tot.2_EG2</t>
  </si>
  <si>
    <t>egy.mit.cc.code.coa.1_EG2</t>
  </si>
  <si>
    <t>egy.mit.cc.code.nga.1_EG2</t>
  </si>
  <si>
    <t>egy.mit.cc.code.gso.1_EG2</t>
  </si>
  <si>
    <t>egy.mit.cc.code.die.1_EG2</t>
  </si>
  <si>
    <t>egy.mit.cc.code.lpg.1_EG2</t>
  </si>
  <si>
    <t>egy.mit.cc.code.ker.1_EG2</t>
  </si>
  <si>
    <t>egy.tran.vmt.1_EG2</t>
  </si>
  <si>
    <t>egy.tran.vmt.2_EG2</t>
  </si>
  <si>
    <t>egy.tran.deaths.1_EG2</t>
  </si>
  <si>
    <t>egy.tran.deaths.2_EG2</t>
  </si>
  <si>
    <t>egy.tran.acc.avd.cum.2_EG2</t>
  </si>
  <si>
    <t>egy.tran.congestionP.1_EG2</t>
  </si>
  <si>
    <t>egy.tran.congestionP.2_EG2</t>
  </si>
  <si>
    <t>egy.tran.acc.cost.gso.1_EG2</t>
  </si>
  <si>
    <t>egy.tran.acc.cost.die.1_EG2</t>
  </si>
  <si>
    <t>egy.tran.con.cost.gso.1_EG2</t>
  </si>
  <si>
    <t>egy.tran.con.cost.die.1_EG2</t>
  </si>
  <si>
    <t>egy.tran.rdm.cost.gso.1_EG2</t>
  </si>
  <si>
    <t>egy.tran.rdm.cost.die.1_EG2</t>
  </si>
  <si>
    <t>egy.mit.wel.cli.usd_EG2</t>
  </si>
  <si>
    <t>egy.mit.wel.air.usd_EG2</t>
  </si>
  <si>
    <t>egy.mit.wel.rod.aci.usd_EG2</t>
  </si>
  <si>
    <t>egy.mit.wel.rod.con.usd_EG2</t>
  </si>
  <si>
    <t>egy.mit.wel.eco.dwl.usd_EG2</t>
  </si>
  <si>
    <t>egy.mit.wel.tot.tot_EG2</t>
  </si>
  <si>
    <t>egy.mit.wel.cli.pct_EG2</t>
  </si>
  <si>
    <t>egy.mit.wel.air.pct_EG2</t>
  </si>
  <si>
    <t>egy.mit.wel.rod.pct_EG2</t>
  </si>
  <si>
    <t>egy.mit.wel.eco.dwl.pct_EG2</t>
  </si>
  <si>
    <t>egy.mit.wel.tot.pct_EG2</t>
  </si>
  <si>
    <t>egy.distn.tef.tot.dec.rur_EG2</t>
  </si>
  <si>
    <t>egy.distn.tef.tot.dec.urb_EG2</t>
  </si>
  <si>
    <t>egy.distn.def.tot.dec.ove_EG2</t>
  </si>
  <si>
    <t>egy.distn.def.coa.dec.ove_EG2</t>
  </si>
  <si>
    <t>egy.distn.def.ely.dec.ove_EG2</t>
  </si>
  <si>
    <t>egy.distn.def.nga.dec.ove_EG2</t>
  </si>
  <si>
    <t>egy.distn.def.oil.dec.ove_EG2</t>
  </si>
  <si>
    <t>egy.distn.def.gso.dec.ove_EG2</t>
  </si>
  <si>
    <t>egy.distn.def.die.dec.ove_EG2</t>
  </si>
  <si>
    <t>egy.distn.def.ker.dec.ove_EG2</t>
  </si>
  <si>
    <t>egy.distn.def.lpg.dec.ove_EG2</t>
  </si>
  <si>
    <t>egy.distn.ief.tot.dec.ove_EG2</t>
  </si>
  <si>
    <t>egy.distn.ief.app.dec.ove_EG2</t>
  </si>
  <si>
    <t>egy.distn.ief.che.dec.ove_EG2</t>
  </si>
  <si>
    <t>egy.distn.ief.clo.dec.ove_EG2</t>
  </si>
  <si>
    <t>egy.distn.ief.com.dec.ove_EG2</t>
  </si>
  <si>
    <t>egy.distn.ief.edu.dec.ove_EG2</t>
  </si>
  <si>
    <t>egy.distn.ief.food.dec.ove_EG2</t>
  </si>
  <si>
    <t>egy.distn.ief.hea.dec.ove_EG2</t>
  </si>
  <si>
    <t>egy.distn.ief.hou.dec.ove_EG2</t>
  </si>
  <si>
    <t>egy.distn.ief.oth.dec.ove_EG2</t>
  </si>
  <si>
    <t>egy.distn.ief.pap.dec.ove_EG2</t>
  </si>
  <si>
    <t>egy.distn.ief.pha.dec.ove_EG2</t>
  </si>
  <si>
    <t>egy.distn.ief.ret.dec.ove_EG2</t>
  </si>
  <si>
    <t>egy.distn.ief.teq.dec.ove_EG2</t>
  </si>
  <si>
    <t>egy.distn.ief.tpu.dec.ove_EG2</t>
  </si>
  <si>
    <t>egy.distn.bsh.coa.dec.ove_EG2</t>
  </si>
  <si>
    <t>egy.distn.bsh.ely.dec.ove_EG2</t>
  </si>
  <si>
    <t>egy.distn.bsh.nga.dec.ove_EG2</t>
  </si>
  <si>
    <t>egy.distn.bsh.oil.dec.ove_EG2</t>
  </si>
  <si>
    <t>egy.distn.bsh.gso.dec.ove_EG2</t>
  </si>
  <si>
    <t>egy.distn.bsh.die.dec.ove_EG2</t>
  </si>
  <si>
    <t>egy.distn.bsh.ker.dec.ove_EG2</t>
  </si>
  <si>
    <t>egy.distn.bsh.lpg.dec.ove_EG2</t>
  </si>
  <si>
    <t>egy.distn.bsh.ccl.dec.ove_EG2</t>
  </si>
  <si>
    <t>egy.distn.bsh.ethanol.dec.ove_EG2</t>
  </si>
  <si>
    <t>egy.distn.bsh.fwd.dec.ove_EG2</t>
  </si>
  <si>
    <t>egy.distn.bsh.app.dec.ove_EG2</t>
  </si>
  <si>
    <t>egy.distn.bsh.che.dec.ove_EG2</t>
  </si>
  <si>
    <t>egy.distn.bsh.clo.dec.ove_EG2</t>
  </si>
  <si>
    <t>egy.distn.bsh.com.dec.ove_EG2</t>
  </si>
  <si>
    <t>egy.distn.bsh.edu.dec.ove_EG2</t>
  </si>
  <si>
    <t>egy.distn.bsh.food.dec.ove_EG2</t>
  </si>
  <si>
    <t>egy.distn.bsh.hea.dec.ove_EG2</t>
  </si>
  <si>
    <t>egy.distn.bsh.hou.dec.ove_EG2</t>
  </si>
  <si>
    <t>egy.distn.bsh.oth.dec.ove_EG2</t>
  </si>
  <si>
    <t>egy.distn.bsh.pap.dec.ove_EG2</t>
  </si>
  <si>
    <t>egy.distn.bsh.pha.dec.ove_EG2</t>
  </si>
  <si>
    <t>egy.distn.bsh.ret.dec.ove_EG2</t>
  </si>
  <si>
    <t>egy.distn.bsh.teq.dec.ove_EG2</t>
  </si>
  <si>
    <t>egy.distn.bsh.tpu.dec.ove_EG2</t>
  </si>
  <si>
    <t>egy.distn.cons_pc_na.dec.ove_EG2</t>
  </si>
  <si>
    <t>egy.distn.tot_cons_na.dec.ove_EG2</t>
  </si>
  <si>
    <t>egy.distn.pop_tot_adj.dec.ove_EG2</t>
  </si>
  <si>
    <t>egy.distn.pctrev_comp.dec.rur_EG2</t>
  </si>
  <si>
    <t>egy.distn.pctrev_comp.dec.urb_EG2</t>
  </si>
  <si>
    <t>egy.distn.pctrev_comp.dec.ove_EG2</t>
  </si>
  <si>
    <t>egy.distn.pct_gini_norec.dec.ove_EG2</t>
  </si>
  <si>
    <t>egy.distn.pct_gini_norec.dec.urb_EG2</t>
  </si>
  <si>
    <t>egy.distn.pct_gini_norec.dec.rur_EG2</t>
  </si>
  <si>
    <t>egy.distn.pct_gini_rec.dec.ove_EG2</t>
  </si>
  <si>
    <t>egy.distn.pct_gini_rec.dec.urb_EG2</t>
  </si>
  <si>
    <t>egy.distn.pct_gini_rec.dec.rur_EG2</t>
  </si>
  <si>
    <t>egy.distn.dpr.coa.res_EG2</t>
  </si>
  <si>
    <t>egy.distn.dpr.ely.res_EG2</t>
  </si>
  <si>
    <t>egy.distn.dpr.nga.res_EG2</t>
  </si>
  <si>
    <t>egy.distn.dpr.oop.res_EG2</t>
  </si>
  <si>
    <t>egy.distn.dpr.gso.res_EG2</t>
  </si>
  <si>
    <t>egy.distn.dpr.die.res_EG2</t>
  </si>
  <si>
    <t>egy.distn.dpr.ker.res_EG2</t>
  </si>
  <si>
    <t>egy.distn.dpr.lpg.res_EG2</t>
  </si>
  <si>
    <t>egy.distn.dpr.app_EG2</t>
  </si>
  <si>
    <t>egy.distn.dpr.che_EG2</t>
  </si>
  <si>
    <t>egy.distn.dpr.clo_EG2</t>
  </si>
  <si>
    <t>egy.distn.dpr.com_EG2</t>
  </si>
  <si>
    <t>egy.distn.dpr.edu_EG2</t>
  </si>
  <si>
    <t>egy.distn.dpr.food_EG2</t>
  </si>
  <si>
    <t>egy.distn.dpr.hea_EG2</t>
  </si>
  <si>
    <t>egy.distn.dpr.hou_EG2</t>
  </si>
  <si>
    <t>egy.distn.dpr.oth_EG2</t>
  </si>
  <si>
    <t>egy.distn.dpr.pap_EG2</t>
  </si>
  <si>
    <t>egy.distn.dpr.pha_EG2</t>
  </si>
  <si>
    <t>egy.distn.dpr.ret_EG2</t>
  </si>
  <si>
    <t>egy.distn.dpr.teq_EG2</t>
  </si>
  <si>
    <t>egy.distn.dpr.tpu_EG2</t>
  </si>
  <si>
    <t>egy.distn.pit.tot.dec.ove_EG2</t>
  </si>
  <si>
    <t>egy.distn.pui.tot.dec.ove_EG2</t>
  </si>
  <si>
    <t>egy.distn.cts.tot.dec.ove_EG2</t>
  </si>
  <si>
    <t>egy.distn.tgt.tot.dec.ove_EG2</t>
  </si>
  <si>
    <t>egy.distn.tef.tot.dec.ove_EG2</t>
  </si>
  <si>
    <t>dist.year_EG2</t>
  </si>
  <si>
    <t>dist.stat_EG2</t>
  </si>
  <si>
    <t>egy.ppic.avi_EG2</t>
  </si>
  <si>
    <t>egy.ppic.foo_EG2</t>
  </si>
  <si>
    <t>egy.ppic.srv_EG2</t>
  </si>
  <si>
    <t>egy.ppic.con_EG2</t>
  </si>
  <si>
    <t>egy.ppic.mac_EG2</t>
  </si>
  <si>
    <t>egy.ppic.irn_EG2</t>
  </si>
  <si>
    <t>egy.ppic.man_EG2</t>
  </si>
  <si>
    <t>egy.ppic.oth_EG2</t>
  </si>
  <si>
    <t>egy.ppic.cem_EG2</t>
  </si>
  <si>
    <t>egy.ppic.shi_EG2</t>
  </si>
  <si>
    <t>egy.ppic.res_EG2</t>
  </si>
  <si>
    <t>egy.ppic.fuel_EG2</t>
  </si>
  <si>
    <t>egy.outpriin.avi_EG2</t>
  </si>
  <si>
    <t>egy.outpriin.shi_EG2</t>
  </si>
  <si>
    <t>egy.outpriin.cem_EG2</t>
  </si>
  <si>
    <t>egy.outpriin.irn_EG2</t>
  </si>
  <si>
    <t>egy.outpriin.oth_EG2</t>
  </si>
  <si>
    <t>egy.outpriin.man_EG2</t>
  </si>
  <si>
    <t>egy.outpriin.foo_EG2</t>
  </si>
  <si>
    <t>egy.outpriin.mac_EG2</t>
  </si>
  <si>
    <t>egy.outpriin.res_EG2</t>
  </si>
  <si>
    <t>egy.outpriin.con_EG2</t>
  </si>
  <si>
    <t>egy.outpriin.srv_EG2</t>
  </si>
  <si>
    <t>egy.mit.el.inc.ecy.res_EG2</t>
  </si>
  <si>
    <t>egy.mit.el.inc.gso.res_EG2</t>
  </si>
  <si>
    <t>egy.mit.el.inc.die.res_EG2</t>
  </si>
  <si>
    <t>gdp_EG2</t>
  </si>
  <si>
    <t>emisco2_EG2</t>
  </si>
  <si>
    <t>co2_EG2</t>
  </si>
  <si>
    <t>co2intensityusdgdp_EG2</t>
  </si>
  <si>
    <t>elec_EG2</t>
  </si>
  <si>
    <t>renpropbase_EG2</t>
  </si>
  <si>
    <t>renprop_EG2</t>
  </si>
  <si>
    <t>co2intpow_EG2</t>
  </si>
  <si>
    <t>egy.mit.tsd.ecy.1_EG2</t>
  </si>
  <si>
    <t>egy.mit.eou.ecy.1_EG2</t>
  </si>
  <si>
    <t>egy.mit.nxp.ecy.1_EG2</t>
  </si>
  <si>
    <t>egy.mit.ec.ele.2026.1_EG2</t>
  </si>
  <si>
    <t>egy.mit.ec.coa.2026.1_EG2</t>
  </si>
  <si>
    <t>egy.mit.ec.nga.2026.1_EG2</t>
  </si>
  <si>
    <t>egy.mit.ec.oop.2026.1_EG2</t>
  </si>
  <si>
    <t>egy.mit.ec.gso.2026.1_EG2</t>
  </si>
  <si>
    <t>egy.mit.ec.die.2026.1_EG2</t>
  </si>
  <si>
    <t>egy.mit.ec.ker.2026.1_EG2</t>
  </si>
  <si>
    <t>egy.mit.ec.lpg.2026.1_EG2</t>
  </si>
  <si>
    <t>egy.mit.ec.jfu.2026.1_EG2</t>
  </si>
  <si>
    <t>egy.mit.ec.wnd.2026.1_EG2</t>
  </si>
  <si>
    <t>egy.mit.ec.sol.2026.1_EG2</t>
  </si>
  <si>
    <t>egy.mit.ec.hyd.2026.1_EG2</t>
  </si>
  <si>
    <t>egy.mit.ec.ore.2026.1_EG2</t>
  </si>
  <si>
    <t>egy.mit.ec.nuc.2026.1_EG2</t>
  </si>
  <si>
    <t>egy.mit.ec.bio.2026.1_EG2</t>
  </si>
  <si>
    <t>egy.mit.ec.bgs.2026.1_EG2</t>
  </si>
  <si>
    <t>egy.mit.ec.bdi.2026.1_EG2</t>
  </si>
  <si>
    <t>egy.mit.ec.obf.2026.1_EG2</t>
  </si>
  <si>
    <t>egy.mit.ec.heat.2026.1_EG2</t>
  </si>
  <si>
    <t>egy.mit.elec.twh.sel.tot.ecy.1_EG2</t>
  </si>
  <si>
    <t>egy.mit.elec.twh.sel.tot.ecy.2_EG2</t>
  </si>
  <si>
    <t>egy.mit.msc.pow.hyd.t.1_EG2</t>
  </si>
  <si>
    <t>egy.mit.mancap.pow.oop.t.1_EG2</t>
  </si>
  <si>
    <t>egy.mit.nim.pow.coa.t.1_EG2</t>
  </si>
  <si>
    <t>egy.mit.nim.pow.nga.t.1_EG2</t>
  </si>
  <si>
    <t>egy.mit.nim.pow.oop.t.1_EG2</t>
  </si>
  <si>
    <t>egy.mit.nim.pow.nuc.t.1_EG2</t>
  </si>
  <si>
    <t>egy.mit.nim.pow.wnd.t.1_EG2</t>
  </si>
  <si>
    <t>egy.mit.nim.pow.sol.t.1_EG2</t>
  </si>
  <si>
    <t>egy.mit.nim.pow.hyd.t.1_EG2</t>
  </si>
  <si>
    <t>egy.mit.nim.pow.ore.t.1_EG2</t>
  </si>
  <si>
    <t>egy.mit.nim.pow.bio.t.1_EG2</t>
  </si>
  <si>
    <t>egy.mit.nim.pow.coa.t.2_EG2</t>
  </si>
  <si>
    <t>egy.mit.nim.pow.nga.t.2_EG2</t>
  </si>
  <si>
    <t>egy.mit.nim.pow.oop.t.2_EG2</t>
  </si>
  <si>
    <t>egy.mit.nim.pow.nuc.t.2_EG2</t>
  </si>
  <si>
    <t>egy.mit.nim.pow.wnd.t.2_EG2</t>
  </si>
  <si>
    <t>egy.mit.nim.pow.sol.t.2_EG2</t>
  </si>
  <si>
    <t>egy.mit.nim.pow.hyd.t.2_EG2</t>
  </si>
  <si>
    <t>egy.mit.nim.pow.ore.t.2_EG2</t>
  </si>
  <si>
    <t>egy.mit.nim.pow.bio.t.2_EG2</t>
  </si>
  <si>
    <t>egy.mit.nid.pow.coa.t.1_EG2</t>
  </si>
  <si>
    <t>egy.mit.nid.pow.nga.t.1_EG2</t>
  </si>
  <si>
    <t>egy.mit.nid.pow.oop.t.1_EG2</t>
  </si>
  <si>
    <t>egy.mit.nid.pow.nuc.t.1_EG2</t>
  </si>
  <si>
    <t>egy.mit.nid.pow.wnd.t.1_EG2</t>
  </si>
  <si>
    <t>egy.mit.nid.pow.sol.t.1_EG2</t>
  </si>
  <si>
    <t>egy.mit.nid.pow.hyd.t.1_EG2</t>
  </si>
  <si>
    <t>egy.mit.nid.pow.ore.t.1_EG2</t>
  </si>
  <si>
    <t>egy.mit.nid.pow.bio.t.1_EG2</t>
  </si>
  <si>
    <t>egy.mit.nid.pow.coa.t.2_EG2</t>
  </si>
  <si>
    <t>egy.mit.nid.pow.nga.t.2_EG2</t>
  </si>
  <si>
    <t>egy.mit.nid.pow.oop.t.2_EG2</t>
  </si>
  <si>
    <t>egy.mit.nid.pow.nuc.t.2_EG2</t>
  </si>
  <si>
    <t>egy.mit.nid.pow.wnd.t.2_EG2</t>
  </si>
  <si>
    <t>egy.mit.nid.pow.sol.t.2_EG2</t>
  </si>
  <si>
    <t>egy.mit.nid.pow.hyd.t.2_EG2</t>
  </si>
  <si>
    <t>egy.mit.nid.pow.ore.t.2_EG2</t>
  </si>
  <si>
    <t>egy.mit.nid.pow.bio.t.2_EG2</t>
  </si>
  <si>
    <t>inflation_EG2</t>
  </si>
  <si>
    <t>vat_EG2</t>
  </si>
  <si>
    <t>realoilbbl_EG2</t>
  </si>
  <si>
    <t>realcoalton_EG2</t>
  </si>
  <si>
    <t>realngammbtu_EG2</t>
  </si>
  <si>
    <t>realoilglobal_EG2</t>
  </si>
  <si>
    <t>reacoalglobal_EG2</t>
  </si>
  <si>
    <t>realngaglobal_EG2</t>
  </si>
  <si>
    <t>forgasolinemarkup_EG2</t>
  </si>
  <si>
    <t>fordieselmarkup_EG2</t>
  </si>
  <si>
    <t>forkerosenemarkup_EG2</t>
  </si>
  <si>
    <t>forglpgmarkup_EG2</t>
  </si>
  <si>
    <t>egy.mit.mu1.coa.res.1_EG2</t>
  </si>
  <si>
    <t>egy.mit.mu1.coa.ind.1_EG2</t>
  </si>
  <si>
    <t>egy.mit.mu1.nga.pow.1_EG2</t>
  </si>
  <si>
    <t>egy.mit.mu1.nga.res.1_EG2</t>
  </si>
  <si>
    <t>egy.mit.mu1.nga.ind.1_EG2</t>
  </si>
  <si>
    <t>egy.mit.mu1.gso.all.1_EG2</t>
  </si>
  <si>
    <t>egy.mit.mu1.die.all.1_EG2</t>
  </si>
  <si>
    <t>egy.mit.mu1.lpg.all.1_EG2</t>
  </si>
  <si>
    <t>egy.mit.mu1.ker.all.1_EG2</t>
  </si>
  <si>
    <t>egy.mit.mu1.oop.all.1_EG2</t>
  </si>
  <si>
    <t>egy.mit.mu1.bio.all.1_EG2</t>
  </si>
  <si>
    <t>egy.mit.mu2.coa.pow.1_EG2</t>
  </si>
  <si>
    <t>egy.mit.mu2.coa.res.1_EG2</t>
  </si>
  <si>
    <t>egy.mit.mu2.coa.ind.1_EG2</t>
  </si>
  <si>
    <t>egy.mit.mu2.nga.pow.1_EG2</t>
  </si>
  <si>
    <t>egy.mit.mu2.nga.res.1_EG2</t>
  </si>
  <si>
    <t>egy.mit.mu2.nga.ind.1_EG2</t>
  </si>
  <si>
    <t>egy.mit.mu2.gso.all.1_EG2</t>
  </si>
  <si>
    <t>egy.mit.mu2.die.all.1_EG2</t>
  </si>
  <si>
    <t>egy.mit.mu2.lpg.all.1_EG2</t>
  </si>
  <si>
    <t>egy.mit.mu2.ker.all.1_EG2</t>
  </si>
  <si>
    <t>egy.mit.mu2.oop.all.1_EG2</t>
  </si>
  <si>
    <t>egy.mit.mu2.bio.all.1_EG2</t>
  </si>
  <si>
    <t>egy.mit.sp.coa.pow.1_EG2</t>
  </si>
  <si>
    <t>egy.mit.sp.coa.res.1_EG2</t>
  </si>
  <si>
    <t>egy.mit.sp.coa.ind.1_EG2</t>
  </si>
  <si>
    <t>egy.mit.sp.nga.pow.1_EG2</t>
  </si>
  <si>
    <t>egy.mit.sp.nga.res.1_EG2</t>
  </si>
  <si>
    <t>egy.mit.sp.nga.ind.1_EG2</t>
  </si>
  <si>
    <t>egy.mit.sp.gso.all.1_EG2</t>
  </si>
  <si>
    <t>egy.mit.sp.die.all.1_EG2</t>
  </si>
  <si>
    <t>egy.mit.sp.lpg.all.1_EG2</t>
  </si>
  <si>
    <t>egy.mit.sp.ker.all.1_EG2</t>
  </si>
  <si>
    <t>egy.mit.sp.oop.all.1_EG2</t>
  </si>
  <si>
    <t>egy.mit.rp.all.die.a.1_EG2</t>
  </si>
  <si>
    <t>egy.mit.rp.all.lpg.a.1_EG2</t>
  </si>
  <si>
    <t>egy.mit.rp.all.ker.a.1_EG2</t>
  </si>
  <si>
    <t>egy.mit.rp.all.oop.a.1_EG2</t>
  </si>
  <si>
    <t>egy.air.ef.ext.ngaoil.ch4.1_EG2</t>
  </si>
  <si>
    <t>egy.air.ef.ext.ngaoil.ch4.2_EG2</t>
  </si>
  <si>
    <t>egy.air.ef.ext.coa.ch4.1_EG2</t>
  </si>
  <si>
    <t>egy.air.ef.ext.coa.ch4.2_EG2</t>
  </si>
  <si>
    <t>egy.mit.mftrajfossil.1_EG2</t>
  </si>
  <si>
    <t>egy.mit.mftrajnonfossil.1_EG2</t>
  </si>
  <si>
    <t>egy.mit.mftrajfossil.2_EG2</t>
  </si>
  <si>
    <t>egy.mit.mftrajnonfossil.2_EG2</t>
  </si>
  <si>
    <t>egy.mit.wel.eco.ext.dwl.pct_EG2</t>
  </si>
  <si>
    <t>egy.mit.wel.eco.agc.dwl.pct_EG2</t>
  </si>
  <si>
    <t>egy.mit.wel.eco.was.dwl.pct_EG2</t>
  </si>
  <si>
    <t>egy.mit.ener.mfpct.oil.e.2_EG2</t>
  </si>
  <si>
    <t>egy.mit.ener.mfpct.coa.e.2_EG2</t>
  </si>
  <si>
    <t>egy.mit.ener.mfpct.nga.e.2_EG2</t>
  </si>
  <si>
    <t>egy.mit.trs.gso.all.a.1_EG2</t>
  </si>
  <si>
    <t>egy.mit.vatrate.all.gso.a.1_EG2</t>
  </si>
  <si>
    <t>egy.mit.rescon.gso.all.1_EG2</t>
  </si>
  <si>
    <t>egy.mit.effprice.gso.all.1_EG2</t>
  </si>
  <si>
    <t>egy.mit.con.gso.all.1_EG2</t>
  </si>
  <si>
    <t>egy.mit.expsub.con.gso.all.1_EG2</t>
  </si>
  <si>
    <t>egy.mit.impsub.con.gso.all.1_EG2</t>
  </si>
  <si>
    <t>egy.mit.trs.die.all.a.1_EG2</t>
  </si>
  <si>
    <t>egy.mit.vatrate.all.die.a.1_EG2</t>
  </si>
  <si>
    <t>egy.mit.rescon.die.all.1_EG2</t>
  </si>
  <si>
    <t>egy.mit.effprice.die.all.1_EG2</t>
  </si>
  <si>
    <t>egy.mit.con.die.all.1_EG2</t>
  </si>
  <si>
    <t>egy.mit.expsub.con.die.all.1_EG2</t>
  </si>
  <si>
    <t>egy.mit.impsub.con.die.all.1_EG2</t>
  </si>
  <si>
    <t>egy.mit.vatrate.all.lpg.a.1_EG2</t>
  </si>
  <si>
    <t>egy.mit.rescon.lpg.all.1_EG2</t>
  </si>
  <si>
    <t>egy.mit.effprice.lpg.all.1_EG2</t>
  </si>
  <si>
    <t>egy.mit.con.lpg.all.1_EG2</t>
  </si>
  <si>
    <t>egy.mit.expsub.con.lpg.all.1_EG2</t>
  </si>
  <si>
    <t>egy.mit.impsub.con.lpg.all.1_EG2</t>
  </si>
  <si>
    <t>egy.mit.vatrate.all.ker.a.1_EG2</t>
  </si>
  <si>
    <t>egy.mit.rescon.ker.all.1_EG2</t>
  </si>
  <si>
    <t>egy.mit.effprice.ker.all.1_EG2</t>
  </si>
  <si>
    <t>egy.mit.con.ker.all.1_EG2</t>
  </si>
  <si>
    <t>egy.mit.expsub.con.ker.all.1_EG2</t>
  </si>
  <si>
    <t>egy.mit.impsub.con.ker.all.1_EG2</t>
  </si>
  <si>
    <t>egy.mit.vatrate.all.oop.a.1_EG2</t>
  </si>
  <si>
    <t>egy.mit.rescon.oop.all.1_EG2</t>
  </si>
  <si>
    <t>egy.mit.effprice.oop.all.1_EG2</t>
  </si>
  <si>
    <t>egy.mit.rp.oop.all.1_EG2</t>
  </si>
  <si>
    <t>egy.mit.con.oop.all.1_EG2</t>
  </si>
  <si>
    <t>egy.mit.expsub.con.oop.all.1_EG2</t>
  </si>
  <si>
    <t>egy.mit.vatext.nga.ind.1_EG2</t>
  </si>
  <si>
    <t>egy.mit.effprice.nga.ind.1_EG2</t>
  </si>
  <si>
    <t>egy.mit.con.nga.ind.1_EG2</t>
  </si>
  <si>
    <t>egy.mit.expsub.con.nga.ind.1_EG2</t>
  </si>
  <si>
    <t>egy.mit.impsub.con.nga.ind.1_EG2</t>
  </si>
  <si>
    <t>egy.mit.vatrate.res.nga.a.1_EG2</t>
  </si>
  <si>
    <t>egy.mit.effprice.nga.res.1_EG2</t>
  </si>
  <si>
    <t>egy.mit.con.nga.res.1_EG2</t>
  </si>
  <si>
    <t>egy.mit.expsub.con.nga.res.1_EG2</t>
  </si>
  <si>
    <t>egy.mit.impsub.con.nga.res.1_EG2</t>
  </si>
  <si>
    <t>egy.mit.effprice.nga.pow.1_EG2</t>
  </si>
  <si>
    <t>egy.mit.con.nga.pow.1_EG2</t>
  </si>
  <si>
    <t>egy.mit.expsub.con.nga.pow.1_EG2</t>
  </si>
  <si>
    <t>egy.mit.impsub.con.nga.pow.1_EG2</t>
  </si>
  <si>
    <t>egy.mit.supcost.nga.other.1_EG2</t>
  </si>
  <si>
    <t>egy.mit.extcost.nga.other.1_EG2</t>
  </si>
  <si>
    <t>egy.mit.vatext.nga.other.1_EG2</t>
  </si>
  <si>
    <t>egy.mit.effprice.nga.other.1_EG2</t>
  </si>
  <si>
    <t>egy.mit.rp.nga.other.1_EG2</t>
  </si>
  <si>
    <t>egy.mit.con.nga.other.1_EG2</t>
  </si>
  <si>
    <t>egy.mit.expsub.con.nga.other.1_EG2</t>
  </si>
  <si>
    <t>egy.mit.impsub.con.nga.other.1_EG2</t>
  </si>
  <si>
    <t>egy.mit.effprice.coa.ind.1_EG2</t>
  </si>
  <si>
    <t>egy.mit.con.coa.ind.1_EG2</t>
  </si>
  <si>
    <t>egy.mit.expsub.con.coa.ind.1_EG2</t>
  </si>
  <si>
    <t>egy.mit.impsub.con.coa.ind.1_EG2</t>
  </si>
  <si>
    <t>egy.mit.vatrate.res.coa.a.1_EG2</t>
  </si>
  <si>
    <t>egy.mit.effprice.coa.res.1_EG2</t>
  </si>
  <si>
    <t>egy.mit.con.coa.res.1_EG2</t>
  </si>
  <si>
    <t>egy.mit.expsub.con.coa.res.1_EG2</t>
  </si>
  <si>
    <t>egy.mit.impsub.con.coa.res.1_EG2</t>
  </si>
  <si>
    <t>egy.mit.effprice.coa.pow.1_EG2</t>
  </si>
  <si>
    <t>egy.mit.con.coa.pow.1_EG2</t>
  </si>
  <si>
    <t>egy.mit.expsub.con.coa.pow.1_EG2</t>
  </si>
  <si>
    <t>egy.mit.impsub.con.coa.pow.1_EG2</t>
  </si>
  <si>
    <t>egy.mit.supcost.coa.other.1_EG2</t>
  </si>
  <si>
    <t>egy.mit.extcost.coa.other.1_EG2</t>
  </si>
  <si>
    <t>egy.mit.vatext.coa.other.1_EG2</t>
  </si>
  <si>
    <t>egy.mit.effprice.coa.other.1_EG2</t>
  </si>
  <si>
    <t>egy.mit.rp.coa.other.1_EG2</t>
  </si>
  <si>
    <t>egy.mit.con.coa.other.1_EG2</t>
  </si>
  <si>
    <t>egy.mit.expsub.con.coa.other.1_EG2</t>
  </si>
  <si>
    <t>egy.mit.impsub.con.coa.other.1_EG2</t>
  </si>
  <si>
    <t>egy.mit.effprice.ecy.ind.1_EG2</t>
  </si>
  <si>
    <t>egy.mit.con.ecy.ind.1_EG2</t>
  </si>
  <si>
    <t>egy.mit.expsub.con.ecy.ind.1_EG2</t>
  </si>
  <si>
    <t>egy.mit.impsub.con.ecy.ind.1_EG2</t>
  </si>
  <si>
    <t>egy.mit.vatrate.res.ecy.t.1_EG2</t>
  </si>
  <si>
    <t>egy.mit.effprice.ecy.res.1_EG2</t>
  </si>
  <si>
    <t>egy.mit.con.ecy.res.1_EG2</t>
  </si>
  <si>
    <t>egy.mit.expsub.con.ecy.res.1_EG2</t>
  </si>
  <si>
    <t>egy.mit.impsub.con.ecy.res.1_EG2</t>
  </si>
  <si>
    <t>egy.mit.supcost.ecy.other.1_EG2</t>
  </si>
  <si>
    <t>egy.mit.extcost.ecy.other.1_EG2</t>
  </si>
  <si>
    <t>egy.mit.vatext.ecy.other.1_EG2</t>
  </si>
  <si>
    <t>egy.mit.effprice.ecy.other.1_EG2</t>
  </si>
  <si>
    <t>egy.mit.rp.ecy.other.1_EG2</t>
  </si>
  <si>
    <t>egy.mit.con.ecy.other.1_EG2</t>
  </si>
  <si>
    <t>egy.mit.expsub.con.ecy.other.1_EG2</t>
  </si>
  <si>
    <t>egy.mit.impsub.con.ecy.other.1_EG2</t>
  </si>
  <si>
    <t>egy.mit.expsub.con.all.all.1_EG2</t>
  </si>
  <si>
    <t>egy.mit.impsub.con.all.all.1_EG2</t>
  </si>
  <si>
    <t>egy.mit.expsubgdp.con.all.all.1_EG2</t>
  </si>
  <si>
    <t>egy.mit.impsubgdp.con.all.all.1_EG2</t>
  </si>
  <si>
    <t>egy.mit.co2cov.2_EG3</t>
  </si>
  <si>
    <t>egy.mit.cptraj.2_EG3</t>
  </si>
  <si>
    <t>egy.mit.eff.cptraj.2_EG3</t>
  </si>
  <si>
    <t>egy.mit.etstraj.2_EG3</t>
  </si>
  <si>
    <t>egy.mit.co2cov.pow.cont.2_EG3</t>
  </si>
  <si>
    <t>egy.mit.co2cov.tra.cont.2_EG3</t>
  </si>
  <si>
    <t>egy.mit.co2cov.res.cont.2_EG3</t>
  </si>
  <si>
    <t>egy.mit.co2cov.ind.cont.2_EG3</t>
  </si>
  <si>
    <t>egy.mit.co2cov.oth.cont.2_EG3</t>
  </si>
  <si>
    <t>egy.mit.gdp.pre.pct.2_EG3</t>
  </si>
  <si>
    <t>egy.mit.gdp.exc.pct.2_EG3</t>
  </si>
  <si>
    <t>egy.mit.gdp.pit.pct.2_EG3</t>
  </si>
  <si>
    <t>egy.mit.gdp.inv.pct.2_EG3</t>
  </si>
  <si>
    <t>egy.mit.gdp.cur.pct.2_EG3</t>
  </si>
  <si>
    <t>egy.mit.gdp.tra.pct.2_EG3</t>
  </si>
  <si>
    <t>egy.mit.gdp.tot.pct.2_EG3</t>
  </si>
  <si>
    <t>egy.mit.rev.new.usd.1_EG3</t>
  </si>
  <si>
    <t>egy.mit.rev.new.usd.2_EG3</t>
  </si>
  <si>
    <t>egy.mit.rev.new.pct.1_EG3</t>
  </si>
  <si>
    <t>egy.mit.rev.new.pct.2_EG3</t>
  </si>
  <si>
    <t>egy.mit.ers_EG3</t>
  </si>
  <si>
    <t>egy.mit.rcp_EG3</t>
  </si>
  <si>
    <t>egy.mit.rcp.pow_EG3</t>
  </si>
  <si>
    <t>egy.mit.rcp.trs_EG3</t>
  </si>
  <si>
    <t>egy.mit.rcp.bld_EG3</t>
  </si>
  <si>
    <t>egy.mit.rcp.ind_EG3</t>
  </si>
  <si>
    <t>egy.mit.ln.gdppc_EG3</t>
  </si>
  <si>
    <t>egy.mit.gdp.pre.lvl.1_EG3</t>
  </si>
  <si>
    <t>egy.mit.gdp.pst.lvl.2_EG3</t>
  </si>
  <si>
    <t>egy.mit.pop.mn_EG3</t>
  </si>
  <si>
    <t>egy.mit.ghg.tot.exc.1_EG3</t>
  </si>
  <si>
    <t>egy.mit.ghg.tot.inc.1_EG3</t>
  </si>
  <si>
    <t>egy.mit.ghg.enr.tot.1_EG3</t>
  </si>
  <si>
    <t>egy.mit.ghg.ipr.tot.1_EG3</t>
  </si>
  <si>
    <t>egy.mit.ghg.agr.tot.1_EG3</t>
  </si>
  <si>
    <t>egy.mit.ghg.wst.tot.1_EG3</t>
  </si>
  <si>
    <t>egy.mit.ghg.lucf.tot.1_EG3</t>
  </si>
  <si>
    <t>egy.mit.co2.tot.1_EG3</t>
  </si>
  <si>
    <t>egy.mit.co2.enr.tot.1_EG3</t>
  </si>
  <si>
    <t>egy.mit.co2.coa.1_EG3</t>
  </si>
  <si>
    <t>egy.mit.co2.nga.1_EG3</t>
  </si>
  <si>
    <t>egy.mit.co2.oil.1_EG3</t>
  </si>
  <si>
    <t>egy.mit.co2.gso.1_EG3</t>
  </si>
  <si>
    <t>egy.mit.co2.die.1_EG3</t>
  </si>
  <si>
    <t>egy.mit.co2.lpg.1_EG3</t>
  </si>
  <si>
    <t>egy.mit.co2.ker.1_EG3</t>
  </si>
  <si>
    <t>egy.mit.co2.pow.1_EG3</t>
  </si>
  <si>
    <t>egy.mit.co2.tra.1_EG3</t>
  </si>
  <si>
    <t>egy.mit.co2.res.1_EG3</t>
  </si>
  <si>
    <t>egy.mit.co2.ind.1_EG3</t>
  </si>
  <si>
    <t>egy.mit.co2.oth.1_EG3</t>
  </si>
  <si>
    <t>egy.mit.ghg.tot.exc.2_EG3</t>
  </si>
  <si>
    <t>egy.mit.ghg.tot.inc.2_EG3</t>
  </si>
  <si>
    <t>egy.mit.ghg.enr.tot.2_EG3</t>
  </si>
  <si>
    <t>egy.mit.ghg.ipr.tot.2_EG3</t>
  </si>
  <si>
    <t>egy.mit.ghg.agr.tot.2_EG3</t>
  </si>
  <si>
    <t>egy.mit.ghg.lucf.tot.2_EG3</t>
  </si>
  <si>
    <t>egy.mit.ghg.wst.tot.2_EG3</t>
  </si>
  <si>
    <t>egy.mit.co2.tot.2_EG3</t>
  </si>
  <si>
    <t>egy.mit.co2.enr.tot.2_EG3</t>
  </si>
  <si>
    <t>egy.mit.co2.coa.2_EG3</t>
  </si>
  <si>
    <t>egy.mit.co2.nga.2_EG3</t>
  </si>
  <si>
    <t>egy.mit.co2.oil.2_EG3</t>
  </si>
  <si>
    <t>egy.mit.co2.gso.2_EG3</t>
  </si>
  <si>
    <t>egy.mit.co2.die.2_EG3</t>
  </si>
  <si>
    <t>egy.mit.co2.lpg.2_EG3</t>
  </si>
  <si>
    <t>egy.mit.co2.ker.2_EG3</t>
  </si>
  <si>
    <t>egy.mit.co2.pow.2_EG3</t>
  </si>
  <si>
    <t>egy.mit.co2.tra.2_EG3</t>
  </si>
  <si>
    <t>egy.mit.co2.res.2_EG3</t>
  </si>
  <si>
    <t>egy.mit.co2.ind.2_EG3</t>
  </si>
  <si>
    <t>egy.mit.co2.oth.2_EG3</t>
  </si>
  <si>
    <t>egy.mit.co2.tot.red.pct_EG3</t>
  </si>
  <si>
    <t>egy.mit.ghg.tot.exc.fuel.1_EG3</t>
  </si>
  <si>
    <t>egy.mit.ch4.tot.1_EG3</t>
  </si>
  <si>
    <t>egy.mit.nox.tot.1_EG3</t>
  </si>
  <si>
    <t>egy.mit.fga.tot.1_EG3</t>
  </si>
  <si>
    <t>egy.mit.ghg.tot.exc.fuel.2_EG3</t>
  </si>
  <si>
    <t>egy.mit.ch4.tot.2_EG3</t>
  </si>
  <si>
    <t>egy.mit.nox.tot.2_EG3</t>
  </si>
  <si>
    <t>egy.mit.fga.tot.2_EG3</t>
  </si>
  <si>
    <t>egy.mit.ghg.tot.inc.ch4.1_EG3</t>
  </si>
  <si>
    <t>egy.mit.ghg.tot.exc.ch4.1_EG3</t>
  </si>
  <si>
    <t>egy.mit.ghg.enr.ch4.1_EG3</t>
  </si>
  <si>
    <t>egy.mit.ghg.ipr.ch4.1_EG3</t>
  </si>
  <si>
    <t>egy.mit.ghg.agr.ch4.1_EG3</t>
  </si>
  <si>
    <t>egy.mit.ghg.lucf.ch4.1_EG3</t>
  </si>
  <si>
    <t>egy.mit.ghg.wst.ch4.1_EG3</t>
  </si>
  <si>
    <t>egy.mit.ghg.oth.ch4.1_EG3</t>
  </si>
  <si>
    <t>egy.mit.ghg.fug.ch4.1_EG3</t>
  </si>
  <si>
    <t>egy.mit.ghg.tot.inc.ch4.2_EG3</t>
  </si>
  <si>
    <t>egy.mit.ghg.tot.exc.ch4.2_EG3</t>
  </si>
  <si>
    <t>egy.mit.ghg.enr.ch4.2_EG3</t>
  </si>
  <si>
    <t>egy.mit.ghg.ipr.ch4.2_EG3</t>
  </si>
  <si>
    <t>egy.mit.ghg.agr.ch4.2_EG3</t>
  </si>
  <si>
    <t>egy.mit.ghg.lucf.ch4.2_EG3</t>
  </si>
  <si>
    <t>egy.mit.ghg.wst.ch4.2_EG3</t>
  </si>
  <si>
    <t>egy.mit.ghg.oth.ch4.2_EG3</t>
  </si>
  <si>
    <t>egy.mit.ghg.fug.ch4.2_EG3</t>
  </si>
  <si>
    <t>egy.mit.ghg.index.1_EG3</t>
  </si>
  <si>
    <t>egy.mit.ghg.index.2_EG3</t>
  </si>
  <si>
    <t>egy.mit.ghg.tot.inc.red.pct_EG3</t>
  </si>
  <si>
    <t>egy.mit.ndc.option_EG3</t>
  </si>
  <si>
    <t>egy.mit.ndc.targetyear_EG3</t>
  </si>
  <si>
    <t>egy.mit.ndc.desc.lng_EG3</t>
  </si>
  <si>
    <t>egy.mit.ndc.desc.sht_EG3</t>
  </si>
  <si>
    <t>egy.mit.undc.index_EG3</t>
  </si>
  <si>
    <t>egy.mit.cndc.index_EG3</t>
  </si>
  <si>
    <t>egy.mit.undc.trg.ton_EG3</t>
  </si>
  <si>
    <t>egy.mit.cndc.trg.ton_EG3</t>
  </si>
  <si>
    <t>egy.mit.undc.2030.pct_EG3</t>
  </si>
  <si>
    <t>egy.mit.cndc.2030.pct_EG3</t>
  </si>
  <si>
    <t>egy.mit.andc.2030.pct_EG3</t>
  </si>
  <si>
    <t>egy.mit.emin.cem_EG3</t>
  </si>
  <si>
    <t>egy.mit.emin.irn_EG3</t>
  </si>
  <si>
    <t>egy.mit.emin.mch_EG3</t>
  </si>
  <si>
    <t>egy.mit.emin.man_EG3</t>
  </si>
  <si>
    <t>egy.mit.emin.oth_EG3</t>
  </si>
  <si>
    <t>egy.mit.emin.foo_EG3</t>
  </si>
  <si>
    <t>egy.mit.emin.srv_EG3</t>
  </si>
  <si>
    <t>egy.mit.emin.mac_EG3</t>
  </si>
  <si>
    <t>egy.mit.emin.cst_EG3</t>
  </si>
  <si>
    <t>egy.mit.emin.ftr_EG3</t>
  </si>
  <si>
    <t>egy.mit.emin.con_EG3</t>
  </si>
  <si>
    <t>egy.mit.rp.all.ecy.wtd.1_EG3</t>
  </si>
  <si>
    <t>egy.mit.rp.all.coa.wtd.1_EG3</t>
  </si>
  <si>
    <t>egy.mit.rp.all.nga.wtd.1_EG3</t>
  </si>
  <si>
    <t>egy.mit.rp.all.oil.wtd.1_EG3</t>
  </si>
  <si>
    <t>egy.mit.rp.all.gso.wtd.1_EG3</t>
  </si>
  <si>
    <t>egy.mit.rp.all.die.wtd.1_EG3</t>
  </si>
  <si>
    <t>egy.mit.rp.all.lpg.wtd.1_EG3</t>
  </si>
  <si>
    <t>egy.mit.rp.all.ker.wtd.1_EG3</t>
  </si>
  <si>
    <t>egy.mit.rp.all.ecy.wtd.2_EG3</t>
  </si>
  <si>
    <t>egy.mit.rp.coa.wtd.2_EG3</t>
  </si>
  <si>
    <t>egy.mit.rp.nga.wtd.2_EG3</t>
  </si>
  <si>
    <t>egy.mit.rp.oil.wtd.2_EG3</t>
  </si>
  <si>
    <t>egy.mit.rp.gso.wtd.2_EG3</t>
  </si>
  <si>
    <t>egy.mit.rp.die.wtd.2_EG3</t>
  </si>
  <si>
    <t>egy.mit.rp.lpg.wtd.2_EG3</t>
  </si>
  <si>
    <t>egy.mit.rp.ker.wtd.2_EG3</t>
  </si>
  <si>
    <t>egy.mit.rp.all.ecy.pct.2_EG3</t>
  </si>
  <si>
    <t>egy.mit.rp.all.coa.pct.2_EG3</t>
  </si>
  <si>
    <t>egy.mit.rp.all.nga.pct.2_EG3</t>
  </si>
  <si>
    <t>egy.mit.rp.all.oil.pct.2_EG3</t>
  </si>
  <si>
    <t>egy.mit.rp.all.gso.pct.2_EG3</t>
  </si>
  <si>
    <t>egy.mit.rp.all.die.pct.2_EG3</t>
  </si>
  <si>
    <t>egy.mit.rp.all.lpg.pct.2_EG3</t>
  </si>
  <si>
    <t>egy.mit.rp.all.ker.pct.2_EG3</t>
  </si>
  <si>
    <t>egy.mit.co2.ela.eco.2_EG3</t>
  </si>
  <si>
    <t>egy.mit.ndc.ecr.2_EG3</t>
  </si>
  <si>
    <t>egy.mit.ecr.1_EG3</t>
  </si>
  <si>
    <t>egy.mit.ecr.2_EG3</t>
  </si>
  <si>
    <t>egy.mit.rp.ind.ecy.t.1_EG3</t>
  </si>
  <si>
    <t>egy.mit.rp.res.ecy.t.1_EG3</t>
  </si>
  <si>
    <t>egy.mit.rp.ind.coa.a.1_EG3</t>
  </si>
  <si>
    <t>egy.mit.rp.ind.nga.a.1_EG3</t>
  </si>
  <si>
    <t>egy.mit.rp.res.coa.a.1_EG3</t>
  </si>
  <si>
    <t>egy.mit.rp.res.nga.a.1_EG3</t>
  </si>
  <si>
    <t>egy.mit.rp.pow.coa.a.1_EG3</t>
  </si>
  <si>
    <t>egy.mit.rp.pow.nga.a.1_EG3</t>
  </si>
  <si>
    <t>egy.mit.rp.ind.ecy.t.2_EG3</t>
  </si>
  <si>
    <t>egy.mit.rp.res.ecy.t.2_EG3</t>
  </si>
  <si>
    <t>egy.mit.rp.ind.coa.a.2_EG3</t>
  </si>
  <si>
    <t>egy.mit.rp.ind.nga.a.2_EG3</t>
  </si>
  <si>
    <t>egy.mit.rp.res.coa.a.2_EG3</t>
  </si>
  <si>
    <t>egy.mit.rp.res.nga.a.2_EG3</t>
  </si>
  <si>
    <t>egy.mit.rp.pow.coa.a.2_EG3</t>
  </si>
  <si>
    <t>egy.mit.rp.pow.nga.a.2_EG3</t>
  </si>
  <si>
    <t>egy.mit.sup.cost.ecy.ind.1_EG3</t>
  </si>
  <si>
    <t>egy.mit.sup.cost.ecy.res.2_EG3</t>
  </si>
  <si>
    <t>egy.mit.sp.ind.coa.a.1_EG3</t>
  </si>
  <si>
    <t>egy.mit.sp.ind.nga.a.1_EG3</t>
  </si>
  <si>
    <t>egy.mit.sp.res.coa.a.1_EG3</t>
  </si>
  <si>
    <t>egy.mit.sp.res.nga.a.1_EG3</t>
  </si>
  <si>
    <t>egy.mit.sp.pow.coa.a.1_EG3</t>
  </si>
  <si>
    <t>egy.mit.sp.pow.nga.a.1_EG3</t>
  </si>
  <si>
    <t>egy.mit.sp.all.oop.a.1_EG3</t>
  </si>
  <si>
    <t>egy.mit.sp.all.gso.a.1_EG3</t>
  </si>
  <si>
    <t>egy.mit.sp.all.die.a.1_EG3</t>
  </si>
  <si>
    <t>egy.mit.sp.all.lpg.a.1_EG3</t>
  </si>
  <si>
    <t>egy.mit.sp.all.ker.a.1_EG3</t>
  </si>
  <si>
    <t>egy.mit.txo.ind.ecy.t.1_EG3</t>
  </si>
  <si>
    <t>egy.mit.txo.res.ecy.t.1_EG3</t>
  </si>
  <si>
    <t>egy.mit.txo.ind.coa.a.1_EG3</t>
  </si>
  <si>
    <t>egy.mit.txo.ind.nga.a.1_EG3</t>
  </si>
  <si>
    <t>egy.mit.txo.res.coa.a.1_EG3</t>
  </si>
  <si>
    <t>egy.mit.txo.res.nga.a.1_EG3</t>
  </si>
  <si>
    <t>egy.mit.txo.pow.coa.a.1_EG3</t>
  </si>
  <si>
    <t>egy.mit.txo.pow.nga.a.1_EG3</t>
  </si>
  <si>
    <t>egy.mit.txo.all.oop.a.1_EG3</t>
  </si>
  <si>
    <t>egy.mit.txo.all.gso.a.1_EG3</t>
  </si>
  <si>
    <t>egy.mit.txo.all.die.a.1_EG3</t>
  </si>
  <si>
    <t>egy.mit.txo.all.lpg.a.1_EG3</t>
  </si>
  <si>
    <t>egy.mit.txo.all.ker.a.1_EG3</t>
  </si>
  <si>
    <t>egy.mit.vat.ind.ecy.t.1_EG3</t>
  </si>
  <si>
    <t>egy.mit.vat.res.ecy.t.1_EG3</t>
  </si>
  <si>
    <t>egy.mit.vat.ind.coa.a.1_EG3</t>
  </si>
  <si>
    <t>egy.mit.vat.ind.nga.a.1_EG3</t>
  </si>
  <si>
    <t>egy.mit.vat.res.coa.a.1_EG3</t>
  </si>
  <si>
    <t>egy.mit.vat.res.nga.a.1_EG3</t>
  </si>
  <si>
    <t>egy.mit.vat.pow.coa.a.1_EG3</t>
  </si>
  <si>
    <t>egy.mit.vat.pow.nga.a.1_EG3</t>
  </si>
  <si>
    <t>egy.mit.vat.all.oop.a.1_EG3</t>
  </si>
  <si>
    <t>egy.mit.vat.all.gso.a.1_EG3</t>
  </si>
  <si>
    <t>egy.mit.vat.all.die.a.1_EG3</t>
  </si>
  <si>
    <t>egy.mit.vat.all.lpg.a.1_EG3</t>
  </si>
  <si>
    <t>egy.mit.vat.all.ker.a.1_EG3</t>
  </si>
  <si>
    <t>egy.mit.ctx.ind.ecy.t.1_EG3</t>
  </si>
  <si>
    <t>egy.mit.ctx.res.ecy.t.1_EG3</t>
  </si>
  <si>
    <t>egy.mit.ctx.ind.coa.a.1_EG3</t>
  </si>
  <si>
    <t>egy.mit.ctx.ind.nga.a.1_EG3</t>
  </si>
  <si>
    <t>egy.mit.ctx.res.coa.a.1_EG3</t>
  </si>
  <si>
    <t>egy.mit.ctx.res.nga.a.1_EG3</t>
  </si>
  <si>
    <t>egy.mit.ctx.pow.coa.a.1_EG3</t>
  </si>
  <si>
    <t>egy.mit.ctx.pow.nga.a.1_EG3</t>
  </si>
  <si>
    <t>egy.mit.ctx.all.oop.a.1_EG3</t>
  </si>
  <si>
    <t>egy.mit.ctx.all.gso.a.1_EG3</t>
  </si>
  <si>
    <t>egy.mit.ctx.all.die.a.1_EG3</t>
  </si>
  <si>
    <t>egy.mit.ctx.all.lpg.a.1_EG3</t>
  </si>
  <si>
    <t>egy.mit.ctx.all.ker.a.1_EG3</t>
  </si>
  <si>
    <t>egy.mit.ets.ind.ecy.t.1_EG3</t>
  </si>
  <si>
    <t>egy.mit.ets.res.ecy.t.1_EG3</t>
  </si>
  <si>
    <t>egy.mit.ets.ind.coa.a.1_EG3</t>
  </si>
  <si>
    <t>egy.mit.ets.ind.nga.a.1_EG3</t>
  </si>
  <si>
    <t>egy.mit.ets.res.coa.a.1_EG3</t>
  </si>
  <si>
    <t>egy.mit.ets.res.nga.a.1_EG3</t>
  </si>
  <si>
    <t>egy.mit.ets.pow.coa.a.1_EG3</t>
  </si>
  <si>
    <t>egy.mit.ets.pow.nga.a.1_EG3</t>
  </si>
  <si>
    <t>egy.mit.ets.all.oop.a.1_EG3</t>
  </si>
  <si>
    <t>egy.mit.ets.all.gso.a.1_EG3</t>
  </si>
  <si>
    <t>egy.mit.ets.all.die.a.1_EG3</t>
  </si>
  <si>
    <t>egy.mit.ets.all.lpg.a.1_EG3</t>
  </si>
  <si>
    <t>egy.mit.ets.all.ker.a.1_EG3</t>
  </si>
  <si>
    <t>egy.mit.tcp.all.coa.a.1_EG3</t>
  </si>
  <si>
    <t>egy.mit.tcp.all.nga.a.1_EG3</t>
  </si>
  <si>
    <t>egy.mit.tcp_csf.rod.gso.a.1_EG3</t>
  </si>
  <si>
    <t>egy.mit.tcp_csf.rod.die.a1_EG3</t>
  </si>
  <si>
    <t>egy.mit.tcp_csf.res.lpg.a.1_EG3</t>
  </si>
  <si>
    <t>egy.mit.tcp_csf.all.ker.a.1_EG3</t>
  </si>
  <si>
    <t>egy.mit.tcp_csf.all.oop.a.1_EG3</t>
  </si>
  <si>
    <t>egy.mit.tcp.all.all.a.1_EG3</t>
  </si>
  <si>
    <t>egy.mit.tcp.all.coa.a.2_EG3</t>
  </si>
  <si>
    <t>egy.mit.tcp.all.nga.a.2_EG3</t>
  </si>
  <si>
    <t>egy.mit.tcp_csf.rod.gso.a.2_EG3</t>
  </si>
  <si>
    <t>egy.mit.tcp_csf.rod.die.a2_EG3</t>
  </si>
  <si>
    <t>egy.mit.tcp_csf.res.lpg.a.2_EG3</t>
  </si>
  <si>
    <t>egy.mit.tcp_csf.all.ker.a.2_EG3</t>
  </si>
  <si>
    <t>egy.mit.tcp_csf.all.oop.a.2_EG3</t>
  </si>
  <si>
    <t>egy.mit.tcp.all.all.a.2_EG3</t>
  </si>
  <si>
    <t>egy.mit.eff.price.gso.all.2_EG3</t>
  </si>
  <si>
    <t>egy.mit.sup.cost.gso.all.2_EG3</t>
  </si>
  <si>
    <t>egy.mit.airpol.cost.gso.all.2_EG3</t>
  </si>
  <si>
    <t>egy.mit.acc.cost.gso.all.2_EG3</t>
  </si>
  <si>
    <t>egy.mit.con.cost.gso.all.2_EG3</t>
  </si>
  <si>
    <t>egy.mit.rdm.cost.gso.all.2_EG3</t>
  </si>
  <si>
    <t>egy.mit.scc.cost.gso.all.2_EG3</t>
  </si>
  <si>
    <t>egy.mit.vat.cost.gso.all.2_EG3</t>
  </si>
  <si>
    <t>egy.mit.rp.gso.all.2_EG3</t>
  </si>
  <si>
    <t>egy.mit.tgap.gso.all.2_EG3</t>
  </si>
  <si>
    <t>egy.mit.txo.co2e.gso.all.1_EG3</t>
  </si>
  <si>
    <t>egy.mit.pig.gso.all.2_EG3</t>
  </si>
  <si>
    <t>egy.mit.pig.co2e.gso.all.2_EG3</t>
  </si>
  <si>
    <t>egy.mit.eff.price.die.all.2_EG3</t>
  </si>
  <si>
    <t>egy.mit.sup.cost.die.all.2_EG3</t>
  </si>
  <si>
    <t>egy.mit.airpol.cost.die.all.2_EG3</t>
  </si>
  <si>
    <t>egy.mit.acc.cost.die.all.2_EG3</t>
  </si>
  <si>
    <t>egy.mit.con.cost.die.all.2_EG3</t>
  </si>
  <si>
    <t>egy.mit.rdm.cost.die.all.2_EG3</t>
  </si>
  <si>
    <t>egy.mit.scc.cost.die.all.2_EG3</t>
  </si>
  <si>
    <t>egy.mit.vat.cost.die.all.2_EG3</t>
  </si>
  <si>
    <t>egy.mit.rp.die.all.2_EG3</t>
  </si>
  <si>
    <t>egy.mit.tgap.die.all.2_EG3</t>
  </si>
  <si>
    <t>egy.mit.txo.co2e.die.all.1_EG3</t>
  </si>
  <si>
    <t>egy.mit.pig.die.all.2_EG3</t>
  </si>
  <si>
    <t>egy.mit.pig.co2e.die.all.2_EG3</t>
  </si>
  <si>
    <t>egy.mit.eff.price.lpg.all.2_EG3</t>
  </si>
  <si>
    <t>egy.mit.sup.cost.lpg.all.2_EG3</t>
  </si>
  <si>
    <t>egy.mit.airpol.cost.lpg.all.2_EG3</t>
  </si>
  <si>
    <t>egy.mit.scc.cost.lpg.all.2_EG3</t>
  </si>
  <si>
    <t>egy.mit.vat.cost.lpg.all.2_EG3</t>
  </si>
  <si>
    <t>egy.mit.rp.lpg.all.2_EG3</t>
  </si>
  <si>
    <t>egy.mit.tgap.lpg.all.2_EG3</t>
  </si>
  <si>
    <t>egy.mit.txo.co2e.lpg.all.1_EG3</t>
  </si>
  <si>
    <t>egy.mit.pig.lpg.all.2_EG3</t>
  </si>
  <si>
    <t>egy.mit.pig.co2e.lpg.all.2_EG3</t>
  </si>
  <si>
    <t>egy.mit.eff.price.ker.all.2_EG3</t>
  </si>
  <si>
    <t>egy.mit.sup.cost.ker.all.2_EG3</t>
  </si>
  <si>
    <t>egy.mit.airpol.cost.ker.all.2_EG3</t>
  </si>
  <si>
    <t>egy.mit.scc.cost.ker.all.2_EG3</t>
  </si>
  <si>
    <t>egy.mit.vat.cost.ker.all.2_EG3</t>
  </si>
  <si>
    <t>egy.mit.rp.ker.all.2_EG3</t>
  </si>
  <si>
    <t>egy.mit.tgap.ker.all.2_EG3</t>
  </si>
  <si>
    <t>egy.mit.txo.co2e.ker.all.1_EG3</t>
  </si>
  <si>
    <t>egy.mit.pig.ker.all.2_EG3</t>
  </si>
  <si>
    <t>egy.mit.pig.co2e.ker.all.2_EG3</t>
  </si>
  <si>
    <t>egy.mit.eff.price.coa.ind.2_EG3</t>
  </si>
  <si>
    <t>egy.mit.sup.cost.coa.ind.2_EG3</t>
  </si>
  <si>
    <t>egy.mit.airpol.cost.coa.ind.2_EG3</t>
  </si>
  <si>
    <t>egy.mit.scc.cost.coa.ind.2_EG3</t>
  </si>
  <si>
    <t>egy.mit.vat.cost.coa.ind.2_EG3</t>
  </si>
  <si>
    <t>egy.mit.rp.coa.ind.2_EG3</t>
  </si>
  <si>
    <t>egy.mit.tgap.coa.ind.2_EG3</t>
  </si>
  <si>
    <t>egy.mit.txo.co2e.coa.ind.1_EG3</t>
  </si>
  <si>
    <t>egy.mit.pig.coa.ind.2_EG3</t>
  </si>
  <si>
    <t>egy.mit.pig.co2e.coa.ind.2_EG3</t>
  </si>
  <si>
    <t>egy.mit.eff.price.coa.res.2_EG3</t>
  </si>
  <si>
    <t>egy.mit.sup.cost.coa.res.2_EG3</t>
  </si>
  <si>
    <t>egy.mit.airpol.cost.coa.res.2_EG3</t>
  </si>
  <si>
    <t>egy.mit.scc.cost.coa.res.2_EG3</t>
  </si>
  <si>
    <t>egy.mit.vat.cost.coa.res.2_EG3</t>
  </si>
  <si>
    <t>egy.mit.rp.coa.res.2_EG3</t>
  </si>
  <si>
    <t>egy.mit.tgap.coa.res.2_EG3</t>
  </si>
  <si>
    <t>egy.mit.txo.co2e.coa.res.1_EG3</t>
  </si>
  <si>
    <t>egy.mit.pig.coa.res.2_EG3</t>
  </si>
  <si>
    <t>egy.mit.pig.co2e.coa.res.2_EG3</t>
  </si>
  <si>
    <t>egy.mit.eff.price.coa.pow.2_EG3</t>
  </si>
  <si>
    <t>egy.mit.sup.cost.coa.pow.2_EG3</t>
  </si>
  <si>
    <t>egy.mit.airpol.cost.coa.pow.2_EG3</t>
  </si>
  <si>
    <t>egy.mit.scc.cost.coa.pow.2_EG3</t>
  </si>
  <si>
    <t>egy.mit.vat.cost.coa.pow.2_EG3</t>
  </si>
  <si>
    <t>egy.mit.rp.coa.pow.2_EG3</t>
  </si>
  <si>
    <t>egy.mit.tgap.coa.pow.2_EG3</t>
  </si>
  <si>
    <t>egy.mit.txo.co2e.coa.pow.1_EG3</t>
  </si>
  <si>
    <t>egy.mit.pig.coa.pow.2_EG3</t>
  </si>
  <si>
    <t>egy.mit.pig.co2e.coa.pow.2_EG3</t>
  </si>
  <si>
    <t>egy.mit.eff.price.nga.ind.2_EG3</t>
  </si>
  <si>
    <t>egy.mit.sup.cost.nga.ind.2_EG3</t>
  </si>
  <si>
    <t>egy.mit.airpol.cost.nga.ind.2_EG3</t>
  </si>
  <si>
    <t>egy.mit.scc.cost.nga.ind.2_EG3</t>
  </si>
  <si>
    <t>egy.mit.vat.cost.nga.ind.2_EG3</t>
  </si>
  <si>
    <t>egy.mit.rp.nga.ind.2_EG3</t>
  </si>
  <si>
    <t>egy.mit.tgap.nga.ind.2_EG3</t>
  </si>
  <si>
    <t>egy.mit.txo.co2e.nga.ind.1_EG3</t>
  </si>
  <si>
    <t>egy.mit.pig.nga.ind.2_EG3</t>
  </si>
  <si>
    <t>egy.mit.pig.co2e.nga.ind.2_EG3</t>
  </si>
  <si>
    <t>egy.mit.eff.price.nga.res.2_EG3</t>
  </si>
  <si>
    <t>egy.mit.sup.cost.nga.res.2_EG3</t>
  </si>
  <si>
    <t>egy.mit.airpol.cost.nga.res.2_EG3</t>
  </si>
  <si>
    <t>egy.mit.scc.cost.nga.res.2_EG3</t>
  </si>
  <si>
    <t>egy.mit.vat.cost.nga.res.2_EG3</t>
  </si>
  <si>
    <t>egy.mit.rp.nga.res.2_EG3</t>
  </si>
  <si>
    <t>egy.mit.tgap.nga.res.2_EG3</t>
  </si>
  <si>
    <t>egy.mit.txo.co2e.nga.res.1_EG3</t>
  </si>
  <si>
    <t>egy.mit.pig.nga.res.2_EG3</t>
  </si>
  <si>
    <t>egy.mit.pig.co2e.nga.res.2_EG3</t>
  </si>
  <si>
    <t>egy.mit.eff.price.nga.pow.2_EG3</t>
  </si>
  <si>
    <t>egy.mit.sup.cost.nga.pow.2_EG3</t>
  </si>
  <si>
    <t>egy.mit.airpol.cost.nga.pow.2_EG3</t>
  </si>
  <si>
    <t>egy.mit.scc.cost.nga.pow.2_EG3</t>
  </si>
  <si>
    <t>egy.mit.vat.cost.nga.pow.2_EG3</t>
  </si>
  <si>
    <t>egy.mit.rp.nga.pow.2_EG3</t>
  </si>
  <si>
    <t>egy.mit.tgap.nga.pow.2_EG3</t>
  </si>
  <si>
    <t>egy.mit.txo.co2e.nga.pow.1_EG3</t>
  </si>
  <si>
    <t>egy.mit.pig.nga.pow.2_EG3</t>
  </si>
  <si>
    <t>egy.mit.pig.co2e.nga.pow.2_EG3</t>
  </si>
  <si>
    <t>egy.mit.eff.price.ecy.ind.2_EG3</t>
  </si>
  <si>
    <t>egy.mit.sup.cost.ecy.ind.2_EG3</t>
  </si>
  <si>
    <t>egy.mit.airpol.cost.ecy.ind.2_EG3</t>
  </si>
  <si>
    <t>egy.mit.scc.cost.ecy.ind.2_EG3</t>
  </si>
  <si>
    <t>egy.mit.vat.cost.ecy.ind.2_EG3</t>
  </si>
  <si>
    <t>egy.mit.rp.ecy.ind.2_EG3</t>
  </si>
  <si>
    <t>egy.mit.tgap.ecy.ind.2_EG3</t>
  </si>
  <si>
    <t>egy.mit.txo.co2e.ecy.ind.1_EG3</t>
  </si>
  <si>
    <t>egy.mit.pig.ecy.ind.2_EG3</t>
  </si>
  <si>
    <t>egy.mit.pig.co2e.ecy.ind.2_EG3</t>
  </si>
  <si>
    <t>egy.mit.eff.price.ecy.res.2_EG3</t>
  </si>
  <si>
    <t>egy.mit.airpol.cost.ecy.res.2_EG3</t>
  </si>
  <si>
    <t>egy.mit.scc.cost.ecy.res.2_EG3</t>
  </si>
  <si>
    <t>egy.mit.vat.cost.ecy.res.2_EG3</t>
  </si>
  <si>
    <t>egy.mit.rp.ecy.res.2_EG3</t>
  </si>
  <si>
    <t>egy.mit.tgap.ecy.res.2_EG3</t>
  </si>
  <si>
    <t>egy.mit.txo.co2e.ecy.res.1_EG3</t>
  </si>
  <si>
    <t>egy.mit.pig.ecy.res.2_EG3</t>
  </si>
  <si>
    <t>egy.mit.pig.co2e.ecy.res.2_EG3</t>
  </si>
  <si>
    <t>egy.mit.pig.co2e.all.all.1_EG3</t>
  </si>
  <si>
    <t>egy.mit.pig.co2e.all.all.2_EG3</t>
  </si>
  <si>
    <t>egy.mit.app.gso.all.2_EG3</t>
  </si>
  <si>
    <t>egy.mit.app.die.all.2_EG3</t>
  </si>
  <si>
    <t>egy.mit.app.lpg.all.2_EG3</t>
  </si>
  <si>
    <t>egy.mit.app.ker.all.2_EG3</t>
  </si>
  <si>
    <t>egy.mit.app.coa.ind.2_EG3</t>
  </si>
  <si>
    <t>egy.mit.app.coa.res.2_EG3</t>
  </si>
  <si>
    <t>egy.mit.app.coa.pow.2_EG3</t>
  </si>
  <si>
    <t>egy.mit.app.nga.ind.2_EG3</t>
  </si>
  <si>
    <t>egy.mit.app.nga.res.2_EG3</t>
  </si>
  <si>
    <t>egy.mit.app.nga.pow.2_EG3</t>
  </si>
  <si>
    <t>egy.mit.app.co2e.all.all.1_EG3</t>
  </si>
  <si>
    <t>egy.mit.app.co2e.all.all.2_EG3</t>
  </si>
  <si>
    <t>egy.mit.scc.1_EG3</t>
  </si>
  <si>
    <t>egy.mit.ener.con.tot.1_EG3</t>
  </si>
  <si>
    <t>egy.mit.ener.con.coa.1_EG3</t>
  </si>
  <si>
    <t>egy.mit.ener.con.nga.1_EG3</t>
  </si>
  <si>
    <t>egy.mit.ener.con.oop.1_EG3</t>
  </si>
  <si>
    <t>egy.mit.ener.con.gso.1_EG3</t>
  </si>
  <si>
    <t>egy.mit.ener.con.die.1_EG3</t>
  </si>
  <si>
    <t>egy.mit.ener.con.lpg.1_EG3</t>
  </si>
  <si>
    <t>egy.mit.ener.con.ker.1_EG3</t>
  </si>
  <si>
    <t>egy.mit.ener.con.nuc.1_EG3</t>
  </si>
  <si>
    <t>egy.mit.ener.con.rnw.1_EG3</t>
  </si>
  <si>
    <t>egy.mit.ener.con.bio.1_EG3</t>
  </si>
  <si>
    <t>egy.mit.ener.con.tot.2_EG3</t>
  </si>
  <si>
    <t>egy.mit.ener.con.coa.2_EG3</t>
  </si>
  <si>
    <t>egy.mit.ener.con.nga.2_EG3</t>
  </si>
  <si>
    <t>egy.mit.ener.con.oop.2_EG3</t>
  </si>
  <si>
    <t>egy.mit.ener.con.gso.2_EG3</t>
  </si>
  <si>
    <t>egy.mit.ener.con.die.2_EG3</t>
  </si>
  <si>
    <t>egy.mit.ener.con.lpg.2_EG3</t>
  </si>
  <si>
    <t>egy.mit.ener.con.ker.2_EG3</t>
  </si>
  <si>
    <t>egy.mit.ener.con.nuc.2_EG3</t>
  </si>
  <si>
    <t>egy.mit.ener.con.rnw.2_EG3</t>
  </si>
  <si>
    <t>egy.mit.ener.con.bio.2_EG3</t>
  </si>
  <si>
    <t>egy.mit.ener.coa.pow.1_EG3</t>
  </si>
  <si>
    <t>egy.mit.ener.coa.tra.1_EG3</t>
  </si>
  <si>
    <t>egy.mit.ener.coa.res.1_EG3</t>
  </si>
  <si>
    <t>egy.mit.ener.coa.ind.1_EG3</t>
  </si>
  <si>
    <t>egy.mit.ener.coa.oen.1_EG3</t>
  </si>
  <si>
    <t>egy.mit.ener.nga.pow.1_EG3</t>
  </si>
  <si>
    <t>egy.mit.ener.nga.tra.1_EG3</t>
  </si>
  <si>
    <t>egy.mit.ener.nga.res.1_EG3</t>
  </si>
  <si>
    <t>egy.mit.ener.nga.ind.1_EG3</t>
  </si>
  <si>
    <t>egy.mit.ener.nga.oen.1_EG3</t>
  </si>
  <si>
    <t>egy.mit.ener.gso.pow.1_EG3</t>
  </si>
  <si>
    <t>egy.mit.ener.gso.tra.1_EG3</t>
  </si>
  <si>
    <t>egy.mit.ener.gso.res.1_EG3</t>
  </si>
  <si>
    <t>egy.mit.ener.gso.ind.1_EG3</t>
  </si>
  <si>
    <t>egy.mit.ener.gso.oen.1_EG3</t>
  </si>
  <si>
    <t>egy.mit.ener.die.pow.1_EG3</t>
  </si>
  <si>
    <t>egy.mit.ener.die.tra.1_EG3</t>
  </si>
  <si>
    <t>egy.mit.ener.die.res.1_EG3</t>
  </si>
  <si>
    <t>egy.mit.ener.die.ind.1_EG3</t>
  </si>
  <si>
    <t>egy.mit.ener.die.oen.1_EG3</t>
  </si>
  <si>
    <t>egy.mit.ener.lpg.pow.1_EG3</t>
  </si>
  <si>
    <t>egy.mit.ener.lpg.tra.1_EG3</t>
  </si>
  <si>
    <t>egy.mit.ener.lpg.res.1_EG3</t>
  </si>
  <si>
    <t>egy.mit.ener.lpg.ind.1_EG3</t>
  </si>
  <si>
    <t>egy.mit.ener.lpg.oen.1_EG3</t>
  </si>
  <si>
    <t>egy.mit.ener.ker.pow.1_EG3</t>
  </si>
  <si>
    <t>egy.mit.ener.ker.tra.1_EG3</t>
  </si>
  <si>
    <t>egy.mit.ener.ker.res.1_EG3</t>
  </si>
  <si>
    <t>egy.mit.ener.ker.ind.1_EG3</t>
  </si>
  <si>
    <t>egy.mit.ener.ker.oen.1_EG3</t>
  </si>
  <si>
    <t>egy.mit.ener.oop.pow.1_EG3</t>
  </si>
  <si>
    <t>egy.mit.ener.oop.tra.1_EG3</t>
  </si>
  <si>
    <t>egy.mit.ener.oop.res.1_EG3</t>
  </si>
  <si>
    <t>egy.mit.ener.oop.ind.1_EG3</t>
  </si>
  <si>
    <t>egy.mit.ener.oop.oen.1_EG3</t>
  </si>
  <si>
    <t>egy.mit.ener.tot.tot.1_EG3</t>
  </si>
  <si>
    <t>egy.mit.ener.bio.pow.1_EG3</t>
  </si>
  <si>
    <t>egy.mit.ener.bio.tra.1_EG3</t>
  </si>
  <si>
    <t>egy.mit.ener.bio.res.1_EG3</t>
  </si>
  <si>
    <t>egy.mit.ener.bio.ind.1_EG3</t>
  </si>
  <si>
    <t>egy.mit.ener.bio.oen.1_EG3</t>
  </si>
  <si>
    <t>egy.mit.ener.con.nrn.1_EG3</t>
  </si>
  <si>
    <t>egy.mit.ener.coa.pow.2_EG3</t>
  </si>
  <si>
    <t>egy.mit.ener.coa.tra.2_EG3</t>
  </si>
  <si>
    <t>egy.mit.ener.coa.res.2_EG3</t>
  </si>
  <si>
    <t>egy.mit.ener.coa.ind.2_EG3</t>
  </si>
  <si>
    <t>egy.mit.ener.coa.oen.2_EG3</t>
  </si>
  <si>
    <t>egy.mit.ener.nga.pow.2_EG3</t>
  </si>
  <si>
    <t>egy.mit.ener.nga.tra.2_EG3</t>
  </si>
  <si>
    <t>egy.mit.ener.nga.res.2_EG3</t>
  </si>
  <si>
    <t>egy.mit.ener.nga.ind.2_EG3</t>
  </si>
  <si>
    <t>egy.mit.ener.nga.oen.2_EG3</t>
  </si>
  <si>
    <t>egy.mit.ener.gso.pow.2_EG3</t>
  </si>
  <si>
    <t>egy.mit.ener.gso.tra.2_EG3</t>
  </si>
  <si>
    <t>egy.mit.ener.gso.res.2_EG3</t>
  </si>
  <si>
    <t>egy.mit.ener.gso.ind.2_EG3</t>
  </si>
  <si>
    <t>egy.mit.ener.gso.oen.2_EG3</t>
  </si>
  <si>
    <t>egy.mit.ener.die.pow.2_EG3</t>
  </si>
  <si>
    <t>egy.mit.ener.die.tra.2_EG3</t>
  </si>
  <si>
    <t>egy.mit.ener.die.res.2_EG3</t>
  </si>
  <si>
    <t>egy.mit.ener.die.ind.2_EG3</t>
  </si>
  <si>
    <t>egy.mit.ener.die.oen.2_EG3</t>
  </si>
  <si>
    <t>egy.mit.ener.lpg.pow.2_EG3</t>
  </si>
  <si>
    <t>egy.mit.ener.lpg.tra.2_EG3</t>
  </si>
  <si>
    <t>egy.mit.ener.lpg.res.2_EG3</t>
  </si>
  <si>
    <t>egy.mit.ener.lpg.ind.2_EG3</t>
  </si>
  <si>
    <t>egy.mit.ener.lpg.oen.2_EG3</t>
  </si>
  <si>
    <t>egy.mit.ener.ker.pow.2_EG3</t>
  </si>
  <si>
    <t>egy.mit.ener.ker.tra.2_EG3</t>
  </si>
  <si>
    <t>egy.mit.ener.ker.res.2_EG3</t>
  </si>
  <si>
    <t>egy.mit.ener.ker.ind.2_EG3</t>
  </si>
  <si>
    <t>egy.mit.ener.ker.oen.2_EG3</t>
  </si>
  <si>
    <t>egy.mit.ener.oop.pow.2_EG3</t>
  </si>
  <si>
    <t>egy.mit.ener.oop.tra.2_EG3</t>
  </si>
  <si>
    <t>egy.mit.ener.oop.res.2_EG3</t>
  </si>
  <si>
    <t>egy.mit.ener.oop.ind.2_EG3</t>
  </si>
  <si>
    <t>egy.mit.ener.oop.oen.2_EG3</t>
  </si>
  <si>
    <t>egy.mit.ener.tot.tot.2_EG3</t>
  </si>
  <si>
    <t>egy.mit.ener.bio.pow.2_EG3</t>
  </si>
  <si>
    <t>egy.mit.ener.bio.tra.2_EG3</t>
  </si>
  <si>
    <t>egy.mit.ener.bio.res.2_EG3</t>
  </si>
  <si>
    <t>egy.mit.ener.bio.ind.2_EG3</t>
  </si>
  <si>
    <t>egy.mit.ener.bio.oen.2_EG3</t>
  </si>
  <si>
    <t>egy.mit.ener.con.nrn.2_EG3</t>
  </si>
  <si>
    <t>egy.mit.elec.twh.tot.1_EG3</t>
  </si>
  <si>
    <t>egy.mit.elec.twh.coa.1_EG3</t>
  </si>
  <si>
    <t>egy.mit.elec.twh.nga.1_EG3</t>
  </si>
  <si>
    <t>egy.mit.elec.twh.oop.1_EG3</t>
  </si>
  <si>
    <t>egy.mit.elec.twh.nuc.1_EG3</t>
  </si>
  <si>
    <t>egy.mit.elec.twh.wnd.1_EG3</t>
  </si>
  <si>
    <t>egy.mit.elec.twh.sol.1_EG3</t>
  </si>
  <si>
    <t>egy.mit.elec.twh.hyd.1_EG3</t>
  </si>
  <si>
    <t>egy.mit.elec.twh.ore.1_EG3</t>
  </si>
  <si>
    <t>egy.mit.elec.twh.bio.1_EG3</t>
  </si>
  <si>
    <t>egy.mit.elec.twh.ren.1_EG3</t>
  </si>
  <si>
    <t>egy.mit.elec.twh.tot.2_EG3</t>
  </si>
  <si>
    <t>egy.mit.elec.twh.coa.2_EG3</t>
  </si>
  <si>
    <t>egy.mit.elec.twh.nga.2_EG3</t>
  </si>
  <si>
    <t>egy.mit.elec.twh.oop.2_EG3</t>
  </si>
  <si>
    <t>egy.mit.elec.twh.nuc.2_EG3</t>
  </si>
  <si>
    <t>egy.mit.elec.twh.wnd.2_EG3</t>
  </si>
  <si>
    <t>egy.mit.elec.twh.sol.2_EG3</t>
  </si>
  <si>
    <t>egy.mit.elec.twh.hyd.2_EG3</t>
  </si>
  <si>
    <t>egy.mit.elec.twh.ore.2_EG3</t>
  </si>
  <si>
    <t>egy.mit.elec.twh.bio.2_EG3</t>
  </si>
  <si>
    <t>egy.mit.elec.twh.ren.2_EG3</t>
  </si>
  <si>
    <t>egy.mit.ener.rod.nga.pass.e.2_EG3</t>
  </si>
  <si>
    <t>egy.mit.tot.rod.nga.e.2_EG3</t>
  </si>
  <si>
    <t>0_EG3</t>
  </si>
  <si>
    <t>egy.mit.tot.rod.ele.e.2_EG3</t>
  </si>
  <si>
    <t>egy.mit.pass.vkt.all.e.2_EG3</t>
  </si>
  <si>
    <t>egy.mit.fre.vkt.all.e.2_EG3</t>
  </si>
  <si>
    <t>egy.mit.motor.vkt.all.e.2_EG3</t>
  </si>
  <si>
    <t>egy.mit.fecon.die.all.e.2_EG3</t>
  </si>
  <si>
    <t>egy.mit.fecon.lpg.all.e.2_EG3</t>
  </si>
  <si>
    <t>Output Code_EG3</t>
  </si>
  <si>
    <t>egy.mit.atp.rod.coa.e.2_EG3</t>
  </si>
  <si>
    <t>egy.mit.atp.rod.nga.e.2_EG3</t>
  </si>
  <si>
    <t>egy.mit.atp.rod.gso.e.2_EG3</t>
  </si>
  <si>
    <t>egy.mit.atp.ral.oop.e.2_EG3</t>
  </si>
  <si>
    <t>egy.mit.atp.ral.bio.e.2_EG3</t>
  </si>
  <si>
    <t>egy.mit.atp.ral.ren.e.2_EG3</t>
  </si>
  <si>
    <t>egy.mit.ener.ral.coa.e.2_EG3</t>
  </si>
  <si>
    <t>egy.mit.ener.ral.nga.e.2_EG3</t>
  </si>
  <si>
    <t>egy.mit.ener.ral.gso.e.2_EG3</t>
  </si>
  <si>
    <t>egy.mit.ener.ral.die.e.2_EG3</t>
  </si>
  <si>
    <t>egy.mit.ener.nav.nga.e.2_EG3</t>
  </si>
  <si>
    <t>egy.mit.ener.nav.gso.e.2_EG3</t>
  </si>
  <si>
    <t>egy.mit.ener.nav.die.e.2_EG3</t>
  </si>
  <si>
    <t>egy.mit.ener.nav.lpg.e.2_EG3</t>
  </si>
  <si>
    <t>egy.mit.ener.nav.ker.e.2_EG3</t>
  </si>
  <si>
    <t>egy.mit.ener.nav.oop.e.2_EG3</t>
  </si>
  <si>
    <t>egy.mit.ener.nav.bio.e.2_EG3</t>
  </si>
  <si>
    <t>egy.mit.ener.nav.ren.e.2_EG3</t>
  </si>
  <si>
    <t>egy.mit.ener.nav.tot.e.2_EG3</t>
  </si>
  <si>
    <t>egy.mit.ener.tra.tot.e.2_EG3</t>
  </si>
  <si>
    <t>egy.mit.atp.res.coa.e.2_EG3</t>
  </si>
  <si>
    <t>egy.mit.atp.foo.oop.e.2_EG3</t>
  </si>
  <si>
    <t>egy.mit.atp.foo.bio.e.2_EG3</t>
  </si>
  <si>
    <t>egy.mit.atp.foo.ren.e.2_EG3</t>
  </si>
  <si>
    <t>egy.mit.ener.foo.coa.e.2_EG3</t>
  </si>
  <si>
    <t>egy.mit.ener.foo.nga.e.2_EG3</t>
  </si>
  <si>
    <t>egy.mit.ener.foo.gso.e.2_EG3</t>
  </si>
  <si>
    <t>egy.mit.ener.foo.die.e.2_EG3</t>
  </si>
  <si>
    <t>egy.mit.atp.srv.oop.e.2_EG3</t>
  </si>
  <si>
    <t>egy.mit.atp.srv.bio.e.2_EG3</t>
  </si>
  <si>
    <t>egy.mit.atp.srv.ren.e.2_EG3</t>
  </si>
  <si>
    <t>egy.mit.ener.srv.coa.e.2_EG3</t>
  </si>
  <si>
    <t>egy.mit.ener.srv.nga.e.2_EG3</t>
  </si>
  <si>
    <t>egy.mit.ener.srv.gso.e.2_EG3</t>
  </si>
  <si>
    <t>egy.mit.ener.srv.die.e.2_EG3</t>
  </si>
  <si>
    <t>egy.mit.ener.srv.tot.e.2_EG3</t>
  </si>
  <si>
    <t>egy.mit.ener.res.tot.e.2_EG3</t>
  </si>
  <si>
    <t>egy.mit.ener.mch.coa.e.2_EG3</t>
  </si>
  <si>
    <t>egy.mit.ener.mch.nga.e.2_EG3</t>
  </si>
  <si>
    <t>egy.mit.ener.mch.gso.e.2_EG3</t>
  </si>
  <si>
    <t>egy.mit.ener.mch.die.e.2_EG3</t>
  </si>
  <si>
    <t>egy.mit.ener.mch.lpg.e.2_EG3</t>
  </si>
  <si>
    <t>egy.mit.ener.mch.ker.e.2_EG3</t>
  </si>
  <si>
    <t>egy.mit.ener.mch.oop.e.2_EG3</t>
  </si>
  <si>
    <t>egy.mit.ener.mch.bio.e.2_EG3</t>
  </si>
  <si>
    <t>egy.mit.ener.mch.ren.e.2_EG3</t>
  </si>
  <si>
    <t>egy.mit.ener.irn.coa.e.2_EG3</t>
  </si>
  <si>
    <t>egy.mit.ener.irn.nga.e.2_EG3</t>
  </si>
  <si>
    <t>egy.mit.ener.irn.gso.e.2_EG3</t>
  </si>
  <si>
    <t>egy.mit.ener.irn.die.e.2_EG3</t>
  </si>
  <si>
    <t>egy.mit.ener.irn.lpg.e.2_EG3</t>
  </si>
  <si>
    <t>egy.mit.ener.irn.ker.e.2_EG3</t>
  </si>
  <si>
    <t>egy.mit.ener.irn.oop.e.2_EG3</t>
  </si>
  <si>
    <t>egy.mit.ener.irn.bio.e.2_EG3</t>
  </si>
  <si>
    <t>egy.mit.ener.irn.ren.e.2_EG3</t>
  </si>
  <si>
    <t>egy.mit.ener.nfm.coa.e.2_EG3</t>
  </si>
  <si>
    <t>egy.mit.ener.nfm.nga.e.2_EG3</t>
  </si>
  <si>
    <t>egy.mit.ener.nfm.gso.e.2_EG3</t>
  </si>
  <si>
    <t>egy.mit.ener.nfm.die.e.2_EG3</t>
  </si>
  <si>
    <t>egy.mit.ener.nfm.lpg.e.2_EG3</t>
  </si>
  <si>
    <t>egy.mit.ener.nfm.ker.e.2_EG3</t>
  </si>
  <si>
    <t>egy.mit.ener.nfm.oop.e.2_EG3</t>
  </si>
  <si>
    <t>egy.mit.ener.nfm.bio.e.2_EG3</t>
  </si>
  <si>
    <t>egy.mit.ener.nfm.ren.e.2_EG3</t>
  </si>
  <si>
    <t>egy.mit.ener.mac.coa.e.2_EG3</t>
  </si>
  <si>
    <t>egy.mit.ener.mac.nga.e.2_EG3</t>
  </si>
  <si>
    <t>egy.mit.ener.mac.gso.e.2_EG3</t>
  </si>
  <si>
    <t>egy.mit.ener.mac.die.e.2_EG3</t>
  </si>
  <si>
    <t>egy.mit.ener.mac.lpg.e.2_EG3</t>
  </si>
  <si>
    <t>egy.mit.ener.mac.ker.e.2_EG3</t>
  </si>
  <si>
    <t>egy.mit.ener.mac.oop.e.2_EG3</t>
  </si>
  <si>
    <t>egy.mit.ener.mac.bio.e.2_EG3</t>
  </si>
  <si>
    <t>egy.mit.ener.mac.ren.e.2_EG3</t>
  </si>
  <si>
    <t>egy.mit.ener.foo.ecy.t.2_EG3</t>
  </si>
  <si>
    <t>egy.mit.nxp.ecy.2_EG3</t>
  </si>
  <si>
    <t>egy.mit.tsd.ecy.2_EG3</t>
  </si>
  <si>
    <t>egy.mit.eou.ecy.2_EG3</t>
  </si>
  <si>
    <t>CPAT Code_EG3</t>
  </si>
  <si>
    <t>egy.mit.ener.rod.ecy.t.2_EG3</t>
  </si>
  <si>
    <t>egy.mit.ener.ral.ecy.t.2_EG3</t>
  </si>
  <si>
    <t>egy.mit.ener.avi.ecy.t.2_EG3</t>
  </si>
  <si>
    <t>egy.mit.ener.nav.ecy.t.2_EG3</t>
  </si>
  <si>
    <t>egy.mit.ener.srv.ecy.t.2_EG3</t>
  </si>
  <si>
    <t>egy.mit.ener.em.ngaoil.e.2_EG3</t>
  </si>
  <si>
    <t>egy.mit.ener.em.coa.e.2_EG3</t>
  </si>
  <si>
    <t>egy.mit.rev.new.coa.usd.2_EG3</t>
  </si>
  <si>
    <t>egy.mit.rev.new.nga.usd.2_EG3</t>
  </si>
  <si>
    <t>egy.mit.rev.new.oil.usd.2_EG3</t>
  </si>
  <si>
    <t>egy.mit.rev.new.gso.usd.2_EG3</t>
  </si>
  <si>
    <t>egy.mit.rev.new.die.usd.2_EG3</t>
  </si>
  <si>
    <t>egy.mit.rev.new.lpk.usd.2_EG3</t>
  </si>
  <si>
    <t>egy.mit.rev.tot.usd.1_EG3</t>
  </si>
  <si>
    <t>egy.mit.rev.tot.coa.usd.1_EG3</t>
  </si>
  <si>
    <t>egy.mit.rev.tot.nga.usd.1_EG3</t>
  </si>
  <si>
    <t>egy.mit.rev.tot.oil.usd.1_EG3</t>
  </si>
  <si>
    <t>egy.mit.rev.tot.gso.usd.1_EG3</t>
  </si>
  <si>
    <t>egy.mit.rev.tot.die.usd.1_EG3</t>
  </si>
  <si>
    <t>egy.mit.rev.tot.lpk.usd.1_EG3</t>
  </si>
  <si>
    <t>egy.mit.sub.ren.usd.1_EG3</t>
  </si>
  <si>
    <t>egy.mit.rev.tot.ecy.usd.1_EG3</t>
  </si>
  <si>
    <t>egy.mit.rev.tot.usd.2_EG3</t>
  </si>
  <si>
    <t>egy.mit.rev.tot.coa.usd.2_EG3</t>
  </si>
  <si>
    <t>egy.mit.rev.tot.nga.usd.2_EG3</t>
  </si>
  <si>
    <t>egy.mit.rev.tot.oil.usd.2_EG3</t>
  </si>
  <si>
    <t>egy.mit.rev.tot.gso.usd.2_EG3</t>
  </si>
  <si>
    <t>egy.mit.rev.tot.die.usd.2_EG3</t>
  </si>
  <si>
    <t>egy.mit.rev.tot.lpk.usd.2_EG3</t>
  </si>
  <si>
    <t>egy.mit.sub.ren.usd.2_EG3</t>
  </si>
  <si>
    <t>egy.mit.rev.tot.ecy.usd.2_EG3</t>
  </si>
  <si>
    <t>egy.air.con.pm2.oap.urb.1_EG3</t>
  </si>
  <si>
    <t>egy.air.con.pm2.oap.rur.1_EG3</t>
  </si>
  <si>
    <t>egy.air.con.pm2.oap.urb.2_EG3</t>
  </si>
  <si>
    <t>egy.air.con.pm2.oap.rur.2_EG3</t>
  </si>
  <si>
    <t>egy.air.con.pm2.mod.all.1_EG3</t>
  </si>
  <si>
    <t>egy.air.con.pm2.obs.all.1_EG3</t>
  </si>
  <si>
    <t>who_guidelines_EG3</t>
  </si>
  <si>
    <t>egy.air.cad.ao3_EG3</t>
  </si>
  <si>
    <t>egy.air.cad.apm25_EG3</t>
  </si>
  <si>
    <t>egy.air.cad.hpm25_EG3</t>
  </si>
  <si>
    <t>egy.air.cad.net_EG3</t>
  </si>
  <si>
    <t>egy.air.ada.2464_EG3</t>
  </si>
  <si>
    <t>egy.air.ada.65_EG3</t>
  </si>
  <si>
    <t>egy.air.ada.u24_EG3</t>
  </si>
  <si>
    <t>egy.air.av.yll_EG3</t>
  </si>
  <si>
    <t>egy.air.av.yld_EG3</t>
  </si>
  <si>
    <t>egy.air.mort_EG3</t>
  </si>
  <si>
    <t>egy.air.ext.pp.coa_EG3</t>
  </si>
  <si>
    <t>egy.air.ext.pp.gas_EG3</t>
  </si>
  <si>
    <t>egy.air.ext.pp.oil_EG3</t>
  </si>
  <si>
    <t>egy.air.ext.ind.coa_EG3</t>
  </si>
  <si>
    <t>egy.air.ext.ind.gas_EG3</t>
  </si>
  <si>
    <t>egy.air.ext.ind.oil_EG3</t>
  </si>
  <si>
    <t>egy.air.ext.tra.gso_EG3</t>
  </si>
  <si>
    <t>egy.air.ext.tra.die_EG3</t>
  </si>
  <si>
    <t>egy.air.gdp.loss_EG3</t>
  </si>
  <si>
    <t>egy.air.gdp.loss.ch_EG3</t>
  </si>
  <si>
    <t>egy.mit.airpol.cost.coa.ind.1_EG3</t>
  </si>
  <si>
    <t>egy.mit.airpol.cost.coa.res.1_EG3</t>
  </si>
  <si>
    <t>egy.mit.airpol.cost.coa.pow.1_EG3</t>
  </si>
  <si>
    <t>egy.mit.airpol.cost.nga.ind.1_EG3</t>
  </si>
  <si>
    <t>egy.mit.airpol.cost.nga.res.1_EG3</t>
  </si>
  <si>
    <t>egy.mit.airpol.cost.nga.pow.1_EG3</t>
  </si>
  <si>
    <t>egy.mit.airpol.cost.gso.1_EG3</t>
  </si>
  <si>
    <t>egy.mit.airpol.cost.die.1_EG3</t>
  </si>
  <si>
    <t>egy.mit.airpol.cost.lpg.1_EG3</t>
  </si>
  <si>
    <t>egy.mit.airpol.cost.ker.1_EG3</t>
  </si>
  <si>
    <t>egy.air.sav.the.gov_EG3</t>
  </si>
  <si>
    <t>egy.air.sav.the.ppr_EG3</t>
  </si>
  <si>
    <t>egy.air.sav.the.opo_EG3</t>
  </si>
  <si>
    <t>egy.air.sav.the.das_EG3</t>
  </si>
  <si>
    <t>egy.dth.ktoe.pow.coa.1_EG3</t>
  </si>
  <si>
    <t>egy.dth.ktoe.pow.nga.1_EG3</t>
  </si>
  <si>
    <t>egy.dth.ktoe.pow.opp.1_EG3</t>
  </si>
  <si>
    <t>egy.dth.ktoe.rod.gso.1_EG3</t>
  </si>
  <si>
    <t>egy.dth.ktoe.rod.die.1_EG3</t>
  </si>
  <si>
    <t>egy.dth.ktoe.ind.coa.1_EG3</t>
  </si>
  <si>
    <t>egy.dth.ktoe.ind.oop.1_EG3</t>
  </si>
  <si>
    <t>egy.dth.ktoe.ind.nga.1_EG3</t>
  </si>
  <si>
    <t>egy.dth.ktoe.res.nga.1_EG3</t>
  </si>
  <si>
    <t>egy.air.conc.pm2.cpp.1_EG3</t>
  </si>
  <si>
    <t>egy.air.conc.pm2.gpp.1_EG3</t>
  </si>
  <si>
    <t>egy.air.conc.pm2.opp.1_EG3</t>
  </si>
  <si>
    <t>egy.air.conc.pm2.rod.1_EG3</t>
  </si>
  <si>
    <t>egy.air.conc.pm2.gro.1_EG3</t>
  </si>
  <si>
    <t>egy.air.conc.pm2.oth.1_EG3</t>
  </si>
  <si>
    <t>egy.air.conc.pm2.foo.1_EG3</t>
  </si>
  <si>
    <t>egy.air.conc.pm2.tot.1_EG3</t>
  </si>
  <si>
    <t>egy.air.conc.pm2.cpp.2_EG3</t>
  </si>
  <si>
    <t>egy.air.conc.pm2.gpp.2_EG3</t>
  </si>
  <si>
    <t>egy.air.conc.pm2.opp.2_EG3</t>
  </si>
  <si>
    <t>egy.air.conc.pm2.rod.2_EG3</t>
  </si>
  <si>
    <t>egy.air.conc.pm2.gro.2_EG3</t>
  </si>
  <si>
    <t>egy.air.conc.pm2.oth.2_EG3</t>
  </si>
  <si>
    <t>egy.air.conc.pm2.foo.2_EG3</t>
  </si>
  <si>
    <t>egy.air.conc.pm2.tot.2_EG3</t>
  </si>
  <si>
    <t>egy.mit.cc.code.coa.1_EG3</t>
  </si>
  <si>
    <t>egy.mit.cc.code.nga.1_EG3</t>
  </si>
  <si>
    <t>egy.mit.cc.code.gso.1_EG3</t>
  </si>
  <si>
    <t>egy.mit.cc.code.die.1_EG3</t>
  </si>
  <si>
    <t>egy.mit.cc.code.lpg.1_EG3</t>
  </si>
  <si>
    <t>egy.mit.cc.code.ker.1_EG3</t>
  </si>
  <si>
    <t>egy.tran.vmt.1_EG3</t>
  </si>
  <si>
    <t>egy.tran.vmt.2_EG3</t>
  </si>
  <si>
    <t>egy.tran.deaths.1_EG3</t>
  </si>
  <si>
    <t>egy.tran.deaths.2_EG3</t>
  </si>
  <si>
    <t>egy.tran.acc.avd.cum.2_EG3</t>
  </si>
  <si>
    <t>egy.tran.congestionP.1_EG3</t>
  </si>
  <si>
    <t>egy.tran.congestionP.2_EG3</t>
  </si>
  <si>
    <t>egy.tran.acc.cost.gso.1_EG3</t>
  </si>
  <si>
    <t>egy.tran.acc.cost.die.1_EG3</t>
  </si>
  <si>
    <t>egy.tran.con.cost.gso.1_EG3</t>
  </si>
  <si>
    <t>egy.tran.con.cost.die.1_EG3</t>
  </si>
  <si>
    <t>egy.tran.rdm.cost.gso.1_EG3</t>
  </si>
  <si>
    <t>egy.tran.rdm.cost.die.1_EG3</t>
  </si>
  <si>
    <t>egy.mit.wel.cli.usd_EG3</t>
  </si>
  <si>
    <t>egy.mit.wel.air.usd_EG3</t>
  </si>
  <si>
    <t>egy.mit.wel.rod.aci.usd_EG3</t>
  </si>
  <si>
    <t>egy.mit.wel.rod.con.usd_EG3</t>
  </si>
  <si>
    <t>egy.mit.wel.eco.dwl.usd_EG3</t>
  </si>
  <si>
    <t>egy.mit.wel.tot.tot_EG3</t>
  </si>
  <si>
    <t>egy.mit.wel.cli.pct_EG3</t>
  </si>
  <si>
    <t>egy.mit.wel.air.pct_EG3</t>
  </si>
  <si>
    <t>egy.mit.wel.rod.pct_EG3</t>
  </si>
  <si>
    <t>egy.mit.wel.eco.dwl.pct_EG3</t>
  </si>
  <si>
    <t>egy.mit.wel.tot.pct_EG3</t>
  </si>
  <si>
    <t>egy.distn.tef.tot.dec.rur_EG3</t>
  </si>
  <si>
    <t>egy.distn.tef.tot.dec.urb_EG3</t>
  </si>
  <si>
    <t>egy.distn.def.tot.dec.ove_EG3</t>
  </si>
  <si>
    <t>egy.distn.def.coa.dec.ove_EG3</t>
  </si>
  <si>
    <t>egy.distn.def.ely.dec.ove_EG3</t>
  </si>
  <si>
    <t>egy.distn.def.nga.dec.ove_EG3</t>
  </si>
  <si>
    <t>egy.distn.def.oil.dec.ove_EG3</t>
  </si>
  <si>
    <t>egy.distn.def.gso.dec.ove_EG3</t>
  </si>
  <si>
    <t>egy.distn.def.die.dec.ove_EG3</t>
  </si>
  <si>
    <t>egy.distn.def.ker.dec.ove_EG3</t>
  </si>
  <si>
    <t>egy.distn.def.lpg.dec.ove_EG3</t>
  </si>
  <si>
    <t>egy.distn.ief.tot.dec.ove_EG3</t>
  </si>
  <si>
    <t>egy.distn.ief.app.dec.ove_EG3</t>
  </si>
  <si>
    <t>egy.distn.ief.che.dec.ove_EG3</t>
  </si>
  <si>
    <t>egy.distn.ief.clo.dec.ove_EG3</t>
  </si>
  <si>
    <t>egy.distn.ief.com.dec.ove_EG3</t>
  </si>
  <si>
    <t>egy.distn.ief.edu.dec.ove_EG3</t>
  </si>
  <si>
    <t>egy.distn.ief.food.dec.ove_EG3</t>
  </si>
  <si>
    <t>egy.distn.ief.hea.dec.ove_EG3</t>
  </si>
  <si>
    <t>egy.distn.ief.hou.dec.ove_EG3</t>
  </si>
  <si>
    <t>egy.distn.ief.oth.dec.ove_EG3</t>
  </si>
  <si>
    <t>egy.distn.ief.pap.dec.ove_EG3</t>
  </si>
  <si>
    <t>egy.distn.ief.pha.dec.ove_EG3</t>
  </si>
  <si>
    <t>egy.distn.ief.ret.dec.ove_EG3</t>
  </si>
  <si>
    <t>egy.distn.ief.teq.dec.ove_EG3</t>
  </si>
  <si>
    <t>egy.distn.ief.tpu.dec.ove_EG3</t>
  </si>
  <si>
    <t>egy.distn.bsh.coa.dec.ove_EG3</t>
  </si>
  <si>
    <t>egy.distn.bsh.ely.dec.ove_EG3</t>
  </si>
  <si>
    <t>egy.distn.bsh.nga.dec.ove_EG3</t>
  </si>
  <si>
    <t>egy.distn.bsh.oil.dec.ove_EG3</t>
  </si>
  <si>
    <t>egy.distn.bsh.gso.dec.ove_EG3</t>
  </si>
  <si>
    <t>egy.distn.bsh.die.dec.ove_EG3</t>
  </si>
  <si>
    <t>egy.distn.bsh.ker.dec.ove_EG3</t>
  </si>
  <si>
    <t>egy.distn.bsh.lpg.dec.ove_EG3</t>
  </si>
  <si>
    <t>egy.distn.bsh.ccl.dec.ove_EG3</t>
  </si>
  <si>
    <t>egy.distn.bsh.ethanol.dec.ove_EG3</t>
  </si>
  <si>
    <t>egy.distn.bsh.fwd.dec.ove_EG3</t>
  </si>
  <si>
    <t>egy.distn.bsh.app.dec.ove_EG3</t>
  </si>
  <si>
    <t>egy.distn.bsh.che.dec.ove_EG3</t>
  </si>
  <si>
    <t>egy.distn.bsh.clo.dec.ove_EG3</t>
  </si>
  <si>
    <t>egy.distn.bsh.com.dec.ove_EG3</t>
  </si>
  <si>
    <t>egy.distn.bsh.edu.dec.ove_EG3</t>
  </si>
  <si>
    <t>egy.distn.bsh.food.dec.ove_EG3</t>
  </si>
  <si>
    <t>egy.distn.bsh.hea.dec.ove_EG3</t>
  </si>
  <si>
    <t>egy.distn.bsh.hou.dec.ove_EG3</t>
  </si>
  <si>
    <t>egy.distn.bsh.oth.dec.ove_EG3</t>
  </si>
  <si>
    <t>egy.distn.bsh.pap.dec.ove_EG3</t>
  </si>
  <si>
    <t>egy.distn.bsh.pha.dec.ove_EG3</t>
  </si>
  <si>
    <t>egy.distn.bsh.ret.dec.ove_EG3</t>
  </si>
  <si>
    <t>egy.distn.bsh.teq.dec.ove_EG3</t>
  </si>
  <si>
    <t>egy.distn.bsh.tpu.dec.ove_EG3</t>
  </si>
  <si>
    <t>egy.distn.cons_pc_na.dec.ove_EG3</t>
  </si>
  <si>
    <t>egy.distn.tot_cons_na.dec.ove_EG3</t>
  </si>
  <si>
    <t>egy.distn.pop_tot_adj.dec.ove_EG3</t>
  </si>
  <si>
    <t>egy.distn.pctrev_comp.dec.rur_EG3</t>
  </si>
  <si>
    <t>egy.distn.pctrev_comp.dec.urb_EG3</t>
  </si>
  <si>
    <t>egy.distn.pctrev_comp.dec.ove_EG3</t>
  </si>
  <si>
    <t>egy.distn.pct_gini_norec.dec.ove_EG3</t>
  </si>
  <si>
    <t>egy.distn.pct_gini_norec.dec.urb_EG3</t>
  </si>
  <si>
    <t>egy.distn.pct_gini_norec.dec.rur_EG3</t>
  </si>
  <si>
    <t>egy.distn.pct_gini_rec.dec.ove_EG3</t>
  </si>
  <si>
    <t>egy.distn.pct_gini_rec.dec.urb_EG3</t>
  </si>
  <si>
    <t>egy.distn.pct_gini_rec.dec.rur_EG3</t>
  </si>
  <si>
    <t>egy.distn.dpr.coa.res_EG3</t>
  </si>
  <si>
    <t>egy.distn.dpr.ely.res_EG3</t>
  </si>
  <si>
    <t>egy.distn.dpr.nga.res_EG3</t>
  </si>
  <si>
    <t>egy.distn.dpr.oop.res_EG3</t>
  </si>
  <si>
    <t>egy.distn.dpr.gso.res_EG3</t>
  </si>
  <si>
    <t>egy.distn.dpr.die.res_EG3</t>
  </si>
  <si>
    <t>egy.distn.dpr.ker.res_EG3</t>
  </si>
  <si>
    <t>egy.distn.dpr.lpg.res_EG3</t>
  </si>
  <si>
    <t>egy.distn.dpr.app_EG3</t>
  </si>
  <si>
    <t>egy.distn.dpr.che_EG3</t>
  </si>
  <si>
    <t>egy.distn.dpr.clo_EG3</t>
  </si>
  <si>
    <t>egy.distn.dpr.com_EG3</t>
  </si>
  <si>
    <t>egy.distn.dpr.edu_EG3</t>
  </si>
  <si>
    <t>egy.distn.dpr.food_EG3</t>
  </si>
  <si>
    <t>egy.distn.dpr.hea_EG3</t>
  </si>
  <si>
    <t>egy.distn.dpr.hou_EG3</t>
  </si>
  <si>
    <t>egy.distn.dpr.oth_EG3</t>
  </si>
  <si>
    <t>egy.distn.dpr.pap_EG3</t>
  </si>
  <si>
    <t>egy.distn.dpr.pha_EG3</t>
  </si>
  <si>
    <t>egy.distn.dpr.ret_EG3</t>
  </si>
  <si>
    <t>egy.distn.dpr.teq_EG3</t>
  </si>
  <si>
    <t>egy.distn.dpr.tpu_EG3</t>
  </si>
  <si>
    <t>egy.distn.pit.tot.dec.ove_EG3</t>
  </si>
  <si>
    <t>egy.distn.pui.tot.dec.ove_EG3</t>
  </si>
  <si>
    <t>egy.distn.cts.tot.dec.ove_EG3</t>
  </si>
  <si>
    <t>egy.distn.tgt.tot.dec.ove_EG3</t>
  </si>
  <si>
    <t>egy.distn.tef.tot.dec.ove_EG3</t>
  </si>
  <si>
    <t>dist.year_EG3</t>
  </si>
  <si>
    <t>dist.stat_EG3</t>
  </si>
  <si>
    <t>egy.ppic.avi_EG3</t>
  </si>
  <si>
    <t>egy.ppic.foo_EG3</t>
  </si>
  <si>
    <t>egy.ppic.srv_EG3</t>
  </si>
  <si>
    <t>egy.ppic.con_EG3</t>
  </si>
  <si>
    <t>egy.ppic.mac_EG3</t>
  </si>
  <si>
    <t>egy.ppic.irn_EG3</t>
  </si>
  <si>
    <t>egy.ppic.man_EG3</t>
  </si>
  <si>
    <t>egy.ppic.oth_EG3</t>
  </si>
  <si>
    <t>egy.ppic.cem_EG3</t>
  </si>
  <si>
    <t>egy.ppic.shi_EG3</t>
  </si>
  <si>
    <t>egy.ppic.res_EG3</t>
  </si>
  <si>
    <t>egy.ppic.fuel_EG3</t>
  </si>
  <si>
    <t>egy.outpriin.avi_EG3</t>
  </si>
  <si>
    <t>egy.outpriin.shi_EG3</t>
  </si>
  <si>
    <t>egy.outpriin.cem_EG3</t>
  </si>
  <si>
    <t>egy.outpriin.irn_EG3</t>
  </si>
  <si>
    <t>egy.outpriin.oth_EG3</t>
  </si>
  <si>
    <t>egy.outpriin.man_EG3</t>
  </si>
  <si>
    <t>egy.outpriin.foo_EG3</t>
  </si>
  <si>
    <t>egy.outpriin.mac_EG3</t>
  </si>
  <si>
    <t>egy.outpriin.res_EG3</t>
  </si>
  <si>
    <t>egy.outpriin.con_EG3</t>
  </si>
  <si>
    <t>egy.outpriin.srv_EG3</t>
  </si>
  <si>
    <t>egy.mit.el.inc.ecy.res_EG3</t>
  </si>
  <si>
    <t>egy.mit.el.inc.gso.res_EG3</t>
  </si>
  <si>
    <t>egy.mit.el.inc.die.res_EG3</t>
  </si>
  <si>
    <t>gdp_EG3</t>
  </si>
  <si>
    <t>emisco2_EG3</t>
  </si>
  <si>
    <t>co2_EG3</t>
  </si>
  <si>
    <t>co2intensityusdgdp_EG3</t>
  </si>
  <si>
    <t>elec_EG3</t>
  </si>
  <si>
    <t>renpropbase_EG3</t>
  </si>
  <si>
    <t>renprop_EG3</t>
  </si>
  <si>
    <t>co2intpow_EG3</t>
  </si>
  <si>
    <t>egy.mit.tsd.ecy.1_EG3</t>
  </si>
  <si>
    <t>egy.mit.eou.ecy.1_EG3</t>
  </si>
  <si>
    <t>egy.mit.nxp.ecy.1_EG3</t>
  </si>
  <si>
    <t>egy.mit.ec.ele.2026.1_EG3</t>
  </si>
  <si>
    <t>egy.mit.ec.coa.2026.1_EG3</t>
  </si>
  <si>
    <t>egy.mit.ec.nga.2026.1_EG3</t>
  </si>
  <si>
    <t>egy.mit.ec.oop.2026.1_EG3</t>
  </si>
  <si>
    <t>egy.mit.ec.gso.2026.1_EG3</t>
  </si>
  <si>
    <t>egy.mit.ec.die.2026.1_EG3</t>
  </si>
  <si>
    <t>egy.mit.ec.ker.2026.1_EG3</t>
  </si>
  <si>
    <t>egy.mit.ec.lpg.2026.1_EG3</t>
  </si>
  <si>
    <t>egy.mit.ec.jfu.2026.1_EG3</t>
  </si>
  <si>
    <t>egy.mit.ec.wnd.2026.1_EG3</t>
  </si>
  <si>
    <t>egy.mit.ec.sol.2026.1_EG3</t>
  </si>
  <si>
    <t>egy.mit.ec.hyd.2026.1_EG3</t>
  </si>
  <si>
    <t>egy.mit.ec.ore.2026.1_EG3</t>
  </si>
  <si>
    <t>egy.mit.ec.nuc.2026.1_EG3</t>
  </si>
  <si>
    <t>egy.mit.ec.bio.2026.1_EG3</t>
  </si>
  <si>
    <t>egy.mit.ec.bgs.2026.1_EG3</t>
  </si>
  <si>
    <t>egy.mit.ec.bdi.2026.1_EG3</t>
  </si>
  <si>
    <t>egy.mit.ec.obf.2026.1_EG3</t>
  </si>
  <si>
    <t>egy.mit.ec.heat.2026.1_EG3</t>
  </si>
  <si>
    <t>egy.mit.elec.twh.sel.tot.ecy.1_EG3</t>
  </si>
  <si>
    <t>egy.mit.elec.twh.sel.tot.ecy.2_EG3</t>
  </si>
  <si>
    <t>egy.mit.msc.pow.hyd.t.1_EG3</t>
  </si>
  <si>
    <t>egy.mit.mancap.pow.oop.t.1_EG3</t>
  </si>
  <si>
    <t>egy.mit.nim.pow.coa.t.1_EG3</t>
  </si>
  <si>
    <t>egy.mit.nim.pow.nga.t.1_EG3</t>
  </si>
  <si>
    <t>egy.mit.nim.pow.oop.t.1_EG3</t>
  </si>
  <si>
    <t>egy.mit.nim.pow.nuc.t.1_EG3</t>
  </si>
  <si>
    <t>egy.mit.nim.pow.wnd.t.1_EG3</t>
  </si>
  <si>
    <t>egy.mit.nim.pow.sol.t.1_EG3</t>
  </si>
  <si>
    <t>egy.mit.nim.pow.hyd.t.1_EG3</t>
  </si>
  <si>
    <t>egy.mit.nim.pow.ore.t.1_EG3</t>
  </si>
  <si>
    <t>egy.mit.nim.pow.bio.t.1_EG3</t>
  </si>
  <si>
    <t>egy.mit.nim.pow.coa.t.2_EG3</t>
  </si>
  <si>
    <t>egy.mit.nim.pow.nga.t.2_EG3</t>
  </si>
  <si>
    <t>egy.mit.nim.pow.oop.t.2_EG3</t>
  </si>
  <si>
    <t>egy.mit.nim.pow.nuc.t.2_EG3</t>
  </si>
  <si>
    <t>egy.mit.nim.pow.wnd.t.2_EG3</t>
  </si>
  <si>
    <t>egy.mit.nim.pow.sol.t.2_EG3</t>
  </si>
  <si>
    <t>egy.mit.nim.pow.hyd.t.2_EG3</t>
  </si>
  <si>
    <t>egy.mit.nim.pow.ore.t.2_EG3</t>
  </si>
  <si>
    <t>egy.mit.nim.pow.bio.t.2_EG3</t>
  </si>
  <si>
    <t>egy.mit.nid.pow.coa.t.1_EG3</t>
  </si>
  <si>
    <t>egy.mit.nid.pow.nga.t.1_EG3</t>
  </si>
  <si>
    <t>egy.mit.nid.pow.oop.t.1_EG3</t>
  </si>
  <si>
    <t>egy.mit.nid.pow.nuc.t.1_EG3</t>
  </si>
  <si>
    <t>egy.mit.nid.pow.wnd.t.1_EG3</t>
  </si>
  <si>
    <t>egy.mit.nid.pow.sol.t.1_EG3</t>
  </si>
  <si>
    <t>egy.mit.nid.pow.hyd.t.1_EG3</t>
  </si>
  <si>
    <t>egy.mit.nid.pow.ore.t.1_EG3</t>
  </si>
  <si>
    <t>egy.mit.nid.pow.bio.t.1_EG3</t>
  </si>
  <si>
    <t>egy.mit.nid.pow.coa.t.2_EG3</t>
  </si>
  <si>
    <t>egy.mit.nid.pow.nga.t.2_EG3</t>
  </si>
  <si>
    <t>egy.mit.nid.pow.oop.t.2_EG3</t>
  </si>
  <si>
    <t>egy.mit.nid.pow.nuc.t.2_EG3</t>
  </si>
  <si>
    <t>egy.mit.nid.pow.wnd.t.2_EG3</t>
  </si>
  <si>
    <t>egy.mit.nid.pow.sol.t.2_EG3</t>
  </si>
  <si>
    <t>egy.mit.nid.pow.hyd.t.2_EG3</t>
  </si>
  <si>
    <t>egy.mit.nid.pow.ore.t.2_EG3</t>
  </si>
  <si>
    <t>egy.mit.nid.pow.bio.t.2_EG3</t>
  </si>
  <si>
    <t>inflation_EG3</t>
  </si>
  <si>
    <t>vat_EG3</t>
  </si>
  <si>
    <t>realoilbbl_EG3</t>
  </si>
  <si>
    <t>realcoalton_EG3</t>
  </si>
  <si>
    <t>realngammbtu_EG3</t>
  </si>
  <si>
    <t>realoilglobal_EG3</t>
  </si>
  <si>
    <t>reacoalglobal_EG3</t>
  </si>
  <si>
    <t>realngaglobal_EG3</t>
  </si>
  <si>
    <t>forgasolinemarkup_EG3</t>
  </si>
  <si>
    <t>fordieselmarkup_EG3</t>
  </si>
  <si>
    <t>forkerosenemarkup_EG3</t>
  </si>
  <si>
    <t>forglpgmarkup_EG3</t>
  </si>
  <si>
    <t>egy.mit.mu1.coa.res.1_EG3</t>
  </si>
  <si>
    <t>egy.mit.mu1.coa.ind.1_EG3</t>
  </si>
  <si>
    <t>egy.mit.mu1.nga.pow.1_EG3</t>
  </si>
  <si>
    <t>egy.mit.mu1.nga.res.1_EG3</t>
  </si>
  <si>
    <t>egy.mit.mu1.nga.ind.1_EG3</t>
  </si>
  <si>
    <t>egy.mit.mu1.gso.all.1_EG3</t>
  </si>
  <si>
    <t>egy.mit.mu1.die.all.1_EG3</t>
  </si>
  <si>
    <t>egy.mit.mu1.lpg.all.1_EG3</t>
  </si>
  <si>
    <t>egy.mit.mu1.ker.all.1_EG3</t>
  </si>
  <si>
    <t>egy.mit.mu1.oop.all.1_EG3</t>
  </si>
  <si>
    <t>egy.mit.mu1.bio.all.1_EG3</t>
  </si>
  <si>
    <t>egy.mit.mu2.coa.pow.1_EG3</t>
  </si>
  <si>
    <t>egy.mit.mu2.coa.res.1_EG3</t>
  </si>
  <si>
    <t>egy.mit.mu2.coa.ind.1_EG3</t>
  </si>
  <si>
    <t>egy.mit.mu2.nga.pow.1_EG3</t>
  </si>
  <si>
    <t>egy.mit.mu2.nga.res.1_EG3</t>
  </si>
  <si>
    <t>egy.mit.mu2.nga.ind.1_EG3</t>
  </si>
  <si>
    <t>egy.mit.mu2.gso.all.1_EG3</t>
  </si>
  <si>
    <t>egy.mit.mu2.die.all.1_EG3</t>
  </si>
  <si>
    <t>egy.mit.mu2.lpg.all.1_EG3</t>
  </si>
  <si>
    <t>egy.mit.mu2.ker.all.1_EG3</t>
  </si>
  <si>
    <t>egy.mit.mu2.oop.all.1_EG3</t>
  </si>
  <si>
    <t>egy.mit.mu2.bio.all.1_EG3</t>
  </si>
  <si>
    <t>egy.mit.sp.coa.pow.1_EG3</t>
  </si>
  <si>
    <t>egy.mit.sp.coa.res.1_EG3</t>
  </si>
  <si>
    <t>egy.mit.sp.coa.ind.1_EG3</t>
  </si>
  <si>
    <t>egy.mit.sp.nga.pow.1_EG3</t>
  </si>
  <si>
    <t>egy.mit.sp.nga.res.1_EG3</t>
  </si>
  <si>
    <t>egy.mit.sp.nga.ind.1_EG3</t>
  </si>
  <si>
    <t>egy.mit.sp.gso.all.1_EG3</t>
  </si>
  <si>
    <t>egy.mit.sp.die.all.1_EG3</t>
  </si>
  <si>
    <t>egy.mit.sp.lpg.all.1_EG3</t>
  </si>
  <si>
    <t>egy.mit.sp.ker.all.1_EG3</t>
  </si>
  <si>
    <t>egy.mit.sp.oop.all.1_EG3</t>
  </si>
  <si>
    <t>egy.mit.rp.all.die.a.1_EG3</t>
  </si>
  <si>
    <t>egy.mit.rp.all.lpg.a.1_EG3</t>
  </si>
  <si>
    <t>egy.mit.rp.all.ker.a.1_EG3</t>
  </si>
  <si>
    <t>egy.mit.rp.all.oop.a.1_EG3</t>
  </si>
  <si>
    <t>egy.air.ef.ext.ngaoil.ch4.1_EG3</t>
  </si>
  <si>
    <t>egy.air.ef.ext.ngaoil.ch4.2_EG3</t>
  </si>
  <si>
    <t>egy.air.ef.ext.coa.ch4.1_EG3</t>
  </si>
  <si>
    <t>egy.air.ef.ext.coa.ch4.2_EG3</t>
  </si>
  <si>
    <t>egy.mit.mftrajfossil.1_EG3</t>
  </si>
  <si>
    <t>egy.mit.mftrajnonfossil.1_EG3</t>
  </si>
  <si>
    <t>egy.mit.mftrajfossil.2_EG3</t>
  </si>
  <si>
    <t>egy.mit.mftrajnonfossil.2_EG3</t>
  </si>
  <si>
    <t>egy.mit.wel.eco.ext.dwl.pct_EG3</t>
  </si>
  <si>
    <t>egy.mit.wel.eco.agc.dwl.pct_EG3</t>
  </si>
  <si>
    <t>egy.mit.wel.eco.was.dwl.pct_EG3</t>
  </si>
  <si>
    <t>egy.mit.ener.mfpct.oil.e.2_EG3</t>
  </si>
  <si>
    <t>egy.mit.ener.mfpct.coa.e.2_EG3</t>
  </si>
  <si>
    <t>egy.mit.ener.mfpct.nga.e.2_EG3</t>
  </si>
  <si>
    <t>egy.mit.trs.gso.all.a.1_EG3</t>
  </si>
  <si>
    <t>egy.mit.vatrate.all.gso.a.1_EG3</t>
  </si>
  <si>
    <t>egy.mit.rescon.gso.all.1_EG3</t>
  </si>
  <si>
    <t>egy.mit.effprice.gso.all.1_EG3</t>
  </si>
  <si>
    <t>egy.mit.con.gso.all.1_EG3</t>
  </si>
  <si>
    <t>egy.mit.expsub.con.gso.all.1_EG3</t>
  </si>
  <si>
    <t>egy.mit.impsub.con.gso.all.1_EG3</t>
  </si>
  <si>
    <t>egy.mit.trs.die.all.a.1_EG3</t>
  </si>
  <si>
    <t>egy.mit.vatrate.all.die.a.1_EG3</t>
  </si>
  <si>
    <t>egy.mit.rescon.die.all.1_EG3</t>
  </si>
  <si>
    <t>egy.mit.effprice.die.all.1_EG3</t>
  </si>
  <si>
    <t>egy.mit.con.die.all.1_EG3</t>
  </si>
  <si>
    <t>egy.mit.expsub.con.die.all.1_EG3</t>
  </si>
  <si>
    <t>egy.mit.impsub.con.die.all.1_EG3</t>
  </si>
  <si>
    <t>egy.mit.vatrate.all.lpg.a.1_EG3</t>
  </si>
  <si>
    <t>egy.mit.rescon.lpg.all.1_EG3</t>
  </si>
  <si>
    <t>egy.mit.effprice.lpg.all.1_EG3</t>
  </si>
  <si>
    <t>egy.mit.con.lpg.all.1_EG3</t>
  </si>
  <si>
    <t>egy.mit.expsub.con.lpg.all.1_EG3</t>
  </si>
  <si>
    <t>egy.mit.impsub.con.lpg.all.1_EG3</t>
  </si>
  <si>
    <t>egy.mit.vatrate.all.ker.a.1_EG3</t>
  </si>
  <si>
    <t>egy.mit.rescon.ker.all.1_EG3</t>
  </si>
  <si>
    <t>egy.mit.effprice.ker.all.1_EG3</t>
  </si>
  <si>
    <t>egy.mit.con.ker.all.1_EG3</t>
  </si>
  <si>
    <t>egy.mit.expsub.con.ker.all.1_EG3</t>
  </si>
  <si>
    <t>egy.mit.impsub.con.ker.all.1_EG3</t>
  </si>
  <si>
    <t>egy.mit.vatrate.all.oop.a.1_EG3</t>
  </si>
  <si>
    <t>egy.mit.rescon.oop.all.1_EG3</t>
  </si>
  <si>
    <t>egy.mit.effprice.oop.all.1_EG3</t>
  </si>
  <si>
    <t>egy.mit.rp.oop.all.1_EG3</t>
  </si>
  <si>
    <t>egy.mit.con.oop.all.1_EG3</t>
  </si>
  <si>
    <t>egy.mit.expsub.con.oop.all.1_EG3</t>
  </si>
  <si>
    <t>egy.mit.vatext.nga.ind.1_EG3</t>
  </si>
  <si>
    <t>egy.mit.effprice.nga.ind.1_EG3</t>
  </si>
  <si>
    <t>egy.mit.con.nga.ind.1_EG3</t>
  </si>
  <si>
    <t>egy.mit.expsub.con.nga.ind.1_EG3</t>
  </si>
  <si>
    <t>egy.mit.impsub.con.nga.ind.1_EG3</t>
  </si>
  <si>
    <t>egy.mit.vatrate.res.nga.a.1_EG3</t>
  </si>
  <si>
    <t>egy.mit.effprice.nga.res.1_EG3</t>
  </si>
  <si>
    <t>egy.mit.con.nga.res.1_EG3</t>
  </si>
  <si>
    <t>egy.mit.expsub.con.nga.res.1_EG3</t>
  </si>
  <si>
    <t>egy.mit.impsub.con.nga.res.1_EG3</t>
  </si>
  <si>
    <t>egy.mit.effprice.nga.pow.1_EG3</t>
  </si>
  <si>
    <t>egy.mit.con.nga.pow.1_EG3</t>
  </si>
  <si>
    <t>egy.mit.expsub.con.nga.pow.1_EG3</t>
  </si>
  <si>
    <t>egy.mit.impsub.con.nga.pow.1_EG3</t>
  </si>
  <si>
    <t>egy.mit.supcost.nga.other.1_EG3</t>
  </si>
  <si>
    <t>egy.mit.extcost.nga.other.1_EG3</t>
  </si>
  <si>
    <t>egy.mit.vatext.nga.other.1_EG3</t>
  </si>
  <si>
    <t>egy.mit.effprice.nga.other.1_EG3</t>
  </si>
  <si>
    <t>egy.mit.rp.nga.other.1_EG3</t>
  </si>
  <si>
    <t>egy.mit.con.nga.other.1_EG3</t>
  </si>
  <si>
    <t>egy.mit.expsub.con.nga.other.1_EG3</t>
  </si>
  <si>
    <t>egy.mit.impsub.con.nga.other.1_EG3</t>
  </si>
  <si>
    <t>egy.mit.effprice.coa.ind.1_EG3</t>
  </si>
  <si>
    <t>egy.mit.con.coa.ind.1_EG3</t>
  </si>
  <si>
    <t>egy.mit.expsub.con.coa.ind.1_EG3</t>
  </si>
  <si>
    <t>egy.mit.impsub.con.coa.ind.1_EG3</t>
  </si>
  <si>
    <t>egy.mit.vatrate.res.coa.a.1_EG3</t>
  </si>
  <si>
    <t>egy.mit.effprice.coa.res.1_EG3</t>
  </si>
  <si>
    <t>egy.mit.con.coa.res.1_EG3</t>
  </si>
  <si>
    <t>egy.mit.expsub.con.coa.res.1_EG3</t>
  </si>
  <si>
    <t>egy.mit.impsub.con.coa.res.1_EG3</t>
  </si>
  <si>
    <t>egy.mit.effprice.coa.pow.1_EG3</t>
  </si>
  <si>
    <t>egy.mit.con.coa.pow.1_EG3</t>
  </si>
  <si>
    <t>egy.mit.expsub.con.coa.pow.1_EG3</t>
  </si>
  <si>
    <t>egy.mit.impsub.con.coa.pow.1_EG3</t>
  </si>
  <si>
    <t>egy.mit.supcost.coa.other.1_EG3</t>
  </si>
  <si>
    <t>egy.mit.extcost.coa.other.1_EG3</t>
  </si>
  <si>
    <t>egy.mit.vatext.coa.other.1_EG3</t>
  </si>
  <si>
    <t>egy.mit.effprice.coa.other.1_EG3</t>
  </si>
  <si>
    <t>egy.mit.rp.coa.other.1_EG3</t>
  </si>
  <si>
    <t>egy.mit.con.coa.other.1_EG3</t>
  </si>
  <si>
    <t>egy.mit.expsub.con.coa.other.1_EG3</t>
  </si>
  <si>
    <t>egy.mit.impsub.con.coa.other.1_EG3</t>
  </si>
  <si>
    <t>egy.mit.effprice.ecy.ind.1_EG3</t>
  </si>
  <si>
    <t>egy.mit.con.ecy.ind.1_EG3</t>
  </si>
  <si>
    <t>egy.mit.expsub.con.ecy.ind.1_EG3</t>
  </si>
  <si>
    <t>egy.mit.impsub.con.ecy.ind.1_EG3</t>
  </si>
  <si>
    <t>egy.mit.vatrate.res.ecy.t.1_EG3</t>
  </si>
  <si>
    <t>egy.mit.effprice.ecy.res.1_EG3</t>
  </si>
  <si>
    <t>egy.mit.con.ecy.res.1_EG3</t>
  </si>
  <si>
    <t>egy.mit.expsub.con.ecy.res.1_EG3</t>
  </si>
  <si>
    <t>egy.mit.impsub.con.ecy.res.1_EG3</t>
  </si>
  <si>
    <t>egy.mit.supcost.ecy.other.1_EG3</t>
  </si>
  <si>
    <t>egy.mit.extcost.ecy.other.1_EG3</t>
  </si>
  <si>
    <t>egy.mit.vatext.ecy.other.1_EG3</t>
  </si>
  <si>
    <t>egy.mit.effprice.ecy.other.1_EG3</t>
  </si>
  <si>
    <t>egy.mit.rp.ecy.other.1_EG3</t>
  </si>
  <si>
    <t>egy.mit.con.ecy.other.1_EG3</t>
  </si>
  <si>
    <t>egy.mit.expsub.con.ecy.other.1_EG3</t>
  </si>
  <si>
    <t>egy.mit.impsub.con.ecy.other.1_EG3</t>
  </si>
  <si>
    <t>egy.mit.expsub.con.all.all.1_EG3</t>
  </si>
  <si>
    <t>egy.mit.impsub.con.all.all.1_EG3</t>
  </si>
  <si>
    <t>egy.mit.expsubgdp.con.all.all.1_EG3</t>
  </si>
  <si>
    <t>egy.mit.impsubgdp.con.all.all.1_EG3</t>
  </si>
  <si>
    <t>egy.mit.co2cov.2_EG4</t>
  </si>
  <si>
    <t>egy.mit.cptraj.2_EG4</t>
  </si>
  <si>
    <t>egy.mit.eff.cptraj.2_EG4</t>
  </si>
  <si>
    <t>egy.mit.etstraj.2_EG4</t>
  </si>
  <si>
    <t>egy.mit.co2cov.pow.cont.2_EG4</t>
  </si>
  <si>
    <t>egy.mit.co2cov.tra.cont.2_EG4</t>
  </si>
  <si>
    <t>egy.mit.co2cov.res.cont.2_EG4</t>
  </si>
  <si>
    <t>egy.mit.co2cov.ind.cont.2_EG4</t>
  </si>
  <si>
    <t>egy.mit.co2cov.oth.cont.2_EG4</t>
  </si>
  <si>
    <t>egy.mit.gdp.pre.pct.2_EG4</t>
  </si>
  <si>
    <t>egy.mit.gdp.exc.pct.2_EG4</t>
  </si>
  <si>
    <t>egy.mit.gdp.pit.pct.2_EG4</t>
  </si>
  <si>
    <t>egy.mit.gdp.inv.pct.2_EG4</t>
  </si>
  <si>
    <t>egy.mit.gdp.cur.pct.2_EG4</t>
  </si>
  <si>
    <t>egy.mit.gdp.tra.pct.2_EG4</t>
  </si>
  <si>
    <t>egy.mit.gdp.tot.pct.2_EG4</t>
  </si>
  <si>
    <t>egy.mit.rev.new.usd.1_EG4</t>
  </si>
  <si>
    <t>egy.mit.rev.new.usd.2_EG4</t>
  </si>
  <si>
    <t>egy.mit.rev.new.pct.1_EG4</t>
  </si>
  <si>
    <t>egy.mit.rev.new.pct.2_EG4</t>
  </si>
  <si>
    <t>egy.mit.ers_EG4</t>
  </si>
  <si>
    <t>egy.mit.rcp_EG4</t>
  </si>
  <si>
    <t>egy.mit.rcp.pow_EG4</t>
  </si>
  <si>
    <t>egy.mit.rcp.trs_EG4</t>
  </si>
  <si>
    <t>egy.mit.rcp.bld_EG4</t>
  </si>
  <si>
    <t>egy.mit.rcp.ind_EG4</t>
  </si>
  <si>
    <t>egy.mit.ln.gdppc_EG4</t>
  </si>
  <si>
    <t>egy.mit.gdp.pre.lvl.1_EG4</t>
  </si>
  <si>
    <t>egy.mit.gdp.pst.lvl.2_EG4</t>
  </si>
  <si>
    <t>egy.mit.pop.mn_EG4</t>
  </si>
  <si>
    <t>egy.mit.ghg.tot.exc.1_EG4</t>
  </si>
  <si>
    <t>egy.mit.ghg.tot.inc.1_EG4</t>
  </si>
  <si>
    <t>egy.mit.ghg.enr.tot.1_EG4</t>
  </si>
  <si>
    <t>egy.mit.ghg.ipr.tot.1_EG4</t>
  </si>
  <si>
    <t>egy.mit.ghg.agr.tot.1_EG4</t>
  </si>
  <si>
    <t>egy.mit.ghg.wst.tot.1_EG4</t>
  </si>
  <si>
    <t>egy.mit.ghg.lucf.tot.1_EG4</t>
  </si>
  <si>
    <t>egy.mit.co2.tot.1_EG4</t>
  </si>
  <si>
    <t>egy.mit.co2.enr.tot.1_EG4</t>
  </si>
  <si>
    <t>egy.mit.co2.coa.1_EG4</t>
  </si>
  <si>
    <t>egy.mit.co2.nga.1_EG4</t>
  </si>
  <si>
    <t>egy.mit.co2.oil.1_EG4</t>
  </si>
  <si>
    <t>egy.mit.co2.gso.1_EG4</t>
  </si>
  <si>
    <t>egy.mit.co2.die.1_EG4</t>
  </si>
  <si>
    <t>egy.mit.co2.lpg.1_EG4</t>
  </si>
  <si>
    <t>egy.mit.co2.ker.1_EG4</t>
  </si>
  <si>
    <t>egy.mit.co2.pow.1_EG4</t>
  </si>
  <si>
    <t>egy.mit.co2.tra.1_EG4</t>
  </si>
  <si>
    <t>egy.mit.co2.res.1_EG4</t>
  </si>
  <si>
    <t>egy.mit.co2.ind.1_EG4</t>
  </si>
  <si>
    <t>egy.mit.co2.oth.1_EG4</t>
  </si>
  <si>
    <t>egy.mit.ghg.tot.exc.2_EG4</t>
  </si>
  <si>
    <t>egy.mit.ghg.tot.inc.2_EG4</t>
  </si>
  <si>
    <t>egy.mit.ghg.enr.tot.2_EG4</t>
  </si>
  <si>
    <t>egy.mit.ghg.ipr.tot.2_EG4</t>
  </si>
  <si>
    <t>egy.mit.ghg.agr.tot.2_EG4</t>
  </si>
  <si>
    <t>egy.mit.ghg.lucf.tot.2_EG4</t>
  </si>
  <si>
    <t>egy.mit.ghg.wst.tot.2_EG4</t>
  </si>
  <si>
    <t>egy.mit.co2.tot.2_EG4</t>
  </si>
  <si>
    <t>egy.mit.co2.enr.tot.2_EG4</t>
  </si>
  <si>
    <t>egy.mit.co2.coa.2_EG4</t>
  </si>
  <si>
    <t>egy.mit.co2.nga.2_EG4</t>
  </si>
  <si>
    <t>egy.mit.co2.oil.2_EG4</t>
  </si>
  <si>
    <t>egy.mit.co2.gso.2_EG4</t>
  </si>
  <si>
    <t>egy.mit.co2.die.2_EG4</t>
  </si>
  <si>
    <t>egy.mit.co2.lpg.2_EG4</t>
  </si>
  <si>
    <t>egy.mit.co2.ker.2_EG4</t>
  </si>
  <si>
    <t>egy.mit.co2.pow.2_EG4</t>
  </si>
  <si>
    <t>egy.mit.co2.tra.2_EG4</t>
  </si>
  <si>
    <t>egy.mit.co2.res.2_EG4</t>
  </si>
  <si>
    <t>egy.mit.co2.ind.2_EG4</t>
  </si>
  <si>
    <t>egy.mit.co2.oth.2_EG4</t>
  </si>
  <si>
    <t>egy.mit.co2.tot.red.pct_EG4</t>
  </si>
  <si>
    <t>egy.mit.ghg.tot.exc.fuel.1_EG4</t>
  </si>
  <si>
    <t>egy.mit.ch4.tot.1_EG4</t>
  </si>
  <si>
    <t>egy.mit.nox.tot.1_EG4</t>
  </si>
  <si>
    <t>egy.mit.fga.tot.1_EG4</t>
  </si>
  <si>
    <t>egy.mit.ghg.tot.exc.fuel.2_EG4</t>
  </si>
  <si>
    <t>egy.mit.ch4.tot.2_EG4</t>
  </si>
  <si>
    <t>egy.mit.nox.tot.2_EG4</t>
  </si>
  <si>
    <t>egy.mit.fga.tot.2_EG4</t>
  </si>
  <si>
    <t>egy.mit.ghg.tot.inc.ch4.1_EG4</t>
  </si>
  <si>
    <t>egy.mit.ghg.tot.exc.ch4.1_EG4</t>
  </si>
  <si>
    <t>egy.mit.ghg.enr.ch4.1_EG4</t>
  </si>
  <si>
    <t>egy.mit.ghg.ipr.ch4.1_EG4</t>
  </si>
  <si>
    <t>egy.mit.ghg.agr.ch4.1_EG4</t>
  </si>
  <si>
    <t>egy.mit.ghg.lucf.ch4.1_EG4</t>
  </si>
  <si>
    <t>egy.mit.ghg.wst.ch4.1_EG4</t>
  </si>
  <si>
    <t>egy.mit.ghg.oth.ch4.1_EG4</t>
  </si>
  <si>
    <t>egy.mit.ghg.fug.ch4.1_EG4</t>
  </si>
  <si>
    <t>egy.mit.ghg.tot.inc.ch4.2_EG4</t>
  </si>
  <si>
    <t>egy.mit.ghg.tot.exc.ch4.2_EG4</t>
  </si>
  <si>
    <t>egy.mit.ghg.enr.ch4.2_EG4</t>
  </si>
  <si>
    <t>egy.mit.ghg.ipr.ch4.2_EG4</t>
  </si>
  <si>
    <t>egy.mit.ghg.agr.ch4.2_EG4</t>
  </si>
  <si>
    <t>egy.mit.ghg.lucf.ch4.2_EG4</t>
  </si>
  <si>
    <t>egy.mit.ghg.wst.ch4.2_EG4</t>
  </si>
  <si>
    <t>egy.mit.ghg.oth.ch4.2_EG4</t>
  </si>
  <si>
    <t>egy.mit.ghg.fug.ch4.2_EG4</t>
  </si>
  <si>
    <t>egy.mit.ghg.index.1_EG4</t>
  </si>
  <si>
    <t>egy.mit.ghg.index.2_EG4</t>
  </si>
  <si>
    <t>egy.mit.ghg.tot.inc.red.pct_EG4</t>
  </si>
  <si>
    <t>egy.mit.ndc.option_EG4</t>
  </si>
  <si>
    <t>egy.mit.ndc.targetyear_EG4</t>
  </si>
  <si>
    <t>egy.mit.ndc.desc.lng_EG4</t>
  </si>
  <si>
    <t>egy.mit.ndc.desc.sht_EG4</t>
  </si>
  <si>
    <t>egy.mit.undc.index_EG4</t>
  </si>
  <si>
    <t>egy.mit.cndc.index_EG4</t>
  </si>
  <si>
    <t>egy.mit.undc.trg.ton_EG4</t>
  </si>
  <si>
    <t>egy.mit.cndc.trg.ton_EG4</t>
  </si>
  <si>
    <t>egy.mit.undc.2030.pct_EG4</t>
  </si>
  <si>
    <t>egy.mit.cndc.2030.pct_EG4</t>
  </si>
  <si>
    <t>egy.mit.andc.2030.pct_EG4</t>
  </si>
  <si>
    <t>egy.mit.emin.cem_EG4</t>
  </si>
  <si>
    <t>egy.mit.emin.irn_EG4</t>
  </si>
  <si>
    <t>egy.mit.emin.mch_EG4</t>
  </si>
  <si>
    <t>egy.mit.emin.man_EG4</t>
  </si>
  <si>
    <t>egy.mit.emin.oth_EG4</t>
  </si>
  <si>
    <t>egy.mit.emin.foo_EG4</t>
  </si>
  <si>
    <t>egy.mit.emin.srv_EG4</t>
  </si>
  <si>
    <t>egy.mit.emin.mac_EG4</t>
  </si>
  <si>
    <t>egy.mit.emin.cst_EG4</t>
  </si>
  <si>
    <t>egy.mit.emin.ftr_EG4</t>
  </si>
  <si>
    <t>egy.mit.emin.con_EG4</t>
  </si>
  <si>
    <t>egy.mit.rp.all.ecy.wtd.1_EG4</t>
  </si>
  <si>
    <t>egy.mit.rp.all.coa.wtd.1_EG4</t>
  </si>
  <si>
    <t>egy.mit.rp.all.nga.wtd.1_EG4</t>
  </si>
  <si>
    <t>egy.mit.rp.all.oil.wtd.1_EG4</t>
  </si>
  <si>
    <t>egy.mit.rp.all.gso.wtd.1_EG4</t>
  </si>
  <si>
    <t>egy.mit.rp.all.die.wtd.1_EG4</t>
  </si>
  <si>
    <t>egy.mit.rp.all.lpg.wtd.1_EG4</t>
  </si>
  <si>
    <t>egy.mit.rp.all.ker.wtd.1_EG4</t>
  </si>
  <si>
    <t>egy.mit.rp.all.ecy.wtd.2_EG4</t>
  </si>
  <si>
    <t>egy.mit.rp.coa.wtd.2_EG4</t>
  </si>
  <si>
    <t>egy.mit.rp.nga.wtd.2_EG4</t>
  </si>
  <si>
    <t>egy.mit.rp.oil.wtd.2_EG4</t>
  </si>
  <si>
    <t>egy.mit.rp.gso.wtd.2_EG4</t>
  </si>
  <si>
    <t>egy.mit.rp.die.wtd.2_EG4</t>
  </si>
  <si>
    <t>egy.mit.rp.lpg.wtd.2_EG4</t>
  </si>
  <si>
    <t>egy.mit.rp.ker.wtd.2_EG4</t>
  </si>
  <si>
    <t>egy.mit.rp.all.ecy.pct.2_EG4</t>
  </si>
  <si>
    <t>egy.mit.rp.all.coa.pct.2_EG4</t>
  </si>
  <si>
    <t>egy.mit.rp.all.nga.pct.2_EG4</t>
  </si>
  <si>
    <t>egy.mit.rp.all.oil.pct.2_EG4</t>
  </si>
  <si>
    <t>egy.mit.rp.all.gso.pct.2_EG4</t>
  </si>
  <si>
    <t>egy.mit.rp.all.die.pct.2_EG4</t>
  </si>
  <si>
    <t>egy.mit.rp.all.lpg.pct.2_EG4</t>
  </si>
  <si>
    <t>egy.mit.rp.all.ker.pct.2_EG4</t>
  </si>
  <si>
    <t>egy.mit.co2.ela.eco.2_EG4</t>
  </si>
  <si>
    <t>egy.mit.ndc.ecr.2_EG4</t>
  </si>
  <si>
    <t>egy.mit.ecr.1_EG4</t>
  </si>
  <si>
    <t>egy.mit.ecr.2_EG4</t>
  </si>
  <si>
    <t>egy.mit.rp.ind.ecy.t.1_EG4</t>
  </si>
  <si>
    <t>egy.mit.rp.res.ecy.t.1_EG4</t>
  </si>
  <si>
    <t>egy.mit.rp.ind.coa.a.1_EG4</t>
  </si>
  <si>
    <t>egy.mit.rp.ind.nga.a.1_EG4</t>
  </si>
  <si>
    <t>egy.mit.rp.res.coa.a.1_EG4</t>
  </si>
  <si>
    <t>egy.mit.rp.res.nga.a.1_EG4</t>
  </si>
  <si>
    <t>egy.mit.rp.pow.coa.a.1_EG4</t>
  </si>
  <si>
    <t>egy.mit.rp.pow.nga.a.1_EG4</t>
  </si>
  <si>
    <t>egy.mit.rp.ind.ecy.t.2_EG4</t>
  </si>
  <si>
    <t>egy.mit.rp.res.ecy.t.2_EG4</t>
  </si>
  <si>
    <t>egy.mit.rp.ind.coa.a.2_EG4</t>
  </si>
  <si>
    <t>egy.mit.rp.ind.nga.a.2_EG4</t>
  </si>
  <si>
    <t>egy.mit.rp.res.coa.a.2_EG4</t>
  </si>
  <si>
    <t>egy.mit.rp.res.nga.a.2_EG4</t>
  </si>
  <si>
    <t>egy.mit.rp.pow.coa.a.2_EG4</t>
  </si>
  <si>
    <t>egy.mit.rp.pow.nga.a.2_EG4</t>
  </si>
  <si>
    <t>egy.mit.sup.cost.ecy.ind.1_EG4</t>
  </si>
  <si>
    <t>egy.mit.sup.cost.ecy.res.2_EG4</t>
  </si>
  <si>
    <t>egy.mit.sp.ind.coa.a.1_EG4</t>
  </si>
  <si>
    <t>egy.mit.sp.ind.nga.a.1_EG4</t>
  </si>
  <si>
    <t>egy.mit.sp.res.coa.a.1_EG4</t>
  </si>
  <si>
    <t>egy.mit.sp.res.nga.a.1_EG4</t>
  </si>
  <si>
    <t>egy.mit.sp.pow.coa.a.1_EG4</t>
  </si>
  <si>
    <t>egy.mit.sp.pow.nga.a.1_EG4</t>
  </si>
  <si>
    <t>egy.mit.sp.all.oop.a.1_EG4</t>
  </si>
  <si>
    <t>egy.mit.sp.all.gso.a.1_EG4</t>
  </si>
  <si>
    <t>egy.mit.sp.all.die.a.1_EG4</t>
  </si>
  <si>
    <t>egy.mit.sp.all.lpg.a.1_EG4</t>
  </si>
  <si>
    <t>egy.mit.sp.all.ker.a.1_EG4</t>
  </si>
  <si>
    <t>egy.mit.txo.ind.ecy.t.1_EG4</t>
  </si>
  <si>
    <t>egy.mit.txo.res.ecy.t.1_EG4</t>
  </si>
  <si>
    <t>egy.mit.txo.ind.coa.a.1_EG4</t>
  </si>
  <si>
    <t>egy.mit.txo.ind.nga.a.1_EG4</t>
  </si>
  <si>
    <t>egy.mit.txo.res.coa.a.1_EG4</t>
  </si>
  <si>
    <t>egy.mit.txo.res.nga.a.1_EG4</t>
  </si>
  <si>
    <t>egy.mit.txo.pow.coa.a.1_EG4</t>
  </si>
  <si>
    <t>egy.mit.txo.pow.nga.a.1_EG4</t>
  </si>
  <si>
    <t>egy.mit.txo.all.oop.a.1_EG4</t>
  </si>
  <si>
    <t>egy.mit.txo.all.gso.a.1_EG4</t>
  </si>
  <si>
    <t>egy.mit.txo.all.die.a.1_EG4</t>
  </si>
  <si>
    <t>egy.mit.txo.all.lpg.a.1_EG4</t>
  </si>
  <si>
    <t>egy.mit.txo.all.ker.a.1_EG4</t>
  </si>
  <si>
    <t>egy.mit.vat.ind.ecy.t.1_EG4</t>
  </si>
  <si>
    <t>egy.mit.vat.res.ecy.t.1_EG4</t>
  </si>
  <si>
    <t>egy.mit.vat.ind.coa.a.1_EG4</t>
  </si>
  <si>
    <t>egy.mit.vat.ind.nga.a.1_EG4</t>
  </si>
  <si>
    <t>egy.mit.vat.res.coa.a.1_EG4</t>
  </si>
  <si>
    <t>egy.mit.vat.res.nga.a.1_EG4</t>
  </si>
  <si>
    <t>egy.mit.vat.pow.coa.a.1_EG4</t>
  </si>
  <si>
    <t>egy.mit.vat.pow.nga.a.1_EG4</t>
  </si>
  <si>
    <t>egy.mit.vat.all.oop.a.1_EG4</t>
  </si>
  <si>
    <t>egy.mit.vat.all.gso.a.1_EG4</t>
  </si>
  <si>
    <t>egy.mit.vat.all.die.a.1_EG4</t>
  </si>
  <si>
    <t>egy.mit.vat.all.lpg.a.1_EG4</t>
  </si>
  <si>
    <t>egy.mit.vat.all.ker.a.1_EG4</t>
  </si>
  <si>
    <t>egy.mit.ctx.ind.ecy.t.1_EG4</t>
  </si>
  <si>
    <t>egy.mit.ctx.res.ecy.t.1_EG4</t>
  </si>
  <si>
    <t>egy.mit.ctx.ind.coa.a.1_EG4</t>
  </si>
  <si>
    <t>egy.mit.ctx.ind.nga.a.1_EG4</t>
  </si>
  <si>
    <t>egy.mit.ctx.res.coa.a.1_EG4</t>
  </si>
  <si>
    <t>egy.mit.ctx.res.nga.a.1_EG4</t>
  </si>
  <si>
    <t>egy.mit.ctx.pow.coa.a.1_EG4</t>
  </si>
  <si>
    <t>egy.mit.ctx.pow.nga.a.1_EG4</t>
  </si>
  <si>
    <t>egy.mit.ctx.all.oop.a.1_EG4</t>
  </si>
  <si>
    <t>egy.mit.ctx.all.gso.a.1_EG4</t>
  </si>
  <si>
    <t>egy.mit.ctx.all.die.a.1_EG4</t>
  </si>
  <si>
    <t>egy.mit.ctx.all.lpg.a.1_EG4</t>
  </si>
  <si>
    <t>egy.mit.ctx.all.ker.a.1_EG4</t>
  </si>
  <si>
    <t>egy.mit.ets.ind.ecy.t.1_EG4</t>
  </si>
  <si>
    <t>egy.mit.ets.res.ecy.t.1_EG4</t>
  </si>
  <si>
    <t>egy.mit.ets.ind.coa.a.1_EG4</t>
  </si>
  <si>
    <t>egy.mit.ets.ind.nga.a.1_EG4</t>
  </si>
  <si>
    <t>egy.mit.ets.res.coa.a.1_EG4</t>
  </si>
  <si>
    <t>egy.mit.ets.res.nga.a.1_EG4</t>
  </si>
  <si>
    <t>egy.mit.ets.pow.coa.a.1_EG4</t>
  </si>
  <si>
    <t>egy.mit.ets.pow.nga.a.1_EG4</t>
  </si>
  <si>
    <t>egy.mit.ets.all.oop.a.1_EG4</t>
  </si>
  <si>
    <t>egy.mit.ets.all.gso.a.1_EG4</t>
  </si>
  <si>
    <t>egy.mit.ets.all.die.a.1_EG4</t>
  </si>
  <si>
    <t>egy.mit.ets.all.lpg.a.1_EG4</t>
  </si>
  <si>
    <t>egy.mit.ets.all.ker.a.1_EG4</t>
  </si>
  <si>
    <t>egy.mit.tcp.all.coa.a.1_EG4</t>
  </si>
  <si>
    <t>egy.mit.tcp.all.nga.a.1_EG4</t>
  </si>
  <si>
    <t>egy.mit.tcp_csf.rod.gso.a.1_EG4</t>
  </si>
  <si>
    <t>egy.mit.tcp_csf.rod.die.a1_EG4</t>
  </si>
  <si>
    <t>egy.mit.tcp_csf.res.lpg.a.1_EG4</t>
  </si>
  <si>
    <t>egy.mit.tcp_csf.all.ker.a.1_EG4</t>
  </si>
  <si>
    <t>egy.mit.tcp_csf.all.oop.a.1_EG4</t>
  </si>
  <si>
    <t>egy.mit.tcp.all.all.a.1_EG4</t>
  </si>
  <si>
    <t>egy.mit.tcp.all.coa.a.2_EG4</t>
  </si>
  <si>
    <t>egy.mit.tcp.all.nga.a.2_EG4</t>
  </si>
  <si>
    <t>egy.mit.tcp_csf.rod.gso.a.2_EG4</t>
  </si>
  <si>
    <t>egy.mit.tcp_csf.rod.die.a2_EG4</t>
  </si>
  <si>
    <t>egy.mit.tcp_csf.res.lpg.a.2_EG4</t>
  </si>
  <si>
    <t>egy.mit.tcp_csf.all.ker.a.2_EG4</t>
  </si>
  <si>
    <t>egy.mit.tcp_csf.all.oop.a.2_EG4</t>
  </si>
  <si>
    <t>egy.mit.tcp.all.all.a.2_EG4</t>
  </si>
  <si>
    <t>egy.mit.eff.price.gso.all.2_EG4</t>
  </si>
  <si>
    <t>egy.mit.sup.cost.gso.all.2_EG4</t>
  </si>
  <si>
    <t>egy.mit.airpol.cost.gso.all.2_EG4</t>
  </si>
  <si>
    <t>egy.mit.acc.cost.gso.all.2_EG4</t>
  </si>
  <si>
    <t>egy.mit.con.cost.gso.all.2_EG4</t>
  </si>
  <si>
    <t>egy.mit.rdm.cost.gso.all.2_EG4</t>
  </si>
  <si>
    <t>egy.mit.scc.cost.gso.all.2_EG4</t>
  </si>
  <si>
    <t>egy.mit.vat.cost.gso.all.2_EG4</t>
  </si>
  <si>
    <t>egy.mit.rp.gso.all.2_EG4</t>
  </si>
  <si>
    <t>egy.mit.tgap.gso.all.2_EG4</t>
  </si>
  <si>
    <t>egy.mit.txo.co2e.gso.all.1_EG4</t>
  </si>
  <si>
    <t>egy.mit.pig.gso.all.2_EG4</t>
  </si>
  <si>
    <t>egy.mit.pig.co2e.gso.all.2_EG4</t>
  </si>
  <si>
    <t>egy.mit.eff.price.die.all.2_EG4</t>
  </si>
  <si>
    <t>egy.mit.sup.cost.die.all.2_EG4</t>
  </si>
  <si>
    <t>egy.mit.airpol.cost.die.all.2_EG4</t>
  </si>
  <si>
    <t>egy.mit.acc.cost.die.all.2_EG4</t>
  </si>
  <si>
    <t>egy.mit.con.cost.die.all.2_EG4</t>
  </si>
  <si>
    <t>egy.mit.rdm.cost.die.all.2_EG4</t>
  </si>
  <si>
    <t>egy.mit.scc.cost.die.all.2_EG4</t>
  </si>
  <si>
    <t>egy.mit.vat.cost.die.all.2_EG4</t>
  </si>
  <si>
    <t>egy.mit.rp.die.all.2_EG4</t>
  </si>
  <si>
    <t>egy.mit.tgap.die.all.2_EG4</t>
  </si>
  <si>
    <t>egy.mit.txo.co2e.die.all.1_EG4</t>
  </si>
  <si>
    <t>egy.mit.pig.die.all.2_EG4</t>
  </si>
  <si>
    <t>egy.mit.pig.co2e.die.all.2_EG4</t>
  </si>
  <si>
    <t>egy.mit.eff.price.lpg.all.2_EG4</t>
  </si>
  <si>
    <t>egy.mit.sup.cost.lpg.all.2_EG4</t>
  </si>
  <si>
    <t>egy.mit.airpol.cost.lpg.all.2_EG4</t>
  </si>
  <si>
    <t>egy.mit.scc.cost.lpg.all.2_EG4</t>
  </si>
  <si>
    <t>egy.mit.vat.cost.lpg.all.2_EG4</t>
  </si>
  <si>
    <t>egy.mit.rp.lpg.all.2_EG4</t>
  </si>
  <si>
    <t>egy.mit.tgap.lpg.all.2_EG4</t>
  </si>
  <si>
    <t>egy.mit.txo.co2e.lpg.all.1_EG4</t>
  </si>
  <si>
    <t>egy.mit.pig.lpg.all.2_EG4</t>
  </si>
  <si>
    <t>egy.mit.pig.co2e.lpg.all.2_EG4</t>
  </si>
  <si>
    <t>egy.mit.eff.price.ker.all.2_EG4</t>
  </si>
  <si>
    <t>egy.mit.sup.cost.ker.all.2_EG4</t>
  </si>
  <si>
    <t>egy.mit.airpol.cost.ker.all.2_EG4</t>
  </si>
  <si>
    <t>egy.mit.scc.cost.ker.all.2_EG4</t>
  </si>
  <si>
    <t>egy.mit.vat.cost.ker.all.2_EG4</t>
  </si>
  <si>
    <t>egy.mit.rp.ker.all.2_EG4</t>
  </si>
  <si>
    <t>egy.mit.tgap.ker.all.2_EG4</t>
  </si>
  <si>
    <t>egy.mit.txo.co2e.ker.all.1_EG4</t>
  </si>
  <si>
    <t>egy.mit.pig.ker.all.2_EG4</t>
  </si>
  <si>
    <t>egy.mit.pig.co2e.ker.all.2_EG4</t>
  </si>
  <si>
    <t>egy.mit.eff.price.coa.ind.2_EG4</t>
  </si>
  <si>
    <t>egy.mit.sup.cost.coa.ind.2_EG4</t>
  </si>
  <si>
    <t>egy.mit.airpol.cost.coa.ind.2_EG4</t>
  </si>
  <si>
    <t>egy.mit.scc.cost.coa.ind.2_EG4</t>
  </si>
  <si>
    <t>egy.mit.vat.cost.coa.ind.2_EG4</t>
  </si>
  <si>
    <t>egy.mit.rp.coa.ind.2_EG4</t>
  </si>
  <si>
    <t>egy.mit.tgap.coa.ind.2_EG4</t>
  </si>
  <si>
    <t>egy.mit.txo.co2e.coa.ind.1_EG4</t>
  </si>
  <si>
    <t>egy.mit.pig.coa.ind.2_EG4</t>
  </si>
  <si>
    <t>egy.mit.pig.co2e.coa.ind.2_EG4</t>
  </si>
  <si>
    <t>egy.mit.eff.price.coa.res.2_EG4</t>
  </si>
  <si>
    <t>egy.mit.sup.cost.coa.res.2_EG4</t>
  </si>
  <si>
    <t>egy.mit.airpol.cost.coa.res.2_EG4</t>
  </si>
  <si>
    <t>egy.mit.scc.cost.coa.res.2_EG4</t>
  </si>
  <si>
    <t>egy.mit.vat.cost.coa.res.2_EG4</t>
  </si>
  <si>
    <t>egy.mit.rp.coa.res.2_EG4</t>
  </si>
  <si>
    <t>egy.mit.tgap.coa.res.2_EG4</t>
  </si>
  <si>
    <t>egy.mit.txo.co2e.coa.res.1_EG4</t>
  </si>
  <si>
    <t>egy.mit.pig.coa.res.2_EG4</t>
  </si>
  <si>
    <t>egy.mit.pig.co2e.coa.res.2_EG4</t>
  </si>
  <si>
    <t>egy.mit.eff.price.coa.pow.2_EG4</t>
  </si>
  <si>
    <t>egy.mit.sup.cost.coa.pow.2_EG4</t>
  </si>
  <si>
    <t>egy.mit.airpol.cost.coa.pow.2_EG4</t>
  </si>
  <si>
    <t>egy.mit.scc.cost.coa.pow.2_EG4</t>
  </si>
  <si>
    <t>egy.mit.vat.cost.coa.pow.2_EG4</t>
  </si>
  <si>
    <t>egy.mit.rp.coa.pow.2_EG4</t>
  </si>
  <si>
    <t>egy.mit.tgap.coa.pow.2_EG4</t>
  </si>
  <si>
    <t>egy.mit.txo.co2e.coa.pow.1_EG4</t>
  </si>
  <si>
    <t>egy.mit.pig.coa.pow.2_EG4</t>
  </si>
  <si>
    <t>egy.mit.pig.co2e.coa.pow.2_EG4</t>
  </si>
  <si>
    <t>egy.mit.eff.price.nga.ind.2_EG4</t>
  </si>
  <si>
    <t>egy.mit.sup.cost.nga.ind.2_EG4</t>
  </si>
  <si>
    <t>egy.mit.airpol.cost.nga.ind.2_EG4</t>
  </si>
  <si>
    <t>egy.mit.scc.cost.nga.ind.2_EG4</t>
  </si>
  <si>
    <t>egy.mit.vat.cost.nga.ind.2_EG4</t>
  </si>
  <si>
    <t>egy.mit.rp.nga.ind.2_EG4</t>
  </si>
  <si>
    <t>egy.mit.tgap.nga.ind.2_EG4</t>
  </si>
  <si>
    <t>egy.mit.txo.co2e.nga.ind.1_EG4</t>
  </si>
  <si>
    <t>egy.mit.pig.nga.ind.2_EG4</t>
  </si>
  <si>
    <t>egy.mit.pig.co2e.nga.ind.2_EG4</t>
  </si>
  <si>
    <t>egy.mit.eff.price.nga.res.2_EG4</t>
  </si>
  <si>
    <t>egy.mit.sup.cost.nga.res.2_EG4</t>
  </si>
  <si>
    <t>egy.mit.airpol.cost.nga.res.2_EG4</t>
  </si>
  <si>
    <t>egy.mit.scc.cost.nga.res.2_EG4</t>
  </si>
  <si>
    <t>egy.mit.vat.cost.nga.res.2_EG4</t>
  </si>
  <si>
    <t>egy.mit.rp.nga.res.2_EG4</t>
  </si>
  <si>
    <t>egy.mit.tgap.nga.res.2_EG4</t>
  </si>
  <si>
    <t>egy.mit.txo.co2e.nga.res.1_EG4</t>
  </si>
  <si>
    <t>egy.mit.pig.nga.res.2_EG4</t>
  </si>
  <si>
    <t>egy.mit.pig.co2e.nga.res.2_EG4</t>
  </si>
  <si>
    <t>egy.mit.eff.price.nga.pow.2_EG4</t>
  </si>
  <si>
    <t>egy.mit.sup.cost.nga.pow.2_EG4</t>
  </si>
  <si>
    <t>egy.mit.airpol.cost.nga.pow.2_EG4</t>
  </si>
  <si>
    <t>egy.mit.scc.cost.nga.pow.2_EG4</t>
  </si>
  <si>
    <t>egy.mit.vat.cost.nga.pow.2_EG4</t>
  </si>
  <si>
    <t>egy.mit.rp.nga.pow.2_EG4</t>
  </si>
  <si>
    <t>egy.mit.tgap.nga.pow.2_EG4</t>
  </si>
  <si>
    <t>egy.mit.txo.co2e.nga.pow.1_EG4</t>
  </si>
  <si>
    <t>egy.mit.pig.nga.pow.2_EG4</t>
  </si>
  <si>
    <t>egy.mit.pig.co2e.nga.pow.2_EG4</t>
  </si>
  <si>
    <t>egy.mit.eff.price.ecy.ind.2_EG4</t>
  </si>
  <si>
    <t>egy.mit.sup.cost.ecy.ind.2_EG4</t>
  </si>
  <si>
    <t>egy.mit.airpol.cost.ecy.ind.2_EG4</t>
  </si>
  <si>
    <t>egy.mit.scc.cost.ecy.ind.2_EG4</t>
  </si>
  <si>
    <t>egy.mit.vat.cost.ecy.ind.2_EG4</t>
  </si>
  <si>
    <t>egy.mit.rp.ecy.ind.2_EG4</t>
  </si>
  <si>
    <t>egy.mit.tgap.ecy.ind.2_EG4</t>
  </si>
  <si>
    <t>egy.mit.txo.co2e.ecy.ind.1_EG4</t>
  </si>
  <si>
    <t>egy.mit.pig.ecy.ind.2_EG4</t>
  </si>
  <si>
    <t>egy.mit.pig.co2e.ecy.ind.2_EG4</t>
  </si>
  <si>
    <t>egy.mit.eff.price.ecy.res.2_EG4</t>
  </si>
  <si>
    <t>egy.mit.airpol.cost.ecy.res.2_EG4</t>
  </si>
  <si>
    <t>egy.mit.scc.cost.ecy.res.2_EG4</t>
  </si>
  <si>
    <t>egy.mit.vat.cost.ecy.res.2_EG4</t>
  </si>
  <si>
    <t>egy.mit.rp.ecy.res.2_EG4</t>
  </si>
  <si>
    <t>egy.mit.tgap.ecy.res.2_EG4</t>
  </si>
  <si>
    <t>egy.mit.txo.co2e.ecy.res.1_EG4</t>
  </si>
  <si>
    <t>egy.mit.pig.ecy.res.2_EG4</t>
  </si>
  <si>
    <t>egy.mit.pig.co2e.ecy.res.2_EG4</t>
  </si>
  <si>
    <t>egy.mit.pig.co2e.all.all.1_EG4</t>
  </si>
  <si>
    <t>egy.mit.pig.co2e.all.all.2_EG4</t>
  </si>
  <si>
    <t>egy.mit.app.gso.all.2_EG4</t>
  </si>
  <si>
    <t>egy.mit.app.die.all.2_EG4</t>
  </si>
  <si>
    <t>egy.mit.app.lpg.all.2_EG4</t>
  </si>
  <si>
    <t>egy.mit.app.ker.all.2_EG4</t>
  </si>
  <si>
    <t>egy.mit.app.coa.ind.2_EG4</t>
  </si>
  <si>
    <t>egy.mit.app.coa.res.2_EG4</t>
  </si>
  <si>
    <t>egy.mit.app.coa.pow.2_EG4</t>
  </si>
  <si>
    <t>egy.mit.app.nga.ind.2_EG4</t>
  </si>
  <si>
    <t>egy.mit.app.nga.res.2_EG4</t>
  </si>
  <si>
    <t>egy.mit.app.nga.pow.2_EG4</t>
  </si>
  <si>
    <t>egy.mit.app.co2e.all.all.1_EG4</t>
  </si>
  <si>
    <t>egy.mit.app.co2e.all.all.2_EG4</t>
  </si>
  <si>
    <t>egy.mit.scc.1_EG4</t>
  </si>
  <si>
    <t>egy.mit.ener.con.tot.1_EG4</t>
  </si>
  <si>
    <t>egy.mit.ener.con.coa.1_EG4</t>
  </si>
  <si>
    <t>egy.mit.ener.con.nga.1_EG4</t>
  </si>
  <si>
    <t>egy.mit.ener.con.oop.1_EG4</t>
  </si>
  <si>
    <t>egy.mit.ener.con.gso.1_EG4</t>
  </si>
  <si>
    <t>egy.mit.ener.con.die.1_EG4</t>
  </si>
  <si>
    <t>egy.mit.ener.con.lpg.1_EG4</t>
  </si>
  <si>
    <t>egy.mit.ener.con.ker.1_EG4</t>
  </si>
  <si>
    <t>egy.mit.ener.con.nuc.1_EG4</t>
  </si>
  <si>
    <t>egy.mit.ener.con.rnw.1_EG4</t>
  </si>
  <si>
    <t>egy.mit.ener.con.bio.1_EG4</t>
  </si>
  <si>
    <t>egy.mit.ener.con.tot.2_EG4</t>
  </si>
  <si>
    <t>egy.mit.ener.con.coa.2_EG4</t>
  </si>
  <si>
    <t>egy.mit.ener.con.nga.2_EG4</t>
  </si>
  <si>
    <t>egy.mit.ener.con.oop.2_EG4</t>
  </si>
  <si>
    <t>egy.mit.ener.con.gso.2_EG4</t>
  </si>
  <si>
    <t>egy.mit.ener.con.die.2_EG4</t>
  </si>
  <si>
    <t>egy.mit.ener.con.lpg.2_EG4</t>
  </si>
  <si>
    <t>egy.mit.ener.con.ker.2_EG4</t>
  </si>
  <si>
    <t>egy.mit.ener.con.nuc.2_EG4</t>
  </si>
  <si>
    <t>egy.mit.ener.con.rnw.2_EG4</t>
  </si>
  <si>
    <t>egy.mit.ener.con.bio.2_EG4</t>
  </si>
  <si>
    <t>egy.mit.ener.coa.pow.1_EG4</t>
  </si>
  <si>
    <t>egy.mit.ener.coa.tra.1_EG4</t>
  </si>
  <si>
    <t>egy.mit.ener.coa.res.1_EG4</t>
  </si>
  <si>
    <t>egy.mit.ener.coa.ind.1_EG4</t>
  </si>
  <si>
    <t>egy.mit.ener.coa.oen.1_EG4</t>
  </si>
  <si>
    <t>egy.mit.ener.nga.pow.1_EG4</t>
  </si>
  <si>
    <t>egy.mit.ener.nga.tra.1_EG4</t>
  </si>
  <si>
    <t>egy.mit.ener.nga.res.1_EG4</t>
  </si>
  <si>
    <t>egy.mit.ener.nga.ind.1_EG4</t>
  </si>
  <si>
    <t>egy.mit.ener.nga.oen.1_EG4</t>
  </si>
  <si>
    <t>egy.mit.ener.gso.pow.1_EG4</t>
  </si>
  <si>
    <t>egy.mit.ener.gso.tra.1_EG4</t>
  </si>
  <si>
    <t>egy.mit.ener.gso.res.1_EG4</t>
  </si>
  <si>
    <t>egy.mit.ener.gso.ind.1_EG4</t>
  </si>
  <si>
    <t>egy.mit.ener.gso.oen.1_EG4</t>
  </si>
  <si>
    <t>egy.mit.ener.die.pow.1_EG4</t>
  </si>
  <si>
    <t>egy.mit.ener.die.tra.1_EG4</t>
  </si>
  <si>
    <t>egy.mit.ener.die.res.1_EG4</t>
  </si>
  <si>
    <t>egy.mit.ener.die.ind.1_EG4</t>
  </si>
  <si>
    <t>egy.mit.ener.die.oen.1_EG4</t>
  </si>
  <si>
    <t>egy.mit.ener.lpg.pow.1_EG4</t>
  </si>
  <si>
    <t>egy.mit.ener.lpg.tra.1_EG4</t>
  </si>
  <si>
    <t>egy.mit.ener.lpg.res.1_EG4</t>
  </si>
  <si>
    <t>egy.mit.ener.lpg.ind.1_EG4</t>
  </si>
  <si>
    <t>egy.mit.ener.lpg.oen.1_EG4</t>
  </si>
  <si>
    <t>egy.mit.ener.ker.pow.1_EG4</t>
  </si>
  <si>
    <t>egy.mit.ener.ker.tra.1_EG4</t>
  </si>
  <si>
    <t>egy.mit.ener.ker.res.1_EG4</t>
  </si>
  <si>
    <t>egy.mit.ener.ker.ind.1_EG4</t>
  </si>
  <si>
    <t>egy.mit.ener.ker.oen.1_EG4</t>
  </si>
  <si>
    <t>egy.mit.ener.oop.pow.1_EG4</t>
  </si>
  <si>
    <t>egy.mit.ener.oop.tra.1_EG4</t>
  </si>
  <si>
    <t>egy.mit.ener.oop.res.1_EG4</t>
  </si>
  <si>
    <t>egy.mit.ener.oop.ind.1_EG4</t>
  </si>
  <si>
    <t>egy.mit.ener.oop.oen.1_EG4</t>
  </si>
  <si>
    <t>egy.mit.ener.tot.tot.1_EG4</t>
  </si>
  <si>
    <t>egy.mit.ener.bio.pow.1_EG4</t>
  </si>
  <si>
    <t>egy.mit.ener.bio.tra.1_EG4</t>
  </si>
  <si>
    <t>egy.mit.ener.bio.res.1_EG4</t>
  </si>
  <si>
    <t>egy.mit.ener.bio.ind.1_EG4</t>
  </si>
  <si>
    <t>egy.mit.ener.bio.oen.1_EG4</t>
  </si>
  <si>
    <t>egy.mit.ener.con.nrn.1_EG4</t>
  </si>
  <si>
    <t>egy.mit.ener.coa.pow.2_EG4</t>
  </si>
  <si>
    <t>egy.mit.ener.coa.tra.2_EG4</t>
  </si>
  <si>
    <t>egy.mit.ener.coa.res.2_EG4</t>
  </si>
  <si>
    <t>egy.mit.ener.coa.ind.2_EG4</t>
  </si>
  <si>
    <t>egy.mit.ener.coa.oen.2_EG4</t>
  </si>
  <si>
    <t>egy.mit.ener.nga.pow.2_EG4</t>
  </si>
  <si>
    <t>egy.mit.ener.nga.tra.2_EG4</t>
  </si>
  <si>
    <t>egy.mit.ener.nga.res.2_EG4</t>
  </si>
  <si>
    <t>egy.mit.ener.nga.ind.2_EG4</t>
  </si>
  <si>
    <t>egy.mit.ener.nga.oen.2_EG4</t>
  </si>
  <si>
    <t>egy.mit.ener.gso.pow.2_EG4</t>
  </si>
  <si>
    <t>egy.mit.ener.gso.tra.2_EG4</t>
  </si>
  <si>
    <t>egy.mit.ener.gso.res.2_EG4</t>
  </si>
  <si>
    <t>egy.mit.ener.gso.ind.2_EG4</t>
  </si>
  <si>
    <t>egy.mit.ener.gso.oen.2_EG4</t>
  </si>
  <si>
    <t>egy.mit.ener.die.pow.2_EG4</t>
  </si>
  <si>
    <t>egy.mit.ener.die.tra.2_EG4</t>
  </si>
  <si>
    <t>egy.mit.ener.die.res.2_EG4</t>
  </si>
  <si>
    <t>egy.mit.ener.die.ind.2_EG4</t>
  </si>
  <si>
    <t>egy.mit.ener.die.oen.2_EG4</t>
  </si>
  <si>
    <t>egy.mit.ener.lpg.pow.2_EG4</t>
  </si>
  <si>
    <t>egy.mit.ener.lpg.tra.2_EG4</t>
  </si>
  <si>
    <t>egy.mit.ener.lpg.res.2_EG4</t>
  </si>
  <si>
    <t>egy.mit.ener.lpg.ind.2_EG4</t>
  </si>
  <si>
    <t>egy.mit.ener.lpg.oen.2_EG4</t>
  </si>
  <si>
    <t>egy.mit.ener.ker.pow.2_EG4</t>
  </si>
  <si>
    <t>egy.mit.ener.ker.tra.2_EG4</t>
  </si>
  <si>
    <t>egy.mit.ener.ker.res.2_EG4</t>
  </si>
  <si>
    <t>egy.mit.ener.ker.ind.2_EG4</t>
  </si>
  <si>
    <t>egy.mit.ener.ker.oen.2_EG4</t>
  </si>
  <si>
    <t>egy.mit.ener.oop.pow.2_EG4</t>
  </si>
  <si>
    <t>egy.mit.ener.oop.tra.2_EG4</t>
  </si>
  <si>
    <t>egy.mit.ener.oop.res.2_EG4</t>
  </si>
  <si>
    <t>egy.mit.ener.oop.ind.2_EG4</t>
  </si>
  <si>
    <t>egy.mit.ener.oop.oen.2_EG4</t>
  </si>
  <si>
    <t>egy.mit.ener.tot.tot.2_EG4</t>
  </si>
  <si>
    <t>egy.mit.ener.bio.pow.2_EG4</t>
  </si>
  <si>
    <t>egy.mit.ener.bio.tra.2_EG4</t>
  </si>
  <si>
    <t>egy.mit.ener.bio.res.2_EG4</t>
  </si>
  <si>
    <t>egy.mit.ener.bio.ind.2_EG4</t>
  </si>
  <si>
    <t>egy.mit.ener.bio.oen.2_EG4</t>
  </si>
  <si>
    <t>egy.mit.ener.con.nrn.2_EG4</t>
  </si>
  <si>
    <t>egy.mit.elec.twh.tot.1_EG4</t>
  </si>
  <si>
    <t>egy.mit.elec.twh.coa.1_EG4</t>
  </si>
  <si>
    <t>egy.mit.elec.twh.nga.1_EG4</t>
  </si>
  <si>
    <t>egy.mit.elec.twh.oop.1_EG4</t>
  </si>
  <si>
    <t>egy.mit.elec.twh.nuc.1_EG4</t>
  </si>
  <si>
    <t>egy.mit.elec.twh.wnd.1_EG4</t>
  </si>
  <si>
    <t>egy.mit.elec.twh.sol.1_EG4</t>
  </si>
  <si>
    <t>egy.mit.elec.twh.hyd.1_EG4</t>
  </si>
  <si>
    <t>egy.mit.elec.twh.ore.1_EG4</t>
  </si>
  <si>
    <t>egy.mit.elec.twh.bio.1_EG4</t>
  </si>
  <si>
    <t>egy.mit.elec.twh.ren.1_EG4</t>
  </si>
  <si>
    <t>egy.mit.elec.twh.tot.2_EG4</t>
  </si>
  <si>
    <t>egy.mit.elec.twh.coa.2_EG4</t>
  </si>
  <si>
    <t>egy.mit.elec.twh.nga.2_EG4</t>
  </si>
  <si>
    <t>egy.mit.elec.twh.oop.2_EG4</t>
  </si>
  <si>
    <t>egy.mit.elec.twh.nuc.2_EG4</t>
  </si>
  <si>
    <t>egy.mit.elec.twh.wnd.2_EG4</t>
  </si>
  <si>
    <t>egy.mit.elec.twh.sol.2_EG4</t>
  </si>
  <si>
    <t>egy.mit.elec.twh.hyd.2_EG4</t>
  </si>
  <si>
    <t>egy.mit.elec.twh.ore.2_EG4</t>
  </si>
  <si>
    <t>egy.mit.elec.twh.bio.2_EG4</t>
  </si>
  <si>
    <t>egy.mit.elec.twh.ren.2_EG4</t>
  </si>
  <si>
    <t>egy.mit.ener.rod.nga.pass.e.2_EG4</t>
  </si>
  <si>
    <t>egy.mit.tot.rod.nga.e.2_EG4</t>
  </si>
  <si>
    <t>0_EG4</t>
  </si>
  <si>
    <t>egy.mit.tot.rod.ele.e.2_EG4</t>
  </si>
  <si>
    <t>egy.mit.pass.vkt.all.e.2_EG4</t>
  </si>
  <si>
    <t>egy.mit.fre.vkt.all.e.2_EG4</t>
  </si>
  <si>
    <t>egy.mit.motor.vkt.all.e.2_EG4</t>
  </si>
  <si>
    <t>egy.mit.fecon.die.all.e.2_EG4</t>
  </si>
  <si>
    <t>egy.mit.fecon.lpg.all.e.2_EG4</t>
  </si>
  <si>
    <t>Output Code_EG4</t>
  </si>
  <si>
    <t>egy.mit.atp.rod.coa.e.2_EG4</t>
  </si>
  <si>
    <t>egy.mit.atp.rod.nga.e.2_EG4</t>
  </si>
  <si>
    <t>egy.mit.atp.rod.gso.e.2_EG4</t>
  </si>
  <si>
    <t>egy.mit.atp.ral.oop.e.2_EG4</t>
  </si>
  <si>
    <t>egy.mit.atp.ral.bio.e.2_EG4</t>
  </si>
  <si>
    <t>egy.mit.atp.ral.ren.e.2_EG4</t>
  </si>
  <si>
    <t>egy.mit.ener.ral.coa.e.2_EG4</t>
  </si>
  <si>
    <t>egy.mit.ener.ral.nga.e.2_EG4</t>
  </si>
  <si>
    <t>egy.mit.ener.ral.gso.e.2_EG4</t>
  </si>
  <si>
    <t>egy.mit.ener.ral.die.e.2_EG4</t>
  </si>
  <si>
    <t>egy.mit.ener.nav.nga.e.2_EG4</t>
  </si>
  <si>
    <t>egy.mit.ener.nav.gso.e.2_EG4</t>
  </si>
  <si>
    <t>egy.mit.ener.nav.die.e.2_EG4</t>
  </si>
  <si>
    <t>egy.mit.ener.nav.lpg.e.2_EG4</t>
  </si>
  <si>
    <t>egy.mit.ener.nav.ker.e.2_EG4</t>
  </si>
  <si>
    <t>egy.mit.ener.nav.oop.e.2_EG4</t>
  </si>
  <si>
    <t>egy.mit.ener.nav.bio.e.2_EG4</t>
  </si>
  <si>
    <t>egy.mit.ener.nav.ren.e.2_EG4</t>
  </si>
  <si>
    <t>egy.mit.ener.nav.tot.e.2_EG4</t>
  </si>
  <si>
    <t>egy.mit.ener.tra.tot.e.2_EG4</t>
  </si>
  <si>
    <t>egy.mit.atp.res.coa.e.2_EG4</t>
  </si>
  <si>
    <t>egy.mit.atp.foo.oop.e.2_EG4</t>
  </si>
  <si>
    <t>egy.mit.atp.foo.bio.e.2_EG4</t>
  </si>
  <si>
    <t>egy.mit.atp.foo.ren.e.2_EG4</t>
  </si>
  <si>
    <t>egy.mit.ener.foo.coa.e.2_EG4</t>
  </si>
  <si>
    <t>egy.mit.ener.foo.nga.e.2_EG4</t>
  </si>
  <si>
    <t>egy.mit.ener.foo.gso.e.2_EG4</t>
  </si>
  <si>
    <t>egy.mit.ener.foo.die.e.2_EG4</t>
  </si>
  <si>
    <t>egy.mit.atp.srv.oop.e.2_EG4</t>
  </si>
  <si>
    <t>egy.mit.atp.srv.bio.e.2_EG4</t>
  </si>
  <si>
    <t>egy.mit.atp.srv.ren.e.2_EG4</t>
  </si>
  <si>
    <t>egy.mit.ener.srv.coa.e.2_EG4</t>
  </si>
  <si>
    <t>egy.mit.ener.srv.nga.e.2_EG4</t>
  </si>
  <si>
    <t>egy.mit.ener.srv.gso.e.2_EG4</t>
  </si>
  <si>
    <t>egy.mit.ener.srv.die.e.2_EG4</t>
  </si>
  <si>
    <t>egy.mit.ener.srv.tot.e.2_EG4</t>
  </si>
  <si>
    <t>egy.mit.ener.res.tot.e.2_EG4</t>
  </si>
  <si>
    <t>egy.mit.ener.mch.coa.e.2_EG4</t>
  </si>
  <si>
    <t>egy.mit.ener.mch.nga.e.2_EG4</t>
  </si>
  <si>
    <t>egy.mit.ener.mch.gso.e.2_EG4</t>
  </si>
  <si>
    <t>egy.mit.ener.mch.die.e.2_EG4</t>
  </si>
  <si>
    <t>egy.mit.ener.mch.lpg.e.2_EG4</t>
  </si>
  <si>
    <t>egy.mit.ener.mch.ker.e.2_EG4</t>
  </si>
  <si>
    <t>egy.mit.ener.mch.oop.e.2_EG4</t>
  </si>
  <si>
    <t>egy.mit.ener.mch.bio.e.2_EG4</t>
  </si>
  <si>
    <t>egy.mit.ener.mch.ren.e.2_EG4</t>
  </si>
  <si>
    <t>egy.mit.ener.irn.coa.e.2_EG4</t>
  </si>
  <si>
    <t>egy.mit.ener.irn.nga.e.2_EG4</t>
  </si>
  <si>
    <t>egy.mit.ener.irn.gso.e.2_EG4</t>
  </si>
  <si>
    <t>egy.mit.ener.irn.die.e.2_EG4</t>
  </si>
  <si>
    <t>egy.mit.ener.irn.lpg.e.2_EG4</t>
  </si>
  <si>
    <t>egy.mit.ener.irn.ker.e.2_EG4</t>
  </si>
  <si>
    <t>egy.mit.ener.irn.oop.e.2_EG4</t>
  </si>
  <si>
    <t>egy.mit.ener.irn.bio.e.2_EG4</t>
  </si>
  <si>
    <t>egy.mit.ener.irn.ren.e.2_EG4</t>
  </si>
  <si>
    <t>egy.mit.ener.nfm.coa.e.2_EG4</t>
  </si>
  <si>
    <t>egy.mit.ener.nfm.nga.e.2_EG4</t>
  </si>
  <si>
    <t>egy.mit.ener.nfm.gso.e.2_EG4</t>
  </si>
  <si>
    <t>egy.mit.ener.nfm.die.e.2_EG4</t>
  </si>
  <si>
    <t>egy.mit.ener.nfm.lpg.e.2_EG4</t>
  </si>
  <si>
    <t>egy.mit.ener.nfm.ker.e.2_EG4</t>
  </si>
  <si>
    <t>egy.mit.ener.nfm.oop.e.2_EG4</t>
  </si>
  <si>
    <t>egy.mit.ener.nfm.bio.e.2_EG4</t>
  </si>
  <si>
    <t>egy.mit.ener.nfm.ren.e.2_EG4</t>
  </si>
  <si>
    <t>egy.mit.ener.mac.coa.e.2_EG4</t>
  </si>
  <si>
    <t>egy.mit.ener.mac.nga.e.2_EG4</t>
  </si>
  <si>
    <t>egy.mit.ener.mac.gso.e.2_EG4</t>
  </si>
  <si>
    <t>egy.mit.ener.mac.die.e.2_EG4</t>
  </si>
  <si>
    <t>egy.mit.ener.mac.lpg.e.2_EG4</t>
  </si>
  <si>
    <t>egy.mit.ener.mac.ker.e.2_EG4</t>
  </si>
  <si>
    <t>egy.mit.ener.mac.oop.e.2_EG4</t>
  </si>
  <si>
    <t>egy.mit.ener.mac.bio.e.2_EG4</t>
  </si>
  <si>
    <t>egy.mit.ener.mac.ren.e.2_EG4</t>
  </si>
  <si>
    <t>egy.mit.ener.foo.ecy.t.2_EG4</t>
  </si>
  <si>
    <t>egy.mit.nxp.ecy.2_EG4</t>
  </si>
  <si>
    <t>egy.mit.tsd.ecy.2_EG4</t>
  </si>
  <si>
    <t>egy.mit.eou.ecy.2_EG4</t>
  </si>
  <si>
    <t>CPAT Code_EG4</t>
  </si>
  <si>
    <t>egy.mit.ener.rod.ecy.t.2_EG4</t>
  </si>
  <si>
    <t>egy.mit.ener.ral.ecy.t.2_EG4</t>
  </si>
  <si>
    <t>egy.mit.ener.avi.ecy.t.2_EG4</t>
  </si>
  <si>
    <t>egy.mit.ener.nav.ecy.t.2_EG4</t>
  </si>
  <si>
    <t>egy.mit.ener.srv.ecy.t.2_EG4</t>
  </si>
  <si>
    <t>egy.mit.ener.em.ngaoil.e.2_EG4</t>
  </si>
  <si>
    <t>egy.mit.ener.em.coa.e.2_EG4</t>
  </si>
  <si>
    <t>egy.mit.rev.new.coa.usd.2_EG4</t>
  </si>
  <si>
    <t>egy.mit.rev.new.nga.usd.2_EG4</t>
  </si>
  <si>
    <t>egy.mit.rev.new.oil.usd.2_EG4</t>
  </si>
  <si>
    <t>egy.mit.rev.new.gso.usd.2_EG4</t>
  </si>
  <si>
    <t>egy.mit.rev.new.die.usd.2_EG4</t>
  </si>
  <si>
    <t>egy.mit.rev.new.lpk.usd.2_EG4</t>
  </si>
  <si>
    <t>egy.mit.rev.tot.usd.1_EG4</t>
  </si>
  <si>
    <t>egy.mit.rev.tot.coa.usd.1_EG4</t>
  </si>
  <si>
    <t>egy.mit.rev.tot.nga.usd.1_EG4</t>
  </si>
  <si>
    <t>egy.mit.rev.tot.oil.usd.1_EG4</t>
  </si>
  <si>
    <t>egy.mit.rev.tot.gso.usd.1_EG4</t>
  </si>
  <si>
    <t>egy.mit.rev.tot.die.usd.1_EG4</t>
  </si>
  <si>
    <t>egy.mit.rev.tot.lpk.usd.1_EG4</t>
  </si>
  <si>
    <t>egy.mit.sub.ren.usd.1_EG4</t>
  </si>
  <si>
    <t>egy.mit.rev.tot.ecy.usd.1_EG4</t>
  </si>
  <si>
    <t>egy.mit.rev.tot.usd.2_EG4</t>
  </si>
  <si>
    <t>egy.mit.rev.tot.coa.usd.2_EG4</t>
  </si>
  <si>
    <t>egy.mit.rev.tot.nga.usd.2_EG4</t>
  </si>
  <si>
    <t>egy.mit.rev.tot.oil.usd.2_EG4</t>
  </si>
  <si>
    <t>egy.mit.rev.tot.gso.usd.2_EG4</t>
  </si>
  <si>
    <t>egy.mit.rev.tot.die.usd.2_EG4</t>
  </si>
  <si>
    <t>egy.mit.rev.tot.lpk.usd.2_EG4</t>
  </si>
  <si>
    <t>egy.mit.sub.ren.usd.2_EG4</t>
  </si>
  <si>
    <t>egy.mit.rev.tot.ecy.usd.2_EG4</t>
  </si>
  <si>
    <t>egy.air.con.pm2.oap.urb.1_EG4</t>
  </si>
  <si>
    <t>egy.air.con.pm2.oap.rur.1_EG4</t>
  </si>
  <si>
    <t>egy.air.con.pm2.oap.urb.2_EG4</t>
  </si>
  <si>
    <t>egy.air.con.pm2.oap.rur.2_EG4</t>
  </si>
  <si>
    <t>egy.air.con.pm2.mod.all.1_EG4</t>
  </si>
  <si>
    <t>egy.air.con.pm2.obs.all.1_EG4</t>
  </si>
  <si>
    <t>who_guidelines_EG4</t>
  </si>
  <si>
    <t>egy.air.cad.ao3_EG4</t>
  </si>
  <si>
    <t>egy.air.cad.apm25_EG4</t>
  </si>
  <si>
    <t>egy.air.cad.hpm25_EG4</t>
  </si>
  <si>
    <t>egy.air.cad.net_EG4</t>
  </si>
  <si>
    <t>egy.air.ada.2464_EG4</t>
  </si>
  <si>
    <t>egy.air.ada.65_EG4</t>
  </si>
  <si>
    <t>egy.air.ada.u24_EG4</t>
  </si>
  <si>
    <t>egy.air.av.yll_EG4</t>
  </si>
  <si>
    <t>egy.air.av.yld_EG4</t>
  </si>
  <si>
    <t>egy.air.mort_EG4</t>
  </si>
  <si>
    <t>egy.air.ext.pp.coa_EG4</t>
  </si>
  <si>
    <t>egy.air.ext.pp.gas_EG4</t>
  </si>
  <si>
    <t>egy.air.ext.pp.oil_EG4</t>
  </si>
  <si>
    <t>egy.air.ext.ind.coa_EG4</t>
  </si>
  <si>
    <t>egy.air.ext.ind.gas_EG4</t>
  </si>
  <si>
    <t>egy.air.ext.ind.oil_EG4</t>
  </si>
  <si>
    <t>egy.air.ext.tra.gso_EG4</t>
  </si>
  <si>
    <t>egy.air.ext.tra.die_EG4</t>
  </si>
  <si>
    <t>egy.air.gdp.loss_EG4</t>
  </si>
  <si>
    <t>egy.air.gdp.loss.ch_EG4</t>
  </si>
  <si>
    <t>egy.mit.airpol.cost.coa.ind.1_EG4</t>
  </si>
  <si>
    <t>egy.mit.airpol.cost.coa.res.1_EG4</t>
  </si>
  <si>
    <t>egy.mit.airpol.cost.coa.pow.1_EG4</t>
  </si>
  <si>
    <t>egy.mit.airpol.cost.nga.ind.1_EG4</t>
  </si>
  <si>
    <t>egy.mit.airpol.cost.nga.res.1_EG4</t>
  </si>
  <si>
    <t>egy.mit.airpol.cost.nga.pow.1_EG4</t>
  </si>
  <si>
    <t>egy.mit.airpol.cost.gso.1_EG4</t>
  </si>
  <si>
    <t>egy.mit.airpol.cost.die.1_EG4</t>
  </si>
  <si>
    <t>egy.mit.airpol.cost.lpg.1_EG4</t>
  </si>
  <si>
    <t>egy.mit.airpol.cost.ker.1_EG4</t>
  </si>
  <si>
    <t>egy.air.sav.the.gov_EG4</t>
  </si>
  <si>
    <t>egy.air.sav.the.ppr_EG4</t>
  </si>
  <si>
    <t>egy.air.sav.the.opo_EG4</t>
  </si>
  <si>
    <t>egy.air.sav.the.das_EG4</t>
  </si>
  <si>
    <t>egy.dth.ktoe.pow.coa.1_EG4</t>
  </si>
  <si>
    <t>egy.dth.ktoe.pow.nga.1_EG4</t>
  </si>
  <si>
    <t>egy.dth.ktoe.pow.opp.1_EG4</t>
  </si>
  <si>
    <t>egy.dth.ktoe.rod.gso.1_EG4</t>
  </si>
  <si>
    <t>egy.dth.ktoe.rod.die.1_EG4</t>
  </si>
  <si>
    <t>egy.dth.ktoe.ind.coa.1_EG4</t>
  </si>
  <si>
    <t>egy.dth.ktoe.ind.oop.1_EG4</t>
  </si>
  <si>
    <t>egy.dth.ktoe.ind.nga.1_EG4</t>
  </si>
  <si>
    <t>egy.dth.ktoe.res.nga.1_EG4</t>
  </si>
  <si>
    <t>egy.air.conc.pm2.cpp.1_EG4</t>
  </si>
  <si>
    <t>egy.air.conc.pm2.gpp.1_EG4</t>
  </si>
  <si>
    <t>egy.air.conc.pm2.opp.1_EG4</t>
  </si>
  <si>
    <t>egy.air.conc.pm2.rod.1_EG4</t>
  </si>
  <si>
    <t>egy.air.conc.pm2.gro.1_EG4</t>
  </si>
  <si>
    <t>egy.air.conc.pm2.oth.1_EG4</t>
  </si>
  <si>
    <t>egy.air.conc.pm2.foo.1_EG4</t>
  </si>
  <si>
    <t>egy.air.conc.pm2.tot.1_EG4</t>
  </si>
  <si>
    <t>egy.air.conc.pm2.cpp.2_EG4</t>
  </si>
  <si>
    <t>egy.air.conc.pm2.gpp.2_EG4</t>
  </si>
  <si>
    <t>egy.air.conc.pm2.opp.2_EG4</t>
  </si>
  <si>
    <t>egy.air.conc.pm2.rod.2_EG4</t>
  </si>
  <si>
    <t>egy.air.conc.pm2.gro.2_EG4</t>
  </si>
  <si>
    <t>egy.air.conc.pm2.oth.2_EG4</t>
  </si>
  <si>
    <t>egy.air.conc.pm2.foo.2_EG4</t>
  </si>
  <si>
    <t>egy.air.conc.pm2.tot.2_EG4</t>
  </si>
  <si>
    <t>egy.mit.cc.code.coa.1_EG4</t>
  </si>
  <si>
    <t>egy.mit.cc.code.nga.1_EG4</t>
  </si>
  <si>
    <t>egy.mit.cc.code.gso.1_EG4</t>
  </si>
  <si>
    <t>egy.mit.cc.code.die.1_EG4</t>
  </si>
  <si>
    <t>egy.mit.cc.code.lpg.1_EG4</t>
  </si>
  <si>
    <t>egy.mit.cc.code.ker.1_EG4</t>
  </si>
  <si>
    <t>egy.tran.vmt.1_EG4</t>
  </si>
  <si>
    <t>egy.tran.vmt.2_EG4</t>
  </si>
  <si>
    <t>egy.tran.deaths.1_EG4</t>
  </si>
  <si>
    <t>egy.tran.deaths.2_EG4</t>
  </si>
  <si>
    <t>egy.tran.acc.avd.cum.2_EG4</t>
  </si>
  <si>
    <t>egy.tran.congestionP.1_EG4</t>
  </si>
  <si>
    <t>egy.tran.congestionP.2_EG4</t>
  </si>
  <si>
    <t>egy.tran.acc.cost.gso.1_EG4</t>
  </si>
  <si>
    <t>egy.tran.acc.cost.die.1_EG4</t>
  </si>
  <si>
    <t>egy.tran.con.cost.gso.1_EG4</t>
  </si>
  <si>
    <t>egy.tran.con.cost.die.1_EG4</t>
  </si>
  <si>
    <t>egy.tran.rdm.cost.gso.1_EG4</t>
  </si>
  <si>
    <t>egy.tran.rdm.cost.die.1_EG4</t>
  </si>
  <si>
    <t>egy.mit.wel.cli.usd_EG4</t>
  </si>
  <si>
    <t>egy.mit.wel.air.usd_EG4</t>
  </si>
  <si>
    <t>egy.mit.wel.rod.aci.usd_EG4</t>
  </si>
  <si>
    <t>egy.mit.wel.rod.con.usd_EG4</t>
  </si>
  <si>
    <t>egy.mit.wel.eco.dwl.usd_EG4</t>
  </si>
  <si>
    <t>egy.mit.wel.tot.tot_EG4</t>
  </si>
  <si>
    <t>egy.mit.wel.cli.pct_EG4</t>
  </si>
  <si>
    <t>egy.mit.wel.air.pct_EG4</t>
  </si>
  <si>
    <t>egy.mit.wel.rod.pct_EG4</t>
  </si>
  <si>
    <t>egy.mit.wel.eco.dwl.pct_EG4</t>
  </si>
  <si>
    <t>egy.mit.wel.tot.pct_EG4</t>
  </si>
  <si>
    <t>egy.distn.tef.tot.dec.rur_EG4</t>
  </si>
  <si>
    <t>egy.distn.tef.tot.dec.urb_EG4</t>
  </si>
  <si>
    <t>egy.distn.def.tot.dec.ove_EG4</t>
  </si>
  <si>
    <t>egy.distn.def.coa.dec.ove_EG4</t>
  </si>
  <si>
    <t>egy.distn.def.ely.dec.ove_EG4</t>
  </si>
  <si>
    <t>egy.distn.def.nga.dec.ove_EG4</t>
  </si>
  <si>
    <t>egy.distn.def.oil.dec.ove_EG4</t>
  </si>
  <si>
    <t>egy.distn.def.gso.dec.ove_EG4</t>
  </si>
  <si>
    <t>egy.distn.def.die.dec.ove_EG4</t>
  </si>
  <si>
    <t>egy.distn.def.ker.dec.ove_EG4</t>
  </si>
  <si>
    <t>egy.distn.def.lpg.dec.ove_EG4</t>
  </si>
  <si>
    <t>egy.distn.ief.tot.dec.ove_EG4</t>
  </si>
  <si>
    <t>egy.distn.ief.app.dec.ove_EG4</t>
  </si>
  <si>
    <t>egy.distn.ief.che.dec.ove_EG4</t>
  </si>
  <si>
    <t>egy.distn.ief.clo.dec.ove_EG4</t>
  </si>
  <si>
    <t>egy.distn.ief.com.dec.ove_EG4</t>
  </si>
  <si>
    <t>egy.distn.ief.edu.dec.ove_EG4</t>
  </si>
  <si>
    <t>egy.distn.ief.food.dec.ove_EG4</t>
  </si>
  <si>
    <t>egy.distn.ief.hea.dec.ove_EG4</t>
  </si>
  <si>
    <t>egy.distn.ief.hou.dec.ove_EG4</t>
  </si>
  <si>
    <t>egy.distn.ief.oth.dec.ove_EG4</t>
  </si>
  <si>
    <t>egy.distn.ief.pap.dec.ove_EG4</t>
  </si>
  <si>
    <t>egy.distn.ief.pha.dec.ove_EG4</t>
  </si>
  <si>
    <t>egy.distn.ief.ret.dec.ove_EG4</t>
  </si>
  <si>
    <t>egy.distn.ief.teq.dec.ove_EG4</t>
  </si>
  <si>
    <t>egy.distn.ief.tpu.dec.ove_EG4</t>
  </si>
  <si>
    <t>egy.distn.bsh.coa.dec.ove_EG4</t>
  </si>
  <si>
    <t>egy.distn.bsh.ely.dec.ove_EG4</t>
  </si>
  <si>
    <t>egy.distn.bsh.nga.dec.ove_EG4</t>
  </si>
  <si>
    <t>egy.distn.bsh.oil.dec.ove_EG4</t>
  </si>
  <si>
    <t>egy.distn.bsh.gso.dec.ove_EG4</t>
  </si>
  <si>
    <t>egy.distn.bsh.die.dec.ove_EG4</t>
  </si>
  <si>
    <t>egy.distn.bsh.ker.dec.ove_EG4</t>
  </si>
  <si>
    <t>egy.distn.bsh.lpg.dec.ove_EG4</t>
  </si>
  <si>
    <t>egy.distn.bsh.ccl.dec.ove_EG4</t>
  </si>
  <si>
    <t>egy.distn.bsh.ethanol.dec.ove_EG4</t>
  </si>
  <si>
    <t>egy.distn.bsh.fwd.dec.ove_EG4</t>
  </si>
  <si>
    <t>egy.distn.bsh.app.dec.ove_EG4</t>
  </si>
  <si>
    <t>egy.distn.bsh.che.dec.ove_EG4</t>
  </si>
  <si>
    <t>egy.distn.bsh.clo.dec.ove_EG4</t>
  </si>
  <si>
    <t>egy.distn.bsh.com.dec.ove_EG4</t>
  </si>
  <si>
    <t>egy.distn.bsh.edu.dec.ove_EG4</t>
  </si>
  <si>
    <t>egy.distn.bsh.food.dec.ove_EG4</t>
  </si>
  <si>
    <t>egy.distn.bsh.hea.dec.ove_EG4</t>
  </si>
  <si>
    <t>egy.distn.bsh.hou.dec.ove_EG4</t>
  </si>
  <si>
    <t>egy.distn.bsh.oth.dec.ove_EG4</t>
  </si>
  <si>
    <t>egy.distn.bsh.pap.dec.ove_EG4</t>
  </si>
  <si>
    <t>egy.distn.bsh.pha.dec.ove_EG4</t>
  </si>
  <si>
    <t>egy.distn.bsh.ret.dec.ove_EG4</t>
  </si>
  <si>
    <t>egy.distn.bsh.teq.dec.ove_EG4</t>
  </si>
  <si>
    <t>egy.distn.bsh.tpu.dec.ove_EG4</t>
  </si>
  <si>
    <t>egy.distn.cons_pc_na.dec.ove_EG4</t>
  </si>
  <si>
    <t>egy.distn.tot_cons_na.dec.ove_EG4</t>
  </si>
  <si>
    <t>egy.distn.pop_tot_adj.dec.ove_EG4</t>
  </si>
  <si>
    <t>egy.distn.pctrev_comp.dec.rur_EG4</t>
  </si>
  <si>
    <t>egy.distn.pctrev_comp.dec.urb_EG4</t>
  </si>
  <si>
    <t>egy.distn.pctrev_comp.dec.ove_EG4</t>
  </si>
  <si>
    <t>egy.distn.pct_gini_norec.dec.ove_EG4</t>
  </si>
  <si>
    <t>egy.distn.pct_gini_norec.dec.urb_EG4</t>
  </si>
  <si>
    <t>egy.distn.pct_gini_norec.dec.rur_EG4</t>
  </si>
  <si>
    <t>egy.distn.pct_gini_rec.dec.ove_EG4</t>
  </si>
  <si>
    <t>egy.distn.pct_gini_rec.dec.urb_EG4</t>
  </si>
  <si>
    <t>egy.distn.pct_gini_rec.dec.rur_EG4</t>
  </si>
  <si>
    <t>egy.distn.dpr.coa.res_EG4</t>
  </si>
  <si>
    <t>egy.distn.dpr.ely.res_EG4</t>
  </si>
  <si>
    <t>egy.distn.dpr.nga.res_EG4</t>
  </si>
  <si>
    <t>egy.distn.dpr.oop.res_EG4</t>
  </si>
  <si>
    <t>egy.distn.dpr.gso.res_EG4</t>
  </si>
  <si>
    <t>egy.distn.dpr.die.res_EG4</t>
  </si>
  <si>
    <t>egy.distn.dpr.ker.res_EG4</t>
  </si>
  <si>
    <t>egy.distn.dpr.lpg.res_EG4</t>
  </si>
  <si>
    <t>egy.distn.dpr.app_EG4</t>
  </si>
  <si>
    <t>egy.distn.dpr.che_EG4</t>
  </si>
  <si>
    <t>egy.distn.dpr.clo_EG4</t>
  </si>
  <si>
    <t>egy.distn.dpr.com_EG4</t>
  </si>
  <si>
    <t>egy.distn.dpr.edu_EG4</t>
  </si>
  <si>
    <t>egy.distn.dpr.food_EG4</t>
  </si>
  <si>
    <t>egy.distn.dpr.hea_EG4</t>
  </si>
  <si>
    <t>egy.distn.dpr.hou_EG4</t>
  </si>
  <si>
    <t>egy.distn.dpr.oth_EG4</t>
  </si>
  <si>
    <t>egy.distn.dpr.pap_EG4</t>
  </si>
  <si>
    <t>egy.distn.dpr.pha_EG4</t>
  </si>
  <si>
    <t>egy.distn.dpr.ret_EG4</t>
  </si>
  <si>
    <t>egy.distn.dpr.teq_EG4</t>
  </si>
  <si>
    <t>egy.distn.dpr.tpu_EG4</t>
  </si>
  <si>
    <t>egy.distn.pit.tot.dec.ove_EG4</t>
  </si>
  <si>
    <t>egy.distn.pui.tot.dec.ove_EG4</t>
  </si>
  <si>
    <t>egy.distn.cts.tot.dec.ove_EG4</t>
  </si>
  <si>
    <t>egy.distn.tgt.tot.dec.ove_EG4</t>
  </si>
  <si>
    <t>egy.distn.tef.tot.dec.ove_EG4</t>
  </si>
  <si>
    <t>dist.year_EG4</t>
  </si>
  <si>
    <t>dist.stat_EG4</t>
  </si>
  <si>
    <t>egy.ppic.avi_EG4</t>
  </si>
  <si>
    <t>egy.ppic.foo_EG4</t>
  </si>
  <si>
    <t>egy.ppic.srv_EG4</t>
  </si>
  <si>
    <t>egy.ppic.con_EG4</t>
  </si>
  <si>
    <t>egy.ppic.mac_EG4</t>
  </si>
  <si>
    <t>egy.ppic.irn_EG4</t>
  </si>
  <si>
    <t>egy.ppic.man_EG4</t>
  </si>
  <si>
    <t>egy.ppic.oth_EG4</t>
  </si>
  <si>
    <t>egy.ppic.cem_EG4</t>
  </si>
  <si>
    <t>egy.ppic.shi_EG4</t>
  </si>
  <si>
    <t>egy.ppic.res_EG4</t>
  </si>
  <si>
    <t>egy.ppic.fuel_EG4</t>
  </si>
  <si>
    <t>egy.outpriin.avi_EG4</t>
  </si>
  <si>
    <t>egy.outpriin.shi_EG4</t>
  </si>
  <si>
    <t>egy.outpriin.cem_EG4</t>
  </si>
  <si>
    <t>egy.outpriin.irn_EG4</t>
  </si>
  <si>
    <t>egy.outpriin.oth_EG4</t>
  </si>
  <si>
    <t>egy.outpriin.man_EG4</t>
  </si>
  <si>
    <t>egy.outpriin.foo_EG4</t>
  </si>
  <si>
    <t>egy.outpriin.mac_EG4</t>
  </si>
  <si>
    <t>egy.outpriin.res_EG4</t>
  </si>
  <si>
    <t>egy.outpriin.con_EG4</t>
  </si>
  <si>
    <t>egy.outpriin.srv_EG4</t>
  </si>
  <si>
    <t>egy.mit.el.inc.ecy.res_EG4</t>
  </si>
  <si>
    <t>egy.mit.el.inc.gso.res_EG4</t>
  </si>
  <si>
    <t>egy.mit.el.inc.die.res_EG4</t>
  </si>
  <si>
    <t>gdp_EG4</t>
  </si>
  <si>
    <t>emisco2_EG4</t>
  </si>
  <si>
    <t>co2_EG4</t>
  </si>
  <si>
    <t>co2intensityusdgdp_EG4</t>
  </si>
  <si>
    <t>elec_EG4</t>
  </si>
  <si>
    <t>renpropbase_EG4</t>
  </si>
  <si>
    <t>renprop_EG4</t>
  </si>
  <si>
    <t>co2intpow_EG4</t>
  </si>
  <si>
    <t>egy.mit.tsd.ecy.1_EG4</t>
  </si>
  <si>
    <t>egy.mit.eou.ecy.1_EG4</t>
  </si>
  <si>
    <t>egy.mit.nxp.ecy.1_EG4</t>
  </si>
  <si>
    <t>egy.mit.ec.ele.2026.1_EG4</t>
  </si>
  <si>
    <t>egy.mit.ec.coa.2026.1_EG4</t>
  </si>
  <si>
    <t>egy.mit.ec.nga.2026.1_EG4</t>
  </si>
  <si>
    <t>egy.mit.ec.oop.2026.1_EG4</t>
  </si>
  <si>
    <t>egy.mit.ec.gso.2026.1_EG4</t>
  </si>
  <si>
    <t>egy.mit.ec.die.2026.1_EG4</t>
  </si>
  <si>
    <t>egy.mit.ec.ker.2026.1_EG4</t>
  </si>
  <si>
    <t>egy.mit.ec.lpg.2026.1_EG4</t>
  </si>
  <si>
    <t>egy.mit.ec.jfu.2026.1_EG4</t>
  </si>
  <si>
    <t>egy.mit.ec.wnd.2026.1_EG4</t>
  </si>
  <si>
    <t>egy.mit.ec.sol.2026.1_EG4</t>
  </si>
  <si>
    <t>egy.mit.ec.hyd.2026.1_EG4</t>
  </si>
  <si>
    <t>egy.mit.ec.ore.2026.1_EG4</t>
  </si>
  <si>
    <t>egy.mit.ec.nuc.2026.1_EG4</t>
  </si>
  <si>
    <t>egy.mit.ec.bio.2026.1_EG4</t>
  </si>
  <si>
    <t>egy.mit.ec.bgs.2026.1_EG4</t>
  </si>
  <si>
    <t>egy.mit.ec.bdi.2026.1_EG4</t>
  </si>
  <si>
    <t>egy.mit.ec.obf.2026.1_EG4</t>
  </si>
  <si>
    <t>egy.mit.ec.heat.2026.1_EG4</t>
  </si>
  <si>
    <t>egy.mit.elec.twh.sel.tot.ecy.1_EG4</t>
  </si>
  <si>
    <t>egy.mit.elec.twh.sel.tot.ecy.2_EG4</t>
  </si>
  <si>
    <t>egy.mit.msc.pow.hyd.t.1_EG4</t>
  </si>
  <si>
    <t>egy.mit.mancap.pow.oop.t.1_EG4</t>
  </si>
  <si>
    <t>egy.mit.nim.pow.coa.t.1_EG4</t>
  </si>
  <si>
    <t>egy.mit.nim.pow.nga.t.1_EG4</t>
  </si>
  <si>
    <t>egy.mit.nim.pow.oop.t.1_EG4</t>
  </si>
  <si>
    <t>egy.mit.nim.pow.nuc.t.1_EG4</t>
  </si>
  <si>
    <t>egy.mit.nim.pow.wnd.t.1_EG4</t>
  </si>
  <si>
    <t>egy.mit.nim.pow.sol.t.1_EG4</t>
  </si>
  <si>
    <t>egy.mit.nim.pow.hyd.t.1_EG4</t>
  </si>
  <si>
    <t>egy.mit.nim.pow.ore.t.1_EG4</t>
  </si>
  <si>
    <t>egy.mit.nim.pow.bio.t.1_EG4</t>
  </si>
  <si>
    <t>egy.mit.nim.pow.coa.t.2_EG4</t>
  </si>
  <si>
    <t>egy.mit.nim.pow.nga.t.2_EG4</t>
  </si>
  <si>
    <t>egy.mit.nim.pow.oop.t.2_EG4</t>
  </si>
  <si>
    <t>egy.mit.nim.pow.nuc.t.2_EG4</t>
  </si>
  <si>
    <t>egy.mit.nim.pow.wnd.t.2_EG4</t>
  </si>
  <si>
    <t>egy.mit.nim.pow.sol.t.2_EG4</t>
  </si>
  <si>
    <t>egy.mit.nim.pow.hyd.t.2_EG4</t>
  </si>
  <si>
    <t>egy.mit.nim.pow.ore.t.2_EG4</t>
  </si>
  <si>
    <t>egy.mit.nim.pow.bio.t.2_EG4</t>
  </si>
  <si>
    <t>egy.mit.nid.pow.coa.t.1_EG4</t>
  </si>
  <si>
    <t>egy.mit.nid.pow.nga.t.1_EG4</t>
  </si>
  <si>
    <t>egy.mit.nid.pow.oop.t.1_EG4</t>
  </si>
  <si>
    <t>egy.mit.nid.pow.nuc.t.1_EG4</t>
  </si>
  <si>
    <t>egy.mit.nid.pow.wnd.t.1_EG4</t>
  </si>
  <si>
    <t>egy.mit.nid.pow.sol.t.1_EG4</t>
  </si>
  <si>
    <t>egy.mit.nid.pow.hyd.t.1_EG4</t>
  </si>
  <si>
    <t>egy.mit.nid.pow.ore.t.1_EG4</t>
  </si>
  <si>
    <t>egy.mit.nid.pow.bio.t.1_EG4</t>
  </si>
  <si>
    <t>egy.mit.nid.pow.coa.t.2_EG4</t>
  </si>
  <si>
    <t>egy.mit.nid.pow.nga.t.2_EG4</t>
  </si>
  <si>
    <t>egy.mit.nid.pow.oop.t.2_EG4</t>
  </si>
  <si>
    <t>egy.mit.nid.pow.nuc.t.2_EG4</t>
  </si>
  <si>
    <t>egy.mit.nid.pow.wnd.t.2_EG4</t>
  </si>
  <si>
    <t>egy.mit.nid.pow.sol.t.2_EG4</t>
  </si>
  <si>
    <t>egy.mit.nid.pow.hyd.t.2_EG4</t>
  </si>
  <si>
    <t>egy.mit.nid.pow.ore.t.2_EG4</t>
  </si>
  <si>
    <t>egy.mit.nid.pow.bio.t.2_EG4</t>
  </si>
  <si>
    <t>inflation_EG4</t>
  </si>
  <si>
    <t>vat_EG4</t>
  </si>
  <si>
    <t>realoilbbl_EG4</t>
  </si>
  <si>
    <t>realcoalton_EG4</t>
  </si>
  <si>
    <t>realngammbtu_EG4</t>
  </si>
  <si>
    <t>realoilglobal_EG4</t>
  </si>
  <si>
    <t>reacoalglobal_EG4</t>
  </si>
  <si>
    <t>realngaglobal_EG4</t>
  </si>
  <si>
    <t>forgasolinemarkup_EG4</t>
  </si>
  <si>
    <t>fordieselmarkup_EG4</t>
  </si>
  <si>
    <t>forkerosenemarkup_EG4</t>
  </si>
  <si>
    <t>forglpgmarkup_EG4</t>
  </si>
  <si>
    <t>egy.mit.mu1.coa.res.1_EG4</t>
  </si>
  <si>
    <t>egy.mit.mu1.coa.ind.1_EG4</t>
  </si>
  <si>
    <t>egy.mit.mu1.nga.pow.1_EG4</t>
  </si>
  <si>
    <t>egy.mit.mu1.nga.res.1_EG4</t>
  </si>
  <si>
    <t>egy.mit.mu1.nga.ind.1_EG4</t>
  </si>
  <si>
    <t>egy.mit.mu1.gso.all.1_EG4</t>
  </si>
  <si>
    <t>egy.mit.mu1.die.all.1_EG4</t>
  </si>
  <si>
    <t>egy.mit.mu1.lpg.all.1_EG4</t>
  </si>
  <si>
    <t>egy.mit.mu1.ker.all.1_EG4</t>
  </si>
  <si>
    <t>egy.mit.mu1.oop.all.1_EG4</t>
  </si>
  <si>
    <t>egy.mit.mu1.bio.all.1_EG4</t>
  </si>
  <si>
    <t>egy.mit.mu2.coa.pow.1_EG4</t>
  </si>
  <si>
    <t>egy.mit.mu2.coa.res.1_EG4</t>
  </si>
  <si>
    <t>egy.mit.mu2.coa.ind.1_EG4</t>
  </si>
  <si>
    <t>egy.mit.mu2.nga.pow.1_EG4</t>
  </si>
  <si>
    <t>egy.mit.mu2.nga.res.1_EG4</t>
  </si>
  <si>
    <t>egy.mit.mu2.nga.ind.1_EG4</t>
  </si>
  <si>
    <t>egy.mit.mu2.gso.all.1_EG4</t>
  </si>
  <si>
    <t>egy.mit.mu2.die.all.1_EG4</t>
  </si>
  <si>
    <t>egy.mit.mu2.lpg.all.1_EG4</t>
  </si>
  <si>
    <t>egy.mit.mu2.ker.all.1_EG4</t>
  </si>
  <si>
    <t>egy.mit.mu2.oop.all.1_EG4</t>
  </si>
  <si>
    <t>egy.mit.mu2.bio.all.1_EG4</t>
  </si>
  <si>
    <t>egy.mit.sp.coa.pow.1_EG4</t>
  </si>
  <si>
    <t>egy.mit.sp.coa.res.1_EG4</t>
  </si>
  <si>
    <t>egy.mit.sp.coa.ind.1_EG4</t>
  </si>
  <si>
    <t>egy.mit.sp.nga.pow.1_EG4</t>
  </si>
  <si>
    <t>egy.mit.sp.nga.res.1_EG4</t>
  </si>
  <si>
    <t>egy.mit.sp.nga.ind.1_EG4</t>
  </si>
  <si>
    <t>egy.mit.sp.gso.all.1_EG4</t>
  </si>
  <si>
    <t>egy.mit.sp.die.all.1_EG4</t>
  </si>
  <si>
    <t>egy.mit.sp.lpg.all.1_EG4</t>
  </si>
  <si>
    <t>egy.mit.sp.ker.all.1_EG4</t>
  </si>
  <si>
    <t>egy.mit.sp.oop.all.1_EG4</t>
  </si>
  <si>
    <t>egy.mit.rp.all.die.a.1_EG4</t>
  </si>
  <si>
    <t>egy.mit.rp.all.lpg.a.1_EG4</t>
  </si>
  <si>
    <t>egy.mit.rp.all.ker.a.1_EG4</t>
  </si>
  <si>
    <t>egy.mit.rp.all.oop.a.1_EG4</t>
  </si>
  <si>
    <t>egy.air.ef.ext.ngaoil.ch4.1_EG4</t>
  </si>
  <si>
    <t>egy.air.ef.ext.ngaoil.ch4.2_EG4</t>
  </si>
  <si>
    <t>egy.air.ef.ext.coa.ch4.1_EG4</t>
  </si>
  <si>
    <t>egy.air.ef.ext.coa.ch4.2_EG4</t>
  </si>
  <si>
    <t>egy.mit.mftrajfossil.1_EG4</t>
  </si>
  <si>
    <t>egy.mit.mftrajnonfossil.1_EG4</t>
  </si>
  <si>
    <t>egy.mit.mftrajfossil.2_EG4</t>
  </si>
  <si>
    <t>egy.mit.mftrajnonfossil.2_EG4</t>
  </si>
  <si>
    <t>egy.mit.wel.eco.ext.dwl.pct_EG4</t>
  </si>
  <si>
    <t>egy.mit.wel.eco.agc.dwl.pct_EG4</t>
  </si>
  <si>
    <t>egy.mit.wel.eco.was.dwl.pct_EG4</t>
  </si>
  <si>
    <t>egy.mit.ener.mfpct.oil.e.2_EG4</t>
  </si>
  <si>
    <t>egy.mit.ener.mfpct.coa.e.2_EG4</t>
  </si>
  <si>
    <t>egy.mit.ener.mfpct.nga.e.2_EG4</t>
  </si>
  <si>
    <t>egy.mit.trs.gso.all.a.1_EG4</t>
  </si>
  <si>
    <t>egy.mit.vatrate.all.gso.a.1_EG4</t>
  </si>
  <si>
    <t>egy.mit.rescon.gso.all.1_EG4</t>
  </si>
  <si>
    <t>egy.mit.effprice.gso.all.1_EG4</t>
  </si>
  <si>
    <t>egy.mit.con.gso.all.1_EG4</t>
  </si>
  <si>
    <t>egy.mit.expsub.con.gso.all.1_EG4</t>
  </si>
  <si>
    <t>egy.mit.impsub.con.gso.all.1_EG4</t>
  </si>
  <si>
    <t>egy.mit.trs.die.all.a.1_EG4</t>
  </si>
  <si>
    <t>egy.mit.vatrate.all.die.a.1_EG4</t>
  </si>
  <si>
    <t>egy.mit.rescon.die.all.1_EG4</t>
  </si>
  <si>
    <t>egy.mit.effprice.die.all.1_EG4</t>
  </si>
  <si>
    <t>egy.mit.con.die.all.1_EG4</t>
  </si>
  <si>
    <t>egy.mit.expsub.con.die.all.1_EG4</t>
  </si>
  <si>
    <t>egy.mit.impsub.con.die.all.1_EG4</t>
  </si>
  <si>
    <t>egy.mit.vatrate.all.lpg.a.1_EG4</t>
  </si>
  <si>
    <t>egy.mit.rescon.lpg.all.1_EG4</t>
  </si>
  <si>
    <t>egy.mit.effprice.lpg.all.1_EG4</t>
  </si>
  <si>
    <t>egy.mit.con.lpg.all.1_EG4</t>
  </si>
  <si>
    <t>egy.mit.expsub.con.lpg.all.1_EG4</t>
  </si>
  <si>
    <t>egy.mit.impsub.con.lpg.all.1_EG4</t>
  </si>
  <si>
    <t>egy.mit.vatrate.all.ker.a.1_EG4</t>
  </si>
  <si>
    <t>egy.mit.rescon.ker.all.1_EG4</t>
  </si>
  <si>
    <t>egy.mit.effprice.ker.all.1_EG4</t>
  </si>
  <si>
    <t>egy.mit.con.ker.all.1_EG4</t>
  </si>
  <si>
    <t>egy.mit.expsub.con.ker.all.1_EG4</t>
  </si>
  <si>
    <t>egy.mit.impsub.con.ker.all.1_EG4</t>
  </si>
  <si>
    <t>egy.mit.vatrate.all.oop.a.1_EG4</t>
  </si>
  <si>
    <t>egy.mit.rescon.oop.all.1_EG4</t>
  </si>
  <si>
    <t>egy.mit.effprice.oop.all.1_EG4</t>
  </si>
  <si>
    <t>egy.mit.rp.oop.all.1_EG4</t>
  </si>
  <si>
    <t>egy.mit.con.oop.all.1_EG4</t>
  </si>
  <si>
    <t>egy.mit.expsub.con.oop.all.1_EG4</t>
  </si>
  <si>
    <t>egy.mit.vatext.nga.ind.1_EG4</t>
  </si>
  <si>
    <t>egy.mit.effprice.nga.ind.1_EG4</t>
  </si>
  <si>
    <t>egy.mit.con.nga.ind.1_EG4</t>
  </si>
  <si>
    <t>egy.mit.expsub.con.nga.ind.1_EG4</t>
  </si>
  <si>
    <t>egy.mit.impsub.con.nga.ind.1_EG4</t>
  </si>
  <si>
    <t>egy.mit.vatrate.res.nga.a.1_EG4</t>
  </si>
  <si>
    <t>egy.mit.effprice.nga.res.1_EG4</t>
  </si>
  <si>
    <t>egy.mit.con.nga.res.1_EG4</t>
  </si>
  <si>
    <t>egy.mit.expsub.con.nga.res.1_EG4</t>
  </si>
  <si>
    <t>egy.mit.impsub.con.nga.res.1_EG4</t>
  </si>
  <si>
    <t>egy.mit.effprice.nga.pow.1_EG4</t>
  </si>
  <si>
    <t>egy.mit.con.nga.pow.1_EG4</t>
  </si>
  <si>
    <t>egy.mit.expsub.con.nga.pow.1_EG4</t>
  </si>
  <si>
    <t>egy.mit.impsub.con.nga.pow.1_EG4</t>
  </si>
  <si>
    <t>egy.mit.supcost.nga.other.1_EG4</t>
  </si>
  <si>
    <t>egy.mit.extcost.nga.other.1_EG4</t>
  </si>
  <si>
    <t>egy.mit.vatext.nga.other.1_EG4</t>
  </si>
  <si>
    <t>egy.mit.effprice.nga.other.1_EG4</t>
  </si>
  <si>
    <t>egy.mit.rp.nga.other.1_EG4</t>
  </si>
  <si>
    <t>egy.mit.con.nga.other.1_EG4</t>
  </si>
  <si>
    <t>egy.mit.expsub.con.nga.other.1_EG4</t>
  </si>
  <si>
    <t>egy.mit.impsub.con.nga.other.1_EG4</t>
  </si>
  <si>
    <t>egy.mit.effprice.coa.ind.1_EG4</t>
  </si>
  <si>
    <t>egy.mit.con.coa.ind.1_EG4</t>
  </si>
  <si>
    <t>egy.mit.expsub.con.coa.ind.1_EG4</t>
  </si>
  <si>
    <t>egy.mit.impsub.con.coa.ind.1_EG4</t>
  </si>
  <si>
    <t>egy.mit.vatrate.res.coa.a.1_EG4</t>
  </si>
  <si>
    <t>egy.mit.effprice.coa.res.1_EG4</t>
  </si>
  <si>
    <t>egy.mit.con.coa.res.1_EG4</t>
  </si>
  <si>
    <t>egy.mit.expsub.con.coa.res.1_EG4</t>
  </si>
  <si>
    <t>egy.mit.impsub.con.coa.res.1_EG4</t>
  </si>
  <si>
    <t>egy.mit.effprice.coa.pow.1_EG4</t>
  </si>
  <si>
    <t>egy.mit.con.coa.pow.1_EG4</t>
  </si>
  <si>
    <t>egy.mit.expsub.con.coa.pow.1_EG4</t>
  </si>
  <si>
    <t>egy.mit.impsub.con.coa.pow.1_EG4</t>
  </si>
  <si>
    <t>egy.mit.supcost.coa.other.1_EG4</t>
  </si>
  <si>
    <t>egy.mit.extcost.coa.other.1_EG4</t>
  </si>
  <si>
    <t>egy.mit.vatext.coa.other.1_EG4</t>
  </si>
  <si>
    <t>egy.mit.effprice.coa.other.1_EG4</t>
  </si>
  <si>
    <t>egy.mit.rp.coa.other.1_EG4</t>
  </si>
  <si>
    <t>egy.mit.con.coa.other.1_EG4</t>
  </si>
  <si>
    <t>egy.mit.expsub.con.coa.other.1_EG4</t>
  </si>
  <si>
    <t>egy.mit.impsub.con.coa.other.1_EG4</t>
  </si>
  <si>
    <t>egy.mit.effprice.ecy.ind.1_EG4</t>
  </si>
  <si>
    <t>egy.mit.con.ecy.ind.1_EG4</t>
  </si>
  <si>
    <t>egy.mit.expsub.con.ecy.ind.1_EG4</t>
  </si>
  <si>
    <t>egy.mit.impsub.con.ecy.ind.1_EG4</t>
  </si>
  <si>
    <t>egy.mit.vatrate.res.ecy.t.1_EG4</t>
  </si>
  <si>
    <t>egy.mit.effprice.ecy.res.1_EG4</t>
  </si>
  <si>
    <t>egy.mit.con.ecy.res.1_EG4</t>
  </si>
  <si>
    <t>egy.mit.expsub.con.ecy.res.1_EG4</t>
  </si>
  <si>
    <t>egy.mit.impsub.con.ecy.res.1_EG4</t>
  </si>
  <si>
    <t>egy.mit.supcost.ecy.other.1_EG4</t>
  </si>
  <si>
    <t>egy.mit.extcost.ecy.other.1_EG4</t>
  </si>
  <si>
    <t>egy.mit.vatext.ecy.other.1_EG4</t>
  </si>
  <si>
    <t>egy.mit.effprice.ecy.other.1_EG4</t>
  </si>
  <si>
    <t>egy.mit.rp.ecy.other.1_EG4</t>
  </si>
  <si>
    <t>egy.mit.con.ecy.other.1_EG4</t>
  </si>
  <si>
    <t>egy.mit.expsub.con.ecy.other.1_EG4</t>
  </si>
  <si>
    <t>egy.mit.impsub.con.ecy.other.1_EG4</t>
  </si>
  <si>
    <t>egy.mit.expsub.con.all.all.1_EG4</t>
  </si>
  <si>
    <t>egy.mit.impsub.con.all.all.1_EG4</t>
  </si>
  <si>
    <t>egy.mit.expsubgdp.con.all.all.1_EG4</t>
  </si>
  <si>
    <t>egy.mit.impsubgdp.con.all.all.1_EG4</t>
  </si>
  <si>
    <t>EG5</t>
  </si>
  <si>
    <t>egy.mit.co2cov.2_EG5</t>
  </si>
  <si>
    <t>egy.mit.cptraj.2_EG5</t>
  </si>
  <si>
    <t>egy.mit.eff.cptraj.2_EG5</t>
  </si>
  <si>
    <t>egy.mit.etstraj.2_EG5</t>
  </si>
  <si>
    <t>egy.mit.co2cov.pow.cont.2_EG5</t>
  </si>
  <si>
    <t>egy.mit.co2cov.tra.cont.2_EG5</t>
  </si>
  <si>
    <t>egy.mit.co2cov.res.cont.2_EG5</t>
  </si>
  <si>
    <t>egy.mit.co2cov.ind.cont.2_EG5</t>
  </si>
  <si>
    <t>egy.mit.co2cov.oth.cont.2_EG5</t>
  </si>
  <si>
    <t>egy.mit.gdp.pre.pct.2_EG5</t>
  </si>
  <si>
    <t>egy.mit.gdp.exc.pct.2_EG5</t>
  </si>
  <si>
    <t>egy.mit.gdp.pit.pct.2_EG5</t>
  </si>
  <si>
    <t>egy.mit.gdp.inv.pct.2_EG5</t>
  </si>
  <si>
    <t>egy.mit.gdp.cur.pct.2_EG5</t>
  </si>
  <si>
    <t>egy.mit.gdp.tra.pct.2_EG5</t>
  </si>
  <si>
    <t>egy.mit.gdp.tot.pct.2_EG5</t>
  </si>
  <si>
    <t>egy.mit.rev.new.usd.1_EG5</t>
  </si>
  <si>
    <t>egy.mit.rev.new.usd.2_EG5</t>
  </si>
  <si>
    <t>egy.mit.rev.new.pct.1_EG5</t>
  </si>
  <si>
    <t>egy.mit.rev.new.pct.2_EG5</t>
  </si>
  <si>
    <t>egy.mit.ers_EG5</t>
  </si>
  <si>
    <t>egy.mit.rcp_EG5</t>
  </si>
  <si>
    <t>egy.mit.rcp.pow_EG5</t>
  </si>
  <si>
    <t>egy.mit.rcp.trs_EG5</t>
  </si>
  <si>
    <t>egy.mit.rcp.bld_EG5</t>
  </si>
  <si>
    <t>egy.mit.rcp.ind_EG5</t>
  </si>
  <si>
    <t>egy.mit.ln.gdppc_EG5</t>
  </si>
  <si>
    <t>egy.mit.gdp.pre.lvl.1_EG5</t>
  </si>
  <si>
    <t>egy.mit.gdp.pst.lvl.2_EG5</t>
  </si>
  <si>
    <t>egy.mit.pop.mn_EG5</t>
  </si>
  <si>
    <t>egy.mit.ghg.tot.exc.1_EG5</t>
  </si>
  <si>
    <t>egy.mit.ghg.tot.inc.1_EG5</t>
  </si>
  <si>
    <t>egy.mit.ghg.enr.tot.1_EG5</t>
  </si>
  <si>
    <t>egy.mit.ghg.ipr.tot.1_EG5</t>
  </si>
  <si>
    <t>egy.mit.ghg.agr.tot.1_EG5</t>
  </si>
  <si>
    <t>egy.mit.ghg.wst.tot.1_EG5</t>
  </si>
  <si>
    <t>egy.mit.ghg.lucf.tot.1_EG5</t>
  </si>
  <si>
    <t>egy.mit.co2.tot.1_EG5</t>
  </si>
  <si>
    <t>egy.mit.co2.enr.tot.1_EG5</t>
  </si>
  <si>
    <t>egy.mit.co2.coa.1_EG5</t>
  </si>
  <si>
    <t>egy.mit.co2.nga.1_EG5</t>
  </si>
  <si>
    <t>egy.mit.co2.oil.1_EG5</t>
  </si>
  <si>
    <t>egy.mit.co2.gso.1_EG5</t>
  </si>
  <si>
    <t>egy.mit.co2.die.1_EG5</t>
  </si>
  <si>
    <t>egy.mit.co2.lpg.1_EG5</t>
  </si>
  <si>
    <t>egy.mit.co2.ker.1_EG5</t>
  </si>
  <si>
    <t>egy.mit.co2.pow.1_EG5</t>
  </si>
  <si>
    <t>egy.mit.co2.tra.1_EG5</t>
  </si>
  <si>
    <t>egy.mit.co2.res.1_EG5</t>
  </si>
  <si>
    <t>egy.mit.co2.ind.1_EG5</t>
  </si>
  <si>
    <t>egy.mit.co2.oth.1_EG5</t>
  </si>
  <si>
    <t>egy.mit.ghg.tot.exc.2_EG5</t>
  </si>
  <si>
    <t>egy.mit.ghg.tot.inc.2_EG5</t>
  </si>
  <si>
    <t>egy.mit.ghg.enr.tot.2_EG5</t>
  </si>
  <si>
    <t>egy.mit.ghg.ipr.tot.2_EG5</t>
  </si>
  <si>
    <t>egy.mit.ghg.agr.tot.2_EG5</t>
  </si>
  <si>
    <t>egy.mit.ghg.lucf.tot.2_EG5</t>
  </si>
  <si>
    <t>egy.mit.ghg.wst.tot.2_EG5</t>
  </si>
  <si>
    <t>egy.mit.co2.tot.2_EG5</t>
  </si>
  <si>
    <t>egy.mit.co2.enr.tot.2_EG5</t>
  </si>
  <si>
    <t>egy.mit.co2.coa.2_EG5</t>
  </si>
  <si>
    <t>egy.mit.co2.nga.2_EG5</t>
  </si>
  <si>
    <t>egy.mit.co2.oil.2_EG5</t>
  </si>
  <si>
    <t>egy.mit.co2.gso.2_EG5</t>
  </si>
  <si>
    <t>egy.mit.co2.die.2_EG5</t>
  </si>
  <si>
    <t>egy.mit.co2.lpg.2_EG5</t>
  </si>
  <si>
    <t>egy.mit.co2.ker.2_EG5</t>
  </si>
  <si>
    <t>egy.mit.co2.pow.2_EG5</t>
  </si>
  <si>
    <t>egy.mit.co2.tra.2_EG5</t>
  </si>
  <si>
    <t>egy.mit.co2.res.2_EG5</t>
  </si>
  <si>
    <t>egy.mit.co2.ind.2_EG5</t>
  </si>
  <si>
    <t>egy.mit.co2.oth.2_EG5</t>
  </si>
  <si>
    <t>egy.mit.co2.tot.red.pct_EG5</t>
  </si>
  <si>
    <t>egy.mit.ghg.tot.exc.fuel.1_EG5</t>
  </si>
  <si>
    <t>egy.mit.ch4.tot.1_EG5</t>
  </si>
  <si>
    <t>egy.mit.nox.tot.1_EG5</t>
  </si>
  <si>
    <t>egy.mit.fga.tot.1_EG5</t>
  </si>
  <si>
    <t>egy.mit.ghg.tot.exc.fuel.2_EG5</t>
  </si>
  <si>
    <t>egy.mit.ch4.tot.2_EG5</t>
  </si>
  <si>
    <t>egy.mit.nox.tot.2_EG5</t>
  </si>
  <si>
    <t>egy.mit.fga.tot.2_EG5</t>
  </si>
  <si>
    <t>egy.mit.ghg.tot.inc.ch4.1_EG5</t>
  </si>
  <si>
    <t>egy.mit.ghg.tot.exc.ch4.1_EG5</t>
  </si>
  <si>
    <t>egy.mit.ghg.enr.ch4.1_EG5</t>
  </si>
  <si>
    <t>egy.mit.ghg.ipr.ch4.1_EG5</t>
  </si>
  <si>
    <t>egy.mit.ghg.agr.ch4.1_EG5</t>
  </si>
  <si>
    <t>egy.mit.ghg.lucf.ch4.1_EG5</t>
  </si>
  <si>
    <t>egy.mit.ghg.wst.ch4.1_EG5</t>
  </si>
  <si>
    <t>egy.mit.ghg.oth.ch4.1_EG5</t>
  </si>
  <si>
    <t>egy.mit.ghg.fug.ch4.1_EG5</t>
  </si>
  <si>
    <t>egy.mit.ghg.tot.inc.ch4.2_EG5</t>
  </si>
  <si>
    <t>egy.mit.ghg.tot.exc.ch4.2_EG5</t>
  </si>
  <si>
    <t>egy.mit.ghg.enr.ch4.2_EG5</t>
  </si>
  <si>
    <t>egy.mit.ghg.ipr.ch4.2_EG5</t>
  </si>
  <si>
    <t>egy.mit.ghg.agr.ch4.2_EG5</t>
  </si>
  <si>
    <t>egy.mit.ghg.lucf.ch4.2_EG5</t>
  </si>
  <si>
    <t>egy.mit.ghg.wst.ch4.2_EG5</t>
  </si>
  <si>
    <t>egy.mit.ghg.oth.ch4.2_EG5</t>
  </si>
  <si>
    <t>egy.mit.ghg.fug.ch4.2_EG5</t>
  </si>
  <si>
    <t>egy.mit.ghg.index.1_EG5</t>
  </si>
  <si>
    <t>egy.mit.ghg.index.2_EG5</t>
  </si>
  <si>
    <t>egy.mit.ghg.tot.inc.red.pct_EG5</t>
  </si>
  <si>
    <t>egy.mit.ndc.option_EG5</t>
  </si>
  <si>
    <t>egy.mit.ndc.targetyear_EG5</t>
  </si>
  <si>
    <t>egy.mit.ndc.desc.lng_EG5</t>
  </si>
  <si>
    <t>egy.mit.ndc.desc.sht_EG5</t>
  </si>
  <si>
    <t>egy.mit.undc.index_EG5</t>
  </si>
  <si>
    <t>egy.mit.cndc.index_EG5</t>
  </si>
  <si>
    <t>egy.mit.undc.trg.ton_EG5</t>
  </si>
  <si>
    <t>egy.mit.cndc.trg.ton_EG5</t>
  </si>
  <si>
    <t>egy.mit.undc.2030.pct_EG5</t>
  </si>
  <si>
    <t>egy.mit.cndc.2030.pct_EG5</t>
  </si>
  <si>
    <t>egy.mit.andc.2030.pct_EG5</t>
  </si>
  <si>
    <t>egy.mit.emin.cem_EG5</t>
  </si>
  <si>
    <t>egy.mit.emin.irn_EG5</t>
  </si>
  <si>
    <t>egy.mit.emin.mch_EG5</t>
  </si>
  <si>
    <t>egy.mit.emin.man_EG5</t>
  </si>
  <si>
    <t>egy.mit.emin.oth_EG5</t>
  </si>
  <si>
    <t>egy.mit.emin.foo_EG5</t>
  </si>
  <si>
    <t>egy.mit.emin.srv_EG5</t>
  </si>
  <si>
    <t>egy.mit.emin.mac_EG5</t>
  </si>
  <si>
    <t>egy.mit.emin.cst_EG5</t>
  </si>
  <si>
    <t>egy.mit.emin.ftr_EG5</t>
  </si>
  <si>
    <t>egy.mit.emin.con_EG5</t>
  </si>
  <si>
    <t>egy.mit.rp.all.ecy.wtd.1_EG5</t>
  </si>
  <si>
    <t>egy.mit.rp.all.coa.wtd.1_EG5</t>
  </si>
  <si>
    <t>egy.mit.rp.all.nga.wtd.1_EG5</t>
  </si>
  <si>
    <t>egy.mit.rp.all.oil.wtd.1_EG5</t>
  </si>
  <si>
    <t>egy.mit.rp.all.gso.wtd.1_EG5</t>
  </si>
  <si>
    <t>egy.mit.rp.all.die.wtd.1_EG5</t>
  </si>
  <si>
    <t>egy.mit.rp.all.lpg.wtd.1_EG5</t>
  </si>
  <si>
    <t>egy.mit.rp.all.ker.wtd.1_EG5</t>
  </si>
  <si>
    <t>egy.mit.rp.all.ecy.wtd.2_EG5</t>
  </si>
  <si>
    <t>egy.mit.rp.coa.wtd.2_EG5</t>
  </si>
  <si>
    <t>egy.mit.rp.nga.wtd.2_EG5</t>
  </si>
  <si>
    <t>egy.mit.rp.oil.wtd.2_EG5</t>
  </si>
  <si>
    <t>egy.mit.rp.gso.wtd.2_EG5</t>
  </si>
  <si>
    <t>egy.mit.rp.die.wtd.2_EG5</t>
  </si>
  <si>
    <t>egy.mit.rp.lpg.wtd.2_EG5</t>
  </si>
  <si>
    <t>egy.mit.rp.ker.wtd.2_EG5</t>
  </si>
  <si>
    <t>egy.mit.rp.all.ecy.pct.2_EG5</t>
  </si>
  <si>
    <t>egy.mit.rp.all.coa.pct.2_EG5</t>
  </si>
  <si>
    <t>egy.mit.rp.all.nga.pct.2_EG5</t>
  </si>
  <si>
    <t>egy.mit.rp.all.oil.pct.2_EG5</t>
  </si>
  <si>
    <t>egy.mit.rp.all.gso.pct.2_EG5</t>
  </si>
  <si>
    <t>egy.mit.rp.all.die.pct.2_EG5</t>
  </si>
  <si>
    <t>egy.mit.rp.all.lpg.pct.2_EG5</t>
  </si>
  <si>
    <t>egy.mit.rp.all.ker.pct.2_EG5</t>
  </si>
  <si>
    <t>egy.mit.co2.ela.eco.2_EG5</t>
  </si>
  <si>
    <t>egy.mit.ndc.ecr.2_EG5</t>
  </si>
  <si>
    <t>egy.mit.ecr.1_EG5</t>
  </si>
  <si>
    <t>egy.mit.ecr.2_EG5</t>
  </si>
  <si>
    <t>egy.mit.rp.ind.ecy.t.1_EG5</t>
  </si>
  <si>
    <t>egy.mit.rp.res.ecy.t.1_EG5</t>
  </si>
  <si>
    <t>egy.mit.rp.ind.coa.a.1_EG5</t>
  </si>
  <si>
    <t>egy.mit.rp.ind.nga.a.1_EG5</t>
  </si>
  <si>
    <t>egy.mit.rp.res.coa.a.1_EG5</t>
  </si>
  <si>
    <t>egy.mit.rp.res.nga.a.1_EG5</t>
  </si>
  <si>
    <t>egy.mit.rp.pow.coa.a.1_EG5</t>
  </si>
  <si>
    <t>egy.mit.rp.pow.nga.a.1_EG5</t>
  </si>
  <si>
    <t>egy.mit.rp.ind.ecy.t.2_EG5</t>
  </si>
  <si>
    <t>egy.mit.rp.res.ecy.t.2_EG5</t>
  </si>
  <si>
    <t>egy.mit.rp.ind.coa.a.2_EG5</t>
  </si>
  <si>
    <t>egy.mit.rp.ind.nga.a.2_EG5</t>
  </si>
  <si>
    <t>egy.mit.rp.res.coa.a.2_EG5</t>
  </si>
  <si>
    <t>egy.mit.rp.res.nga.a.2_EG5</t>
  </si>
  <si>
    <t>egy.mit.rp.pow.coa.a.2_EG5</t>
  </si>
  <si>
    <t>egy.mit.rp.pow.nga.a.2_EG5</t>
  </si>
  <si>
    <t>egy.mit.sup.cost.ecy.ind.1_EG5</t>
  </si>
  <si>
    <t>egy.mit.sup.cost.ecy.res.2_EG5</t>
  </si>
  <si>
    <t>egy.mit.sp.ind.coa.a.1_EG5</t>
  </si>
  <si>
    <t>egy.mit.sp.ind.nga.a.1_EG5</t>
  </si>
  <si>
    <t>egy.mit.sp.res.coa.a.1_EG5</t>
  </si>
  <si>
    <t>egy.mit.sp.res.nga.a.1_EG5</t>
  </si>
  <si>
    <t>egy.mit.sp.pow.coa.a.1_EG5</t>
  </si>
  <si>
    <t>egy.mit.sp.pow.nga.a.1_EG5</t>
  </si>
  <si>
    <t>egy.mit.sp.all.oop.a.1_EG5</t>
  </si>
  <si>
    <t>egy.mit.sp.all.gso.a.1_EG5</t>
  </si>
  <si>
    <t>egy.mit.sp.all.die.a.1_EG5</t>
  </si>
  <si>
    <t>egy.mit.sp.all.lpg.a.1_EG5</t>
  </si>
  <si>
    <t>egy.mit.sp.all.ker.a.1_EG5</t>
  </si>
  <si>
    <t>egy.mit.txo.ind.ecy.t.1_EG5</t>
  </si>
  <si>
    <t>egy.mit.txo.res.ecy.t.1_EG5</t>
  </si>
  <si>
    <t>egy.mit.txo.ind.coa.a.1_EG5</t>
  </si>
  <si>
    <t>egy.mit.txo.ind.nga.a.1_EG5</t>
  </si>
  <si>
    <t>egy.mit.txo.res.coa.a.1_EG5</t>
  </si>
  <si>
    <t>egy.mit.txo.res.nga.a.1_EG5</t>
  </si>
  <si>
    <t>egy.mit.txo.pow.coa.a.1_EG5</t>
  </si>
  <si>
    <t>egy.mit.txo.pow.nga.a.1_EG5</t>
  </si>
  <si>
    <t>egy.mit.txo.all.oop.a.1_EG5</t>
  </si>
  <si>
    <t>egy.mit.txo.all.gso.a.1_EG5</t>
  </si>
  <si>
    <t>egy.mit.txo.all.die.a.1_EG5</t>
  </si>
  <si>
    <t>egy.mit.txo.all.lpg.a.1_EG5</t>
  </si>
  <si>
    <t>egy.mit.txo.all.ker.a.1_EG5</t>
  </si>
  <si>
    <t>egy.mit.vat.ind.ecy.t.1_EG5</t>
  </si>
  <si>
    <t>egy.mit.vat.res.ecy.t.1_EG5</t>
  </si>
  <si>
    <t>egy.mit.vat.ind.coa.a.1_EG5</t>
  </si>
  <si>
    <t>egy.mit.vat.ind.nga.a.1_EG5</t>
  </si>
  <si>
    <t>egy.mit.vat.res.coa.a.1_EG5</t>
  </si>
  <si>
    <t>egy.mit.vat.res.nga.a.1_EG5</t>
  </si>
  <si>
    <t>egy.mit.vat.pow.coa.a.1_EG5</t>
  </si>
  <si>
    <t>egy.mit.vat.pow.nga.a.1_EG5</t>
  </si>
  <si>
    <t>egy.mit.vat.all.oop.a.1_EG5</t>
  </si>
  <si>
    <t>egy.mit.vat.all.gso.a.1_EG5</t>
  </si>
  <si>
    <t>egy.mit.vat.all.die.a.1_EG5</t>
  </si>
  <si>
    <t>egy.mit.vat.all.lpg.a.1_EG5</t>
  </si>
  <si>
    <t>egy.mit.vat.all.ker.a.1_EG5</t>
  </si>
  <si>
    <t>egy.mit.ctx.ind.ecy.t.1_EG5</t>
  </si>
  <si>
    <t>egy.mit.ctx.res.ecy.t.1_EG5</t>
  </si>
  <si>
    <t>egy.mit.ctx.ind.coa.a.1_EG5</t>
  </si>
  <si>
    <t>egy.mit.ctx.ind.nga.a.1_EG5</t>
  </si>
  <si>
    <t>egy.mit.ctx.res.coa.a.1_EG5</t>
  </si>
  <si>
    <t>egy.mit.ctx.res.nga.a.1_EG5</t>
  </si>
  <si>
    <t>egy.mit.ctx.pow.coa.a.1_EG5</t>
  </si>
  <si>
    <t>egy.mit.ctx.pow.nga.a.1_EG5</t>
  </si>
  <si>
    <t>egy.mit.ctx.all.oop.a.1_EG5</t>
  </si>
  <si>
    <t>egy.mit.ctx.all.gso.a.1_EG5</t>
  </si>
  <si>
    <t>egy.mit.ctx.all.die.a.1_EG5</t>
  </si>
  <si>
    <t>egy.mit.ctx.all.lpg.a.1_EG5</t>
  </si>
  <si>
    <t>egy.mit.ctx.all.ker.a.1_EG5</t>
  </si>
  <si>
    <t>egy.mit.ets.ind.ecy.t.1_EG5</t>
  </si>
  <si>
    <t>egy.mit.ets.res.ecy.t.1_EG5</t>
  </si>
  <si>
    <t>egy.mit.ets.ind.coa.a.1_EG5</t>
  </si>
  <si>
    <t>egy.mit.ets.ind.nga.a.1_EG5</t>
  </si>
  <si>
    <t>egy.mit.ets.res.coa.a.1_EG5</t>
  </si>
  <si>
    <t>egy.mit.ets.res.nga.a.1_EG5</t>
  </si>
  <si>
    <t>egy.mit.ets.pow.coa.a.1_EG5</t>
  </si>
  <si>
    <t>egy.mit.ets.pow.nga.a.1_EG5</t>
  </si>
  <si>
    <t>egy.mit.ets.all.oop.a.1_EG5</t>
  </si>
  <si>
    <t>egy.mit.ets.all.gso.a.1_EG5</t>
  </si>
  <si>
    <t>egy.mit.ets.all.die.a.1_EG5</t>
  </si>
  <si>
    <t>egy.mit.ets.all.lpg.a.1_EG5</t>
  </si>
  <si>
    <t>egy.mit.ets.all.ker.a.1_EG5</t>
  </si>
  <si>
    <t>egy.mit.tcp.all.coa.a.1_EG5</t>
  </si>
  <si>
    <t>egy.mit.tcp.all.nga.a.1_EG5</t>
  </si>
  <si>
    <t>egy.mit.tcp_csf.rod.gso.a.1_EG5</t>
  </si>
  <si>
    <t>egy.mit.tcp_csf.rod.die.a1_EG5</t>
  </si>
  <si>
    <t>egy.mit.tcp_csf.res.lpg.a.1_EG5</t>
  </si>
  <si>
    <t>egy.mit.tcp_csf.all.ker.a.1_EG5</t>
  </si>
  <si>
    <t>egy.mit.tcp_csf.all.oop.a.1_EG5</t>
  </si>
  <si>
    <t>egy.mit.tcp.all.all.a.1_EG5</t>
  </si>
  <si>
    <t>egy.mit.tcp.all.coa.a.2_EG5</t>
  </si>
  <si>
    <t>egy.mit.tcp.all.nga.a.2_EG5</t>
  </si>
  <si>
    <t>egy.mit.tcp_csf.rod.gso.a.2_EG5</t>
  </si>
  <si>
    <t>egy.mit.tcp_csf.rod.die.a2_EG5</t>
  </si>
  <si>
    <t>egy.mit.tcp_csf.res.lpg.a.2_EG5</t>
  </si>
  <si>
    <t>egy.mit.tcp_csf.all.ker.a.2_EG5</t>
  </si>
  <si>
    <t>egy.mit.tcp_csf.all.oop.a.2_EG5</t>
  </si>
  <si>
    <t>egy.mit.tcp.all.all.a.2_EG5</t>
  </si>
  <si>
    <t>egy.mit.eff.price.gso.all.2_EG5</t>
  </si>
  <si>
    <t>egy.mit.sup.cost.gso.all.2_EG5</t>
  </si>
  <si>
    <t>egy.mit.airpol.cost.gso.all.2_EG5</t>
  </si>
  <si>
    <t>egy.mit.acc.cost.gso.all.2_EG5</t>
  </si>
  <si>
    <t>egy.mit.con.cost.gso.all.2_EG5</t>
  </si>
  <si>
    <t>egy.mit.rdm.cost.gso.all.2_EG5</t>
  </si>
  <si>
    <t>egy.mit.scc.cost.gso.all.2_EG5</t>
  </si>
  <si>
    <t>egy.mit.vat.cost.gso.all.2_EG5</t>
  </si>
  <si>
    <t>egy.mit.rp.gso.all.2_EG5</t>
  </si>
  <si>
    <t>egy.mit.tgap.gso.all.2_EG5</t>
  </si>
  <si>
    <t>egy.mit.txo.co2e.gso.all.1_EG5</t>
  </si>
  <si>
    <t>egy.mit.pig.gso.all.2_EG5</t>
  </si>
  <si>
    <t>egy.mit.pig.co2e.gso.all.2_EG5</t>
  </si>
  <si>
    <t>egy.mit.eff.price.die.all.2_EG5</t>
  </si>
  <si>
    <t>egy.mit.sup.cost.die.all.2_EG5</t>
  </si>
  <si>
    <t>egy.mit.airpol.cost.die.all.2_EG5</t>
  </si>
  <si>
    <t>egy.mit.acc.cost.die.all.2_EG5</t>
  </si>
  <si>
    <t>egy.mit.con.cost.die.all.2_EG5</t>
  </si>
  <si>
    <t>egy.mit.rdm.cost.die.all.2_EG5</t>
  </si>
  <si>
    <t>egy.mit.scc.cost.die.all.2_EG5</t>
  </si>
  <si>
    <t>egy.mit.vat.cost.die.all.2_EG5</t>
  </si>
  <si>
    <t>egy.mit.rp.die.all.2_EG5</t>
  </si>
  <si>
    <t>egy.mit.tgap.die.all.2_EG5</t>
  </si>
  <si>
    <t>egy.mit.txo.co2e.die.all.1_EG5</t>
  </si>
  <si>
    <t>egy.mit.pig.die.all.2_EG5</t>
  </si>
  <si>
    <t>egy.mit.pig.co2e.die.all.2_EG5</t>
  </si>
  <si>
    <t>egy.mit.eff.price.lpg.all.2_EG5</t>
  </si>
  <si>
    <t>egy.mit.sup.cost.lpg.all.2_EG5</t>
  </si>
  <si>
    <t>egy.mit.airpol.cost.lpg.all.2_EG5</t>
  </si>
  <si>
    <t>egy.mit.scc.cost.lpg.all.2_EG5</t>
  </si>
  <si>
    <t>egy.mit.vat.cost.lpg.all.2_EG5</t>
  </si>
  <si>
    <t>egy.mit.rp.lpg.all.2_EG5</t>
  </si>
  <si>
    <t>egy.mit.tgap.lpg.all.2_EG5</t>
  </si>
  <si>
    <t>egy.mit.txo.co2e.lpg.all.1_EG5</t>
  </si>
  <si>
    <t>egy.mit.pig.lpg.all.2_EG5</t>
  </si>
  <si>
    <t>egy.mit.pig.co2e.lpg.all.2_EG5</t>
  </si>
  <si>
    <t>egy.mit.eff.price.ker.all.2_EG5</t>
  </si>
  <si>
    <t>egy.mit.sup.cost.ker.all.2_EG5</t>
  </si>
  <si>
    <t>egy.mit.airpol.cost.ker.all.2_EG5</t>
  </si>
  <si>
    <t>egy.mit.scc.cost.ker.all.2_EG5</t>
  </si>
  <si>
    <t>egy.mit.vat.cost.ker.all.2_EG5</t>
  </si>
  <si>
    <t>egy.mit.rp.ker.all.2_EG5</t>
  </si>
  <si>
    <t>egy.mit.tgap.ker.all.2_EG5</t>
  </si>
  <si>
    <t>egy.mit.txo.co2e.ker.all.1_EG5</t>
  </si>
  <si>
    <t>egy.mit.pig.ker.all.2_EG5</t>
  </si>
  <si>
    <t>egy.mit.pig.co2e.ker.all.2_EG5</t>
  </si>
  <si>
    <t>egy.mit.eff.price.coa.ind.2_EG5</t>
  </si>
  <si>
    <t>egy.mit.sup.cost.coa.ind.2_EG5</t>
  </si>
  <si>
    <t>egy.mit.airpol.cost.coa.ind.2_EG5</t>
  </si>
  <si>
    <t>egy.mit.scc.cost.coa.ind.2_EG5</t>
  </si>
  <si>
    <t>egy.mit.vat.cost.coa.ind.2_EG5</t>
  </si>
  <si>
    <t>egy.mit.rp.coa.ind.2_EG5</t>
  </si>
  <si>
    <t>egy.mit.tgap.coa.ind.2_EG5</t>
  </si>
  <si>
    <t>egy.mit.txo.co2e.coa.ind.1_EG5</t>
  </si>
  <si>
    <t>egy.mit.pig.coa.ind.2_EG5</t>
  </si>
  <si>
    <t>egy.mit.pig.co2e.coa.ind.2_EG5</t>
  </si>
  <si>
    <t>egy.mit.eff.price.coa.res.2_EG5</t>
  </si>
  <si>
    <t>egy.mit.sup.cost.coa.res.2_EG5</t>
  </si>
  <si>
    <t>egy.mit.airpol.cost.coa.res.2_EG5</t>
  </si>
  <si>
    <t>egy.mit.scc.cost.coa.res.2_EG5</t>
  </si>
  <si>
    <t>egy.mit.vat.cost.coa.res.2_EG5</t>
  </si>
  <si>
    <t>egy.mit.rp.coa.res.2_EG5</t>
  </si>
  <si>
    <t>egy.mit.tgap.coa.res.2_EG5</t>
  </si>
  <si>
    <t>egy.mit.txo.co2e.coa.res.1_EG5</t>
  </si>
  <si>
    <t>egy.mit.pig.coa.res.2_EG5</t>
  </si>
  <si>
    <t>egy.mit.pig.co2e.coa.res.2_EG5</t>
  </si>
  <si>
    <t>egy.mit.eff.price.coa.pow.2_EG5</t>
  </si>
  <si>
    <t>egy.mit.sup.cost.coa.pow.2_EG5</t>
  </si>
  <si>
    <t>egy.mit.airpol.cost.coa.pow.2_EG5</t>
  </si>
  <si>
    <t>egy.mit.scc.cost.coa.pow.2_EG5</t>
  </si>
  <si>
    <t>egy.mit.vat.cost.coa.pow.2_EG5</t>
  </si>
  <si>
    <t>egy.mit.rp.coa.pow.2_EG5</t>
  </si>
  <si>
    <t>egy.mit.tgap.coa.pow.2_EG5</t>
  </si>
  <si>
    <t>egy.mit.txo.co2e.coa.pow.1_EG5</t>
  </si>
  <si>
    <t>egy.mit.pig.coa.pow.2_EG5</t>
  </si>
  <si>
    <t>egy.mit.pig.co2e.coa.pow.2_EG5</t>
  </si>
  <si>
    <t>egy.mit.eff.price.nga.ind.2_EG5</t>
  </si>
  <si>
    <t>egy.mit.sup.cost.nga.ind.2_EG5</t>
  </si>
  <si>
    <t>egy.mit.airpol.cost.nga.ind.2_EG5</t>
  </si>
  <si>
    <t>egy.mit.scc.cost.nga.ind.2_EG5</t>
  </si>
  <si>
    <t>egy.mit.vat.cost.nga.ind.2_EG5</t>
  </si>
  <si>
    <t>egy.mit.rp.nga.ind.2_EG5</t>
  </si>
  <si>
    <t>egy.mit.tgap.nga.ind.2_EG5</t>
  </si>
  <si>
    <t>egy.mit.txo.co2e.nga.ind.1_EG5</t>
  </si>
  <si>
    <t>egy.mit.pig.nga.ind.2_EG5</t>
  </si>
  <si>
    <t>egy.mit.pig.co2e.nga.ind.2_EG5</t>
  </si>
  <si>
    <t>egy.mit.eff.price.nga.res.2_EG5</t>
  </si>
  <si>
    <t>egy.mit.sup.cost.nga.res.2_EG5</t>
  </si>
  <si>
    <t>egy.mit.airpol.cost.nga.res.2_EG5</t>
  </si>
  <si>
    <t>egy.mit.scc.cost.nga.res.2_EG5</t>
  </si>
  <si>
    <t>egy.mit.vat.cost.nga.res.2_EG5</t>
  </si>
  <si>
    <t>egy.mit.rp.nga.res.2_EG5</t>
  </si>
  <si>
    <t>egy.mit.tgap.nga.res.2_EG5</t>
  </si>
  <si>
    <t>egy.mit.txo.co2e.nga.res.1_EG5</t>
  </si>
  <si>
    <t>egy.mit.pig.nga.res.2_EG5</t>
  </si>
  <si>
    <t>egy.mit.pig.co2e.nga.res.2_EG5</t>
  </si>
  <si>
    <t>egy.mit.eff.price.nga.pow.2_EG5</t>
  </si>
  <si>
    <t>egy.mit.sup.cost.nga.pow.2_EG5</t>
  </si>
  <si>
    <t>egy.mit.airpol.cost.nga.pow.2_EG5</t>
  </si>
  <si>
    <t>egy.mit.scc.cost.nga.pow.2_EG5</t>
  </si>
  <si>
    <t>egy.mit.vat.cost.nga.pow.2_EG5</t>
  </si>
  <si>
    <t>egy.mit.rp.nga.pow.2_EG5</t>
  </si>
  <si>
    <t>egy.mit.tgap.nga.pow.2_EG5</t>
  </si>
  <si>
    <t>egy.mit.txo.co2e.nga.pow.1_EG5</t>
  </si>
  <si>
    <t>egy.mit.pig.nga.pow.2_EG5</t>
  </si>
  <si>
    <t>egy.mit.pig.co2e.nga.pow.2_EG5</t>
  </si>
  <si>
    <t>egy.mit.eff.price.ecy.ind.2_EG5</t>
  </si>
  <si>
    <t>egy.mit.sup.cost.ecy.ind.2_EG5</t>
  </si>
  <si>
    <t>egy.mit.airpol.cost.ecy.ind.2_EG5</t>
  </si>
  <si>
    <t>egy.mit.scc.cost.ecy.ind.2_EG5</t>
  </si>
  <si>
    <t>egy.mit.vat.cost.ecy.ind.2_EG5</t>
  </si>
  <si>
    <t>egy.mit.rp.ecy.ind.2_EG5</t>
  </si>
  <si>
    <t>egy.mit.tgap.ecy.ind.2_EG5</t>
  </si>
  <si>
    <t>egy.mit.txo.co2e.ecy.ind.1_EG5</t>
  </si>
  <si>
    <t>egy.mit.pig.ecy.ind.2_EG5</t>
  </si>
  <si>
    <t>egy.mit.pig.co2e.ecy.ind.2_EG5</t>
  </si>
  <si>
    <t>egy.mit.eff.price.ecy.res.2_EG5</t>
  </si>
  <si>
    <t>egy.mit.airpol.cost.ecy.res.2_EG5</t>
  </si>
  <si>
    <t>egy.mit.scc.cost.ecy.res.2_EG5</t>
  </si>
  <si>
    <t>egy.mit.vat.cost.ecy.res.2_EG5</t>
  </si>
  <si>
    <t>egy.mit.rp.ecy.res.2_EG5</t>
  </si>
  <si>
    <t>egy.mit.tgap.ecy.res.2_EG5</t>
  </si>
  <si>
    <t>egy.mit.txo.co2e.ecy.res.1_EG5</t>
  </si>
  <si>
    <t>egy.mit.pig.ecy.res.2_EG5</t>
  </si>
  <si>
    <t>egy.mit.pig.co2e.ecy.res.2_EG5</t>
  </si>
  <si>
    <t>egy.mit.pig.co2e.all.all.1_EG5</t>
  </si>
  <si>
    <t>egy.mit.pig.co2e.all.all.2_EG5</t>
  </si>
  <si>
    <t>egy.mit.app.gso.all.2_EG5</t>
  </si>
  <si>
    <t>egy.mit.app.die.all.2_EG5</t>
  </si>
  <si>
    <t>egy.mit.app.lpg.all.2_EG5</t>
  </si>
  <si>
    <t>egy.mit.app.ker.all.2_EG5</t>
  </si>
  <si>
    <t>egy.mit.app.coa.ind.2_EG5</t>
  </si>
  <si>
    <t>egy.mit.app.coa.res.2_EG5</t>
  </si>
  <si>
    <t>egy.mit.app.coa.pow.2_EG5</t>
  </si>
  <si>
    <t>egy.mit.app.nga.ind.2_EG5</t>
  </si>
  <si>
    <t>egy.mit.app.nga.res.2_EG5</t>
  </si>
  <si>
    <t>egy.mit.app.nga.pow.2_EG5</t>
  </si>
  <si>
    <t>egy.mit.app.co2e.all.all.1_EG5</t>
  </si>
  <si>
    <t>egy.mit.app.co2e.all.all.2_EG5</t>
  </si>
  <si>
    <t>egy.mit.scc.1_EG5</t>
  </si>
  <si>
    <t>egy.mit.ener.con.tot.1_EG5</t>
  </si>
  <si>
    <t>egy.mit.ener.con.coa.1_EG5</t>
  </si>
  <si>
    <t>egy.mit.ener.con.nga.1_EG5</t>
  </si>
  <si>
    <t>egy.mit.ener.con.oop.1_EG5</t>
  </si>
  <si>
    <t>egy.mit.ener.con.gso.1_EG5</t>
  </si>
  <si>
    <t>egy.mit.ener.con.die.1_EG5</t>
  </si>
  <si>
    <t>egy.mit.ener.con.lpg.1_EG5</t>
  </si>
  <si>
    <t>egy.mit.ener.con.ker.1_EG5</t>
  </si>
  <si>
    <t>egy.mit.ener.con.nuc.1_EG5</t>
  </si>
  <si>
    <t>egy.mit.ener.con.rnw.1_EG5</t>
  </si>
  <si>
    <t>egy.mit.ener.con.bio.1_EG5</t>
  </si>
  <si>
    <t>egy.mit.ener.con.tot.2_EG5</t>
  </si>
  <si>
    <t>egy.mit.ener.con.coa.2_EG5</t>
  </si>
  <si>
    <t>egy.mit.ener.con.nga.2_EG5</t>
  </si>
  <si>
    <t>egy.mit.ener.con.oop.2_EG5</t>
  </si>
  <si>
    <t>egy.mit.ener.con.gso.2_EG5</t>
  </si>
  <si>
    <t>egy.mit.ener.con.die.2_EG5</t>
  </si>
  <si>
    <t>egy.mit.ener.con.lpg.2_EG5</t>
  </si>
  <si>
    <t>egy.mit.ener.con.ker.2_EG5</t>
  </si>
  <si>
    <t>egy.mit.ener.con.nuc.2_EG5</t>
  </si>
  <si>
    <t>egy.mit.ener.con.rnw.2_EG5</t>
  </si>
  <si>
    <t>egy.mit.ener.con.bio.2_EG5</t>
  </si>
  <si>
    <t>egy.mit.ener.coa.pow.1_EG5</t>
  </si>
  <si>
    <t>egy.mit.ener.coa.tra.1_EG5</t>
  </si>
  <si>
    <t>egy.mit.ener.coa.res.1_EG5</t>
  </si>
  <si>
    <t>egy.mit.ener.coa.ind.1_EG5</t>
  </si>
  <si>
    <t>egy.mit.ener.coa.oen.1_EG5</t>
  </si>
  <si>
    <t>egy.mit.ener.nga.pow.1_EG5</t>
  </si>
  <si>
    <t>egy.mit.ener.nga.tra.1_EG5</t>
  </si>
  <si>
    <t>egy.mit.ener.nga.res.1_EG5</t>
  </si>
  <si>
    <t>egy.mit.ener.nga.ind.1_EG5</t>
  </si>
  <si>
    <t>egy.mit.ener.nga.oen.1_EG5</t>
  </si>
  <si>
    <t>egy.mit.ener.gso.pow.1_EG5</t>
  </si>
  <si>
    <t>egy.mit.ener.gso.tra.1_EG5</t>
  </si>
  <si>
    <t>egy.mit.ener.gso.res.1_EG5</t>
  </si>
  <si>
    <t>egy.mit.ener.gso.ind.1_EG5</t>
  </si>
  <si>
    <t>egy.mit.ener.gso.oen.1_EG5</t>
  </si>
  <si>
    <t>egy.mit.ener.die.pow.1_EG5</t>
  </si>
  <si>
    <t>egy.mit.ener.die.tra.1_EG5</t>
  </si>
  <si>
    <t>egy.mit.ener.die.res.1_EG5</t>
  </si>
  <si>
    <t>egy.mit.ener.die.ind.1_EG5</t>
  </si>
  <si>
    <t>egy.mit.ener.die.oen.1_EG5</t>
  </si>
  <si>
    <t>egy.mit.ener.lpg.pow.1_EG5</t>
  </si>
  <si>
    <t>egy.mit.ener.lpg.tra.1_EG5</t>
  </si>
  <si>
    <t>egy.mit.ener.lpg.res.1_EG5</t>
  </si>
  <si>
    <t>egy.mit.ener.lpg.ind.1_EG5</t>
  </si>
  <si>
    <t>egy.mit.ener.lpg.oen.1_EG5</t>
  </si>
  <si>
    <t>egy.mit.ener.ker.pow.1_EG5</t>
  </si>
  <si>
    <t>egy.mit.ener.ker.tra.1_EG5</t>
  </si>
  <si>
    <t>egy.mit.ener.ker.res.1_EG5</t>
  </si>
  <si>
    <t>egy.mit.ener.ker.ind.1_EG5</t>
  </si>
  <si>
    <t>egy.mit.ener.ker.oen.1_EG5</t>
  </si>
  <si>
    <t>egy.mit.ener.oop.pow.1_EG5</t>
  </si>
  <si>
    <t>egy.mit.ener.oop.tra.1_EG5</t>
  </si>
  <si>
    <t>egy.mit.ener.oop.res.1_EG5</t>
  </si>
  <si>
    <t>egy.mit.ener.oop.ind.1_EG5</t>
  </si>
  <si>
    <t>egy.mit.ener.oop.oen.1_EG5</t>
  </si>
  <si>
    <t>egy.mit.ener.tot.tot.1_EG5</t>
  </si>
  <si>
    <t>egy.mit.ener.bio.pow.1_EG5</t>
  </si>
  <si>
    <t>egy.mit.ener.bio.tra.1_EG5</t>
  </si>
  <si>
    <t>egy.mit.ener.bio.res.1_EG5</t>
  </si>
  <si>
    <t>egy.mit.ener.bio.ind.1_EG5</t>
  </si>
  <si>
    <t>egy.mit.ener.bio.oen.1_EG5</t>
  </si>
  <si>
    <t>egy.mit.ener.con.nrn.1_EG5</t>
  </si>
  <si>
    <t>egy.mit.ener.coa.pow.2_EG5</t>
  </si>
  <si>
    <t>egy.mit.ener.coa.tra.2_EG5</t>
  </si>
  <si>
    <t>egy.mit.ener.coa.res.2_EG5</t>
  </si>
  <si>
    <t>egy.mit.ener.coa.ind.2_EG5</t>
  </si>
  <si>
    <t>egy.mit.ener.coa.oen.2_EG5</t>
  </si>
  <si>
    <t>egy.mit.ener.nga.pow.2_EG5</t>
  </si>
  <si>
    <t>egy.mit.ener.nga.tra.2_EG5</t>
  </si>
  <si>
    <t>egy.mit.ener.nga.res.2_EG5</t>
  </si>
  <si>
    <t>egy.mit.ener.nga.ind.2_EG5</t>
  </si>
  <si>
    <t>egy.mit.ener.nga.oen.2_EG5</t>
  </si>
  <si>
    <t>egy.mit.ener.gso.pow.2_EG5</t>
  </si>
  <si>
    <t>egy.mit.ener.gso.tra.2_EG5</t>
  </si>
  <si>
    <t>egy.mit.ener.gso.res.2_EG5</t>
  </si>
  <si>
    <t>egy.mit.ener.gso.ind.2_EG5</t>
  </si>
  <si>
    <t>egy.mit.ener.gso.oen.2_EG5</t>
  </si>
  <si>
    <t>egy.mit.ener.die.pow.2_EG5</t>
  </si>
  <si>
    <t>egy.mit.ener.die.tra.2_EG5</t>
  </si>
  <si>
    <t>egy.mit.ener.die.res.2_EG5</t>
  </si>
  <si>
    <t>egy.mit.ener.die.ind.2_EG5</t>
  </si>
  <si>
    <t>egy.mit.ener.die.oen.2_EG5</t>
  </si>
  <si>
    <t>egy.mit.ener.lpg.pow.2_EG5</t>
  </si>
  <si>
    <t>egy.mit.ener.lpg.tra.2_EG5</t>
  </si>
  <si>
    <t>egy.mit.ener.lpg.res.2_EG5</t>
  </si>
  <si>
    <t>egy.mit.ener.lpg.ind.2_EG5</t>
  </si>
  <si>
    <t>egy.mit.ener.lpg.oen.2_EG5</t>
  </si>
  <si>
    <t>egy.mit.ener.ker.pow.2_EG5</t>
  </si>
  <si>
    <t>egy.mit.ener.ker.tra.2_EG5</t>
  </si>
  <si>
    <t>egy.mit.ener.ker.res.2_EG5</t>
  </si>
  <si>
    <t>egy.mit.ener.ker.ind.2_EG5</t>
  </si>
  <si>
    <t>egy.mit.ener.ker.oen.2_EG5</t>
  </si>
  <si>
    <t>egy.mit.ener.oop.pow.2_EG5</t>
  </si>
  <si>
    <t>egy.mit.ener.oop.tra.2_EG5</t>
  </si>
  <si>
    <t>egy.mit.ener.oop.res.2_EG5</t>
  </si>
  <si>
    <t>egy.mit.ener.oop.ind.2_EG5</t>
  </si>
  <si>
    <t>egy.mit.ener.oop.oen.2_EG5</t>
  </si>
  <si>
    <t>egy.mit.ener.tot.tot.2_EG5</t>
  </si>
  <si>
    <t>egy.mit.ener.bio.pow.2_EG5</t>
  </si>
  <si>
    <t>egy.mit.ener.bio.tra.2_EG5</t>
  </si>
  <si>
    <t>egy.mit.ener.bio.res.2_EG5</t>
  </si>
  <si>
    <t>egy.mit.ener.bio.ind.2_EG5</t>
  </si>
  <si>
    <t>egy.mit.ener.bio.oen.2_EG5</t>
  </si>
  <si>
    <t>egy.mit.ener.con.nrn.2_EG5</t>
  </si>
  <si>
    <t>egy.mit.elec.twh.tot.1_EG5</t>
  </si>
  <si>
    <t>egy.mit.elec.twh.coa.1_EG5</t>
  </si>
  <si>
    <t>egy.mit.elec.twh.nga.1_EG5</t>
  </si>
  <si>
    <t>egy.mit.elec.twh.oop.1_EG5</t>
  </si>
  <si>
    <t>egy.mit.elec.twh.nuc.1_EG5</t>
  </si>
  <si>
    <t>egy.mit.elec.twh.wnd.1_EG5</t>
  </si>
  <si>
    <t>egy.mit.elec.twh.sol.1_EG5</t>
  </si>
  <si>
    <t>egy.mit.elec.twh.hyd.1_EG5</t>
  </si>
  <si>
    <t>egy.mit.elec.twh.ore.1_EG5</t>
  </si>
  <si>
    <t>egy.mit.elec.twh.bio.1_EG5</t>
  </si>
  <si>
    <t>egy.mit.elec.twh.ren.1_EG5</t>
  </si>
  <si>
    <t>egy.mit.elec.twh.tot.2_EG5</t>
  </si>
  <si>
    <t>egy.mit.elec.twh.coa.2_EG5</t>
  </si>
  <si>
    <t>egy.mit.elec.twh.nga.2_EG5</t>
  </si>
  <si>
    <t>egy.mit.elec.twh.oop.2_EG5</t>
  </si>
  <si>
    <t>egy.mit.elec.twh.nuc.2_EG5</t>
  </si>
  <si>
    <t>egy.mit.elec.twh.wnd.2_EG5</t>
  </si>
  <si>
    <t>egy.mit.elec.twh.sol.2_EG5</t>
  </si>
  <si>
    <t>egy.mit.elec.twh.hyd.2_EG5</t>
  </si>
  <si>
    <t>egy.mit.elec.twh.ore.2_EG5</t>
  </si>
  <si>
    <t>egy.mit.elec.twh.bio.2_EG5</t>
  </si>
  <si>
    <t>egy.mit.elec.twh.ren.2_EG5</t>
  </si>
  <si>
    <t>egy.mit.ener.rod.nga.pass.e.2_EG5</t>
  </si>
  <si>
    <t>egy.mit.tot.rod.nga.e.2_EG5</t>
  </si>
  <si>
    <t>0_EG5</t>
  </si>
  <si>
    <t>egy.mit.tot.rod.ele.e.2_EG5</t>
  </si>
  <si>
    <t>egy.mit.pass.vkt.all.e.2_EG5</t>
  </si>
  <si>
    <t>egy.mit.fre.vkt.all.e.2_EG5</t>
  </si>
  <si>
    <t>egy.mit.motor.vkt.all.e.2_EG5</t>
  </si>
  <si>
    <t>egy.mit.fecon.die.all.e.2_EG5</t>
  </si>
  <si>
    <t>egy.mit.fecon.lpg.all.e.2_EG5</t>
  </si>
  <si>
    <t>Output Code_EG5</t>
  </si>
  <si>
    <t>egy.mit.atp.rod.coa.e.2_EG5</t>
  </si>
  <si>
    <t>egy.mit.atp.rod.nga.e.2_EG5</t>
  </si>
  <si>
    <t>egy.mit.atp.rod.gso.e.2_EG5</t>
  </si>
  <si>
    <t>egy.mit.atp.ral.oop.e.2_EG5</t>
  </si>
  <si>
    <t>egy.mit.atp.ral.bio.e.2_EG5</t>
  </si>
  <si>
    <t>egy.mit.atp.ral.ren.e.2_EG5</t>
  </si>
  <si>
    <t>egy.mit.ener.ral.coa.e.2_EG5</t>
  </si>
  <si>
    <t>egy.mit.ener.ral.nga.e.2_EG5</t>
  </si>
  <si>
    <t>egy.mit.ener.ral.gso.e.2_EG5</t>
  </si>
  <si>
    <t>egy.mit.ener.ral.die.e.2_EG5</t>
  </si>
  <si>
    <t>egy.mit.ener.nav.nga.e.2_EG5</t>
  </si>
  <si>
    <t>egy.mit.ener.nav.gso.e.2_EG5</t>
  </si>
  <si>
    <t>egy.mit.ener.nav.die.e.2_EG5</t>
  </si>
  <si>
    <t>egy.mit.ener.nav.lpg.e.2_EG5</t>
  </si>
  <si>
    <t>egy.mit.ener.nav.ker.e.2_EG5</t>
  </si>
  <si>
    <t>egy.mit.ener.nav.oop.e.2_EG5</t>
  </si>
  <si>
    <t>egy.mit.ener.nav.bio.e.2_EG5</t>
  </si>
  <si>
    <t>egy.mit.ener.nav.ren.e.2_EG5</t>
  </si>
  <si>
    <t>egy.mit.ener.nav.tot.e.2_EG5</t>
  </si>
  <si>
    <t>egy.mit.ener.tra.tot.e.2_EG5</t>
  </si>
  <si>
    <t>egy.mit.atp.res.coa.e.2_EG5</t>
  </si>
  <si>
    <t>egy.mit.atp.foo.oop.e.2_EG5</t>
  </si>
  <si>
    <t>egy.mit.atp.foo.bio.e.2_EG5</t>
  </si>
  <si>
    <t>egy.mit.atp.foo.ren.e.2_EG5</t>
  </si>
  <si>
    <t>egy.mit.ener.foo.coa.e.2_EG5</t>
  </si>
  <si>
    <t>egy.mit.ener.foo.nga.e.2_EG5</t>
  </si>
  <si>
    <t>egy.mit.ener.foo.gso.e.2_EG5</t>
  </si>
  <si>
    <t>egy.mit.ener.foo.die.e.2_EG5</t>
  </si>
  <si>
    <t>egy.mit.atp.srv.oop.e.2_EG5</t>
  </si>
  <si>
    <t>egy.mit.atp.srv.bio.e.2_EG5</t>
  </si>
  <si>
    <t>egy.mit.atp.srv.ren.e.2_EG5</t>
  </si>
  <si>
    <t>egy.mit.ener.srv.coa.e.2_EG5</t>
  </si>
  <si>
    <t>egy.mit.ener.srv.nga.e.2_EG5</t>
  </si>
  <si>
    <t>egy.mit.ener.srv.gso.e.2_EG5</t>
  </si>
  <si>
    <t>egy.mit.ener.srv.die.e.2_EG5</t>
  </si>
  <si>
    <t>egy.mit.ener.srv.tot.e.2_EG5</t>
  </si>
  <si>
    <t>egy.mit.ener.res.tot.e.2_EG5</t>
  </si>
  <si>
    <t>egy.mit.ener.mch.coa.e.2_EG5</t>
  </si>
  <si>
    <t>egy.mit.ener.mch.nga.e.2_EG5</t>
  </si>
  <si>
    <t>egy.mit.ener.mch.gso.e.2_EG5</t>
  </si>
  <si>
    <t>egy.mit.ener.mch.die.e.2_EG5</t>
  </si>
  <si>
    <t>egy.mit.ener.mch.lpg.e.2_EG5</t>
  </si>
  <si>
    <t>egy.mit.ener.mch.ker.e.2_EG5</t>
  </si>
  <si>
    <t>egy.mit.ener.mch.oop.e.2_EG5</t>
  </si>
  <si>
    <t>egy.mit.ener.mch.bio.e.2_EG5</t>
  </si>
  <si>
    <t>egy.mit.ener.mch.ren.e.2_EG5</t>
  </si>
  <si>
    <t>egy.mit.ener.irn.coa.e.2_EG5</t>
  </si>
  <si>
    <t>egy.mit.ener.irn.nga.e.2_EG5</t>
  </si>
  <si>
    <t>egy.mit.ener.irn.gso.e.2_EG5</t>
  </si>
  <si>
    <t>egy.mit.ener.irn.die.e.2_EG5</t>
  </si>
  <si>
    <t>egy.mit.ener.irn.lpg.e.2_EG5</t>
  </si>
  <si>
    <t>egy.mit.ener.irn.ker.e.2_EG5</t>
  </si>
  <si>
    <t>egy.mit.ener.irn.oop.e.2_EG5</t>
  </si>
  <si>
    <t>egy.mit.ener.irn.bio.e.2_EG5</t>
  </si>
  <si>
    <t>egy.mit.ener.irn.ren.e.2_EG5</t>
  </si>
  <si>
    <t>egy.mit.ener.nfm.coa.e.2_EG5</t>
  </si>
  <si>
    <t>egy.mit.ener.nfm.nga.e.2_EG5</t>
  </si>
  <si>
    <t>egy.mit.ener.nfm.gso.e.2_EG5</t>
  </si>
  <si>
    <t>egy.mit.ener.nfm.die.e.2_EG5</t>
  </si>
  <si>
    <t>egy.mit.ener.nfm.lpg.e.2_EG5</t>
  </si>
  <si>
    <t>egy.mit.ener.nfm.ker.e.2_EG5</t>
  </si>
  <si>
    <t>egy.mit.ener.nfm.oop.e.2_EG5</t>
  </si>
  <si>
    <t>egy.mit.ener.nfm.bio.e.2_EG5</t>
  </si>
  <si>
    <t>egy.mit.ener.nfm.ren.e.2_EG5</t>
  </si>
  <si>
    <t>egy.mit.ener.mac.coa.e.2_EG5</t>
  </si>
  <si>
    <t>egy.mit.ener.mac.nga.e.2_EG5</t>
  </si>
  <si>
    <t>egy.mit.ener.mac.gso.e.2_EG5</t>
  </si>
  <si>
    <t>egy.mit.ener.mac.die.e.2_EG5</t>
  </si>
  <si>
    <t>egy.mit.ener.mac.lpg.e.2_EG5</t>
  </si>
  <si>
    <t>egy.mit.ener.mac.ker.e.2_EG5</t>
  </si>
  <si>
    <t>egy.mit.ener.mac.oop.e.2_EG5</t>
  </si>
  <si>
    <t>egy.mit.ener.mac.bio.e.2_EG5</t>
  </si>
  <si>
    <t>egy.mit.ener.mac.ren.e.2_EG5</t>
  </si>
  <si>
    <t>egy.mit.ener.foo.ecy.t.2_EG5</t>
  </si>
  <si>
    <t>egy.mit.nxp.ecy.2_EG5</t>
  </si>
  <si>
    <t>egy.mit.tsd.ecy.2_EG5</t>
  </si>
  <si>
    <t>egy.mit.eou.ecy.2_EG5</t>
  </si>
  <si>
    <t>CPAT Code_EG5</t>
  </si>
  <si>
    <t>egy.mit.ener.rod.ecy.t.2_EG5</t>
  </si>
  <si>
    <t>egy.mit.ener.ral.ecy.t.2_EG5</t>
  </si>
  <si>
    <t>egy.mit.ener.avi.ecy.t.2_EG5</t>
  </si>
  <si>
    <t>egy.mit.ener.nav.ecy.t.2_EG5</t>
  </si>
  <si>
    <t>egy.mit.ener.srv.ecy.t.2_EG5</t>
  </si>
  <si>
    <t>egy.mit.ener.em.ngaoil.e.2_EG5</t>
  </si>
  <si>
    <t>egy.mit.ener.em.coa.e.2_EG5</t>
  </si>
  <si>
    <t>egy.mit.rev.new.coa.usd.2_EG5</t>
  </si>
  <si>
    <t>egy.mit.rev.new.nga.usd.2_EG5</t>
  </si>
  <si>
    <t>egy.mit.rev.new.oil.usd.2_EG5</t>
  </si>
  <si>
    <t>egy.mit.rev.new.gso.usd.2_EG5</t>
  </si>
  <si>
    <t>egy.mit.rev.new.die.usd.2_EG5</t>
  </si>
  <si>
    <t>egy.mit.rev.new.lpk.usd.2_EG5</t>
  </si>
  <si>
    <t>egy.mit.rev.tot.usd.1_EG5</t>
  </si>
  <si>
    <t>egy.mit.rev.tot.coa.usd.1_EG5</t>
  </si>
  <si>
    <t>egy.mit.rev.tot.nga.usd.1_EG5</t>
  </si>
  <si>
    <t>egy.mit.rev.tot.oil.usd.1_EG5</t>
  </si>
  <si>
    <t>egy.mit.rev.tot.gso.usd.1_EG5</t>
  </si>
  <si>
    <t>egy.mit.rev.tot.die.usd.1_EG5</t>
  </si>
  <si>
    <t>egy.mit.rev.tot.lpk.usd.1_EG5</t>
  </si>
  <si>
    <t>egy.mit.sub.ren.usd.1_EG5</t>
  </si>
  <si>
    <t>egy.mit.rev.tot.ecy.usd.1_EG5</t>
  </si>
  <si>
    <t>egy.mit.rev.tot.usd.2_EG5</t>
  </si>
  <si>
    <t>egy.mit.rev.tot.coa.usd.2_EG5</t>
  </si>
  <si>
    <t>egy.mit.rev.tot.nga.usd.2_EG5</t>
  </si>
  <si>
    <t>egy.mit.rev.tot.oil.usd.2_EG5</t>
  </si>
  <si>
    <t>egy.mit.rev.tot.gso.usd.2_EG5</t>
  </si>
  <si>
    <t>egy.mit.rev.tot.die.usd.2_EG5</t>
  </si>
  <si>
    <t>egy.mit.rev.tot.lpk.usd.2_EG5</t>
  </si>
  <si>
    <t>egy.mit.sub.ren.usd.2_EG5</t>
  </si>
  <si>
    <t>egy.mit.rev.tot.ecy.usd.2_EG5</t>
  </si>
  <si>
    <t>egy.air.con.pm2.oap.urb.1_EG5</t>
  </si>
  <si>
    <t>egy.air.con.pm2.oap.rur.1_EG5</t>
  </si>
  <si>
    <t>egy.air.con.pm2.oap.urb.2_EG5</t>
  </si>
  <si>
    <t>egy.air.con.pm2.oap.rur.2_EG5</t>
  </si>
  <si>
    <t>egy.air.con.pm2.mod.all.1_EG5</t>
  </si>
  <si>
    <t>egy.air.con.pm2.obs.all.1_EG5</t>
  </si>
  <si>
    <t>who_guidelines_EG5</t>
  </si>
  <si>
    <t>egy.air.cad.ao3_EG5</t>
  </si>
  <si>
    <t>egy.air.cad.apm25_EG5</t>
  </si>
  <si>
    <t>egy.air.cad.hpm25_EG5</t>
  </si>
  <si>
    <t>egy.air.cad.net_EG5</t>
  </si>
  <si>
    <t>egy.air.ada.2464_EG5</t>
  </si>
  <si>
    <t>egy.air.ada.65_EG5</t>
  </si>
  <si>
    <t>egy.air.ada.u24_EG5</t>
  </si>
  <si>
    <t>egy.air.av.yll_EG5</t>
  </si>
  <si>
    <t>egy.air.av.yld_EG5</t>
  </si>
  <si>
    <t>egy.air.mort_EG5</t>
  </si>
  <si>
    <t>egy.air.ext.pp.coa_EG5</t>
  </si>
  <si>
    <t>egy.air.ext.pp.gas_EG5</t>
  </si>
  <si>
    <t>egy.air.ext.pp.oil_EG5</t>
  </si>
  <si>
    <t>egy.air.ext.ind.coa_EG5</t>
  </si>
  <si>
    <t>egy.air.ext.ind.gas_EG5</t>
  </si>
  <si>
    <t>egy.air.ext.ind.oil_EG5</t>
  </si>
  <si>
    <t>egy.air.ext.tra.gso_EG5</t>
  </si>
  <si>
    <t>egy.air.ext.tra.die_EG5</t>
  </si>
  <si>
    <t>egy.air.gdp.loss_EG5</t>
  </si>
  <si>
    <t>egy.air.gdp.loss.ch_EG5</t>
  </si>
  <si>
    <t>egy.mit.airpol.cost.coa.ind.1_EG5</t>
  </si>
  <si>
    <t>egy.mit.airpol.cost.coa.res.1_EG5</t>
  </si>
  <si>
    <t>egy.mit.airpol.cost.coa.pow.1_EG5</t>
  </si>
  <si>
    <t>egy.mit.airpol.cost.nga.ind.1_EG5</t>
  </si>
  <si>
    <t>egy.mit.airpol.cost.nga.res.1_EG5</t>
  </si>
  <si>
    <t>egy.mit.airpol.cost.nga.pow.1_EG5</t>
  </si>
  <si>
    <t>egy.mit.airpol.cost.gso.1_EG5</t>
  </si>
  <si>
    <t>egy.mit.airpol.cost.die.1_EG5</t>
  </si>
  <si>
    <t>egy.mit.airpol.cost.lpg.1_EG5</t>
  </si>
  <si>
    <t>egy.mit.airpol.cost.ker.1_EG5</t>
  </si>
  <si>
    <t>egy.air.sav.the.gov_EG5</t>
  </si>
  <si>
    <t>egy.air.sav.the.ppr_EG5</t>
  </si>
  <si>
    <t>egy.air.sav.the.opo_EG5</t>
  </si>
  <si>
    <t>egy.air.sav.the.das_EG5</t>
  </si>
  <si>
    <t>egy.dth.ktoe.pow.coa.1_EG5</t>
  </si>
  <si>
    <t>egy.dth.ktoe.pow.nga.1_EG5</t>
  </si>
  <si>
    <t>egy.dth.ktoe.pow.opp.1_EG5</t>
  </si>
  <si>
    <t>egy.dth.ktoe.rod.gso.1_EG5</t>
  </si>
  <si>
    <t>egy.dth.ktoe.rod.die.1_EG5</t>
  </si>
  <si>
    <t>egy.dth.ktoe.ind.coa.1_EG5</t>
  </si>
  <si>
    <t>egy.dth.ktoe.ind.oop.1_EG5</t>
  </si>
  <si>
    <t>egy.dth.ktoe.ind.nga.1_EG5</t>
  </si>
  <si>
    <t>egy.dth.ktoe.res.nga.1_EG5</t>
  </si>
  <si>
    <t>egy.air.conc.pm2.cpp.1_EG5</t>
  </si>
  <si>
    <t>egy.air.conc.pm2.gpp.1_EG5</t>
  </si>
  <si>
    <t>egy.air.conc.pm2.opp.1_EG5</t>
  </si>
  <si>
    <t>egy.air.conc.pm2.rod.1_EG5</t>
  </si>
  <si>
    <t>egy.air.conc.pm2.gro.1_EG5</t>
  </si>
  <si>
    <t>egy.air.conc.pm2.oth.1_EG5</t>
  </si>
  <si>
    <t>egy.air.conc.pm2.foo.1_EG5</t>
  </si>
  <si>
    <t>egy.air.conc.pm2.tot.1_EG5</t>
  </si>
  <si>
    <t>egy.air.conc.pm2.cpp.2_EG5</t>
  </si>
  <si>
    <t>egy.air.conc.pm2.gpp.2_EG5</t>
  </si>
  <si>
    <t>egy.air.conc.pm2.opp.2_EG5</t>
  </si>
  <si>
    <t>egy.air.conc.pm2.rod.2_EG5</t>
  </si>
  <si>
    <t>egy.air.conc.pm2.gro.2_EG5</t>
  </si>
  <si>
    <t>egy.air.conc.pm2.oth.2_EG5</t>
  </si>
  <si>
    <t>egy.air.conc.pm2.foo.2_EG5</t>
  </si>
  <si>
    <t>egy.air.conc.pm2.tot.2_EG5</t>
  </si>
  <si>
    <t>egy.mit.cc.code.coa.1_EG5</t>
  </si>
  <si>
    <t>egy.mit.cc.code.nga.1_EG5</t>
  </si>
  <si>
    <t>egy.mit.cc.code.gso.1_EG5</t>
  </si>
  <si>
    <t>egy.mit.cc.code.die.1_EG5</t>
  </si>
  <si>
    <t>egy.mit.cc.code.lpg.1_EG5</t>
  </si>
  <si>
    <t>egy.mit.cc.code.ker.1_EG5</t>
  </si>
  <si>
    <t>egy.tran.vmt.1_EG5</t>
  </si>
  <si>
    <t>egy.tran.vmt.2_EG5</t>
  </si>
  <si>
    <t>egy.tran.deaths.1_EG5</t>
  </si>
  <si>
    <t>egy.tran.deaths.2_EG5</t>
  </si>
  <si>
    <t>egy.tran.acc.avd.cum.2_EG5</t>
  </si>
  <si>
    <t>egy.tran.congestionP.1_EG5</t>
  </si>
  <si>
    <t>egy.tran.congestionP.2_EG5</t>
  </si>
  <si>
    <t>egy.tran.acc.cost.gso.1_EG5</t>
  </si>
  <si>
    <t>egy.tran.acc.cost.die.1_EG5</t>
  </si>
  <si>
    <t>egy.tran.con.cost.gso.1_EG5</t>
  </si>
  <si>
    <t>egy.tran.con.cost.die.1_EG5</t>
  </si>
  <si>
    <t>egy.tran.rdm.cost.gso.1_EG5</t>
  </si>
  <si>
    <t>egy.tran.rdm.cost.die.1_EG5</t>
  </si>
  <si>
    <t>egy.mit.wel.cli.usd_EG5</t>
  </si>
  <si>
    <t>egy.mit.wel.air.usd_EG5</t>
  </si>
  <si>
    <t>egy.mit.wel.rod.aci.usd_EG5</t>
  </si>
  <si>
    <t>egy.mit.wel.rod.con.usd_EG5</t>
  </si>
  <si>
    <t>egy.mit.wel.eco.dwl.usd_EG5</t>
  </si>
  <si>
    <t>egy.mit.wel.tot.tot_EG5</t>
  </si>
  <si>
    <t>egy.mit.wel.cli.pct_EG5</t>
  </si>
  <si>
    <t>egy.mit.wel.air.pct_EG5</t>
  </si>
  <si>
    <t>egy.mit.wel.rod.pct_EG5</t>
  </si>
  <si>
    <t>egy.mit.wel.eco.dwl.pct_EG5</t>
  </si>
  <si>
    <t>egy.mit.wel.tot.pct_EG5</t>
  </si>
  <si>
    <t>egy.distn.tef.tot.dec.rur_EG5</t>
  </si>
  <si>
    <t>egy.distn.tef.tot.dec.urb_EG5</t>
  </si>
  <si>
    <t>egy.distn.def.tot.dec.ove_EG5</t>
  </si>
  <si>
    <t>egy.distn.def.coa.dec.ove_EG5</t>
  </si>
  <si>
    <t>egy.distn.def.ely.dec.ove_EG5</t>
  </si>
  <si>
    <t>egy.distn.def.nga.dec.ove_EG5</t>
  </si>
  <si>
    <t>egy.distn.def.oil.dec.ove_EG5</t>
  </si>
  <si>
    <t>egy.distn.def.gso.dec.ove_EG5</t>
  </si>
  <si>
    <t>egy.distn.def.die.dec.ove_EG5</t>
  </si>
  <si>
    <t>egy.distn.def.ker.dec.ove_EG5</t>
  </si>
  <si>
    <t>egy.distn.def.lpg.dec.ove_EG5</t>
  </si>
  <si>
    <t>egy.distn.ief.tot.dec.ove_EG5</t>
  </si>
  <si>
    <t>egy.distn.ief.app.dec.ove_EG5</t>
  </si>
  <si>
    <t>egy.distn.ief.che.dec.ove_EG5</t>
  </si>
  <si>
    <t>egy.distn.ief.clo.dec.ove_EG5</t>
  </si>
  <si>
    <t>egy.distn.ief.com.dec.ove_EG5</t>
  </si>
  <si>
    <t>egy.distn.ief.edu.dec.ove_EG5</t>
  </si>
  <si>
    <t>egy.distn.ief.food.dec.ove_EG5</t>
  </si>
  <si>
    <t>egy.distn.ief.hea.dec.ove_EG5</t>
  </si>
  <si>
    <t>egy.distn.ief.hou.dec.ove_EG5</t>
  </si>
  <si>
    <t>egy.distn.ief.oth.dec.ove_EG5</t>
  </si>
  <si>
    <t>egy.distn.ief.pap.dec.ove_EG5</t>
  </si>
  <si>
    <t>egy.distn.ief.pha.dec.ove_EG5</t>
  </si>
  <si>
    <t>egy.distn.ief.ret.dec.ove_EG5</t>
  </si>
  <si>
    <t>egy.distn.ief.teq.dec.ove_EG5</t>
  </si>
  <si>
    <t>egy.distn.ief.tpu.dec.ove_EG5</t>
  </si>
  <si>
    <t>egy.distn.bsh.coa.dec.ove_EG5</t>
  </si>
  <si>
    <t>egy.distn.bsh.ely.dec.ove_EG5</t>
  </si>
  <si>
    <t>egy.distn.bsh.nga.dec.ove_EG5</t>
  </si>
  <si>
    <t>egy.distn.bsh.oil.dec.ove_EG5</t>
  </si>
  <si>
    <t>egy.distn.bsh.gso.dec.ove_EG5</t>
  </si>
  <si>
    <t>egy.distn.bsh.die.dec.ove_EG5</t>
  </si>
  <si>
    <t>egy.distn.bsh.ker.dec.ove_EG5</t>
  </si>
  <si>
    <t>egy.distn.bsh.lpg.dec.ove_EG5</t>
  </si>
  <si>
    <t>egy.distn.bsh.ccl.dec.ove_EG5</t>
  </si>
  <si>
    <t>egy.distn.bsh.ethanol.dec.ove_EG5</t>
  </si>
  <si>
    <t>egy.distn.bsh.fwd.dec.ove_EG5</t>
  </si>
  <si>
    <t>egy.distn.bsh.app.dec.ove_EG5</t>
  </si>
  <si>
    <t>egy.distn.bsh.che.dec.ove_EG5</t>
  </si>
  <si>
    <t>egy.distn.bsh.clo.dec.ove_EG5</t>
  </si>
  <si>
    <t>egy.distn.bsh.com.dec.ove_EG5</t>
  </si>
  <si>
    <t>egy.distn.bsh.edu.dec.ove_EG5</t>
  </si>
  <si>
    <t>egy.distn.bsh.food.dec.ove_EG5</t>
  </si>
  <si>
    <t>egy.distn.bsh.hea.dec.ove_EG5</t>
  </si>
  <si>
    <t>egy.distn.bsh.hou.dec.ove_EG5</t>
  </si>
  <si>
    <t>egy.distn.bsh.oth.dec.ove_EG5</t>
  </si>
  <si>
    <t>egy.distn.bsh.pap.dec.ove_EG5</t>
  </si>
  <si>
    <t>egy.distn.bsh.pha.dec.ove_EG5</t>
  </si>
  <si>
    <t>egy.distn.bsh.ret.dec.ove_EG5</t>
  </si>
  <si>
    <t>egy.distn.bsh.teq.dec.ove_EG5</t>
  </si>
  <si>
    <t>egy.distn.bsh.tpu.dec.ove_EG5</t>
  </si>
  <si>
    <t>egy.distn.cons_pc_na.dec.ove_EG5</t>
  </si>
  <si>
    <t>egy.distn.tot_cons_na.dec.ove_EG5</t>
  </si>
  <si>
    <t>egy.distn.pop_tot_adj.dec.ove_EG5</t>
  </si>
  <si>
    <t>egy.distn.pctrev_comp.dec.rur_EG5</t>
  </si>
  <si>
    <t>egy.distn.pctrev_comp.dec.urb_EG5</t>
  </si>
  <si>
    <t>egy.distn.pctrev_comp.dec.ove_EG5</t>
  </si>
  <si>
    <t>egy.distn.pct_gini_norec.dec.ove_EG5</t>
  </si>
  <si>
    <t>egy.distn.pct_gini_norec.dec.urb_EG5</t>
  </si>
  <si>
    <t>egy.distn.pct_gini_norec.dec.rur_EG5</t>
  </si>
  <si>
    <t>egy.distn.pct_gini_rec.dec.ove_EG5</t>
  </si>
  <si>
    <t>egy.distn.pct_gini_rec.dec.urb_EG5</t>
  </si>
  <si>
    <t>egy.distn.pct_gini_rec.dec.rur_EG5</t>
  </si>
  <si>
    <t>egy.distn.dpr.coa.res_EG5</t>
  </si>
  <si>
    <t>egy.distn.dpr.ely.res_EG5</t>
  </si>
  <si>
    <t>egy.distn.dpr.nga.res_EG5</t>
  </si>
  <si>
    <t>egy.distn.dpr.oop.res_EG5</t>
  </si>
  <si>
    <t>egy.distn.dpr.gso.res_EG5</t>
  </si>
  <si>
    <t>egy.distn.dpr.die.res_EG5</t>
  </si>
  <si>
    <t>egy.distn.dpr.ker.res_EG5</t>
  </si>
  <si>
    <t>egy.distn.dpr.lpg.res_EG5</t>
  </si>
  <si>
    <t>egy.distn.dpr.app_EG5</t>
  </si>
  <si>
    <t>egy.distn.dpr.che_EG5</t>
  </si>
  <si>
    <t>egy.distn.dpr.clo_EG5</t>
  </si>
  <si>
    <t>egy.distn.dpr.com_EG5</t>
  </si>
  <si>
    <t>egy.distn.dpr.edu_EG5</t>
  </si>
  <si>
    <t>egy.distn.dpr.food_EG5</t>
  </si>
  <si>
    <t>egy.distn.dpr.hea_EG5</t>
  </si>
  <si>
    <t>egy.distn.dpr.hou_EG5</t>
  </si>
  <si>
    <t>egy.distn.dpr.oth_EG5</t>
  </si>
  <si>
    <t>egy.distn.dpr.pap_EG5</t>
  </si>
  <si>
    <t>egy.distn.dpr.pha_EG5</t>
  </si>
  <si>
    <t>egy.distn.dpr.ret_EG5</t>
  </si>
  <si>
    <t>egy.distn.dpr.teq_EG5</t>
  </si>
  <si>
    <t>egy.distn.dpr.tpu_EG5</t>
  </si>
  <si>
    <t>egy.distn.pit.tot.dec.ove_EG5</t>
  </si>
  <si>
    <t>egy.distn.pui.tot.dec.ove_EG5</t>
  </si>
  <si>
    <t>egy.distn.cts.tot.dec.ove_EG5</t>
  </si>
  <si>
    <t>egy.distn.tgt.tot.dec.ove_EG5</t>
  </si>
  <si>
    <t>egy.distn.tef.tot.dec.ove_EG5</t>
  </si>
  <si>
    <t>dist.year_EG5</t>
  </si>
  <si>
    <t>dist.stat_EG5</t>
  </si>
  <si>
    <t>egy.ppic.avi_EG5</t>
  </si>
  <si>
    <t>egy.ppic.foo_EG5</t>
  </si>
  <si>
    <t>egy.ppic.srv_EG5</t>
  </si>
  <si>
    <t>egy.ppic.con_EG5</t>
  </si>
  <si>
    <t>egy.ppic.mac_EG5</t>
  </si>
  <si>
    <t>egy.ppic.irn_EG5</t>
  </si>
  <si>
    <t>egy.ppic.man_EG5</t>
  </si>
  <si>
    <t>egy.ppic.oth_EG5</t>
  </si>
  <si>
    <t>egy.ppic.cem_EG5</t>
  </si>
  <si>
    <t>egy.ppic.shi_EG5</t>
  </si>
  <si>
    <t>egy.ppic.res_EG5</t>
  </si>
  <si>
    <t>egy.ppic.fuel_EG5</t>
  </si>
  <si>
    <t>egy.outpriin.avi_EG5</t>
  </si>
  <si>
    <t>egy.outpriin.shi_EG5</t>
  </si>
  <si>
    <t>egy.outpriin.cem_EG5</t>
  </si>
  <si>
    <t>egy.outpriin.irn_EG5</t>
  </si>
  <si>
    <t>egy.outpriin.oth_EG5</t>
  </si>
  <si>
    <t>egy.outpriin.man_EG5</t>
  </si>
  <si>
    <t>egy.outpriin.foo_EG5</t>
  </si>
  <si>
    <t>egy.outpriin.mac_EG5</t>
  </si>
  <si>
    <t>egy.outpriin.res_EG5</t>
  </si>
  <si>
    <t>egy.outpriin.con_EG5</t>
  </si>
  <si>
    <t>egy.outpriin.srv_EG5</t>
  </si>
  <si>
    <t>egy.mit.el.inc.ecy.res_EG5</t>
  </si>
  <si>
    <t>egy.mit.el.inc.gso.res_EG5</t>
  </si>
  <si>
    <t>egy.mit.el.inc.die.res_EG5</t>
  </si>
  <si>
    <t>gdp_EG5</t>
  </si>
  <si>
    <t>emisco2_EG5</t>
  </si>
  <si>
    <t>co2_EG5</t>
  </si>
  <si>
    <t>co2intensityusdgdp_EG5</t>
  </si>
  <si>
    <t>elec_EG5</t>
  </si>
  <si>
    <t>renpropbase_EG5</t>
  </si>
  <si>
    <t>renprop_EG5</t>
  </si>
  <si>
    <t>co2intpow_EG5</t>
  </si>
  <si>
    <t>egy.mit.tsd.ecy.1_EG5</t>
  </si>
  <si>
    <t>egy.mit.eou.ecy.1_EG5</t>
  </si>
  <si>
    <t>egy.mit.nxp.ecy.1_EG5</t>
  </si>
  <si>
    <t>egy.mit.ec.ele.2026.1_EG5</t>
  </si>
  <si>
    <t>egy.mit.ec.coa.2026.1_EG5</t>
  </si>
  <si>
    <t>egy.mit.ec.nga.2026.1_EG5</t>
  </si>
  <si>
    <t>egy.mit.ec.oop.2026.1_EG5</t>
  </si>
  <si>
    <t>egy.mit.ec.gso.2026.1_EG5</t>
  </si>
  <si>
    <t>egy.mit.ec.die.2026.1_EG5</t>
  </si>
  <si>
    <t>egy.mit.ec.ker.2026.1_EG5</t>
  </si>
  <si>
    <t>egy.mit.ec.lpg.2026.1_EG5</t>
  </si>
  <si>
    <t>egy.mit.ec.jfu.2026.1_EG5</t>
  </si>
  <si>
    <t>egy.mit.ec.wnd.2026.1_EG5</t>
  </si>
  <si>
    <t>egy.mit.ec.sol.2026.1_EG5</t>
  </si>
  <si>
    <t>egy.mit.ec.hyd.2026.1_EG5</t>
  </si>
  <si>
    <t>egy.mit.ec.ore.2026.1_EG5</t>
  </si>
  <si>
    <t>egy.mit.ec.nuc.2026.1_EG5</t>
  </si>
  <si>
    <t>egy.mit.ec.bio.2026.1_EG5</t>
  </si>
  <si>
    <t>egy.mit.ec.bgs.2026.1_EG5</t>
  </si>
  <si>
    <t>egy.mit.ec.bdi.2026.1_EG5</t>
  </si>
  <si>
    <t>egy.mit.ec.obf.2026.1_EG5</t>
  </si>
  <si>
    <t>egy.mit.ec.heat.2026.1_EG5</t>
  </si>
  <si>
    <t>egy.mit.elec.twh.sel.tot.ecy.1_EG5</t>
  </si>
  <si>
    <t>egy.mit.elec.twh.sel.tot.ecy.2_EG5</t>
  </si>
  <si>
    <t>egy.mit.msc.pow.hyd.t.1_EG5</t>
  </si>
  <si>
    <t>egy.mit.mancap.pow.oop.t.1_EG5</t>
  </si>
  <si>
    <t>egy.mit.nim.pow.coa.t.1_EG5</t>
  </si>
  <si>
    <t>egy.mit.nim.pow.nga.t.1_EG5</t>
  </si>
  <si>
    <t>egy.mit.nim.pow.oop.t.1_EG5</t>
  </si>
  <si>
    <t>egy.mit.nim.pow.nuc.t.1_EG5</t>
  </si>
  <si>
    <t>egy.mit.nim.pow.wnd.t.1_EG5</t>
  </si>
  <si>
    <t>egy.mit.nim.pow.sol.t.1_EG5</t>
  </si>
  <si>
    <t>egy.mit.nim.pow.hyd.t.1_EG5</t>
  </si>
  <si>
    <t>egy.mit.nim.pow.ore.t.1_EG5</t>
  </si>
  <si>
    <t>egy.mit.nim.pow.bio.t.1_EG5</t>
  </si>
  <si>
    <t>egy.mit.nim.pow.coa.t.2_EG5</t>
  </si>
  <si>
    <t>egy.mit.nim.pow.nga.t.2_EG5</t>
  </si>
  <si>
    <t>egy.mit.nim.pow.oop.t.2_EG5</t>
  </si>
  <si>
    <t>egy.mit.nim.pow.nuc.t.2_EG5</t>
  </si>
  <si>
    <t>egy.mit.nim.pow.wnd.t.2_EG5</t>
  </si>
  <si>
    <t>egy.mit.nim.pow.sol.t.2_EG5</t>
  </si>
  <si>
    <t>egy.mit.nim.pow.hyd.t.2_EG5</t>
  </si>
  <si>
    <t>egy.mit.nim.pow.ore.t.2_EG5</t>
  </si>
  <si>
    <t>egy.mit.nim.pow.bio.t.2_EG5</t>
  </si>
  <si>
    <t>egy.mit.nid.pow.coa.t.1_EG5</t>
  </si>
  <si>
    <t>egy.mit.nid.pow.nga.t.1_EG5</t>
  </si>
  <si>
    <t>egy.mit.nid.pow.oop.t.1_EG5</t>
  </si>
  <si>
    <t>egy.mit.nid.pow.nuc.t.1_EG5</t>
  </si>
  <si>
    <t>egy.mit.nid.pow.wnd.t.1_EG5</t>
  </si>
  <si>
    <t>egy.mit.nid.pow.sol.t.1_EG5</t>
  </si>
  <si>
    <t>egy.mit.nid.pow.hyd.t.1_EG5</t>
  </si>
  <si>
    <t>egy.mit.nid.pow.ore.t.1_EG5</t>
  </si>
  <si>
    <t>egy.mit.nid.pow.bio.t.1_EG5</t>
  </si>
  <si>
    <t>egy.mit.nid.pow.coa.t.2_EG5</t>
  </si>
  <si>
    <t>egy.mit.nid.pow.nga.t.2_EG5</t>
  </si>
  <si>
    <t>egy.mit.nid.pow.oop.t.2_EG5</t>
  </si>
  <si>
    <t>egy.mit.nid.pow.nuc.t.2_EG5</t>
  </si>
  <si>
    <t>egy.mit.nid.pow.wnd.t.2_EG5</t>
  </si>
  <si>
    <t>egy.mit.nid.pow.sol.t.2_EG5</t>
  </si>
  <si>
    <t>egy.mit.nid.pow.hyd.t.2_EG5</t>
  </si>
  <si>
    <t>egy.mit.nid.pow.ore.t.2_EG5</t>
  </si>
  <si>
    <t>egy.mit.nid.pow.bio.t.2_EG5</t>
  </si>
  <si>
    <t>inflation_EG5</t>
  </si>
  <si>
    <t>vat_EG5</t>
  </si>
  <si>
    <t>realoilbbl_EG5</t>
  </si>
  <si>
    <t>realcoalton_EG5</t>
  </si>
  <si>
    <t>realngammbtu_EG5</t>
  </si>
  <si>
    <t>realoilglobal_EG5</t>
  </si>
  <si>
    <t>reacoalglobal_EG5</t>
  </si>
  <si>
    <t>realngaglobal_EG5</t>
  </si>
  <si>
    <t>forgasolinemarkup_EG5</t>
  </si>
  <si>
    <t>fordieselmarkup_EG5</t>
  </si>
  <si>
    <t>forkerosenemarkup_EG5</t>
  </si>
  <si>
    <t>forglpgmarkup_EG5</t>
  </si>
  <si>
    <t>egy.mit.mu1.coa.res.1_EG5</t>
  </si>
  <si>
    <t>egy.mit.mu1.coa.ind.1_EG5</t>
  </si>
  <si>
    <t>egy.mit.mu1.nga.pow.1_EG5</t>
  </si>
  <si>
    <t>egy.mit.mu1.nga.res.1_EG5</t>
  </si>
  <si>
    <t>egy.mit.mu1.nga.ind.1_EG5</t>
  </si>
  <si>
    <t>egy.mit.mu1.gso.all.1_EG5</t>
  </si>
  <si>
    <t>egy.mit.mu1.die.all.1_EG5</t>
  </si>
  <si>
    <t>egy.mit.mu1.lpg.all.1_EG5</t>
  </si>
  <si>
    <t>egy.mit.mu1.ker.all.1_EG5</t>
  </si>
  <si>
    <t>egy.mit.mu1.oop.all.1_EG5</t>
  </si>
  <si>
    <t>egy.mit.mu1.bio.all.1_EG5</t>
  </si>
  <si>
    <t>egy.mit.mu2.coa.pow.1_EG5</t>
  </si>
  <si>
    <t>egy.mit.mu2.coa.res.1_EG5</t>
  </si>
  <si>
    <t>egy.mit.mu2.coa.ind.1_EG5</t>
  </si>
  <si>
    <t>egy.mit.mu2.nga.pow.1_EG5</t>
  </si>
  <si>
    <t>egy.mit.mu2.nga.res.1_EG5</t>
  </si>
  <si>
    <t>egy.mit.mu2.nga.ind.1_EG5</t>
  </si>
  <si>
    <t>egy.mit.mu2.gso.all.1_EG5</t>
  </si>
  <si>
    <t>egy.mit.mu2.die.all.1_EG5</t>
  </si>
  <si>
    <t>egy.mit.mu2.lpg.all.1_EG5</t>
  </si>
  <si>
    <t>egy.mit.mu2.ker.all.1_EG5</t>
  </si>
  <si>
    <t>egy.mit.mu2.oop.all.1_EG5</t>
  </si>
  <si>
    <t>egy.mit.mu2.bio.all.1_EG5</t>
  </si>
  <si>
    <t>egy.mit.sp.coa.pow.1_EG5</t>
  </si>
  <si>
    <t>egy.mit.sp.coa.res.1_EG5</t>
  </si>
  <si>
    <t>egy.mit.sp.coa.ind.1_EG5</t>
  </si>
  <si>
    <t>egy.mit.sp.nga.pow.1_EG5</t>
  </si>
  <si>
    <t>egy.mit.sp.nga.res.1_EG5</t>
  </si>
  <si>
    <t>egy.mit.sp.nga.ind.1_EG5</t>
  </si>
  <si>
    <t>egy.mit.sp.gso.all.1_EG5</t>
  </si>
  <si>
    <t>egy.mit.sp.die.all.1_EG5</t>
  </si>
  <si>
    <t>egy.mit.sp.lpg.all.1_EG5</t>
  </si>
  <si>
    <t>egy.mit.sp.ker.all.1_EG5</t>
  </si>
  <si>
    <t>egy.mit.sp.oop.all.1_EG5</t>
  </si>
  <si>
    <t>egy.mit.rp.all.die.a.1_EG5</t>
  </si>
  <si>
    <t>egy.mit.rp.all.lpg.a.1_EG5</t>
  </si>
  <si>
    <t>egy.mit.rp.all.ker.a.1_EG5</t>
  </si>
  <si>
    <t>egy.mit.rp.all.oop.a.1_EG5</t>
  </si>
  <si>
    <t>egy.air.ef.ext.ngaoil.ch4.1_EG5</t>
  </si>
  <si>
    <t>egy.air.ef.ext.ngaoil.ch4.2_EG5</t>
  </si>
  <si>
    <t>egy.air.ef.ext.coa.ch4.1_EG5</t>
  </si>
  <si>
    <t>egy.air.ef.ext.coa.ch4.2_EG5</t>
  </si>
  <si>
    <t>egy.mit.mftrajfossil.1_EG5</t>
  </si>
  <si>
    <t>egy.mit.mftrajnonfossil.1_EG5</t>
  </si>
  <si>
    <t>egy.mit.mftrajfossil.2_EG5</t>
  </si>
  <si>
    <t>egy.mit.mftrajnonfossil.2_EG5</t>
  </si>
  <si>
    <t>egy.mit.wel.eco.ext.dwl.pct_EG5</t>
  </si>
  <si>
    <t>egy.mit.wel.eco.agc.dwl.pct_EG5</t>
  </si>
  <si>
    <t>egy.mit.wel.eco.was.dwl.pct_EG5</t>
  </si>
  <si>
    <t>egy.mit.ener.mfpct.oil.e.2_EG5</t>
  </si>
  <si>
    <t>egy.mit.ener.mfpct.coa.e.2_EG5</t>
  </si>
  <si>
    <t>egy.mit.ener.mfpct.nga.e.2_EG5</t>
  </si>
  <si>
    <t>egy.mit.trs.gso.all.a.1_EG5</t>
  </si>
  <si>
    <t>egy.mit.vatrate.all.gso.a.1_EG5</t>
  </si>
  <si>
    <t>egy.mit.rescon.gso.all.1_EG5</t>
  </si>
  <si>
    <t>egy.mit.effprice.gso.all.1_EG5</t>
  </si>
  <si>
    <t>egy.mit.con.gso.all.1_EG5</t>
  </si>
  <si>
    <t>egy.mit.expsub.con.gso.all.1_EG5</t>
  </si>
  <si>
    <t>egy.mit.impsub.con.gso.all.1_EG5</t>
  </si>
  <si>
    <t>egy.mit.trs.die.all.a.1_EG5</t>
  </si>
  <si>
    <t>egy.mit.vatrate.all.die.a.1_EG5</t>
  </si>
  <si>
    <t>egy.mit.rescon.die.all.1_EG5</t>
  </si>
  <si>
    <t>egy.mit.effprice.die.all.1_EG5</t>
  </si>
  <si>
    <t>egy.mit.con.die.all.1_EG5</t>
  </si>
  <si>
    <t>egy.mit.expsub.con.die.all.1_EG5</t>
  </si>
  <si>
    <t>egy.mit.impsub.con.die.all.1_EG5</t>
  </si>
  <si>
    <t>egy.mit.vatrate.all.lpg.a.1_EG5</t>
  </si>
  <si>
    <t>egy.mit.rescon.lpg.all.1_EG5</t>
  </si>
  <si>
    <t>egy.mit.effprice.lpg.all.1_EG5</t>
  </si>
  <si>
    <t>egy.mit.con.lpg.all.1_EG5</t>
  </si>
  <si>
    <t>egy.mit.expsub.con.lpg.all.1_EG5</t>
  </si>
  <si>
    <t>egy.mit.impsub.con.lpg.all.1_EG5</t>
  </si>
  <si>
    <t>egy.mit.vatrate.all.ker.a.1_EG5</t>
  </si>
  <si>
    <t>egy.mit.rescon.ker.all.1_EG5</t>
  </si>
  <si>
    <t>egy.mit.effprice.ker.all.1_EG5</t>
  </si>
  <si>
    <t>egy.mit.con.ker.all.1_EG5</t>
  </si>
  <si>
    <t>egy.mit.expsub.con.ker.all.1_EG5</t>
  </si>
  <si>
    <t>egy.mit.impsub.con.ker.all.1_EG5</t>
  </si>
  <si>
    <t>egy.mit.vatrate.all.oop.a.1_EG5</t>
  </si>
  <si>
    <t>egy.mit.rescon.oop.all.1_EG5</t>
  </si>
  <si>
    <t>egy.mit.effprice.oop.all.1_EG5</t>
  </si>
  <si>
    <t>egy.mit.rp.oop.all.1_EG5</t>
  </si>
  <si>
    <t>egy.mit.con.oop.all.1_EG5</t>
  </si>
  <si>
    <t>egy.mit.expsub.con.oop.all.1_EG5</t>
  </si>
  <si>
    <t>egy.mit.vatext.nga.ind.1_EG5</t>
  </si>
  <si>
    <t>egy.mit.effprice.nga.ind.1_EG5</t>
  </si>
  <si>
    <t>egy.mit.con.nga.ind.1_EG5</t>
  </si>
  <si>
    <t>egy.mit.expsub.con.nga.ind.1_EG5</t>
  </si>
  <si>
    <t>egy.mit.impsub.con.nga.ind.1_EG5</t>
  </si>
  <si>
    <t>egy.mit.vatrate.res.nga.a.1_EG5</t>
  </si>
  <si>
    <t>egy.mit.effprice.nga.res.1_EG5</t>
  </si>
  <si>
    <t>egy.mit.con.nga.res.1_EG5</t>
  </si>
  <si>
    <t>egy.mit.expsub.con.nga.res.1_EG5</t>
  </si>
  <si>
    <t>egy.mit.impsub.con.nga.res.1_EG5</t>
  </si>
  <si>
    <t>egy.mit.effprice.nga.pow.1_EG5</t>
  </si>
  <si>
    <t>egy.mit.con.nga.pow.1_EG5</t>
  </si>
  <si>
    <t>egy.mit.expsub.con.nga.pow.1_EG5</t>
  </si>
  <si>
    <t>egy.mit.impsub.con.nga.pow.1_EG5</t>
  </si>
  <si>
    <t>egy.mit.supcost.nga.other.1_EG5</t>
  </si>
  <si>
    <t>egy.mit.extcost.nga.other.1_EG5</t>
  </si>
  <si>
    <t>egy.mit.vatext.nga.other.1_EG5</t>
  </si>
  <si>
    <t>egy.mit.effprice.nga.other.1_EG5</t>
  </si>
  <si>
    <t>egy.mit.rp.nga.other.1_EG5</t>
  </si>
  <si>
    <t>egy.mit.con.nga.other.1_EG5</t>
  </si>
  <si>
    <t>egy.mit.expsub.con.nga.other.1_EG5</t>
  </si>
  <si>
    <t>egy.mit.impsub.con.nga.other.1_EG5</t>
  </si>
  <si>
    <t>egy.mit.effprice.coa.ind.1_EG5</t>
  </si>
  <si>
    <t>egy.mit.con.coa.ind.1_EG5</t>
  </si>
  <si>
    <t>egy.mit.expsub.con.coa.ind.1_EG5</t>
  </si>
  <si>
    <t>egy.mit.impsub.con.coa.ind.1_EG5</t>
  </si>
  <si>
    <t>egy.mit.vatrate.res.coa.a.1_EG5</t>
  </si>
  <si>
    <t>egy.mit.effprice.coa.res.1_EG5</t>
  </si>
  <si>
    <t>egy.mit.con.coa.res.1_EG5</t>
  </si>
  <si>
    <t>egy.mit.expsub.con.coa.res.1_EG5</t>
  </si>
  <si>
    <t>egy.mit.impsub.con.coa.res.1_EG5</t>
  </si>
  <si>
    <t>egy.mit.effprice.coa.pow.1_EG5</t>
  </si>
  <si>
    <t>egy.mit.con.coa.pow.1_EG5</t>
  </si>
  <si>
    <t>egy.mit.expsub.con.coa.pow.1_EG5</t>
  </si>
  <si>
    <t>egy.mit.impsub.con.coa.pow.1_EG5</t>
  </si>
  <si>
    <t>egy.mit.supcost.coa.other.1_EG5</t>
  </si>
  <si>
    <t>egy.mit.extcost.coa.other.1_EG5</t>
  </si>
  <si>
    <t>egy.mit.vatext.coa.other.1_EG5</t>
  </si>
  <si>
    <t>egy.mit.effprice.coa.other.1_EG5</t>
  </si>
  <si>
    <t>egy.mit.rp.coa.other.1_EG5</t>
  </si>
  <si>
    <t>egy.mit.con.coa.other.1_EG5</t>
  </si>
  <si>
    <t>egy.mit.expsub.con.coa.other.1_EG5</t>
  </si>
  <si>
    <t>egy.mit.impsub.con.coa.other.1_EG5</t>
  </si>
  <si>
    <t>egy.mit.effprice.ecy.ind.1_EG5</t>
  </si>
  <si>
    <t>egy.mit.con.ecy.ind.1_EG5</t>
  </si>
  <si>
    <t>egy.mit.expsub.con.ecy.ind.1_EG5</t>
  </si>
  <si>
    <t>egy.mit.impsub.con.ecy.ind.1_EG5</t>
  </si>
  <si>
    <t>egy.mit.vatrate.res.ecy.t.1_EG5</t>
  </si>
  <si>
    <t>egy.mit.effprice.ecy.res.1_EG5</t>
  </si>
  <si>
    <t>egy.mit.con.ecy.res.1_EG5</t>
  </si>
  <si>
    <t>egy.mit.expsub.con.ecy.res.1_EG5</t>
  </si>
  <si>
    <t>egy.mit.impsub.con.ecy.res.1_EG5</t>
  </si>
  <si>
    <t>egy.mit.supcost.ecy.other.1_EG5</t>
  </si>
  <si>
    <t>egy.mit.extcost.ecy.other.1_EG5</t>
  </si>
  <si>
    <t>egy.mit.vatext.ecy.other.1_EG5</t>
  </si>
  <si>
    <t>egy.mit.effprice.ecy.other.1_EG5</t>
  </si>
  <si>
    <t>egy.mit.rp.ecy.other.1_EG5</t>
  </si>
  <si>
    <t>egy.mit.con.ecy.other.1_EG5</t>
  </si>
  <si>
    <t>egy.mit.expsub.con.ecy.other.1_EG5</t>
  </si>
  <si>
    <t>egy.mit.impsub.con.ecy.other.1_EG5</t>
  </si>
  <si>
    <t>egy.mit.expsub.con.all.all.1_EG5</t>
  </si>
  <si>
    <t>egy.mit.impsub.con.all.all.1_EG5</t>
  </si>
  <si>
    <t>egy.mit.expsubgdp.con.all.all.1_EG5</t>
  </si>
  <si>
    <t>egy.mit.impsubgdp.con.all.all.1_EG5</t>
  </si>
  <si>
    <t>CPAT_Results (EG1)</t>
  </si>
  <si>
    <t>CPAT_Results (EG2)</t>
  </si>
  <si>
    <t>CPAT_Results (EG3)</t>
  </si>
  <si>
    <t>CPAT_Results (EG4)</t>
  </si>
  <si>
    <t>A. CPAT national outputs by run, linked by INDEX/MATCH to sheet CPAT_Results (key = CPAT code &amp; "_" &amp; run, year = row 5); EG1 = 1A/2A, EG2 = 2B, EG3 = 3A-3C, EG4 unused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</si>
</sst>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30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169" fontId="21" fillId="12" borderId="0" xfId="0" applyNumberFormat="1" applyFont="1" applyFill="1"/>
    <xf numFmtId="0" fontId="21" fillId="12" borderId="0" xfId="0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  <xf numFmtId="0" fontId="25" fillId="0" borderId="0" xfId="0" applyFont="1"/>
    <xf numFmtId="49" fontId="0" fillId="0" borderId="0" xfId="0" applyNumberFormat="1"/>
    <xf numFmtId="166" fontId="0" fillId="7" borderId="0" xfId="0" applyNumberFormat="1" applyFill="1"/>
    <xf numFmtId="0" fontId="17" fillId="0" borderId="0" xfId="0" applyFont="1" applyAlignment="1">
      <alignment wrapText="1"/>
    </xf>
    <xf numFmtId="1" fontId="0" fillId="14" borderId="0" xfId="0" applyNumberFormat="1" applyFill="1"/>
    <xf numFmtId="170" fontId="0" fillId="0" borderId="0" xfId="0" applyNumberFormat="1"/>
    <xf numFmtId="170" fontId="0" fillId="14" borderId="0" xfId="0" applyNumberFormat="1" applyFill="1"/>
    <xf numFmtId="14" fontId="0" fillId="0" borderId="0" xfId="0" quotePrefix="1" applyNumberFormat="1"/>
    <xf numFmtId="3" fontId="18" fillId="13" borderId="0" xfId="0" applyNumberFormat="1" applyFont="1" applyFill="1"/>
    <xf numFmtId="0" fontId="18" fillId="14" borderId="0" xfId="0" applyFont="1" applyFill="1"/>
    <xf numFmtId="3" fontId="21" fillId="13" borderId="0" xfId="0" applyNumberFormat="1" applyFont="1" applyFill="1"/>
    <xf numFmtId="175" fontId="21" fillId="13" borderId="0" xfId="0" applyNumberFormat="1" applyFont="1" applyFill="1"/>
    <xf numFmtId="0" fontId="0" fillId="13" borderId="0" xfId="0" applyFill="1"/>
    <xf numFmtId="0" fontId="26" fillId="0" borderId="0" xfId="0" applyFont="1"/>
    <xf numFmtId="0" fontId="17" fillId="5" borderId="0" xfId="0" applyFont="1" applyFill="1"/>
    <xf numFmtId="3" fontId="0" fillId="13" borderId="0" xfId="0" applyNumberFormat="1" applyFill="1"/>
    <xf numFmtId="170" fontId="0" fillId="13" borderId="0" xfId="0" applyNumberFormat="1" applyFill="1"/>
    <xf numFmtId="3" fontId="0" fillId="14" borderId="0" xfId="0" applyNumberFormat="1" applyFill="1"/>
    <xf numFmtId="43" fontId="0" fillId="13" borderId="0" xfId="0" applyNumberFormat="1" applyFill="1"/>
    <xf numFmtId="165" fontId="0" fillId="13" borderId="0" xfId="0" applyNumberFormat="1" applyFill="1"/>
    <xf numFmtId="166" fontId="0" fillId="14" borderId="0" xfId="0" applyNumberFormat="1" applyFill="1"/>
    <xf numFmtId="2" fontId="0" fillId="14" borderId="0" xfId="0" applyNumberFormat="1" applyFill="1"/>
    <xf numFmtId="1" fontId="27" fillId="5" borderId="0" xfId="0" applyNumberFormat="1" applyFont="1" applyFill="1" applyAlignment="1">
      <alignment horizontal="right" vertical="center"/>
    </xf>
    <xf numFmtId="1" fontId="27" fillId="5" borderId="0" xfId="0" applyNumberFormat="1" applyFont="1" applyFill="1" applyAlignment="1">
      <alignment horizontal="left" vertical="center" wrapText="1"/>
    </xf>
    <xf numFmtId="1" fontId="28" fillId="5" borderId="0" xfId="0" applyNumberFormat="1" applyFont="1" applyFill="1" applyAlignment="1">
      <alignment horizontal="left" vertical="center" wrapText="1"/>
    </xf>
    <xf numFmtId="1" fontId="27" fillId="5" borderId="0" xfId="0" applyNumberFormat="1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sstretton_worldbankgroup_org/Documents/Main/Current%20Projects/E.%20Egypt/Multiscenario%20Tool%201.357.xlsb" TargetMode="External"/><Relationship Id="rId1" Type="http://schemas.openxmlformats.org/officeDocument/2006/relationships/externalLinkPath" Target="https://worldbankgroup-my.sharepoint.com/personal/sstretton_worldbankgroup_org/Documents/Main/Current%20Projects/E.%20Egypt/Multiscenario%20Tool%201.357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PUT -&gt;"/>
      <sheetName val="Dashboard"/>
      <sheetName val="AdvancedScenarios"/>
      <sheetName val="Indicators"/>
      <sheetName val="Goal Seek"/>
      <sheetName val="PSA"/>
      <sheetName val="AdvScenParamOverride"/>
      <sheetName val="DATA -&gt;"/>
      <sheetName val="MTOutputs"/>
      <sheetName val="RESULTS -&gt;"/>
      <sheetName val="OneCountry"/>
      <sheetName val="ManyCountries"/>
      <sheetName val="Pigouvian taxes"/>
      <sheetName val="TOOLS -&gt;"/>
      <sheetName val="QuickChecks"/>
      <sheetName val="QuickChecksSC"/>
      <sheetName val="CPATdash"/>
      <sheetName val="Sensitivity"/>
      <sheetName val="SenseChecking"/>
      <sheetName val="Hindcasting"/>
      <sheetName val="OTHER -&gt;"/>
      <sheetName val="FitGas"/>
      <sheetName val="MTDistribution"/>
      <sheetName val="ListsGenerator"/>
      <sheetName val="Prices"/>
      <sheetName val="ScenariosToRun"/>
      <sheetName val="BaselineInTime"/>
      <sheetName val="Pivot"/>
      <sheetName val="Enerbase"/>
      <sheetName val="IEAWEO"/>
      <sheetName val="Other data"/>
      <sheetName val="EB_Hind"/>
      <sheetName val="EC_Hind"/>
      <sheetName val="Prices_dom"/>
      <sheetName val="FOR MACRO -&gt;"/>
      <sheetName val="Transposed"/>
      <sheetName val="ChosenScenarios"/>
      <sheetName val="VersionTracker"/>
    </sheetNames>
    <sheetDataSet>
      <sheetData sheetId="0"/>
      <sheetData sheetId="1"/>
      <sheetData sheetId="2">
        <row r="7">
          <cell r="J7">
            <v>2022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18" zoomScaleNormal="100" workbookViewId="0">
      <selection activeCell="A48" sqref="A48:XFD48"/>
    </sheetView>
  </sheetViews>
  <sheetFormatPr defaultColWidth="8.7109375" defaultRowHeight="15" x14ac:dyDescent="0.25"/>
  <cols>
    <col min="1" max="1" width="38" customWidth="1"/>
    <col min="2" max="2" width="18" customWidth="1"/>
    <col min="3" max="3" width="70" customWidth="1"/>
  </cols>
  <sheetData>
    <row r="1" spans="1:3" ht="18" x14ac:dyDescent="0.25">
      <c r="A1" s="1" t="s">
        <v>3878</v>
      </c>
    </row>
    <row r="3" spans="1:3" x14ac:dyDescent="0.25">
      <c r="A3" s="2" t="s">
        <v>0</v>
      </c>
      <c r="B3" s="51" t="s">
        <v>1</v>
      </c>
      <c r="C3" s="3" t="s">
        <v>2</v>
      </c>
    </row>
    <row r="4" spans="1:3" x14ac:dyDescent="0.25">
      <c r="A4" s="2" t="s">
        <v>3</v>
      </c>
      <c r="B4" s="51" t="s">
        <v>4</v>
      </c>
      <c r="C4" s="3" t="s">
        <v>5</v>
      </c>
    </row>
    <row r="5" spans="1:3" x14ac:dyDescent="0.25">
      <c r="A5" s="2" t="s">
        <v>6</v>
      </c>
      <c r="B5" s="51" t="s">
        <v>7</v>
      </c>
      <c r="C5" s="3" t="s">
        <v>8</v>
      </c>
    </row>
    <row r="6" spans="1:3" x14ac:dyDescent="0.25">
      <c r="A6" s="2" t="s">
        <v>9</v>
      </c>
      <c r="B6" s="51">
        <v>2022</v>
      </c>
      <c r="C6" s="3" t="s">
        <v>10</v>
      </c>
    </row>
    <row r="7" spans="1:3" x14ac:dyDescent="0.2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2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2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25">
      <c r="A10" t="s">
        <v>1816</v>
      </c>
      <c r="B10" s="43" t="s">
        <v>1737</v>
      </c>
      <c r="C10" t="s">
        <v>1817</v>
      </c>
    </row>
    <row r="12" spans="1:3" x14ac:dyDescent="0.25">
      <c r="A12" s="2" t="s">
        <v>17</v>
      </c>
    </row>
    <row r="13" spans="1:3" x14ac:dyDescent="0.25">
      <c r="A13" s="4" t="s">
        <v>18</v>
      </c>
    </row>
    <row r="14" spans="1:3" x14ac:dyDescent="0.25">
      <c r="A14" s="3" t="s">
        <v>19</v>
      </c>
    </row>
    <row r="16" spans="1:3" x14ac:dyDescent="0.25">
      <c r="A16" s="2" t="s">
        <v>20</v>
      </c>
    </row>
    <row r="17" spans="1:3" x14ac:dyDescent="0.25">
      <c r="A17" s="2" t="s">
        <v>1696</v>
      </c>
      <c r="C17" t="s">
        <v>1697</v>
      </c>
    </row>
    <row r="18" spans="1:3" x14ac:dyDescent="0.25">
      <c r="A18" s="2" t="s">
        <v>1772</v>
      </c>
      <c r="C18" t="s">
        <v>1818</v>
      </c>
    </row>
    <row r="19" spans="1:3" x14ac:dyDescent="0.25">
      <c r="A19" s="5" t="s">
        <v>21</v>
      </c>
      <c r="C19" s="3" t="s">
        <v>1698</v>
      </c>
    </row>
    <row r="20" spans="1:3" x14ac:dyDescent="0.25">
      <c r="A20" s="5" t="s">
        <v>22</v>
      </c>
      <c r="C20" s="3" t="s">
        <v>23</v>
      </c>
    </row>
    <row r="21" spans="1:3" x14ac:dyDescent="0.25">
      <c r="A21" s="5" t="s">
        <v>24</v>
      </c>
      <c r="C21" s="3" t="s">
        <v>25</v>
      </c>
    </row>
    <row r="22" spans="1:3" x14ac:dyDescent="0.25">
      <c r="A22" s="5" t="s">
        <v>26</v>
      </c>
      <c r="C22" s="3" t="s">
        <v>1819</v>
      </c>
    </row>
    <row r="23" spans="1:3" x14ac:dyDescent="0.25">
      <c r="A23" s="5" t="s">
        <v>27</v>
      </c>
      <c r="C23" s="3" t="s">
        <v>28</v>
      </c>
    </row>
    <row r="24" spans="1:3" x14ac:dyDescent="0.25">
      <c r="A24" s="5" t="s">
        <v>29</v>
      </c>
      <c r="C24" s="3" t="s">
        <v>30</v>
      </c>
    </row>
    <row r="25" spans="1:3" x14ac:dyDescent="0.25">
      <c r="A25" s="5" t="s">
        <v>31</v>
      </c>
      <c r="C25" s="3" t="s">
        <v>3775</v>
      </c>
    </row>
    <row r="27" spans="1:3" x14ac:dyDescent="0.25">
      <c r="A27" s="52" t="s">
        <v>1306</v>
      </c>
    </row>
    <row r="28" spans="1:3" x14ac:dyDescent="0.25">
      <c r="A28" t="s">
        <v>1307</v>
      </c>
      <c r="C28" t="s">
        <v>1308</v>
      </c>
    </row>
    <row r="29" spans="1:3" x14ac:dyDescent="0.25">
      <c r="A29" t="s">
        <v>1309</v>
      </c>
      <c r="C29" t="s">
        <v>1310</v>
      </c>
    </row>
    <row r="30" spans="1:3" x14ac:dyDescent="0.25">
      <c r="A30" t="s">
        <v>1699</v>
      </c>
      <c r="C30" t="s">
        <v>1700</v>
      </c>
    </row>
    <row r="31" spans="1:3" x14ac:dyDescent="0.25">
      <c r="A31" t="s">
        <v>1820</v>
      </c>
      <c r="B31" s="92" t="s">
        <v>1821</v>
      </c>
      <c r="C31" t="s">
        <v>1822</v>
      </c>
    </row>
    <row r="32" spans="1:3" x14ac:dyDescent="0.25">
      <c r="A32" t="s">
        <v>1866</v>
      </c>
      <c r="B32" s="92" t="s">
        <v>1821</v>
      </c>
      <c r="C32" t="s">
        <v>1867</v>
      </c>
    </row>
    <row r="33" spans="1:3" x14ac:dyDescent="0.25">
      <c r="A33" t="s">
        <v>1895</v>
      </c>
      <c r="B33" s="92" t="s">
        <v>1821</v>
      </c>
      <c r="C33" t="s">
        <v>1896</v>
      </c>
    </row>
    <row r="34" spans="1:3" x14ac:dyDescent="0.25">
      <c r="A34" t="s">
        <v>1908</v>
      </c>
      <c r="B34" s="92" t="s">
        <v>1821</v>
      </c>
      <c r="C34" t="s">
        <v>1909</v>
      </c>
    </row>
    <row r="35" spans="1:3" x14ac:dyDescent="0.25">
      <c r="A35" t="s">
        <v>1925</v>
      </c>
      <c r="B35" s="92" t="s">
        <v>1821</v>
      </c>
      <c r="C35" t="s">
        <v>1926</v>
      </c>
    </row>
    <row r="36" spans="1:3" x14ac:dyDescent="0.25">
      <c r="A36" t="s">
        <v>1966</v>
      </c>
      <c r="B36" s="92" t="s">
        <v>1821</v>
      </c>
      <c r="C36" t="s">
        <v>1967</v>
      </c>
    </row>
    <row r="37" spans="1:3" x14ac:dyDescent="0.25">
      <c r="A37" t="s">
        <v>1993</v>
      </c>
      <c r="B37" s="92" t="s">
        <v>1821</v>
      </c>
      <c r="C37" t="s">
        <v>1994</v>
      </c>
    </row>
    <row r="38" spans="1:3" x14ac:dyDescent="0.25">
      <c r="A38" t="s">
        <v>2023</v>
      </c>
      <c r="B38" s="92" t="s">
        <v>1821</v>
      </c>
      <c r="C38" t="s">
        <v>2024</v>
      </c>
    </row>
    <row r="39" spans="1:3" x14ac:dyDescent="0.25">
      <c r="A39" t="s">
        <v>3103</v>
      </c>
      <c r="B39" s="92" t="s">
        <v>1821</v>
      </c>
      <c r="C39" t="s">
        <v>3104</v>
      </c>
    </row>
    <row r="40" spans="1:3" x14ac:dyDescent="0.25">
      <c r="A40" t="s">
        <v>3250</v>
      </c>
      <c r="B40" s="92" t="s">
        <v>1821</v>
      </c>
      <c r="C40" t="s">
        <v>3251</v>
      </c>
    </row>
    <row r="41" spans="1:3" x14ac:dyDescent="0.25">
      <c r="A41" t="s">
        <v>3591</v>
      </c>
      <c r="B41" s="92" t="s">
        <v>1821</v>
      </c>
      <c r="C41" t="s">
        <v>3592</v>
      </c>
    </row>
    <row r="42" spans="1:3" x14ac:dyDescent="0.25">
      <c r="A42" t="s">
        <v>3631</v>
      </c>
      <c r="B42" s="92" t="s">
        <v>1821</v>
      </c>
      <c r="C42" t="s">
        <v>3632</v>
      </c>
    </row>
    <row r="43" spans="1:3" x14ac:dyDescent="0.25">
      <c r="A43" t="s">
        <v>3677</v>
      </c>
      <c r="B43" s="92" t="s">
        <v>1821</v>
      </c>
      <c r="C43" t="s">
        <v>3678</v>
      </c>
    </row>
    <row r="44" spans="1:3" x14ac:dyDescent="0.25">
      <c r="A44" t="s">
        <v>3776</v>
      </c>
      <c r="B44" s="92" t="s">
        <v>1821</v>
      </c>
      <c r="C44" t="s">
        <v>3777</v>
      </c>
    </row>
    <row r="45" spans="1:3" x14ac:dyDescent="0.25">
      <c r="A45" t="s">
        <v>3778</v>
      </c>
      <c r="B45" s="171">
        <v>46299</v>
      </c>
      <c r="C45" t="s">
        <v>3779</v>
      </c>
    </row>
    <row r="46" spans="1:3" x14ac:dyDescent="0.25">
      <c r="A46" t="s">
        <v>3802</v>
      </c>
      <c r="B46" s="171" t="s">
        <v>3803</v>
      </c>
      <c r="C46" t="s">
        <v>3804</v>
      </c>
    </row>
    <row r="47" spans="1:3" x14ac:dyDescent="0.25">
      <c r="A47" t="s">
        <v>3862</v>
      </c>
      <c r="B47" s="171" t="s">
        <v>3803</v>
      </c>
      <c r="C47" t="s">
        <v>3863</v>
      </c>
    </row>
    <row r="48" spans="1:3" x14ac:dyDescent="0.25">
      <c r="A48" t="s">
        <v>3879</v>
      </c>
      <c r="B48" s="171" t="s">
        <v>3803</v>
      </c>
      <c r="C48" t="s">
        <v>3880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113"/>
  <sheetViews>
    <sheetView topLeftCell="A68" workbookViewId="0">
      <selection activeCell="M44" sqref="M44"/>
    </sheetView>
  </sheetViews>
  <sheetFormatPr defaultColWidth="9" defaultRowHeight="12.75" x14ac:dyDescent="0.2"/>
  <cols>
    <col min="1" max="1" width="2.5703125" style="53" customWidth="1"/>
    <col min="2" max="2" width="12.5703125" style="53" customWidth="1"/>
    <col min="3" max="3" width="17.5703125" style="53" customWidth="1"/>
    <col min="4" max="5" width="28.42578125" style="53" customWidth="1"/>
    <col min="6" max="6" width="18" style="53" customWidth="1"/>
    <col min="7" max="7" width="11" style="53" customWidth="1"/>
    <col min="8" max="8" width="7.5703125" style="53" customWidth="1"/>
    <col min="9" max="9" width="13.28515625" style="53" customWidth="1"/>
    <col min="10" max="11" width="9.5703125" style="53" customWidth="1"/>
    <col min="12" max="12" width="10" style="53" customWidth="1"/>
    <col min="13" max="16" width="9.5703125" style="53" customWidth="1"/>
    <col min="17" max="17" width="24.28515625" style="53" customWidth="1"/>
    <col min="18" max="31" width="9.5703125" style="53" customWidth="1"/>
    <col min="32" max="16384" width="9" style="53"/>
  </cols>
  <sheetData>
    <row r="1" spans="1:31" ht="18" x14ac:dyDescent="0.2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2">
      <c r="B2" s="53" t="s">
        <v>1312</v>
      </c>
    </row>
    <row r="3" spans="1:31" x14ac:dyDescent="0.2">
      <c r="B3" s="53" t="s">
        <v>1313</v>
      </c>
    </row>
    <row r="18" spans="1:31" x14ac:dyDescent="0.2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x14ac:dyDescent="0.2">
      <c r="B19" s="56" t="s">
        <v>1316</v>
      </c>
    </row>
    <row r="20" spans="1:31" x14ac:dyDescent="0.2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2">
      <c r="D21" s="53" t="s">
        <v>1847</v>
      </c>
      <c r="E21" s="90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2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2">
      <c r="S27" s="53" t="s">
        <v>3609</v>
      </c>
    </row>
    <row r="28" spans="1:31" x14ac:dyDescent="0.2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8.25" x14ac:dyDescent="0.2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x14ac:dyDescent="0.2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3593</v>
      </c>
      <c r="AE30" s="56" t="s">
        <v>3594</v>
      </c>
    </row>
    <row r="31" spans="1:31" x14ac:dyDescent="0.2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3595</v>
      </c>
      <c r="AE31" s="56" t="s">
        <v>3596</v>
      </c>
    </row>
    <row r="32" spans="1:31" x14ac:dyDescent="0.2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3597</v>
      </c>
      <c r="AE32" s="56" t="s">
        <v>3598</v>
      </c>
    </row>
    <row r="33" spans="1:31" x14ac:dyDescent="0.2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3599</v>
      </c>
      <c r="AE33" s="56" t="s">
        <v>3600</v>
      </c>
    </row>
    <row r="34" spans="1:31" x14ac:dyDescent="0.2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3601</v>
      </c>
      <c r="AE34" s="56" t="s">
        <v>3602</v>
      </c>
    </row>
    <row r="35" spans="1:31" x14ac:dyDescent="0.2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3603</v>
      </c>
      <c r="AE35" s="56" t="s">
        <v>3604</v>
      </c>
    </row>
    <row r="36" spans="1:31" x14ac:dyDescent="0.2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3605</v>
      </c>
      <c r="AE36" s="56" t="s">
        <v>3606</v>
      </c>
    </row>
    <row r="37" spans="1:31" x14ac:dyDescent="0.2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3607</v>
      </c>
      <c r="AE37" s="56" t="s">
        <v>3608</v>
      </c>
    </row>
    <row r="38" spans="1:31" x14ac:dyDescent="0.2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x14ac:dyDescent="0.2">
      <c r="D39" s="56" t="s">
        <v>1388</v>
      </c>
      <c r="E39" s="56" t="s">
        <v>1389</v>
      </c>
      <c r="F39" s="53" t="s">
        <v>1390</v>
      </c>
    </row>
    <row r="40" spans="1:31" x14ac:dyDescent="0.2">
      <c r="D40" s="56" t="s">
        <v>1350</v>
      </c>
      <c r="E40" s="69">
        <v>1.0536051565782599E-3</v>
      </c>
      <c r="F40" s="68">
        <v>0.1</v>
      </c>
    </row>
    <row r="41" spans="1:31" x14ac:dyDescent="0.2">
      <c r="D41" s="56" t="s">
        <v>1355</v>
      </c>
      <c r="E41" s="69">
        <v>2.0202707317519501E-4</v>
      </c>
      <c r="F41" s="68">
        <v>0.02</v>
      </c>
    </row>
    <row r="42" spans="1:31" x14ac:dyDescent="0.2">
      <c r="D42" s="56" t="s">
        <v>1391</v>
      </c>
      <c r="E42" s="69">
        <v>5.1293294387550598E-4</v>
      </c>
      <c r="F42" s="68">
        <v>0.05</v>
      </c>
    </row>
    <row r="43" spans="1:31" x14ac:dyDescent="0.2">
      <c r="D43" s="56" t="s">
        <v>1392</v>
      </c>
      <c r="E43" s="69">
        <v>8.3381608939051E-4</v>
      </c>
      <c r="F43" s="68">
        <v>0.08</v>
      </c>
    </row>
    <row r="44" spans="1:31" x14ac:dyDescent="0.2">
      <c r="D44" s="56" t="s">
        <v>1393</v>
      </c>
      <c r="E44" s="69">
        <v>1.98450938723838E-3</v>
      </c>
      <c r="F44" s="68">
        <v>0.18</v>
      </c>
    </row>
    <row r="45" spans="1:31" x14ac:dyDescent="0.2">
      <c r="D45" s="56" t="s">
        <v>1373</v>
      </c>
      <c r="E45" s="69">
        <v>0</v>
      </c>
      <c r="F45" s="68">
        <v>0</v>
      </c>
    </row>
    <row r="46" spans="1:31" x14ac:dyDescent="0.2">
      <c r="D46" s="56" t="s">
        <v>1394</v>
      </c>
      <c r="E46" s="69">
        <v>1.04982212449868E-2</v>
      </c>
      <c r="F46" s="68">
        <v>0.65</v>
      </c>
    </row>
    <row r="47" spans="1:31" x14ac:dyDescent="0.2">
      <c r="D47" s="56" t="s">
        <v>1383</v>
      </c>
      <c r="E47" s="69">
        <v>8.3381608939051E-4</v>
      </c>
      <c r="F47" s="68">
        <v>0.08</v>
      </c>
    </row>
    <row r="49" spans="1:31" x14ac:dyDescent="0.2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2">
      <c r="D50" s="53" t="s">
        <v>1929</v>
      </c>
      <c r="E50" s="90" t="s">
        <v>1930</v>
      </c>
      <c r="F50" s="53" t="s">
        <v>1931</v>
      </c>
    </row>
    <row r="51" spans="1:31" x14ac:dyDescent="0.2">
      <c r="D51" s="53" t="s">
        <v>1932</v>
      </c>
    </row>
    <row r="52" spans="1:31" ht="38.25" x14ac:dyDescent="0.2">
      <c r="D52" s="58" t="s">
        <v>1323</v>
      </c>
      <c r="E52" s="58" t="s">
        <v>1933</v>
      </c>
      <c r="F52" s="99" t="s">
        <v>1934</v>
      </c>
      <c r="G52" s="99" t="s">
        <v>1935</v>
      </c>
      <c r="H52" s="99" t="s">
        <v>1936</v>
      </c>
      <c r="I52" s="99" t="s">
        <v>1937</v>
      </c>
      <c r="J52" s="99" t="s">
        <v>1938</v>
      </c>
      <c r="K52" s="99" t="s">
        <v>1939</v>
      </c>
      <c r="L52" s="99" t="s">
        <v>1940</v>
      </c>
      <c r="M52" s="99" t="s">
        <v>1941</v>
      </c>
      <c r="N52" s="99" t="s">
        <v>1942</v>
      </c>
      <c r="O52" s="99" t="s">
        <v>1943</v>
      </c>
      <c r="P52" s="99" t="s">
        <v>1944</v>
      </c>
      <c r="Q52" s="99" t="s">
        <v>1945</v>
      </c>
      <c r="R52" s="99" t="s">
        <v>1946</v>
      </c>
      <c r="S52" s="99" t="s">
        <v>1947</v>
      </c>
      <c r="T52" s="104" t="s">
        <v>1948</v>
      </c>
      <c r="U52" s="104" t="s">
        <v>1949</v>
      </c>
      <c r="V52" s="104" t="s">
        <v>1950</v>
      </c>
      <c r="W52" s="104" t="s">
        <v>1951</v>
      </c>
    </row>
    <row r="53" spans="1:31" x14ac:dyDescent="0.2">
      <c r="D53" s="56" t="s">
        <v>1350</v>
      </c>
      <c r="E53" s="68">
        <v>1</v>
      </c>
      <c r="F53" s="162">
        <v>122</v>
      </c>
      <c r="G53" s="68">
        <v>0.34329999999999999</v>
      </c>
      <c r="H53" s="102">
        <f t="shared" ref="H53:H60" si="7">IF(OR(E53=0,G53=0),0,-LN(1-G53/E53)/F53)</f>
        <v>3.4469507031574592E-3</v>
      </c>
      <c r="I53" s="68">
        <v>0</v>
      </c>
      <c r="J53" s="162">
        <v>122</v>
      </c>
      <c r="K53" s="68">
        <v>0</v>
      </c>
      <c r="L53" s="102">
        <f t="shared" ref="L53:L60" si="8">IF(OR(I53=0,K53=0),0,-LN(1-K53/I53)/J53)</f>
        <v>0</v>
      </c>
      <c r="M53" s="103">
        <f t="shared" ref="M53:M60" si="9">E53*H53</f>
        <v>3.4469507031574592E-3</v>
      </c>
      <c r="N53" s="103">
        <f t="shared" ref="N53:N60" si="10">I53*L53</f>
        <v>0</v>
      </c>
      <c r="O53" s="100">
        <f t="shared" ref="O53:O60" si="11">E53*(1-EXP(-H53*20))</f>
        <v>6.6616398384136577E-2</v>
      </c>
      <c r="P53" s="100">
        <f t="shared" ref="P53:P60" si="12">I53*(1-EXP(-L53*20))</f>
        <v>0</v>
      </c>
      <c r="Q53" s="62" t="s">
        <v>3633</v>
      </c>
      <c r="R53" s="62" t="s">
        <v>3610</v>
      </c>
      <c r="S53" s="62" t="s">
        <v>3611</v>
      </c>
      <c r="T53" s="105">
        <f>IF($E$50="ADHOC",$E$40,H53)</f>
        <v>3.4469507031574592E-3</v>
      </c>
      <c r="U53" s="106">
        <f t="shared" ref="U53:U60" si="13">IF($E$50="ADHOC",1,E53)</f>
        <v>1</v>
      </c>
      <c r="V53" s="105">
        <f>IF($E$50="ADHOC",$E$40,L53)</f>
        <v>0</v>
      </c>
      <c r="W53" s="106">
        <f t="shared" ref="W53:W60" si="14">IF($E$50="ADHOC",1,I53)</f>
        <v>0</v>
      </c>
    </row>
    <row r="54" spans="1:31" x14ac:dyDescent="0.2">
      <c r="D54" s="56" t="s">
        <v>1355</v>
      </c>
      <c r="E54" s="68">
        <v>1</v>
      </c>
      <c r="F54" s="162">
        <v>122</v>
      </c>
      <c r="G54" s="68">
        <v>0.18099999999999999</v>
      </c>
      <c r="H54" s="102">
        <f t="shared" si="7"/>
        <v>1.6366491404021942E-3</v>
      </c>
      <c r="I54" s="68">
        <v>0</v>
      </c>
      <c r="J54" s="162">
        <v>122</v>
      </c>
      <c r="K54" s="68">
        <v>0</v>
      </c>
      <c r="L54" s="102">
        <f t="shared" si="8"/>
        <v>0</v>
      </c>
      <c r="M54" s="103">
        <f t="shared" si="9"/>
        <v>1.6366491404021942E-3</v>
      </c>
      <c r="N54" s="103">
        <f t="shared" si="10"/>
        <v>0</v>
      </c>
      <c r="O54" s="100">
        <f t="shared" si="11"/>
        <v>3.2203056486737491E-2</v>
      </c>
      <c r="P54" s="100">
        <f t="shared" si="12"/>
        <v>0</v>
      </c>
      <c r="Q54" s="62" t="s">
        <v>3634</v>
      </c>
      <c r="R54" s="62" t="s">
        <v>3610</v>
      </c>
      <c r="S54" s="62" t="s">
        <v>3612</v>
      </c>
      <c r="T54" s="105">
        <f>IF($E$50="ADHOC",$E$41,H54)</f>
        <v>1.6366491404021942E-3</v>
      </c>
      <c r="U54" s="106">
        <f t="shared" si="13"/>
        <v>1</v>
      </c>
      <c r="V54" s="105">
        <f>IF($E$50="ADHOC",$E$41,L54)</f>
        <v>0</v>
      </c>
      <c r="W54" s="106">
        <f t="shared" si="14"/>
        <v>0</v>
      </c>
    </row>
    <row r="55" spans="1:31" x14ac:dyDescent="0.2">
      <c r="D55" s="56" t="s">
        <v>1359</v>
      </c>
      <c r="E55" s="68">
        <v>1</v>
      </c>
      <c r="F55" s="162">
        <v>122</v>
      </c>
      <c r="G55" s="68">
        <v>0.28029999999999999</v>
      </c>
      <c r="H55" s="102">
        <f t="shared" si="7"/>
        <v>2.6960722989211347E-3</v>
      </c>
      <c r="I55" s="68">
        <v>0</v>
      </c>
      <c r="J55" s="162">
        <v>122</v>
      </c>
      <c r="K55" s="68">
        <v>0</v>
      </c>
      <c r="L55" s="102">
        <f t="shared" si="8"/>
        <v>0</v>
      </c>
      <c r="M55" s="103">
        <f t="shared" si="9"/>
        <v>2.6960722989211347E-3</v>
      </c>
      <c r="N55" s="103">
        <f t="shared" si="10"/>
        <v>0</v>
      </c>
      <c r="O55" s="100">
        <f t="shared" si="11"/>
        <v>5.2493465972812126E-2</v>
      </c>
      <c r="P55" s="100">
        <f t="shared" si="12"/>
        <v>0</v>
      </c>
      <c r="Q55" s="62" t="s">
        <v>3635</v>
      </c>
      <c r="R55" s="62" t="s">
        <v>3610</v>
      </c>
      <c r="S55" s="62" t="s">
        <v>3611</v>
      </c>
      <c r="T55" s="105">
        <f>IF($E$50="ADHOC",$E$42,H55)</f>
        <v>2.6960722989211347E-3</v>
      </c>
      <c r="U55" s="106">
        <f t="shared" si="13"/>
        <v>1</v>
      </c>
      <c r="V55" s="105">
        <f>IF($E$50="ADHOC",$E$42,L55)</f>
        <v>0</v>
      </c>
      <c r="W55" s="106">
        <f t="shared" si="14"/>
        <v>0</v>
      </c>
    </row>
    <row r="56" spans="1:31" x14ac:dyDescent="0.2">
      <c r="D56" s="56" t="s">
        <v>1363</v>
      </c>
      <c r="E56" s="68">
        <v>1</v>
      </c>
      <c r="F56" s="162">
        <v>122</v>
      </c>
      <c r="G56" s="68">
        <v>0.3352</v>
      </c>
      <c r="H56" s="102">
        <f t="shared" si="7"/>
        <v>3.3464675036139224E-3</v>
      </c>
      <c r="I56" s="68">
        <v>0</v>
      </c>
      <c r="J56" s="162">
        <v>122</v>
      </c>
      <c r="K56" s="68">
        <v>0</v>
      </c>
      <c r="L56" s="102">
        <f t="shared" si="8"/>
        <v>0</v>
      </c>
      <c r="M56" s="103">
        <f t="shared" si="9"/>
        <v>3.3464675036139224E-3</v>
      </c>
      <c r="N56" s="103">
        <f t="shared" si="10"/>
        <v>0</v>
      </c>
      <c r="O56" s="100">
        <f t="shared" si="11"/>
        <v>6.473872485581611E-2</v>
      </c>
      <c r="P56" s="100">
        <f t="shared" si="12"/>
        <v>0</v>
      </c>
      <c r="Q56" s="62" t="s">
        <v>3636</v>
      </c>
      <c r="R56" s="62" t="s">
        <v>3610</v>
      </c>
      <c r="S56" s="62" t="s">
        <v>3611</v>
      </c>
      <c r="T56" s="105">
        <f>IF($E$50="ADHOC",$E$43,H56)</f>
        <v>3.3464675036139224E-3</v>
      </c>
      <c r="U56" s="106">
        <f t="shared" si="13"/>
        <v>1</v>
      </c>
      <c r="V56" s="105">
        <f>IF($E$50="ADHOC",$E$43,L56)</f>
        <v>0</v>
      </c>
      <c r="W56" s="106">
        <f t="shared" si="14"/>
        <v>0</v>
      </c>
    </row>
    <row r="57" spans="1:31" x14ac:dyDescent="0.2">
      <c r="D57" s="56" t="s">
        <v>1368</v>
      </c>
      <c r="E57" s="68">
        <v>0</v>
      </c>
      <c r="F57" s="162">
        <v>122</v>
      </c>
      <c r="G57" s="68">
        <v>0</v>
      </c>
      <c r="H57" s="102">
        <f t="shared" si="7"/>
        <v>0</v>
      </c>
      <c r="I57" s="68">
        <v>0</v>
      </c>
      <c r="J57" s="162">
        <v>122</v>
      </c>
      <c r="K57" s="68">
        <v>0</v>
      </c>
      <c r="L57" s="102">
        <f t="shared" si="8"/>
        <v>0</v>
      </c>
      <c r="M57" s="103">
        <f t="shared" si="9"/>
        <v>0</v>
      </c>
      <c r="N57" s="103">
        <f t="shared" si="10"/>
        <v>0</v>
      </c>
      <c r="O57" s="100">
        <f t="shared" si="11"/>
        <v>0</v>
      </c>
      <c r="P57" s="100">
        <f t="shared" si="12"/>
        <v>0</v>
      </c>
      <c r="Q57" s="62" t="s">
        <v>3613</v>
      </c>
      <c r="R57" s="62" t="s">
        <v>3610</v>
      </c>
      <c r="S57" s="62" t="s">
        <v>3612</v>
      </c>
      <c r="T57" s="105">
        <f>IF($E$50="ADHOC",$E$44,H57)</f>
        <v>0</v>
      </c>
      <c r="U57" s="106">
        <f t="shared" si="13"/>
        <v>0</v>
      </c>
      <c r="V57" s="105">
        <f>IF($E$50="ADHOC",$E$44,L57)</f>
        <v>0</v>
      </c>
      <c r="W57" s="106">
        <f t="shared" si="14"/>
        <v>0</v>
      </c>
    </row>
    <row r="58" spans="1:31" x14ac:dyDescent="0.2">
      <c r="D58" s="56" t="s">
        <v>1373</v>
      </c>
      <c r="E58" s="68">
        <v>0</v>
      </c>
      <c r="F58" s="162">
        <v>122</v>
      </c>
      <c r="G58" s="68">
        <v>0</v>
      </c>
      <c r="H58" s="102">
        <f t="shared" si="7"/>
        <v>0</v>
      </c>
      <c r="I58" s="68">
        <v>0</v>
      </c>
      <c r="J58" s="162">
        <v>122</v>
      </c>
      <c r="K58" s="68">
        <v>0</v>
      </c>
      <c r="L58" s="102">
        <f t="shared" si="8"/>
        <v>0</v>
      </c>
      <c r="M58" s="103">
        <f t="shared" si="9"/>
        <v>0</v>
      </c>
      <c r="N58" s="103">
        <f t="shared" si="10"/>
        <v>0</v>
      </c>
      <c r="O58" s="100">
        <f t="shared" si="11"/>
        <v>0</v>
      </c>
      <c r="P58" s="100">
        <f t="shared" si="12"/>
        <v>0</v>
      </c>
      <c r="Q58" s="62" t="s">
        <v>3614</v>
      </c>
      <c r="R58" s="62" t="s">
        <v>3610</v>
      </c>
      <c r="S58" s="62" t="s">
        <v>3612</v>
      </c>
      <c r="T58" s="105">
        <f>IF($E$50="ADHOC",$E$45,H58)</f>
        <v>0</v>
      </c>
      <c r="U58" s="106">
        <f t="shared" si="13"/>
        <v>0</v>
      </c>
      <c r="V58" s="105">
        <f>IF($E$50="ADHOC",$E$45,L58)</f>
        <v>0</v>
      </c>
      <c r="W58" s="106">
        <f t="shared" si="14"/>
        <v>0</v>
      </c>
    </row>
    <row r="59" spans="1:31" x14ac:dyDescent="0.2">
      <c r="D59" s="56" t="s">
        <v>1378</v>
      </c>
      <c r="E59" s="68">
        <v>0</v>
      </c>
      <c r="F59" s="162">
        <v>122</v>
      </c>
      <c r="G59" s="68">
        <v>0</v>
      </c>
      <c r="H59" s="102">
        <f t="shared" si="7"/>
        <v>0</v>
      </c>
      <c r="I59" s="68">
        <v>1</v>
      </c>
      <c r="J59" s="162">
        <v>122</v>
      </c>
      <c r="K59" s="68">
        <v>0.6179</v>
      </c>
      <c r="L59" s="102">
        <f t="shared" si="8"/>
        <v>7.8858436436826454E-3</v>
      </c>
      <c r="M59" s="103">
        <f t="shared" si="9"/>
        <v>0</v>
      </c>
      <c r="N59" s="103">
        <f t="shared" si="10"/>
        <v>7.8858436436826454E-3</v>
      </c>
      <c r="O59" s="100">
        <f t="shared" si="11"/>
        <v>0</v>
      </c>
      <c r="P59" s="100">
        <f t="shared" si="12"/>
        <v>0.14590843577047419</v>
      </c>
      <c r="Q59" s="62" t="s">
        <v>3615</v>
      </c>
      <c r="R59" s="62" t="s">
        <v>3637</v>
      </c>
      <c r="S59" s="62" t="s">
        <v>3611</v>
      </c>
      <c r="T59" s="105">
        <f>IF($E$50="ADHOC",$E$46,H59)</f>
        <v>0</v>
      </c>
      <c r="U59" s="106">
        <f t="shared" si="13"/>
        <v>0</v>
      </c>
      <c r="V59" s="105">
        <f>IF($E$50="ADHOC",$E$46,L59)</f>
        <v>7.8858436436826454E-3</v>
      </c>
      <c r="W59" s="106">
        <f t="shared" si="14"/>
        <v>1</v>
      </c>
    </row>
    <row r="60" spans="1:31" x14ac:dyDescent="0.2">
      <c r="D60" s="56" t="s">
        <v>1383</v>
      </c>
      <c r="E60" s="68">
        <v>1</v>
      </c>
      <c r="F60" s="162">
        <v>122</v>
      </c>
      <c r="G60" s="68">
        <v>0.21640000000000001</v>
      </c>
      <c r="H60" s="102">
        <f t="shared" si="7"/>
        <v>1.9988245320635362E-3</v>
      </c>
      <c r="I60" s="68">
        <v>1</v>
      </c>
      <c r="J60" s="162">
        <v>122</v>
      </c>
      <c r="K60" s="68">
        <v>0.21640000000000001</v>
      </c>
      <c r="L60" s="102">
        <f t="shared" si="8"/>
        <v>1.9988245320635362E-3</v>
      </c>
      <c r="M60" s="103">
        <f t="shared" si="9"/>
        <v>1.9988245320635362E-3</v>
      </c>
      <c r="N60" s="103">
        <f t="shared" si="10"/>
        <v>1.9988245320635362E-3</v>
      </c>
      <c r="O60" s="100">
        <f t="shared" si="11"/>
        <v>3.9187973038577018E-2</v>
      </c>
      <c r="P60" s="100">
        <f t="shared" si="12"/>
        <v>3.9187973038577018E-2</v>
      </c>
      <c r="Q60" s="62" t="s">
        <v>3638</v>
      </c>
      <c r="R60" s="62" t="s">
        <v>3639</v>
      </c>
      <c r="S60" s="62" t="s">
        <v>3612</v>
      </c>
      <c r="T60" s="105">
        <f>IF($E$50="ADHOC",$E$47,H60)</f>
        <v>1.9988245320635362E-3</v>
      </c>
      <c r="U60" s="106">
        <f t="shared" si="13"/>
        <v>1</v>
      </c>
      <c r="V60" s="105">
        <f>IF($E$50="ADHOC",$E$47,L60)</f>
        <v>1.9988245320635362E-3</v>
      </c>
      <c r="W60" s="106">
        <f t="shared" si="14"/>
        <v>1</v>
      </c>
    </row>
    <row r="62" spans="1:31" x14ac:dyDescent="0.2">
      <c r="A62" s="56"/>
      <c r="B62" s="56" t="s">
        <v>1968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2">
      <c r="D63" s="53" t="s">
        <v>1969</v>
      </c>
      <c r="E63" s="90" t="s">
        <v>1970</v>
      </c>
      <c r="F63" s="53" t="s">
        <v>1971</v>
      </c>
    </row>
    <row r="64" spans="1:31" x14ac:dyDescent="0.2">
      <c r="D64" s="53" t="s">
        <v>3869</v>
      </c>
    </row>
    <row r="65" spans="1:31" x14ac:dyDescent="0.2">
      <c r="D65" s="58" t="s">
        <v>1323</v>
      </c>
      <c r="E65" s="58" t="s">
        <v>1972</v>
      </c>
      <c r="F65" s="99" t="s">
        <v>1973</v>
      </c>
      <c r="G65" s="99" t="s">
        <v>1947</v>
      </c>
      <c r="H65" s="99"/>
      <c r="I65" s="99"/>
      <c r="J65" s="99"/>
      <c r="K65" s="104" t="s">
        <v>1974</v>
      </c>
    </row>
    <row r="66" spans="1:31" x14ac:dyDescent="0.2">
      <c r="D66" s="56" t="s">
        <v>1350</v>
      </c>
      <c r="E66" s="107">
        <v>-0.4</v>
      </c>
      <c r="F66" s="100" t="s">
        <v>3864</v>
      </c>
      <c r="G66" s="53" t="s">
        <v>3865</v>
      </c>
      <c r="K66" s="108">
        <f>IF(AND($E$63="ON",Settings!$B$10&lt;&gt;"LEGACY"),E66,0)</f>
        <v>0</v>
      </c>
    </row>
    <row r="67" spans="1:31" x14ac:dyDescent="0.2">
      <c r="D67" s="56" t="s">
        <v>1355</v>
      </c>
      <c r="E67" s="107">
        <v>-0.4</v>
      </c>
      <c r="F67" s="100" t="s">
        <v>3864</v>
      </c>
      <c r="G67" s="53" t="s">
        <v>3865</v>
      </c>
      <c r="K67" s="108">
        <f>IF(AND($E$63="ON",Settings!$B$10&lt;&gt;"LEGACY"),E67,0)</f>
        <v>0</v>
      </c>
    </row>
    <row r="68" spans="1:31" x14ac:dyDescent="0.2">
      <c r="D68" s="56" t="s">
        <v>1359</v>
      </c>
      <c r="E68" s="107">
        <v>-0.4</v>
      </c>
      <c r="F68" s="100" t="s">
        <v>3864</v>
      </c>
      <c r="G68" s="53" t="s">
        <v>3865</v>
      </c>
      <c r="K68" s="108">
        <f>IF(AND($E$63="ON",Settings!$B$10&lt;&gt;"LEGACY"),E68,0)</f>
        <v>0</v>
      </c>
    </row>
    <row r="69" spans="1:31" x14ac:dyDescent="0.2">
      <c r="D69" s="56" t="s">
        <v>1363</v>
      </c>
      <c r="E69" s="107">
        <v>-0.1</v>
      </c>
      <c r="F69" s="100" t="s">
        <v>3866</v>
      </c>
      <c r="G69" s="53" t="s">
        <v>3865</v>
      </c>
      <c r="K69" s="108">
        <f>IF(AND($E$63="ON",Settings!$B$10&lt;&gt;"LEGACY"),E69,0)</f>
        <v>0</v>
      </c>
    </row>
    <row r="70" spans="1:31" x14ac:dyDescent="0.2">
      <c r="D70" s="56" t="s">
        <v>1368</v>
      </c>
      <c r="E70" s="107">
        <v>-0.4</v>
      </c>
      <c r="F70" s="100" t="s">
        <v>3867</v>
      </c>
      <c r="G70" s="53" t="s">
        <v>3865</v>
      </c>
      <c r="K70" s="108">
        <f>IF(AND($E$63="ON",Settings!$B$10&lt;&gt;"LEGACY"),E70,0)</f>
        <v>0</v>
      </c>
    </row>
    <row r="71" spans="1:31" x14ac:dyDescent="0.2">
      <c r="D71" s="56" t="s">
        <v>1373</v>
      </c>
      <c r="E71" s="107">
        <v>-0.4</v>
      </c>
      <c r="F71" s="100" t="s">
        <v>3867</v>
      </c>
      <c r="G71" s="53" t="s">
        <v>3865</v>
      </c>
      <c r="K71" s="108">
        <f>IF(AND($E$63="ON",Settings!$B$10&lt;&gt;"LEGACY"),E71,0)</f>
        <v>0</v>
      </c>
    </row>
    <row r="72" spans="1:31" x14ac:dyDescent="0.2">
      <c r="D72" s="56" t="s">
        <v>1378</v>
      </c>
      <c r="E72" s="107">
        <v>-0.4</v>
      </c>
      <c r="F72" s="100" t="s">
        <v>3867</v>
      </c>
      <c r="G72" s="53" t="s">
        <v>3865</v>
      </c>
      <c r="K72" s="108">
        <f>IF(AND($E$63="ON",Settings!$B$10&lt;&gt;"LEGACY"),E72,0)</f>
        <v>0</v>
      </c>
    </row>
    <row r="73" spans="1:31" x14ac:dyDescent="0.2">
      <c r="D73" s="56" t="s">
        <v>1383</v>
      </c>
      <c r="E73" s="107">
        <v>-0.5</v>
      </c>
      <c r="F73" s="100" t="s">
        <v>3868</v>
      </c>
      <c r="G73" s="53" t="s">
        <v>3865</v>
      </c>
      <c r="K73" s="108">
        <f>IF(AND($E$63="ON",Settings!$B$10&lt;&gt;"LEGACY"),E73,0)</f>
        <v>0</v>
      </c>
    </row>
    <row r="75" spans="1:31" x14ac:dyDescent="0.2">
      <c r="A75" s="56"/>
      <c r="B75" s="56" t="s">
        <v>1995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2">
      <c r="D76" s="53" t="s">
        <v>1996</v>
      </c>
      <c r="E76" s="90" t="s">
        <v>1997</v>
      </c>
      <c r="F76" s="53" t="s">
        <v>1998</v>
      </c>
    </row>
    <row r="77" spans="1:31" x14ac:dyDescent="0.2">
      <c r="D77" s="53" t="s">
        <v>1999</v>
      </c>
    </row>
    <row r="78" spans="1:31" x14ac:dyDescent="0.2">
      <c r="D78" s="58" t="s">
        <v>1156</v>
      </c>
      <c r="E78" s="58" t="s">
        <v>35</v>
      </c>
      <c r="F78" s="99" t="s">
        <v>36</v>
      </c>
      <c r="G78" s="99"/>
      <c r="H78" s="99"/>
      <c r="I78" s="99"/>
      <c r="J78" s="99"/>
      <c r="K78" s="104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x14ac:dyDescent="0.2">
      <c r="D79" s="56" t="s">
        <v>2000</v>
      </c>
      <c r="E79" s="110" t="s">
        <v>2001</v>
      </c>
      <c r="F79" s="100" t="s">
        <v>2002</v>
      </c>
      <c r="K79" s="110"/>
      <c r="L79" s="101">
        <v>100</v>
      </c>
      <c r="M79" s="101">
        <v>100</v>
      </c>
      <c r="N79" s="101">
        <v>100</v>
      </c>
      <c r="O79" s="101">
        <v>100</v>
      </c>
      <c r="P79" s="101">
        <v>100</v>
      </c>
      <c r="Q79" s="101">
        <v>100</v>
      </c>
      <c r="R79" s="101">
        <v>100</v>
      </c>
      <c r="S79" s="101">
        <v>100</v>
      </c>
      <c r="T79" s="101">
        <v>100</v>
      </c>
      <c r="U79" s="101">
        <v>100</v>
      </c>
      <c r="V79" s="101">
        <v>100</v>
      </c>
      <c r="W79" s="101">
        <v>100</v>
      </c>
      <c r="X79" s="101">
        <v>100</v>
      </c>
      <c r="Y79" s="101">
        <v>100</v>
      </c>
      <c r="Z79" s="101">
        <v>100</v>
      </c>
      <c r="AA79" s="101">
        <v>100</v>
      </c>
      <c r="AB79" s="101">
        <v>100</v>
      </c>
      <c r="AC79" s="101">
        <v>100</v>
      </c>
      <c r="AD79" s="101">
        <v>100</v>
      </c>
      <c r="AE79" s="101">
        <v>100</v>
      </c>
    </row>
    <row r="80" spans="1:31" x14ac:dyDescent="0.2">
      <c r="D80" s="56" t="s">
        <v>2003</v>
      </c>
      <c r="E80" s="110" t="s">
        <v>79</v>
      </c>
      <c r="F80" s="100" t="s">
        <v>2004</v>
      </c>
      <c r="K80" s="110"/>
      <c r="L80" s="111">
        <v>0</v>
      </c>
      <c r="M80" s="111">
        <v>0</v>
      </c>
      <c r="N80" s="111">
        <v>0</v>
      </c>
      <c r="O80" s="111">
        <v>0</v>
      </c>
      <c r="P80" s="111">
        <v>2.5000000000000001E-2</v>
      </c>
      <c r="Q80" s="111">
        <v>0.05</v>
      </c>
      <c r="R80" s="111">
        <v>0.1</v>
      </c>
      <c r="S80" s="111">
        <v>0.22500000000000001</v>
      </c>
      <c r="T80" s="111">
        <v>0.48499999999999999</v>
      </c>
      <c r="U80" s="111">
        <v>0.61</v>
      </c>
      <c r="V80" s="111">
        <v>0.73499999999999999</v>
      </c>
      <c r="W80" s="111">
        <v>0.86</v>
      </c>
      <c r="X80" s="111">
        <v>1</v>
      </c>
      <c r="Y80" s="111">
        <v>1</v>
      </c>
      <c r="Z80" s="111">
        <v>1</v>
      </c>
      <c r="AA80" s="111">
        <v>1</v>
      </c>
      <c r="AB80" s="111">
        <v>1</v>
      </c>
      <c r="AC80" s="111">
        <v>1</v>
      </c>
      <c r="AD80" s="111">
        <v>1</v>
      </c>
      <c r="AE80" s="111">
        <v>1</v>
      </c>
    </row>
    <row r="81" spans="1:31" x14ac:dyDescent="0.2">
      <c r="D81" s="56" t="s">
        <v>2005</v>
      </c>
      <c r="E81" s="110" t="s">
        <v>79</v>
      </c>
      <c r="F81" s="100" t="s">
        <v>2006</v>
      </c>
      <c r="K81" s="110"/>
      <c r="L81" s="111">
        <f t="shared" ref="L81:AE81" si="15">IF($E$76="NOPHASE",1,L80)</f>
        <v>0</v>
      </c>
      <c r="M81" s="111">
        <f t="shared" si="15"/>
        <v>0</v>
      </c>
      <c r="N81" s="111">
        <f t="shared" si="15"/>
        <v>0</v>
      </c>
      <c r="O81" s="111">
        <f t="shared" si="15"/>
        <v>0</v>
      </c>
      <c r="P81" s="111">
        <f t="shared" si="15"/>
        <v>2.5000000000000001E-2</v>
      </c>
      <c r="Q81" s="111">
        <f t="shared" si="15"/>
        <v>0.05</v>
      </c>
      <c r="R81" s="111">
        <f t="shared" si="15"/>
        <v>0.1</v>
      </c>
      <c r="S81" s="111">
        <f t="shared" si="15"/>
        <v>0.22500000000000001</v>
      </c>
      <c r="T81" s="111">
        <f t="shared" si="15"/>
        <v>0.48499999999999999</v>
      </c>
      <c r="U81" s="111">
        <f t="shared" si="15"/>
        <v>0.61</v>
      </c>
      <c r="V81" s="111">
        <f t="shared" si="15"/>
        <v>0.73499999999999999</v>
      </c>
      <c r="W81" s="111">
        <f t="shared" si="15"/>
        <v>0.86</v>
      </c>
      <c r="X81" s="111">
        <f t="shared" si="15"/>
        <v>1</v>
      </c>
      <c r="Y81" s="111">
        <f t="shared" si="15"/>
        <v>1</v>
      </c>
      <c r="Z81" s="111">
        <f t="shared" si="15"/>
        <v>1</v>
      </c>
      <c r="AA81" s="111">
        <f t="shared" si="15"/>
        <v>1</v>
      </c>
      <c r="AB81" s="111">
        <f t="shared" si="15"/>
        <v>1</v>
      </c>
      <c r="AC81" s="111">
        <f t="shared" si="15"/>
        <v>1</v>
      </c>
      <c r="AD81" s="111">
        <f t="shared" si="15"/>
        <v>1</v>
      </c>
      <c r="AE81" s="111">
        <f t="shared" si="15"/>
        <v>1</v>
      </c>
    </row>
    <row r="82" spans="1:31" x14ac:dyDescent="0.2">
      <c r="D82" s="56" t="s">
        <v>2007</v>
      </c>
      <c r="E82" s="110" t="s">
        <v>79</v>
      </c>
      <c r="F82" s="100" t="s">
        <v>2008</v>
      </c>
      <c r="K82" s="110"/>
      <c r="L82" s="111">
        <f t="shared" ref="L82:AE82" si="16">IF($E$76="SCALED",L81,1)</f>
        <v>1</v>
      </c>
      <c r="M82" s="111">
        <f t="shared" si="16"/>
        <v>1</v>
      </c>
      <c r="N82" s="111">
        <f t="shared" si="16"/>
        <v>1</v>
      </c>
      <c r="O82" s="111">
        <f t="shared" si="16"/>
        <v>1</v>
      </c>
      <c r="P82" s="111">
        <f t="shared" si="16"/>
        <v>1</v>
      </c>
      <c r="Q82" s="111">
        <f t="shared" si="16"/>
        <v>1</v>
      </c>
      <c r="R82" s="111">
        <f t="shared" si="16"/>
        <v>1</v>
      </c>
      <c r="S82" s="111">
        <f t="shared" si="16"/>
        <v>1</v>
      </c>
      <c r="T82" s="111">
        <f t="shared" si="16"/>
        <v>1</v>
      </c>
      <c r="U82" s="111">
        <f t="shared" si="16"/>
        <v>1</v>
      </c>
      <c r="V82" s="111">
        <f t="shared" si="16"/>
        <v>1</v>
      </c>
      <c r="W82" s="111">
        <f t="shared" si="16"/>
        <v>1</v>
      </c>
      <c r="X82" s="111">
        <f t="shared" si="16"/>
        <v>1</v>
      </c>
      <c r="Y82" s="111">
        <f t="shared" si="16"/>
        <v>1</v>
      </c>
      <c r="Z82" s="111">
        <f t="shared" si="16"/>
        <v>1</v>
      </c>
      <c r="AA82" s="111">
        <f t="shared" si="16"/>
        <v>1</v>
      </c>
      <c r="AB82" s="111">
        <f t="shared" si="16"/>
        <v>1</v>
      </c>
      <c r="AC82" s="111">
        <f t="shared" si="16"/>
        <v>1</v>
      </c>
      <c r="AD82" s="111">
        <f t="shared" si="16"/>
        <v>1</v>
      </c>
      <c r="AE82" s="111">
        <f t="shared" si="16"/>
        <v>1</v>
      </c>
    </row>
    <row r="84" spans="1:31" x14ac:dyDescent="0.2">
      <c r="A84" s="56"/>
      <c r="B84" s="56" t="s">
        <v>3105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2">
      <c r="D85" s="53" t="s">
        <v>3106</v>
      </c>
      <c r="E85" s="90" t="s">
        <v>3107</v>
      </c>
      <c r="F85" s="53" t="s">
        <v>3108</v>
      </c>
    </row>
    <row r="86" spans="1:31" x14ac:dyDescent="0.2">
      <c r="D86" s="53" t="s">
        <v>3109</v>
      </c>
    </row>
    <row r="87" spans="1:31" x14ac:dyDescent="0.2">
      <c r="D87" s="58" t="s">
        <v>1323</v>
      </c>
      <c r="E87" s="58" t="s">
        <v>3110</v>
      </c>
      <c r="F87" s="99" t="s">
        <v>1973</v>
      </c>
      <c r="G87" s="99" t="s">
        <v>1947</v>
      </c>
      <c r="H87" s="99" t="s">
        <v>929</v>
      </c>
      <c r="I87" s="99"/>
      <c r="J87" s="99"/>
      <c r="K87" s="104"/>
    </row>
    <row r="88" spans="1:31" x14ac:dyDescent="0.2">
      <c r="D88" s="56" t="s">
        <v>1350</v>
      </c>
      <c r="E88" s="108">
        <v>0</v>
      </c>
      <c r="F88" s="100" t="s">
        <v>3111</v>
      </c>
      <c r="G88" s="53" t="s">
        <v>3112</v>
      </c>
      <c r="H88" s="91" t="s">
        <v>3113</v>
      </c>
      <c r="K88" s="108"/>
    </row>
    <row r="89" spans="1:31" x14ac:dyDescent="0.2">
      <c r="D89" s="56" t="s">
        <v>1355</v>
      </c>
      <c r="E89" s="108">
        <v>0</v>
      </c>
      <c r="F89" s="100" t="s">
        <v>3114</v>
      </c>
      <c r="G89" s="53" t="s">
        <v>3112</v>
      </c>
      <c r="H89" s="91" t="s">
        <v>3115</v>
      </c>
      <c r="K89" s="108"/>
    </row>
    <row r="90" spans="1:31" x14ac:dyDescent="0.2">
      <c r="D90" s="56" t="s">
        <v>1359</v>
      </c>
      <c r="E90" s="108">
        <v>0</v>
      </c>
      <c r="F90" s="100" t="s">
        <v>3116</v>
      </c>
      <c r="G90" s="53" t="s">
        <v>3112</v>
      </c>
      <c r="H90" s="91" t="s">
        <v>3117</v>
      </c>
      <c r="K90" s="108"/>
    </row>
    <row r="91" spans="1:31" x14ac:dyDescent="0.2">
      <c r="D91" s="56" t="s">
        <v>1363</v>
      </c>
      <c r="E91" s="108">
        <v>0</v>
      </c>
      <c r="F91" s="100" t="s">
        <v>3114</v>
      </c>
      <c r="G91" s="53" t="s">
        <v>3112</v>
      </c>
      <c r="H91" s="91" t="s">
        <v>3118</v>
      </c>
      <c r="K91" s="108"/>
    </row>
    <row r="92" spans="1:31" x14ac:dyDescent="0.2">
      <c r="D92" s="56" t="s">
        <v>1368</v>
      </c>
      <c r="E92" s="108">
        <v>1</v>
      </c>
      <c r="F92" s="100" t="s">
        <v>3119</v>
      </c>
      <c r="G92" s="53" t="s">
        <v>3112</v>
      </c>
      <c r="H92" s="91" t="s">
        <v>3120</v>
      </c>
      <c r="K92" s="108"/>
    </row>
    <row r="93" spans="1:31" x14ac:dyDescent="0.2">
      <c r="D93" s="56" t="s">
        <v>1373</v>
      </c>
      <c r="E93" s="108">
        <v>0</v>
      </c>
      <c r="F93" s="100" t="s">
        <v>3114</v>
      </c>
      <c r="G93" s="53" t="s">
        <v>3112</v>
      </c>
      <c r="H93" s="91" t="s">
        <v>3121</v>
      </c>
      <c r="K93" s="108"/>
    </row>
    <row r="94" spans="1:31" x14ac:dyDescent="0.2">
      <c r="D94" s="56" t="s">
        <v>1378</v>
      </c>
      <c r="E94" s="108">
        <v>0</v>
      </c>
      <c r="F94" s="100" t="s">
        <v>3114</v>
      </c>
      <c r="G94" s="53" t="s">
        <v>3112</v>
      </c>
      <c r="H94" s="91" t="s">
        <v>3122</v>
      </c>
      <c r="K94" s="108"/>
    </row>
    <row r="95" spans="1:31" x14ac:dyDescent="0.2">
      <c r="D95" s="56" t="s">
        <v>1383</v>
      </c>
      <c r="E95" s="108">
        <v>0</v>
      </c>
      <c r="F95" s="100" t="s">
        <v>3114</v>
      </c>
      <c r="G95" s="53" t="s">
        <v>3112</v>
      </c>
      <c r="H95" s="91" t="s">
        <v>3123</v>
      </c>
      <c r="K95" s="108"/>
    </row>
    <row r="98" spans="2:12" x14ac:dyDescent="0.2">
      <c r="B98" s="56" t="s">
        <v>3784</v>
      </c>
    </row>
    <row r="99" spans="2:12" x14ac:dyDescent="0.2">
      <c r="D99" s="53" t="s">
        <v>3785</v>
      </c>
    </row>
    <row r="100" spans="2:12" x14ac:dyDescent="0.2">
      <c r="D100" s="56" t="s">
        <v>1323</v>
      </c>
      <c r="E100" s="56" t="s">
        <v>3786</v>
      </c>
      <c r="F100" s="56" t="s">
        <v>3787</v>
      </c>
      <c r="G100" s="56" t="s">
        <v>3788</v>
      </c>
      <c r="H100" s="56" t="s">
        <v>3789</v>
      </c>
      <c r="I100" s="56" t="s">
        <v>1432</v>
      </c>
      <c r="J100" s="56" t="s">
        <v>3790</v>
      </c>
      <c r="K100" s="56" t="s">
        <v>1973</v>
      </c>
      <c r="L100" s="56" t="s">
        <v>1947</v>
      </c>
    </row>
    <row r="101" spans="2:12" x14ac:dyDescent="0.2">
      <c r="D101" s="53" t="s">
        <v>1350</v>
      </c>
      <c r="E101" s="172">
        <v>5100</v>
      </c>
      <c r="F101" s="111">
        <v>4.3999999999999997E-2</v>
      </c>
      <c r="G101" s="172"/>
      <c r="H101" s="172">
        <v>580</v>
      </c>
      <c r="I101" s="172">
        <v>750</v>
      </c>
      <c r="J101" s="53" t="s">
        <v>3791</v>
      </c>
      <c r="K101" s="53" t="s">
        <v>3792</v>
      </c>
      <c r="L101" s="173" t="s">
        <v>3612</v>
      </c>
    </row>
    <row r="102" spans="2:12" x14ac:dyDescent="0.2">
      <c r="D102" s="53" t="s">
        <v>1355</v>
      </c>
      <c r="E102" s="172">
        <v>4800</v>
      </c>
      <c r="F102" s="111">
        <v>4.3999999999999997E-2</v>
      </c>
      <c r="G102" s="172"/>
      <c r="H102" s="172">
        <v>300</v>
      </c>
      <c r="I102" s="172">
        <v>680</v>
      </c>
      <c r="J102" s="53" t="s">
        <v>3793</v>
      </c>
      <c r="K102" s="53" t="s">
        <v>3792</v>
      </c>
      <c r="L102" s="173" t="s">
        <v>3612</v>
      </c>
    </row>
    <row r="103" spans="2:12" x14ac:dyDescent="0.2">
      <c r="D103" s="53" t="s">
        <v>1359</v>
      </c>
      <c r="E103" s="172">
        <v>0</v>
      </c>
      <c r="F103" s="111">
        <v>0</v>
      </c>
      <c r="G103" s="172"/>
      <c r="H103" s="172">
        <v>0</v>
      </c>
      <c r="I103" s="172">
        <v>620</v>
      </c>
      <c r="J103" s="53" t="s">
        <v>3794</v>
      </c>
      <c r="K103" s="53" t="s">
        <v>3792</v>
      </c>
      <c r="L103" s="173" t="s">
        <v>3612</v>
      </c>
    </row>
    <row r="104" spans="2:12" x14ac:dyDescent="0.2">
      <c r="D104" s="53" t="s">
        <v>1363</v>
      </c>
      <c r="E104" s="172">
        <v>50000</v>
      </c>
      <c r="F104" s="111">
        <v>3.3000000000000002E-2</v>
      </c>
      <c r="G104" s="172"/>
      <c r="H104" s="172">
        <v>800</v>
      </c>
      <c r="I104" s="172">
        <v>110</v>
      </c>
      <c r="J104" s="53" t="s">
        <v>3795</v>
      </c>
      <c r="K104" s="53" t="s">
        <v>3792</v>
      </c>
      <c r="L104" s="173" t="s">
        <v>3612</v>
      </c>
    </row>
    <row r="105" spans="2:12" x14ac:dyDescent="0.2">
      <c r="D105" s="53" t="s">
        <v>1368</v>
      </c>
      <c r="E105" s="172">
        <v>1785</v>
      </c>
      <c r="F105" s="111">
        <v>2.1999999999999999E-2</v>
      </c>
      <c r="G105" s="172"/>
      <c r="H105" s="172">
        <v>120</v>
      </c>
      <c r="I105" s="172">
        <v>450</v>
      </c>
      <c r="J105" s="53" t="s">
        <v>3796</v>
      </c>
      <c r="K105" s="53" t="s">
        <v>3792</v>
      </c>
      <c r="L105" s="173" t="s">
        <v>3612</v>
      </c>
    </row>
    <row r="106" spans="2:12" x14ac:dyDescent="0.2">
      <c r="D106" s="53" t="s">
        <v>1373</v>
      </c>
      <c r="E106" s="172">
        <v>2800</v>
      </c>
      <c r="F106" s="111">
        <v>2.1999999999999999E-2</v>
      </c>
      <c r="G106" s="172"/>
      <c r="H106" s="172">
        <v>1600</v>
      </c>
      <c r="I106" s="172">
        <v>380</v>
      </c>
      <c r="J106" s="53" t="s">
        <v>3797</v>
      </c>
      <c r="K106" s="53" t="s">
        <v>3792</v>
      </c>
      <c r="L106" s="173" t="s">
        <v>3612</v>
      </c>
    </row>
    <row r="107" spans="2:12" x14ac:dyDescent="0.2">
      <c r="D107" s="53" t="s">
        <v>1378</v>
      </c>
      <c r="E107" s="172">
        <v>600</v>
      </c>
      <c r="F107" s="111">
        <v>2.1999999999999999E-2</v>
      </c>
      <c r="G107" s="172"/>
      <c r="H107" s="172">
        <v>80</v>
      </c>
      <c r="I107" s="172">
        <v>320</v>
      </c>
      <c r="J107" s="53" t="s">
        <v>3798</v>
      </c>
      <c r="K107" s="53" t="s">
        <v>3792</v>
      </c>
      <c r="L107" s="173" t="s">
        <v>3612</v>
      </c>
    </row>
    <row r="108" spans="2:12" x14ac:dyDescent="0.2">
      <c r="D108" s="53" t="s">
        <v>1383</v>
      </c>
      <c r="E108" s="172">
        <v>300</v>
      </c>
      <c r="F108" s="111">
        <v>5.5E-2</v>
      </c>
      <c r="G108" s="172"/>
      <c r="H108" s="172">
        <v>167</v>
      </c>
      <c r="I108" s="172">
        <v>2400</v>
      </c>
      <c r="J108" s="53" t="s">
        <v>3799</v>
      </c>
      <c r="K108" s="53" t="s">
        <v>3792</v>
      </c>
      <c r="L108" s="173" t="s">
        <v>3612</v>
      </c>
    </row>
    <row r="111" spans="2:12" x14ac:dyDescent="0.2">
      <c r="B111" s="56" t="s">
        <v>3805</v>
      </c>
    </row>
    <row r="112" spans="2:12" x14ac:dyDescent="0.2">
      <c r="D112" s="53" t="s">
        <v>3806</v>
      </c>
      <c r="E112" s="90">
        <v>1</v>
      </c>
      <c r="F112" s="53" t="s">
        <v>3807</v>
      </c>
      <c r="G112" s="53" t="s">
        <v>3611</v>
      </c>
      <c r="H112" s="53" t="s">
        <v>3808</v>
      </c>
    </row>
    <row r="113" spans="4:4" x14ac:dyDescent="0.2">
      <c r="D113" s="53" t="s">
        <v>3809</v>
      </c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A96" workbookViewId="0">
      <selection activeCell="C108" sqref="C108"/>
    </sheetView>
  </sheetViews>
  <sheetFormatPr defaultColWidth="9" defaultRowHeight="14.25" x14ac:dyDescent="0.2"/>
  <cols>
    <col min="1" max="1" width="3" style="112" customWidth="1"/>
    <col min="2" max="2" width="44" style="112" customWidth="1"/>
    <col min="3" max="3" width="28" style="112" customWidth="1"/>
    <col min="4" max="4" width="33.7109375" style="112" customWidth="1"/>
    <col min="5" max="5" width="14.7109375" style="112" customWidth="1"/>
    <col min="6" max="6" width="17.7109375" style="112" customWidth="1"/>
    <col min="7" max="7" width="30.28515625" style="112" customWidth="1"/>
    <col min="8" max="8" width="28.85546875" style="112" customWidth="1"/>
    <col min="9" max="10" width="34.5703125" style="112" hidden="1" customWidth="1"/>
    <col min="11" max="11" width="10.5703125" style="112" customWidth="1"/>
    <col min="12" max="35" width="12" style="112" customWidth="1"/>
    <col min="36" max="16384" width="9" style="112"/>
  </cols>
  <sheetData>
    <row r="1" spans="1:35" customFormat="1" ht="15" x14ac:dyDescent="0.2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5" x14ac:dyDescent="0.25">
      <c r="A2" s="33"/>
      <c r="B2" s="44" t="s">
        <v>3252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25">
      <c r="A3" s="8"/>
      <c r="B3" s="9" t="s">
        <v>11683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5" x14ac:dyDescent="0.25">
      <c r="A5" s="11"/>
      <c r="B5" s="6" t="s">
        <v>3253</v>
      </c>
      <c r="C5" s="7" t="s">
        <v>3254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2">
      <c r="B6" s="112" t="s">
        <v>3255</v>
      </c>
      <c r="C6" s="112" t="s">
        <v>3256</v>
      </c>
      <c r="D6" s="112" t="s">
        <v>3257</v>
      </c>
      <c r="E6" s="112" t="s">
        <v>3258</v>
      </c>
      <c r="F6" s="112" t="s">
        <v>11679</v>
      </c>
      <c r="H6" s="116" t="s">
        <v>3259</v>
      </c>
      <c r="I6" s="5"/>
      <c r="J6" s="5"/>
      <c r="L6" s="146">
        <f>INDEX(CPAT_Results!$A:$AD,MATCH($H6&amp;"_"&amp;$C6,CPAT_Results!$F:$F,0),MATCH(L$5,CPAT_Results!$1:$1,0))</f>
        <v>0</v>
      </c>
      <c r="M6" s="146">
        <f>INDEX(CPAT_Results!$A:$AD,MATCH($H6&amp;"_"&amp;$C6,CPAT_Results!$F:$F,0),MATCH(M$5,CPAT_Results!$1:$1,0))</f>
        <v>-1</v>
      </c>
      <c r="N6" s="146">
        <f>INDEX(CPAT_Results!$A:$AD,MATCH($H6&amp;"_"&amp;$C6,CPAT_Results!$F:$F,0),MATCH(N$5,CPAT_Results!$1:$1,0))</f>
        <v>-1</v>
      </c>
      <c r="O6" s="146">
        <f>INDEX(CPAT_Results!$A:$AD,MATCH($H6&amp;"_"&amp;$C6,CPAT_Results!$F:$F,0),MATCH(O$5,CPAT_Results!$1:$1,0))</f>
        <v>-1</v>
      </c>
      <c r="P6" s="146">
        <f>INDEX(CPAT_Results!$A:$AD,MATCH($H6&amp;"_"&amp;$C6,CPAT_Results!$F:$F,0),MATCH(P$5,CPAT_Results!$1:$1,0))</f>
        <v>802</v>
      </c>
      <c r="Q6" s="146">
        <f>INDEX(CPAT_Results!$A:$AD,MATCH($H6&amp;"_"&amp;$C6,CPAT_Results!$F:$F,0),MATCH(Q$5,CPAT_Results!$1:$1,0))</f>
        <v>673</v>
      </c>
      <c r="R6" s="146">
        <f>INDEX(CPAT_Results!$A:$AD,MATCH($H6&amp;"_"&amp;$C6,CPAT_Results!$F:$F,0),MATCH(R$5,CPAT_Results!$1:$1,0))</f>
        <v>626</v>
      </c>
      <c r="S6" s="146">
        <f>INDEX(CPAT_Results!$A:$AD,MATCH($H6&amp;"_"&amp;$C6,CPAT_Results!$F:$F,0),MATCH(S$5,CPAT_Results!$1:$1,0))</f>
        <v>582</v>
      </c>
      <c r="T6" s="146">
        <f>INDEX(CPAT_Results!$A:$AD,MATCH($H6&amp;"_"&amp;$C6,CPAT_Results!$F:$F,0),MATCH(T$5,CPAT_Results!$1:$1,0))</f>
        <v>549</v>
      </c>
      <c r="U6" s="146">
        <f>INDEX(CPAT_Results!$A:$AD,MATCH($H6&amp;"_"&amp;$C6,CPAT_Results!$F:$F,0),MATCH(U$5,CPAT_Results!$1:$1,0))</f>
        <v>523</v>
      </c>
      <c r="V6" s="146">
        <f>INDEX(CPAT_Results!$A:$AD,MATCH($H6&amp;"_"&amp;$C6,CPAT_Results!$F:$F,0),MATCH(V$5,CPAT_Results!$1:$1,0))</f>
        <v>536</v>
      </c>
      <c r="W6" s="146">
        <f>INDEX(CPAT_Results!$A:$AD,MATCH($H6&amp;"_"&amp;$C6,CPAT_Results!$F:$F,0),MATCH(W$5,CPAT_Results!$1:$1,0))</f>
        <v>567</v>
      </c>
      <c r="X6" s="146">
        <f>INDEX(CPAT_Results!$A:$AD,MATCH($H6&amp;"_"&amp;$C6,CPAT_Results!$F:$F,0),MATCH(X$5,CPAT_Results!$1:$1,0))</f>
        <v>597</v>
      </c>
      <c r="Y6" s="146">
        <f>INDEX(CPAT_Results!$A:$AD,MATCH($H6&amp;"_"&amp;$C6,CPAT_Results!$F:$F,0),MATCH(Y$5,CPAT_Results!$1:$1,0))</f>
        <v>625</v>
      </c>
      <c r="Z6" s="146">
        <f>INDEX(CPAT_Results!$A:$AD,MATCH($H6&amp;"_"&amp;$C6,CPAT_Results!$F:$F,0),MATCH(Z$5,CPAT_Results!$1:$1,0))</f>
        <v>653</v>
      </c>
      <c r="AA6" s="146">
        <f>INDEX(CPAT_Results!$A:$AD,MATCH($H6&amp;"_"&amp;$C6,CPAT_Results!$F:$F,0),MATCH(AA$5,CPAT_Results!$1:$1,0))</f>
        <v>678</v>
      </c>
      <c r="AB6" s="146">
        <f>INDEX(CPAT_Results!$A:$AD,MATCH($H6&amp;"_"&amp;$C6,CPAT_Results!$F:$F,0),MATCH(AB$5,CPAT_Results!$1:$1,0))</f>
        <v>702</v>
      </c>
      <c r="AC6" s="146">
        <f>INDEX(CPAT_Results!$A:$AD,MATCH($H6&amp;"_"&amp;$C6,CPAT_Results!$F:$F,0),MATCH(AC$5,CPAT_Results!$1:$1,0))</f>
        <v>726</v>
      </c>
      <c r="AD6" s="146">
        <f>INDEX(CPAT_Results!$A:$AD,MATCH($H6&amp;"_"&amp;$C6,CPAT_Results!$F:$F,0),MATCH(AD$5,CPAT_Results!$1:$1,0))</f>
        <v>748</v>
      </c>
      <c r="AE6" s="146">
        <f>INDEX(CPAT_Results!$A:$AD,MATCH($H6&amp;"_"&amp;$C6,CPAT_Results!$F:$F,0),MATCH(AE$5,CPAT_Results!$1:$1,0))</f>
        <v>0</v>
      </c>
    </row>
    <row r="7" spans="1:35" x14ac:dyDescent="0.2">
      <c r="B7" s="112" t="s">
        <v>3260</v>
      </c>
      <c r="C7" s="112" t="s">
        <v>3261</v>
      </c>
      <c r="D7" s="112" t="s">
        <v>3257</v>
      </c>
      <c r="E7" s="112" t="s">
        <v>3258</v>
      </c>
      <c r="F7" s="112" t="s">
        <v>11680</v>
      </c>
      <c r="H7" s="116" t="s">
        <v>3259</v>
      </c>
      <c r="I7" s="5"/>
      <c r="J7" s="5"/>
      <c r="L7" s="146">
        <f>INDEX(CPAT_Results!$A:$AD,MATCH($H7&amp;"_"&amp;$C7,CPAT_Results!$F:$F,0),MATCH(L$5,CPAT_Results!$1:$1,0))</f>
        <v>0</v>
      </c>
      <c r="M7" s="146">
        <f>INDEX(CPAT_Results!$A:$AD,MATCH($H7&amp;"_"&amp;$C7,CPAT_Results!$F:$F,0),MATCH(M$5,CPAT_Results!$1:$1,0))</f>
        <v>0</v>
      </c>
      <c r="N7" s="146">
        <f>INDEX(CPAT_Results!$A:$AD,MATCH($H7&amp;"_"&amp;$C7,CPAT_Results!$F:$F,0),MATCH(N$5,CPAT_Results!$1:$1,0))</f>
        <v>0</v>
      </c>
      <c r="O7" s="146">
        <f>INDEX(CPAT_Results!$A:$AD,MATCH($H7&amp;"_"&amp;$C7,CPAT_Results!$F:$F,0),MATCH(O$5,CPAT_Results!$1:$1,0))</f>
        <v>0</v>
      </c>
      <c r="P7" s="146">
        <f>INDEX(CPAT_Results!$A:$AD,MATCH($H7&amp;"_"&amp;$C7,CPAT_Results!$F:$F,0),MATCH(P$5,CPAT_Results!$1:$1,0))</f>
        <v>0</v>
      </c>
      <c r="Q7" s="146">
        <f>INDEX(CPAT_Results!$A:$AD,MATCH($H7&amp;"_"&amp;$C7,CPAT_Results!$F:$F,0),MATCH(Q$5,CPAT_Results!$1:$1,0))</f>
        <v>0</v>
      </c>
      <c r="R7" s="146">
        <f>INDEX(CPAT_Results!$A:$AD,MATCH($H7&amp;"_"&amp;$C7,CPAT_Results!$F:$F,0),MATCH(R$5,CPAT_Results!$1:$1,0))</f>
        <v>0</v>
      </c>
      <c r="S7" s="146">
        <f>INDEX(CPAT_Results!$A:$AD,MATCH($H7&amp;"_"&amp;$C7,CPAT_Results!$F:$F,0),MATCH(S$5,CPAT_Results!$1:$1,0))</f>
        <v>29</v>
      </c>
      <c r="T7" s="146">
        <f>INDEX(CPAT_Results!$A:$AD,MATCH($H7&amp;"_"&amp;$C7,CPAT_Results!$F:$F,0),MATCH(T$5,CPAT_Results!$1:$1,0))</f>
        <v>52</v>
      </c>
      <c r="U7" s="146">
        <f>INDEX(CPAT_Results!$A:$AD,MATCH($H7&amp;"_"&amp;$C7,CPAT_Results!$F:$F,0),MATCH(U$5,CPAT_Results!$1:$1,0))</f>
        <v>76</v>
      </c>
      <c r="V7" s="146">
        <f>INDEX(CPAT_Results!$A:$AD,MATCH($H7&amp;"_"&amp;$C7,CPAT_Results!$F:$F,0),MATCH(V$5,CPAT_Results!$1:$1,0))</f>
        <v>97</v>
      </c>
      <c r="W7" s="146">
        <f>INDEX(CPAT_Results!$A:$AD,MATCH($H7&amp;"_"&amp;$C7,CPAT_Results!$F:$F,0),MATCH(W$5,CPAT_Results!$1:$1,0))</f>
        <v>119</v>
      </c>
      <c r="X7" s="146">
        <f>INDEX(CPAT_Results!$A:$AD,MATCH($H7&amp;"_"&amp;$C7,CPAT_Results!$F:$F,0),MATCH(X$5,CPAT_Results!$1:$1,0))</f>
        <v>138</v>
      </c>
      <c r="Y7" s="146">
        <f>INDEX(CPAT_Results!$A:$AD,MATCH($H7&amp;"_"&amp;$C7,CPAT_Results!$F:$F,0),MATCH(Y$5,CPAT_Results!$1:$1,0))</f>
        <v>155</v>
      </c>
      <c r="Z7" s="146">
        <f>INDEX(CPAT_Results!$A:$AD,MATCH($H7&amp;"_"&amp;$C7,CPAT_Results!$F:$F,0),MATCH(Z$5,CPAT_Results!$1:$1,0))</f>
        <v>168</v>
      </c>
      <c r="AA7" s="146">
        <f>INDEX(CPAT_Results!$A:$AD,MATCH($H7&amp;"_"&amp;$C7,CPAT_Results!$F:$F,0),MATCH(AA$5,CPAT_Results!$1:$1,0))</f>
        <v>177</v>
      </c>
      <c r="AB7" s="146">
        <f>INDEX(CPAT_Results!$A:$AD,MATCH($H7&amp;"_"&amp;$C7,CPAT_Results!$F:$F,0),MATCH(AB$5,CPAT_Results!$1:$1,0))</f>
        <v>182</v>
      </c>
      <c r="AC7" s="146">
        <f>INDEX(CPAT_Results!$A:$AD,MATCH($H7&amp;"_"&amp;$C7,CPAT_Results!$F:$F,0),MATCH(AC$5,CPAT_Results!$1:$1,0))</f>
        <v>181</v>
      </c>
      <c r="AD7" s="146">
        <f>INDEX(CPAT_Results!$A:$AD,MATCH($H7&amp;"_"&amp;$C7,CPAT_Results!$F:$F,0),MATCH(AD$5,CPAT_Results!$1:$1,0))</f>
        <v>175</v>
      </c>
      <c r="AE7" s="146">
        <f>INDEX(CPAT_Results!$A:$AD,MATCH($H7&amp;"_"&amp;$C7,CPAT_Results!$F:$F,0),MATCH(AE$5,CPAT_Results!$1:$1,0))</f>
        <v>0</v>
      </c>
    </row>
    <row r="8" spans="1:35" x14ac:dyDescent="0.2">
      <c r="B8" s="112" t="s">
        <v>3262</v>
      </c>
      <c r="C8" s="112" t="s">
        <v>3263</v>
      </c>
      <c r="D8" s="112" t="s">
        <v>3257</v>
      </c>
      <c r="E8" s="112" t="s">
        <v>3258</v>
      </c>
      <c r="F8" s="112" t="s">
        <v>11681</v>
      </c>
      <c r="H8" s="116" t="s">
        <v>3259</v>
      </c>
      <c r="I8" s="5"/>
      <c r="J8" s="5"/>
      <c r="L8" s="146">
        <f>INDEX(CPAT_Results!$A:$AD,MATCH($H8&amp;"_"&amp;$C8,CPAT_Results!$F:$F,0),MATCH(L$5,CPAT_Results!$1:$1,0))</f>
        <v>0</v>
      </c>
      <c r="M8" s="146">
        <f>INDEX(CPAT_Results!$A:$AD,MATCH($H8&amp;"_"&amp;$C8,CPAT_Results!$F:$F,0),MATCH(M$5,CPAT_Results!$1:$1,0))</f>
        <v>1</v>
      </c>
      <c r="N8" s="146">
        <f>INDEX(CPAT_Results!$A:$AD,MATCH($H8&amp;"_"&amp;$C8,CPAT_Results!$F:$F,0),MATCH(N$5,CPAT_Results!$1:$1,0))</f>
        <v>1</v>
      </c>
      <c r="O8" s="146">
        <f>INDEX(CPAT_Results!$A:$AD,MATCH($H8&amp;"_"&amp;$C8,CPAT_Results!$F:$F,0),MATCH(O$5,CPAT_Results!$1:$1,0))</f>
        <v>1</v>
      </c>
      <c r="P8" s="146">
        <f>INDEX(CPAT_Results!$A:$AD,MATCH($H8&amp;"_"&amp;$C8,CPAT_Results!$F:$F,0),MATCH(P$5,CPAT_Results!$1:$1,0))</f>
        <v>223</v>
      </c>
      <c r="Q8" s="146">
        <f>INDEX(CPAT_Results!$A:$AD,MATCH($H8&amp;"_"&amp;$C8,CPAT_Results!$F:$F,0),MATCH(Q$5,CPAT_Results!$1:$1,0))</f>
        <v>84</v>
      </c>
      <c r="R8" s="146">
        <f>INDEX(CPAT_Results!$A:$AD,MATCH($H8&amp;"_"&amp;$C8,CPAT_Results!$F:$F,0),MATCH(R$5,CPAT_Results!$1:$1,0))</f>
        <v>113</v>
      </c>
      <c r="S8" s="146">
        <f>INDEX(CPAT_Results!$A:$AD,MATCH($H8&amp;"_"&amp;$C8,CPAT_Results!$F:$F,0),MATCH(S$5,CPAT_Results!$1:$1,0))</f>
        <v>183</v>
      </c>
      <c r="T8" s="146">
        <f>INDEX(CPAT_Results!$A:$AD,MATCH($H8&amp;"_"&amp;$C8,CPAT_Results!$F:$F,0),MATCH(T$5,CPAT_Results!$1:$1,0))</f>
        <v>256</v>
      </c>
      <c r="U8" s="146">
        <f>INDEX(CPAT_Results!$A:$AD,MATCH($H8&amp;"_"&amp;$C8,CPAT_Results!$F:$F,0),MATCH(U$5,CPAT_Results!$1:$1,0))</f>
        <v>347</v>
      </c>
      <c r="V8" s="146">
        <f>INDEX(CPAT_Results!$A:$AD,MATCH($H8&amp;"_"&amp;$C8,CPAT_Results!$F:$F,0),MATCH(V$5,CPAT_Results!$1:$1,0))</f>
        <v>478</v>
      </c>
      <c r="W8" s="146">
        <f>INDEX(CPAT_Results!$A:$AD,MATCH($H8&amp;"_"&amp;$C8,CPAT_Results!$F:$F,0),MATCH(W$5,CPAT_Results!$1:$1,0))</f>
        <v>613</v>
      </c>
      <c r="X8" s="146">
        <f>INDEX(CPAT_Results!$A:$AD,MATCH($H8&amp;"_"&amp;$C8,CPAT_Results!$F:$F,0),MATCH(X$5,CPAT_Results!$1:$1,0))</f>
        <v>754</v>
      </c>
      <c r="Y8" s="146">
        <f>INDEX(CPAT_Results!$A:$AD,MATCH($H8&amp;"_"&amp;$C8,CPAT_Results!$F:$F,0),MATCH(Y$5,CPAT_Results!$1:$1,0))</f>
        <v>902</v>
      </c>
      <c r="Z8" s="146">
        <f>INDEX(CPAT_Results!$A:$AD,MATCH($H8&amp;"_"&amp;$C8,CPAT_Results!$F:$F,0),MATCH(Z$5,CPAT_Results!$1:$1,0))</f>
        <v>1057</v>
      </c>
      <c r="AA8" s="146">
        <f>INDEX(CPAT_Results!$A:$AD,MATCH($H8&amp;"_"&amp;$C8,CPAT_Results!$F:$F,0),MATCH(AA$5,CPAT_Results!$1:$1,0))</f>
        <v>1221</v>
      </c>
      <c r="AB8" s="146">
        <f>INDEX(CPAT_Results!$A:$AD,MATCH($H8&amp;"_"&amp;$C8,CPAT_Results!$F:$F,0),MATCH(AB$5,CPAT_Results!$1:$1,0))</f>
        <v>1395</v>
      </c>
      <c r="AC8" s="146">
        <f>INDEX(CPAT_Results!$A:$AD,MATCH($H8&amp;"_"&amp;$C8,CPAT_Results!$F:$F,0),MATCH(AC$5,CPAT_Results!$1:$1,0))</f>
        <v>1577</v>
      </c>
      <c r="AD8" s="146">
        <f>INDEX(CPAT_Results!$A:$AD,MATCH($H8&amp;"_"&amp;$C8,CPAT_Results!$F:$F,0),MATCH(AD$5,CPAT_Results!$1:$1,0))</f>
        <v>1772</v>
      </c>
      <c r="AE8" s="146">
        <f>INDEX(CPAT_Results!$A:$AD,MATCH($H8&amp;"_"&amp;$C8,CPAT_Results!$F:$F,0),MATCH(AE$5,CPAT_Results!$1:$1,0))</f>
        <v>0</v>
      </c>
    </row>
    <row r="9" spans="1:35" x14ac:dyDescent="0.2">
      <c r="B9" s="112" t="s">
        <v>3264</v>
      </c>
      <c r="C9" s="112" t="s">
        <v>3265</v>
      </c>
      <c r="D9" s="112" t="s">
        <v>3257</v>
      </c>
      <c r="E9" s="112" t="s">
        <v>3258</v>
      </c>
      <c r="F9" s="112" t="s">
        <v>11682</v>
      </c>
      <c r="H9" s="116" t="s">
        <v>3259</v>
      </c>
      <c r="I9" s="5"/>
      <c r="J9" s="5"/>
      <c r="L9" s="146">
        <f>INDEX(CPAT_Results!$A:$AD,MATCH($H9&amp;"_"&amp;$C9,CPAT_Results!$F:$F,0),MATCH(L$5,CPAT_Results!$1:$1,0))</f>
        <v>0</v>
      </c>
      <c r="M9" s="146">
        <f>INDEX(CPAT_Results!$A:$AD,MATCH($H9&amp;"_"&amp;$C9,CPAT_Results!$F:$F,0),MATCH(M$5,CPAT_Results!$1:$1,0))</f>
        <v>0</v>
      </c>
      <c r="N9" s="146">
        <f>INDEX(CPAT_Results!$A:$AD,MATCH($H9&amp;"_"&amp;$C9,CPAT_Results!$F:$F,0),MATCH(N$5,CPAT_Results!$1:$1,0))</f>
        <v>0</v>
      </c>
      <c r="O9" s="146">
        <f>INDEX(CPAT_Results!$A:$AD,MATCH($H9&amp;"_"&amp;$C9,CPAT_Results!$F:$F,0),MATCH(O$5,CPAT_Results!$1:$1,0))</f>
        <v>0</v>
      </c>
      <c r="P9" s="146">
        <f>INDEX(CPAT_Results!$A:$AD,MATCH($H9&amp;"_"&amp;$C9,CPAT_Results!$F:$F,0),MATCH(P$5,CPAT_Results!$1:$1,0))</f>
        <v>0</v>
      </c>
      <c r="Q9" s="146">
        <f>INDEX(CPAT_Results!$A:$AD,MATCH($H9&amp;"_"&amp;$C9,CPAT_Results!$F:$F,0),MATCH(Q$5,CPAT_Results!$1:$1,0))</f>
        <v>0</v>
      </c>
      <c r="R9" s="146">
        <f>INDEX(CPAT_Results!$A:$AD,MATCH($H9&amp;"_"&amp;$C9,CPAT_Results!$F:$F,0),MATCH(R$5,CPAT_Results!$1:$1,0))</f>
        <v>2</v>
      </c>
      <c r="S9" s="146">
        <f>INDEX(CPAT_Results!$A:$AD,MATCH($H9&amp;"_"&amp;$C9,CPAT_Results!$F:$F,0),MATCH(S$5,CPAT_Results!$1:$1,0))</f>
        <v>6</v>
      </c>
      <c r="T9" s="146">
        <f>INDEX(CPAT_Results!$A:$AD,MATCH($H9&amp;"_"&amp;$C9,CPAT_Results!$F:$F,0),MATCH(T$5,CPAT_Results!$1:$1,0))</f>
        <v>13</v>
      </c>
      <c r="U9" s="146">
        <f>INDEX(CPAT_Results!$A:$AD,MATCH($H9&amp;"_"&amp;$C9,CPAT_Results!$F:$F,0),MATCH(U$5,CPAT_Results!$1:$1,0))</f>
        <v>21</v>
      </c>
      <c r="V9" s="146">
        <f>INDEX(CPAT_Results!$A:$AD,MATCH($H9&amp;"_"&amp;$C9,CPAT_Results!$F:$F,0),MATCH(V$5,CPAT_Results!$1:$1,0))</f>
        <v>30</v>
      </c>
      <c r="W9" s="146">
        <f>INDEX(CPAT_Results!$A:$AD,MATCH($H9&amp;"_"&amp;$C9,CPAT_Results!$F:$F,0),MATCH(W$5,CPAT_Results!$1:$1,0))</f>
        <v>39</v>
      </c>
      <c r="X9" s="146">
        <f>INDEX(CPAT_Results!$A:$AD,MATCH($H9&amp;"_"&amp;$C9,CPAT_Results!$F:$F,0),MATCH(X$5,CPAT_Results!$1:$1,0))</f>
        <v>47</v>
      </c>
      <c r="Y9" s="146">
        <f>INDEX(CPAT_Results!$A:$AD,MATCH($H9&amp;"_"&amp;$C9,CPAT_Results!$F:$F,0),MATCH(Y$5,CPAT_Results!$1:$1,0))</f>
        <v>51</v>
      </c>
      <c r="Z9" s="146">
        <f>INDEX(CPAT_Results!$A:$AD,MATCH($H9&amp;"_"&amp;$C9,CPAT_Results!$F:$F,0),MATCH(Z$5,CPAT_Results!$1:$1,0))</f>
        <v>53</v>
      </c>
      <c r="AA9" s="146">
        <f>INDEX(CPAT_Results!$A:$AD,MATCH($H9&amp;"_"&amp;$C9,CPAT_Results!$F:$F,0),MATCH(AA$5,CPAT_Results!$1:$1,0))</f>
        <v>42</v>
      </c>
      <c r="AB9" s="146">
        <f>INDEX(CPAT_Results!$A:$AD,MATCH($H9&amp;"_"&amp;$C9,CPAT_Results!$F:$F,0),MATCH(AB$5,CPAT_Results!$1:$1,0))</f>
        <v>28</v>
      </c>
      <c r="AC9" s="146">
        <f>INDEX(CPAT_Results!$A:$AD,MATCH($H9&amp;"_"&amp;$C9,CPAT_Results!$F:$F,0),MATCH(AC$5,CPAT_Results!$1:$1,0))</f>
        <v>9</v>
      </c>
      <c r="AD9" s="146">
        <f>INDEX(CPAT_Results!$A:$AD,MATCH($H9&amp;"_"&amp;$C9,CPAT_Results!$F:$F,0),MATCH(AD$5,CPAT_Results!$1:$1,0))</f>
        <v>-16</v>
      </c>
      <c r="AE9" s="146">
        <f>INDEX(CPAT_Results!$A:$AD,MATCH($H9&amp;"_"&amp;$C9,CPAT_Results!$F:$F,0),MATCH(AE$5,CPAT_Results!$1:$1,0))</f>
        <v>0</v>
      </c>
    </row>
    <row r="10" spans="1:35" x14ac:dyDescent="0.2">
      <c r="B10" s="112" t="s">
        <v>3266</v>
      </c>
      <c r="C10" s="112" t="s">
        <v>3256</v>
      </c>
      <c r="D10" s="112" t="s">
        <v>3267</v>
      </c>
      <c r="E10" s="112" t="s">
        <v>3258</v>
      </c>
      <c r="F10" s="112" t="s">
        <v>11679</v>
      </c>
      <c r="H10" s="116" t="s">
        <v>3268</v>
      </c>
      <c r="I10" s="5"/>
      <c r="J10" s="5"/>
      <c r="L10" s="146">
        <f>INDEX(CPAT_Results!$A:$AD,MATCH($H10&amp;"_"&amp;$C10,CPAT_Results!$F:$F,0),MATCH(L$5,CPAT_Results!$1:$1,0))</f>
        <v>0</v>
      </c>
      <c r="M10" s="146">
        <f>INDEX(CPAT_Results!$A:$AD,MATCH($H10&amp;"_"&amp;$C10,CPAT_Results!$F:$F,0),MATCH(M$5,CPAT_Results!$1:$1,0))</f>
        <v>-1</v>
      </c>
      <c r="N10" s="146">
        <f>INDEX(CPAT_Results!$A:$AD,MATCH($H10&amp;"_"&amp;$C10,CPAT_Results!$F:$F,0),MATCH(N$5,CPAT_Results!$1:$1,0))</f>
        <v>-1</v>
      </c>
      <c r="O10" s="146">
        <f>INDEX(CPAT_Results!$A:$AD,MATCH($H10&amp;"_"&amp;$C10,CPAT_Results!$F:$F,0),MATCH(O$5,CPAT_Results!$1:$1,0))</f>
        <v>-1</v>
      </c>
      <c r="P10" s="146">
        <f>INDEX(CPAT_Results!$A:$AD,MATCH($H10&amp;"_"&amp;$C10,CPAT_Results!$F:$F,0),MATCH(P$5,CPAT_Results!$1:$1,0))</f>
        <v>1410</v>
      </c>
      <c r="Q10" s="146">
        <f>INDEX(CPAT_Results!$A:$AD,MATCH($H10&amp;"_"&amp;$C10,CPAT_Results!$F:$F,0),MATCH(Q$5,CPAT_Results!$1:$1,0))</f>
        <v>1187</v>
      </c>
      <c r="R10" s="146">
        <f>INDEX(CPAT_Results!$A:$AD,MATCH($H10&amp;"_"&amp;$C10,CPAT_Results!$F:$F,0),MATCH(R$5,CPAT_Results!$1:$1,0))</f>
        <v>1105</v>
      </c>
      <c r="S10" s="146">
        <f>INDEX(CPAT_Results!$A:$AD,MATCH($H10&amp;"_"&amp;$C10,CPAT_Results!$F:$F,0),MATCH(S$5,CPAT_Results!$1:$1,0))</f>
        <v>1034</v>
      </c>
      <c r="T10" s="146">
        <f>INDEX(CPAT_Results!$A:$AD,MATCH($H10&amp;"_"&amp;$C10,CPAT_Results!$F:$F,0),MATCH(T$5,CPAT_Results!$1:$1,0))</f>
        <v>986</v>
      </c>
      <c r="U10" s="146">
        <f>INDEX(CPAT_Results!$A:$AD,MATCH($H10&amp;"_"&amp;$C10,CPAT_Results!$F:$F,0),MATCH(U$5,CPAT_Results!$1:$1,0))</f>
        <v>953</v>
      </c>
      <c r="V10" s="146">
        <f>INDEX(CPAT_Results!$A:$AD,MATCH($H10&amp;"_"&amp;$C10,CPAT_Results!$F:$F,0),MATCH(V$5,CPAT_Results!$1:$1,0))</f>
        <v>983</v>
      </c>
      <c r="W10" s="146">
        <f>INDEX(CPAT_Results!$A:$AD,MATCH($H10&amp;"_"&amp;$C10,CPAT_Results!$F:$F,0),MATCH(W$5,CPAT_Results!$1:$1,0))</f>
        <v>1039</v>
      </c>
      <c r="X10" s="146">
        <f>INDEX(CPAT_Results!$A:$AD,MATCH($H10&amp;"_"&amp;$C10,CPAT_Results!$F:$F,0),MATCH(X$5,CPAT_Results!$1:$1,0))</f>
        <v>1096</v>
      </c>
      <c r="Y10" s="146">
        <f>INDEX(CPAT_Results!$A:$AD,MATCH($H10&amp;"_"&amp;$C10,CPAT_Results!$F:$F,0),MATCH(Y$5,CPAT_Results!$1:$1,0))</f>
        <v>1149</v>
      </c>
      <c r="Z10" s="146">
        <f>INDEX(CPAT_Results!$A:$AD,MATCH($H10&amp;"_"&amp;$C10,CPAT_Results!$F:$F,0),MATCH(Z$5,CPAT_Results!$1:$1,0))</f>
        <v>1200</v>
      </c>
      <c r="AA10" s="146">
        <f>INDEX(CPAT_Results!$A:$AD,MATCH($H10&amp;"_"&amp;$C10,CPAT_Results!$F:$F,0),MATCH(AA$5,CPAT_Results!$1:$1,0))</f>
        <v>1248</v>
      </c>
      <c r="AB10" s="146">
        <f>INDEX(CPAT_Results!$A:$AD,MATCH($H10&amp;"_"&amp;$C10,CPAT_Results!$F:$F,0),MATCH(AB$5,CPAT_Results!$1:$1,0))</f>
        <v>1295</v>
      </c>
      <c r="AC10" s="146">
        <f>INDEX(CPAT_Results!$A:$AD,MATCH($H10&amp;"_"&amp;$C10,CPAT_Results!$F:$F,0),MATCH(AC$5,CPAT_Results!$1:$1,0))</f>
        <v>1340</v>
      </c>
      <c r="AD10" s="146">
        <f>INDEX(CPAT_Results!$A:$AD,MATCH($H10&amp;"_"&amp;$C10,CPAT_Results!$F:$F,0),MATCH(AD$5,CPAT_Results!$1:$1,0))</f>
        <v>1382</v>
      </c>
      <c r="AE10" s="146">
        <f>INDEX(CPAT_Results!$A:$AD,MATCH($H10&amp;"_"&amp;$C10,CPAT_Results!$F:$F,0),MATCH(AE$5,CPAT_Results!$1:$1,0))</f>
        <v>0</v>
      </c>
    </row>
    <row r="11" spans="1:35" x14ac:dyDescent="0.2">
      <c r="B11" s="112" t="s">
        <v>3269</v>
      </c>
      <c r="C11" s="112" t="s">
        <v>3261</v>
      </c>
      <c r="D11" s="112" t="s">
        <v>3267</v>
      </c>
      <c r="E11" s="112" t="s">
        <v>3258</v>
      </c>
      <c r="F11" s="112" t="s">
        <v>11680</v>
      </c>
      <c r="H11" s="116" t="s">
        <v>3268</v>
      </c>
      <c r="I11" s="5"/>
      <c r="J11" s="5"/>
      <c r="L11" s="146">
        <f>INDEX(CPAT_Results!$A:$AD,MATCH($H11&amp;"_"&amp;$C11,CPAT_Results!$F:$F,0),MATCH(L$5,CPAT_Results!$1:$1,0))</f>
        <v>0</v>
      </c>
      <c r="M11" s="146">
        <f>INDEX(CPAT_Results!$A:$AD,MATCH($H11&amp;"_"&amp;$C11,CPAT_Results!$F:$F,0),MATCH(M$5,CPAT_Results!$1:$1,0))</f>
        <v>0</v>
      </c>
      <c r="N11" s="146">
        <f>INDEX(CPAT_Results!$A:$AD,MATCH($H11&amp;"_"&amp;$C11,CPAT_Results!$F:$F,0),MATCH(N$5,CPAT_Results!$1:$1,0))</f>
        <v>0</v>
      </c>
      <c r="O11" s="146">
        <f>INDEX(CPAT_Results!$A:$AD,MATCH($H11&amp;"_"&amp;$C11,CPAT_Results!$F:$F,0),MATCH(O$5,CPAT_Results!$1:$1,0))</f>
        <v>0</v>
      </c>
      <c r="P11" s="146">
        <f>INDEX(CPAT_Results!$A:$AD,MATCH($H11&amp;"_"&amp;$C11,CPAT_Results!$F:$F,0),MATCH(P$5,CPAT_Results!$1:$1,0))</f>
        <v>0</v>
      </c>
      <c r="Q11" s="146">
        <f>INDEX(CPAT_Results!$A:$AD,MATCH($H11&amp;"_"&amp;$C11,CPAT_Results!$F:$F,0),MATCH(Q$5,CPAT_Results!$1:$1,0))</f>
        <v>0</v>
      </c>
      <c r="R11" s="146">
        <f>INDEX(CPAT_Results!$A:$AD,MATCH($H11&amp;"_"&amp;$C11,CPAT_Results!$F:$F,0),MATCH(R$5,CPAT_Results!$1:$1,0))</f>
        <v>0</v>
      </c>
      <c r="S11" s="146">
        <f>INDEX(CPAT_Results!$A:$AD,MATCH($H11&amp;"_"&amp;$C11,CPAT_Results!$F:$F,0),MATCH(S$5,CPAT_Results!$1:$1,0))</f>
        <v>53</v>
      </c>
      <c r="T11" s="146">
        <f>INDEX(CPAT_Results!$A:$AD,MATCH($H11&amp;"_"&amp;$C11,CPAT_Results!$F:$F,0),MATCH(T$5,CPAT_Results!$1:$1,0))</f>
        <v>95</v>
      </c>
      <c r="U11" s="146">
        <f>INDEX(CPAT_Results!$A:$AD,MATCH($H11&amp;"_"&amp;$C11,CPAT_Results!$F:$F,0),MATCH(U$5,CPAT_Results!$1:$1,0))</f>
        <v>140</v>
      </c>
      <c r="V11" s="146">
        <f>INDEX(CPAT_Results!$A:$AD,MATCH($H11&amp;"_"&amp;$C11,CPAT_Results!$F:$F,0),MATCH(V$5,CPAT_Results!$1:$1,0))</f>
        <v>178</v>
      </c>
      <c r="W11" s="146">
        <f>INDEX(CPAT_Results!$A:$AD,MATCH($H11&amp;"_"&amp;$C11,CPAT_Results!$F:$F,0),MATCH(W$5,CPAT_Results!$1:$1,0))</f>
        <v>217</v>
      </c>
      <c r="X11" s="146">
        <f>INDEX(CPAT_Results!$A:$AD,MATCH($H11&amp;"_"&amp;$C11,CPAT_Results!$F:$F,0),MATCH(X$5,CPAT_Results!$1:$1,0))</f>
        <v>252</v>
      </c>
      <c r="Y11" s="146">
        <f>INDEX(CPAT_Results!$A:$AD,MATCH($H11&amp;"_"&amp;$C11,CPAT_Results!$F:$F,0),MATCH(Y$5,CPAT_Results!$1:$1,0))</f>
        <v>283</v>
      </c>
      <c r="Z11" s="146">
        <f>INDEX(CPAT_Results!$A:$AD,MATCH($H11&amp;"_"&amp;$C11,CPAT_Results!$F:$F,0),MATCH(Z$5,CPAT_Results!$1:$1,0))</f>
        <v>307</v>
      </c>
      <c r="AA11" s="146">
        <f>INDEX(CPAT_Results!$A:$AD,MATCH($H11&amp;"_"&amp;$C11,CPAT_Results!$F:$F,0),MATCH(AA$5,CPAT_Results!$1:$1,0))</f>
        <v>324</v>
      </c>
      <c r="AB11" s="146">
        <f>INDEX(CPAT_Results!$A:$AD,MATCH($H11&amp;"_"&amp;$C11,CPAT_Results!$F:$F,0),MATCH(AB$5,CPAT_Results!$1:$1,0))</f>
        <v>332</v>
      </c>
      <c r="AC11" s="146">
        <f>INDEX(CPAT_Results!$A:$AD,MATCH($H11&amp;"_"&amp;$C11,CPAT_Results!$F:$F,0),MATCH(AC$5,CPAT_Results!$1:$1,0))</f>
        <v>330</v>
      </c>
      <c r="AD11" s="146">
        <f>INDEX(CPAT_Results!$A:$AD,MATCH($H11&amp;"_"&amp;$C11,CPAT_Results!$F:$F,0),MATCH(AD$5,CPAT_Results!$1:$1,0))</f>
        <v>319</v>
      </c>
      <c r="AE11" s="146">
        <f>INDEX(CPAT_Results!$A:$AD,MATCH($H11&amp;"_"&amp;$C11,CPAT_Results!$F:$F,0),MATCH(AE$5,CPAT_Results!$1:$1,0))</f>
        <v>0</v>
      </c>
    </row>
    <row r="12" spans="1:35" x14ac:dyDescent="0.2">
      <c r="B12" s="112" t="s">
        <v>3270</v>
      </c>
      <c r="C12" s="112" t="s">
        <v>3263</v>
      </c>
      <c r="D12" s="112" t="s">
        <v>3267</v>
      </c>
      <c r="E12" s="112" t="s">
        <v>3258</v>
      </c>
      <c r="F12" s="112" t="s">
        <v>11681</v>
      </c>
      <c r="H12" s="116" t="s">
        <v>3268</v>
      </c>
      <c r="I12" s="5"/>
      <c r="J12" s="5"/>
      <c r="L12" s="146">
        <f>INDEX(CPAT_Results!$A:$AD,MATCH($H12&amp;"_"&amp;$C12,CPAT_Results!$F:$F,0),MATCH(L$5,CPAT_Results!$1:$1,0))</f>
        <v>0</v>
      </c>
      <c r="M12" s="146">
        <f>INDEX(CPAT_Results!$A:$AD,MATCH($H12&amp;"_"&amp;$C12,CPAT_Results!$F:$F,0),MATCH(M$5,CPAT_Results!$1:$1,0))</f>
        <v>1</v>
      </c>
      <c r="N12" s="146">
        <f>INDEX(CPAT_Results!$A:$AD,MATCH($H12&amp;"_"&amp;$C12,CPAT_Results!$F:$F,0),MATCH(N$5,CPAT_Results!$1:$1,0))</f>
        <v>1</v>
      </c>
      <c r="O12" s="146">
        <f>INDEX(CPAT_Results!$A:$AD,MATCH($H12&amp;"_"&amp;$C12,CPAT_Results!$F:$F,0),MATCH(O$5,CPAT_Results!$1:$1,0))</f>
        <v>1</v>
      </c>
      <c r="P12" s="146">
        <f>INDEX(CPAT_Results!$A:$AD,MATCH($H12&amp;"_"&amp;$C12,CPAT_Results!$F:$F,0),MATCH(P$5,CPAT_Results!$1:$1,0))</f>
        <v>394</v>
      </c>
      <c r="Q12" s="146">
        <f>INDEX(CPAT_Results!$A:$AD,MATCH($H12&amp;"_"&amp;$C12,CPAT_Results!$F:$F,0),MATCH(Q$5,CPAT_Results!$1:$1,0))</f>
        <v>151</v>
      </c>
      <c r="R12" s="146">
        <f>INDEX(CPAT_Results!$A:$AD,MATCH($H12&amp;"_"&amp;$C12,CPAT_Results!$F:$F,0),MATCH(R$5,CPAT_Results!$1:$1,0))</f>
        <v>203</v>
      </c>
      <c r="S12" s="146">
        <f>INDEX(CPAT_Results!$A:$AD,MATCH($H12&amp;"_"&amp;$C12,CPAT_Results!$F:$F,0),MATCH(S$5,CPAT_Results!$1:$1,0))</f>
        <v>334</v>
      </c>
      <c r="T12" s="146">
        <f>INDEX(CPAT_Results!$A:$AD,MATCH($H12&amp;"_"&amp;$C12,CPAT_Results!$F:$F,0),MATCH(T$5,CPAT_Results!$1:$1,0))</f>
        <v>471</v>
      </c>
      <c r="U12" s="146">
        <f>INDEX(CPAT_Results!$A:$AD,MATCH($H12&amp;"_"&amp;$C12,CPAT_Results!$F:$F,0),MATCH(U$5,CPAT_Results!$1:$1,0))</f>
        <v>639</v>
      </c>
      <c r="V12" s="146">
        <f>INDEX(CPAT_Results!$A:$AD,MATCH($H12&amp;"_"&amp;$C12,CPAT_Results!$F:$F,0),MATCH(V$5,CPAT_Results!$1:$1,0))</f>
        <v>879</v>
      </c>
      <c r="W12" s="146">
        <f>INDEX(CPAT_Results!$A:$AD,MATCH($H12&amp;"_"&amp;$C12,CPAT_Results!$F:$F,0),MATCH(W$5,CPAT_Results!$1:$1,0))</f>
        <v>1126</v>
      </c>
      <c r="X12" s="146">
        <f>INDEX(CPAT_Results!$A:$AD,MATCH($H12&amp;"_"&amp;$C12,CPAT_Results!$F:$F,0),MATCH(X$5,CPAT_Results!$1:$1,0))</f>
        <v>1385</v>
      </c>
      <c r="Y12" s="146">
        <f>INDEX(CPAT_Results!$A:$AD,MATCH($H12&amp;"_"&amp;$C12,CPAT_Results!$F:$F,0),MATCH(Y$5,CPAT_Results!$1:$1,0))</f>
        <v>1658</v>
      </c>
      <c r="Z12" s="146">
        <f>INDEX(CPAT_Results!$A:$AD,MATCH($H12&amp;"_"&amp;$C12,CPAT_Results!$F:$F,0),MATCH(Z$5,CPAT_Results!$1:$1,0))</f>
        <v>1945</v>
      </c>
      <c r="AA12" s="146">
        <f>INDEX(CPAT_Results!$A:$AD,MATCH($H12&amp;"_"&amp;$C12,CPAT_Results!$F:$F,0),MATCH(AA$5,CPAT_Results!$1:$1,0))</f>
        <v>2248</v>
      </c>
      <c r="AB12" s="146">
        <f>INDEX(CPAT_Results!$A:$AD,MATCH($H12&amp;"_"&amp;$C12,CPAT_Results!$F:$F,0),MATCH(AB$5,CPAT_Results!$1:$1,0))</f>
        <v>2568</v>
      </c>
      <c r="AC12" s="146">
        <f>INDEX(CPAT_Results!$A:$AD,MATCH($H12&amp;"_"&amp;$C12,CPAT_Results!$F:$F,0),MATCH(AC$5,CPAT_Results!$1:$1,0))</f>
        <v>2906</v>
      </c>
      <c r="AD12" s="146">
        <f>INDEX(CPAT_Results!$A:$AD,MATCH($H12&amp;"_"&amp;$C12,CPAT_Results!$F:$F,0),MATCH(AD$5,CPAT_Results!$1:$1,0))</f>
        <v>3268</v>
      </c>
      <c r="AE12" s="146">
        <f>INDEX(CPAT_Results!$A:$AD,MATCH($H12&amp;"_"&amp;$C12,CPAT_Results!$F:$F,0),MATCH(AE$5,CPAT_Results!$1:$1,0))</f>
        <v>0</v>
      </c>
    </row>
    <row r="13" spans="1:35" x14ac:dyDescent="0.2">
      <c r="B13" s="112" t="s">
        <v>3271</v>
      </c>
      <c r="C13" s="112" t="s">
        <v>3265</v>
      </c>
      <c r="D13" s="112" t="s">
        <v>3267</v>
      </c>
      <c r="E13" s="112" t="s">
        <v>3258</v>
      </c>
      <c r="F13" s="112" t="s">
        <v>11682</v>
      </c>
      <c r="H13" s="116" t="s">
        <v>3268</v>
      </c>
      <c r="I13" s="5"/>
      <c r="J13" s="5"/>
      <c r="L13" s="146">
        <f>INDEX(CPAT_Results!$A:$AD,MATCH($H13&amp;"_"&amp;$C13,CPAT_Results!$F:$F,0),MATCH(L$5,CPAT_Results!$1:$1,0))</f>
        <v>0</v>
      </c>
      <c r="M13" s="146">
        <f>INDEX(CPAT_Results!$A:$AD,MATCH($H13&amp;"_"&amp;$C13,CPAT_Results!$F:$F,0),MATCH(M$5,CPAT_Results!$1:$1,0))</f>
        <v>0</v>
      </c>
      <c r="N13" s="146">
        <f>INDEX(CPAT_Results!$A:$AD,MATCH($H13&amp;"_"&amp;$C13,CPAT_Results!$F:$F,0),MATCH(N$5,CPAT_Results!$1:$1,0))</f>
        <v>0</v>
      </c>
      <c r="O13" s="146">
        <f>INDEX(CPAT_Results!$A:$AD,MATCH($H13&amp;"_"&amp;$C13,CPAT_Results!$F:$F,0),MATCH(O$5,CPAT_Results!$1:$1,0))</f>
        <v>0</v>
      </c>
      <c r="P13" s="146">
        <f>INDEX(CPAT_Results!$A:$AD,MATCH($H13&amp;"_"&amp;$C13,CPAT_Results!$F:$F,0),MATCH(P$5,CPAT_Results!$1:$1,0))</f>
        <v>0</v>
      </c>
      <c r="Q13" s="146">
        <f>INDEX(CPAT_Results!$A:$AD,MATCH($H13&amp;"_"&amp;$C13,CPAT_Results!$F:$F,0),MATCH(Q$5,CPAT_Results!$1:$1,0))</f>
        <v>0</v>
      </c>
      <c r="R13" s="146">
        <f>INDEX(CPAT_Results!$A:$AD,MATCH($H13&amp;"_"&amp;$C13,CPAT_Results!$F:$F,0),MATCH(R$5,CPAT_Results!$1:$1,0))</f>
        <v>4</v>
      </c>
      <c r="S13" s="146">
        <f>INDEX(CPAT_Results!$A:$AD,MATCH($H13&amp;"_"&amp;$C13,CPAT_Results!$F:$F,0),MATCH(S$5,CPAT_Results!$1:$1,0))</f>
        <v>10</v>
      </c>
      <c r="T13" s="146">
        <f>INDEX(CPAT_Results!$A:$AD,MATCH($H13&amp;"_"&amp;$C13,CPAT_Results!$F:$F,0),MATCH(T$5,CPAT_Results!$1:$1,0))</f>
        <v>23</v>
      </c>
      <c r="U13" s="146">
        <f>INDEX(CPAT_Results!$A:$AD,MATCH($H13&amp;"_"&amp;$C13,CPAT_Results!$F:$F,0),MATCH(U$5,CPAT_Results!$1:$1,0))</f>
        <v>39</v>
      </c>
      <c r="V13" s="146">
        <f>INDEX(CPAT_Results!$A:$AD,MATCH($H13&amp;"_"&amp;$C13,CPAT_Results!$F:$F,0),MATCH(V$5,CPAT_Results!$1:$1,0))</f>
        <v>56</v>
      </c>
      <c r="W13" s="146">
        <f>INDEX(CPAT_Results!$A:$AD,MATCH($H13&amp;"_"&amp;$C13,CPAT_Results!$F:$F,0),MATCH(W$5,CPAT_Results!$1:$1,0))</f>
        <v>72</v>
      </c>
      <c r="X13" s="146">
        <f>INDEX(CPAT_Results!$A:$AD,MATCH($H13&amp;"_"&amp;$C13,CPAT_Results!$F:$F,0),MATCH(X$5,CPAT_Results!$1:$1,0))</f>
        <v>86</v>
      </c>
      <c r="Y13" s="146">
        <f>INDEX(CPAT_Results!$A:$AD,MATCH($H13&amp;"_"&amp;$C13,CPAT_Results!$F:$F,0),MATCH(Y$5,CPAT_Results!$1:$1,0))</f>
        <v>94</v>
      </c>
      <c r="Z13" s="146">
        <f>INDEX(CPAT_Results!$A:$AD,MATCH($H13&amp;"_"&amp;$C13,CPAT_Results!$F:$F,0),MATCH(Z$5,CPAT_Results!$1:$1,0))</f>
        <v>97</v>
      </c>
      <c r="AA13" s="146">
        <f>INDEX(CPAT_Results!$A:$AD,MATCH($H13&amp;"_"&amp;$C13,CPAT_Results!$F:$F,0),MATCH(AA$5,CPAT_Results!$1:$1,0))</f>
        <v>79</v>
      </c>
      <c r="AB13" s="146">
        <f>INDEX(CPAT_Results!$A:$AD,MATCH($H13&amp;"_"&amp;$C13,CPAT_Results!$F:$F,0),MATCH(AB$5,CPAT_Results!$1:$1,0))</f>
        <v>54</v>
      </c>
      <c r="AC13" s="146">
        <f>INDEX(CPAT_Results!$A:$AD,MATCH($H13&amp;"_"&amp;$C13,CPAT_Results!$F:$F,0),MATCH(AC$5,CPAT_Results!$1:$1,0))</f>
        <v>18</v>
      </c>
      <c r="AD13" s="146">
        <f>INDEX(CPAT_Results!$A:$AD,MATCH($H13&amp;"_"&amp;$C13,CPAT_Results!$F:$F,0),MATCH(AD$5,CPAT_Results!$1:$1,0))</f>
        <v>-27</v>
      </c>
      <c r="AE13" s="146">
        <f>INDEX(CPAT_Results!$A:$AD,MATCH($H13&amp;"_"&amp;$C13,CPAT_Results!$F:$F,0),MATCH(AE$5,CPAT_Results!$1:$1,0))</f>
        <v>0</v>
      </c>
    </row>
    <row r="14" spans="1:35" x14ac:dyDescent="0.2">
      <c r="B14" s="112" t="s">
        <v>3272</v>
      </c>
      <c r="C14" s="112" t="s">
        <v>3256</v>
      </c>
      <c r="D14" s="112" t="s">
        <v>3273</v>
      </c>
      <c r="E14" s="112" t="s">
        <v>3258</v>
      </c>
      <c r="F14" s="112" t="s">
        <v>11679</v>
      </c>
      <c r="H14" s="116" t="s">
        <v>3274</v>
      </c>
      <c r="I14" s="5"/>
      <c r="J14" s="5"/>
      <c r="L14" s="146">
        <f>INDEX(CPAT_Results!$A:$AD,MATCH($H14&amp;"_"&amp;$C14,CPAT_Results!$F:$F,0),MATCH(L$5,CPAT_Results!$1:$1,0))</f>
        <v>0</v>
      </c>
      <c r="M14" s="146">
        <f>INDEX(CPAT_Results!$A:$AD,MATCH($H14&amp;"_"&amp;$C14,CPAT_Results!$F:$F,0),MATCH(M$5,CPAT_Results!$1:$1,0))</f>
        <v>0</v>
      </c>
      <c r="N14" s="146">
        <f>INDEX(CPAT_Results!$A:$AD,MATCH($H14&amp;"_"&amp;$C14,CPAT_Results!$F:$F,0),MATCH(N$5,CPAT_Results!$1:$1,0))</f>
        <v>0</v>
      </c>
      <c r="O14" s="146">
        <f>INDEX(CPAT_Results!$A:$AD,MATCH($H14&amp;"_"&amp;$C14,CPAT_Results!$F:$F,0),MATCH(O$5,CPAT_Results!$1:$1,0))</f>
        <v>0</v>
      </c>
      <c r="P14" s="146">
        <f>INDEX(CPAT_Results!$A:$AD,MATCH($H14&amp;"_"&amp;$C14,CPAT_Results!$F:$F,0),MATCH(P$5,CPAT_Results!$1:$1,0))</f>
        <v>132</v>
      </c>
      <c r="Q14" s="146">
        <f>INDEX(CPAT_Results!$A:$AD,MATCH($H14&amp;"_"&amp;$C14,CPAT_Results!$F:$F,0),MATCH(Q$5,CPAT_Results!$1:$1,0))</f>
        <v>110</v>
      </c>
      <c r="R14" s="146">
        <f>INDEX(CPAT_Results!$A:$AD,MATCH($H14&amp;"_"&amp;$C14,CPAT_Results!$F:$F,0),MATCH(R$5,CPAT_Results!$1:$1,0))</f>
        <v>102</v>
      </c>
      <c r="S14" s="146">
        <f>INDEX(CPAT_Results!$A:$AD,MATCH($H14&amp;"_"&amp;$C14,CPAT_Results!$F:$F,0),MATCH(S$5,CPAT_Results!$1:$1,0))</f>
        <v>93</v>
      </c>
      <c r="T14" s="146">
        <f>INDEX(CPAT_Results!$A:$AD,MATCH($H14&amp;"_"&amp;$C14,CPAT_Results!$F:$F,0),MATCH(T$5,CPAT_Results!$1:$1,0))</f>
        <v>86</v>
      </c>
      <c r="U14" s="146">
        <f>INDEX(CPAT_Results!$A:$AD,MATCH($H14&amp;"_"&amp;$C14,CPAT_Results!$F:$F,0),MATCH(U$5,CPAT_Results!$1:$1,0))</f>
        <v>79</v>
      </c>
      <c r="V14" s="146">
        <f>INDEX(CPAT_Results!$A:$AD,MATCH($H14&amp;"_"&amp;$C14,CPAT_Results!$F:$F,0),MATCH(V$5,CPAT_Results!$1:$1,0))</f>
        <v>80</v>
      </c>
      <c r="W14" s="146">
        <f>INDEX(CPAT_Results!$A:$AD,MATCH($H14&amp;"_"&amp;$C14,CPAT_Results!$F:$F,0),MATCH(W$5,CPAT_Results!$1:$1,0))</f>
        <v>85</v>
      </c>
      <c r="X14" s="146">
        <f>INDEX(CPAT_Results!$A:$AD,MATCH($H14&amp;"_"&amp;$C14,CPAT_Results!$F:$F,0),MATCH(X$5,CPAT_Results!$1:$1,0))</f>
        <v>89</v>
      </c>
      <c r="Y14" s="146">
        <f>INDEX(CPAT_Results!$A:$AD,MATCH($H14&amp;"_"&amp;$C14,CPAT_Results!$F:$F,0),MATCH(Y$5,CPAT_Results!$1:$1,0))</f>
        <v>93</v>
      </c>
      <c r="Z14" s="146">
        <f>INDEX(CPAT_Results!$A:$AD,MATCH($H14&amp;"_"&amp;$C14,CPAT_Results!$F:$F,0),MATCH(Z$5,CPAT_Results!$1:$1,0))</f>
        <v>97</v>
      </c>
      <c r="AA14" s="146">
        <f>INDEX(CPAT_Results!$A:$AD,MATCH($H14&amp;"_"&amp;$C14,CPAT_Results!$F:$F,0),MATCH(AA$5,CPAT_Results!$1:$1,0))</f>
        <v>100</v>
      </c>
      <c r="AB14" s="146">
        <f>INDEX(CPAT_Results!$A:$AD,MATCH($H14&amp;"_"&amp;$C14,CPAT_Results!$F:$F,0),MATCH(AB$5,CPAT_Results!$1:$1,0))</f>
        <v>104</v>
      </c>
      <c r="AC14" s="146">
        <f>INDEX(CPAT_Results!$A:$AD,MATCH($H14&amp;"_"&amp;$C14,CPAT_Results!$F:$F,0),MATCH(AC$5,CPAT_Results!$1:$1,0))</f>
        <v>107</v>
      </c>
      <c r="AD14" s="146">
        <f>INDEX(CPAT_Results!$A:$AD,MATCH($H14&amp;"_"&amp;$C14,CPAT_Results!$F:$F,0),MATCH(AD$5,CPAT_Results!$1:$1,0))</f>
        <v>110</v>
      </c>
      <c r="AE14" s="146">
        <f>INDEX(CPAT_Results!$A:$AD,MATCH($H14&amp;"_"&amp;$C14,CPAT_Results!$F:$F,0),MATCH(AE$5,CPAT_Results!$1:$1,0))</f>
        <v>0</v>
      </c>
    </row>
    <row r="15" spans="1:35" x14ac:dyDescent="0.2">
      <c r="B15" s="112" t="s">
        <v>3275</v>
      </c>
      <c r="C15" s="112" t="s">
        <v>3261</v>
      </c>
      <c r="D15" s="112" t="s">
        <v>3273</v>
      </c>
      <c r="E15" s="112" t="s">
        <v>3258</v>
      </c>
      <c r="F15" s="112" t="s">
        <v>11680</v>
      </c>
      <c r="H15" s="116" t="s">
        <v>3274</v>
      </c>
      <c r="I15" s="5"/>
      <c r="J15" s="5"/>
      <c r="L15" s="146">
        <f>INDEX(CPAT_Results!$A:$AD,MATCH($H15&amp;"_"&amp;$C15,CPAT_Results!$F:$F,0),MATCH(L$5,CPAT_Results!$1:$1,0))</f>
        <v>0</v>
      </c>
      <c r="M15" s="146">
        <f>INDEX(CPAT_Results!$A:$AD,MATCH($H15&amp;"_"&amp;$C15,CPAT_Results!$F:$F,0),MATCH(M$5,CPAT_Results!$1:$1,0))</f>
        <v>0</v>
      </c>
      <c r="N15" s="146">
        <f>INDEX(CPAT_Results!$A:$AD,MATCH($H15&amp;"_"&amp;$C15,CPAT_Results!$F:$F,0),MATCH(N$5,CPAT_Results!$1:$1,0))</f>
        <v>0</v>
      </c>
      <c r="O15" s="146">
        <f>INDEX(CPAT_Results!$A:$AD,MATCH($H15&amp;"_"&amp;$C15,CPAT_Results!$F:$F,0),MATCH(O$5,CPAT_Results!$1:$1,0))</f>
        <v>0</v>
      </c>
      <c r="P15" s="146">
        <f>INDEX(CPAT_Results!$A:$AD,MATCH($H15&amp;"_"&amp;$C15,CPAT_Results!$F:$F,0),MATCH(P$5,CPAT_Results!$1:$1,0))</f>
        <v>0</v>
      </c>
      <c r="Q15" s="146">
        <f>INDEX(CPAT_Results!$A:$AD,MATCH($H15&amp;"_"&amp;$C15,CPAT_Results!$F:$F,0),MATCH(Q$5,CPAT_Results!$1:$1,0))</f>
        <v>0</v>
      </c>
      <c r="R15" s="146">
        <f>INDEX(CPAT_Results!$A:$AD,MATCH($H15&amp;"_"&amp;$C15,CPAT_Results!$F:$F,0),MATCH(R$5,CPAT_Results!$1:$1,0))</f>
        <v>0</v>
      </c>
      <c r="S15" s="146">
        <f>INDEX(CPAT_Results!$A:$AD,MATCH($H15&amp;"_"&amp;$C15,CPAT_Results!$F:$F,0),MATCH(S$5,CPAT_Results!$1:$1,0))</f>
        <v>4</v>
      </c>
      <c r="T15" s="146">
        <f>INDEX(CPAT_Results!$A:$AD,MATCH($H15&amp;"_"&amp;$C15,CPAT_Results!$F:$F,0),MATCH(T$5,CPAT_Results!$1:$1,0))</f>
        <v>8</v>
      </c>
      <c r="U15" s="146">
        <f>INDEX(CPAT_Results!$A:$AD,MATCH($H15&amp;"_"&amp;$C15,CPAT_Results!$F:$F,0),MATCH(U$5,CPAT_Results!$1:$1,0))</f>
        <v>11</v>
      </c>
      <c r="V15" s="146">
        <f>INDEX(CPAT_Results!$A:$AD,MATCH($H15&amp;"_"&amp;$C15,CPAT_Results!$F:$F,0),MATCH(V$5,CPAT_Results!$1:$1,0))</f>
        <v>15</v>
      </c>
      <c r="W15" s="146">
        <f>INDEX(CPAT_Results!$A:$AD,MATCH($H15&amp;"_"&amp;$C15,CPAT_Results!$F:$F,0),MATCH(W$5,CPAT_Results!$1:$1,0))</f>
        <v>18</v>
      </c>
      <c r="X15" s="146">
        <f>INDEX(CPAT_Results!$A:$AD,MATCH($H15&amp;"_"&amp;$C15,CPAT_Results!$F:$F,0),MATCH(X$5,CPAT_Results!$1:$1,0))</f>
        <v>21</v>
      </c>
      <c r="Y15" s="146">
        <f>INDEX(CPAT_Results!$A:$AD,MATCH($H15&amp;"_"&amp;$C15,CPAT_Results!$F:$F,0),MATCH(Y$5,CPAT_Results!$1:$1,0))</f>
        <v>23</v>
      </c>
      <c r="Z15" s="146">
        <f>INDEX(CPAT_Results!$A:$AD,MATCH($H15&amp;"_"&amp;$C15,CPAT_Results!$F:$F,0),MATCH(Z$5,CPAT_Results!$1:$1,0))</f>
        <v>25</v>
      </c>
      <c r="AA15" s="146">
        <f>INDEX(CPAT_Results!$A:$AD,MATCH($H15&amp;"_"&amp;$C15,CPAT_Results!$F:$F,0),MATCH(AA$5,CPAT_Results!$1:$1,0))</f>
        <v>27</v>
      </c>
      <c r="AB15" s="146">
        <f>INDEX(CPAT_Results!$A:$AD,MATCH($H15&amp;"_"&amp;$C15,CPAT_Results!$F:$F,0),MATCH(AB$5,CPAT_Results!$1:$1,0))</f>
        <v>28</v>
      </c>
      <c r="AC15" s="146">
        <f>INDEX(CPAT_Results!$A:$AD,MATCH($H15&amp;"_"&amp;$C15,CPAT_Results!$F:$F,0),MATCH(AC$5,CPAT_Results!$1:$1,0))</f>
        <v>28</v>
      </c>
      <c r="AD15" s="146">
        <f>INDEX(CPAT_Results!$A:$AD,MATCH($H15&amp;"_"&amp;$C15,CPAT_Results!$F:$F,0),MATCH(AD$5,CPAT_Results!$1:$1,0))</f>
        <v>27</v>
      </c>
      <c r="AE15" s="146">
        <f>INDEX(CPAT_Results!$A:$AD,MATCH($H15&amp;"_"&amp;$C15,CPAT_Results!$F:$F,0),MATCH(AE$5,CPAT_Results!$1:$1,0))</f>
        <v>0</v>
      </c>
    </row>
    <row r="16" spans="1:35" x14ac:dyDescent="0.2">
      <c r="B16" s="112" t="s">
        <v>3276</v>
      </c>
      <c r="C16" s="112" t="s">
        <v>3263</v>
      </c>
      <c r="D16" s="112" t="s">
        <v>3273</v>
      </c>
      <c r="E16" s="112" t="s">
        <v>3258</v>
      </c>
      <c r="F16" s="112" t="s">
        <v>11681</v>
      </c>
      <c r="H16" s="116" t="s">
        <v>3274</v>
      </c>
      <c r="I16" s="5"/>
      <c r="J16" s="5"/>
      <c r="L16" s="146">
        <f>INDEX(CPAT_Results!$A:$AD,MATCH($H16&amp;"_"&amp;$C16,CPAT_Results!$F:$F,0),MATCH(L$5,CPAT_Results!$1:$1,0))</f>
        <v>0</v>
      </c>
      <c r="M16" s="146">
        <f>INDEX(CPAT_Results!$A:$AD,MATCH($H16&amp;"_"&amp;$C16,CPAT_Results!$F:$F,0),MATCH(M$5,CPAT_Results!$1:$1,0))</f>
        <v>0</v>
      </c>
      <c r="N16" s="146">
        <f>INDEX(CPAT_Results!$A:$AD,MATCH($H16&amp;"_"&amp;$C16,CPAT_Results!$F:$F,0),MATCH(N$5,CPAT_Results!$1:$1,0))</f>
        <v>0</v>
      </c>
      <c r="O16" s="146">
        <f>INDEX(CPAT_Results!$A:$AD,MATCH($H16&amp;"_"&amp;$C16,CPAT_Results!$F:$F,0),MATCH(O$5,CPAT_Results!$1:$1,0))</f>
        <v>0</v>
      </c>
      <c r="P16" s="146">
        <f>INDEX(CPAT_Results!$A:$AD,MATCH($H16&amp;"_"&amp;$C16,CPAT_Results!$F:$F,0),MATCH(P$5,CPAT_Results!$1:$1,0))</f>
        <v>36</v>
      </c>
      <c r="Q16" s="146">
        <f>INDEX(CPAT_Results!$A:$AD,MATCH($H16&amp;"_"&amp;$C16,CPAT_Results!$F:$F,0),MATCH(Q$5,CPAT_Results!$1:$1,0))</f>
        <v>13</v>
      </c>
      <c r="R16" s="146">
        <f>INDEX(CPAT_Results!$A:$AD,MATCH($H16&amp;"_"&amp;$C16,CPAT_Results!$F:$F,0),MATCH(R$5,CPAT_Results!$1:$1,0))</f>
        <v>17</v>
      </c>
      <c r="S16" s="146">
        <f>INDEX(CPAT_Results!$A:$AD,MATCH($H16&amp;"_"&amp;$C16,CPAT_Results!$F:$F,0),MATCH(S$5,CPAT_Results!$1:$1,0))</f>
        <v>28</v>
      </c>
      <c r="T16" s="146">
        <f>INDEX(CPAT_Results!$A:$AD,MATCH($H16&amp;"_"&amp;$C16,CPAT_Results!$F:$F,0),MATCH(T$5,CPAT_Results!$1:$1,0))</f>
        <v>38</v>
      </c>
      <c r="U16" s="146">
        <f>INDEX(CPAT_Results!$A:$AD,MATCH($H16&amp;"_"&amp;$C16,CPAT_Results!$F:$F,0),MATCH(U$5,CPAT_Results!$1:$1,0))</f>
        <v>51</v>
      </c>
      <c r="V16" s="146">
        <f>INDEX(CPAT_Results!$A:$AD,MATCH($H16&amp;"_"&amp;$C16,CPAT_Results!$F:$F,0),MATCH(V$5,CPAT_Results!$1:$1,0))</f>
        <v>71</v>
      </c>
      <c r="W16" s="146">
        <f>INDEX(CPAT_Results!$A:$AD,MATCH($H16&amp;"_"&amp;$C16,CPAT_Results!$F:$F,0),MATCH(W$5,CPAT_Results!$1:$1,0))</f>
        <v>91</v>
      </c>
      <c r="X16" s="146">
        <f>INDEX(CPAT_Results!$A:$AD,MATCH($H16&amp;"_"&amp;$C16,CPAT_Results!$F:$F,0),MATCH(X$5,CPAT_Results!$1:$1,0))</f>
        <v>112</v>
      </c>
      <c r="Y16" s="146">
        <f>INDEX(CPAT_Results!$A:$AD,MATCH($H16&amp;"_"&amp;$C16,CPAT_Results!$F:$F,0),MATCH(Y$5,CPAT_Results!$1:$1,0))</f>
        <v>134</v>
      </c>
      <c r="Z16" s="146">
        <f>INDEX(CPAT_Results!$A:$AD,MATCH($H16&amp;"_"&amp;$C16,CPAT_Results!$F:$F,0),MATCH(Z$5,CPAT_Results!$1:$1,0))</f>
        <v>157</v>
      </c>
      <c r="AA16" s="146">
        <f>INDEX(CPAT_Results!$A:$AD,MATCH($H16&amp;"_"&amp;$C16,CPAT_Results!$F:$F,0),MATCH(AA$5,CPAT_Results!$1:$1,0))</f>
        <v>181</v>
      </c>
      <c r="AB16" s="146">
        <f>INDEX(CPAT_Results!$A:$AD,MATCH($H16&amp;"_"&amp;$C16,CPAT_Results!$F:$F,0),MATCH(AB$5,CPAT_Results!$1:$1,0))</f>
        <v>206</v>
      </c>
      <c r="AC16" s="146">
        <f>INDEX(CPAT_Results!$A:$AD,MATCH($H16&amp;"_"&amp;$C16,CPAT_Results!$F:$F,0),MATCH(AC$5,CPAT_Results!$1:$1,0))</f>
        <v>233</v>
      </c>
      <c r="AD16" s="146">
        <f>INDEX(CPAT_Results!$A:$AD,MATCH($H16&amp;"_"&amp;$C16,CPAT_Results!$F:$F,0),MATCH(AD$5,CPAT_Results!$1:$1,0))</f>
        <v>262</v>
      </c>
      <c r="AE16" s="146">
        <f>INDEX(CPAT_Results!$A:$AD,MATCH($H16&amp;"_"&amp;$C16,CPAT_Results!$F:$F,0),MATCH(AE$5,CPAT_Results!$1:$1,0))</f>
        <v>0</v>
      </c>
    </row>
    <row r="17" spans="2:31" x14ac:dyDescent="0.2">
      <c r="B17" s="112" t="s">
        <v>3277</v>
      </c>
      <c r="C17" s="112" t="s">
        <v>3265</v>
      </c>
      <c r="D17" s="112" t="s">
        <v>3273</v>
      </c>
      <c r="E17" s="112" t="s">
        <v>3258</v>
      </c>
      <c r="F17" s="112" t="s">
        <v>11682</v>
      </c>
      <c r="H17" s="116" t="s">
        <v>3274</v>
      </c>
      <c r="I17" s="5"/>
      <c r="J17" s="5"/>
      <c r="L17" s="146">
        <f>INDEX(CPAT_Results!$A:$AD,MATCH($H17&amp;"_"&amp;$C17,CPAT_Results!$F:$F,0),MATCH(L$5,CPAT_Results!$1:$1,0))</f>
        <v>0</v>
      </c>
      <c r="M17" s="146">
        <f>INDEX(CPAT_Results!$A:$AD,MATCH($H17&amp;"_"&amp;$C17,CPAT_Results!$F:$F,0),MATCH(M$5,CPAT_Results!$1:$1,0))</f>
        <v>0</v>
      </c>
      <c r="N17" s="146">
        <f>INDEX(CPAT_Results!$A:$AD,MATCH($H17&amp;"_"&amp;$C17,CPAT_Results!$F:$F,0),MATCH(N$5,CPAT_Results!$1:$1,0))</f>
        <v>0</v>
      </c>
      <c r="O17" s="146">
        <f>INDEX(CPAT_Results!$A:$AD,MATCH($H17&amp;"_"&amp;$C17,CPAT_Results!$F:$F,0),MATCH(O$5,CPAT_Results!$1:$1,0))</f>
        <v>0</v>
      </c>
      <c r="P17" s="146">
        <f>INDEX(CPAT_Results!$A:$AD,MATCH($H17&amp;"_"&amp;$C17,CPAT_Results!$F:$F,0),MATCH(P$5,CPAT_Results!$1:$1,0))</f>
        <v>0</v>
      </c>
      <c r="Q17" s="146">
        <f>INDEX(CPAT_Results!$A:$AD,MATCH($H17&amp;"_"&amp;$C17,CPAT_Results!$F:$F,0),MATCH(Q$5,CPAT_Results!$1:$1,0))</f>
        <v>0</v>
      </c>
      <c r="R17" s="146">
        <f>INDEX(CPAT_Results!$A:$AD,MATCH($H17&amp;"_"&amp;$C17,CPAT_Results!$F:$F,0),MATCH(R$5,CPAT_Results!$1:$1,0))</f>
        <v>0</v>
      </c>
      <c r="S17" s="146">
        <f>INDEX(CPAT_Results!$A:$AD,MATCH($H17&amp;"_"&amp;$C17,CPAT_Results!$F:$F,0),MATCH(S$5,CPAT_Results!$1:$1,0))</f>
        <v>1</v>
      </c>
      <c r="T17" s="146">
        <f>INDEX(CPAT_Results!$A:$AD,MATCH($H17&amp;"_"&amp;$C17,CPAT_Results!$F:$F,0),MATCH(T$5,CPAT_Results!$1:$1,0))</f>
        <v>2</v>
      </c>
      <c r="U17" s="146">
        <f>INDEX(CPAT_Results!$A:$AD,MATCH($H17&amp;"_"&amp;$C17,CPAT_Results!$F:$F,0),MATCH(U$5,CPAT_Results!$1:$1,0))</f>
        <v>3</v>
      </c>
      <c r="V17" s="146">
        <f>INDEX(CPAT_Results!$A:$AD,MATCH($H17&amp;"_"&amp;$C17,CPAT_Results!$F:$F,0),MATCH(V$5,CPAT_Results!$1:$1,0))</f>
        <v>5</v>
      </c>
      <c r="W17" s="146">
        <f>INDEX(CPAT_Results!$A:$AD,MATCH($H17&amp;"_"&amp;$C17,CPAT_Results!$F:$F,0),MATCH(W$5,CPAT_Results!$1:$1,0))</f>
        <v>6</v>
      </c>
      <c r="X17" s="146">
        <f>INDEX(CPAT_Results!$A:$AD,MATCH($H17&amp;"_"&amp;$C17,CPAT_Results!$F:$F,0),MATCH(X$5,CPAT_Results!$1:$1,0))</f>
        <v>7</v>
      </c>
      <c r="Y17" s="146">
        <f>INDEX(CPAT_Results!$A:$AD,MATCH($H17&amp;"_"&amp;$C17,CPAT_Results!$F:$F,0),MATCH(Y$5,CPAT_Results!$1:$1,0))</f>
        <v>8</v>
      </c>
      <c r="Z17" s="146">
        <f>INDEX(CPAT_Results!$A:$AD,MATCH($H17&amp;"_"&amp;$C17,CPAT_Results!$F:$F,0),MATCH(Z$5,CPAT_Results!$1:$1,0))</f>
        <v>8</v>
      </c>
      <c r="AA17" s="146">
        <f>INDEX(CPAT_Results!$A:$AD,MATCH($H17&amp;"_"&amp;$C17,CPAT_Results!$F:$F,0),MATCH(AA$5,CPAT_Results!$1:$1,0))</f>
        <v>6</v>
      </c>
      <c r="AB17" s="146">
        <f>INDEX(CPAT_Results!$A:$AD,MATCH($H17&amp;"_"&amp;$C17,CPAT_Results!$F:$F,0),MATCH(AB$5,CPAT_Results!$1:$1,0))</f>
        <v>4</v>
      </c>
      <c r="AC17" s="146">
        <f>INDEX(CPAT_Results!$A:$AD,MATCH($H17&amp;"_"&amp;$C17,CPAT_Results!$F:$F,0),MATCH(AC$5,CPAT_Results!$1:$1,0))</f>
        <v>1</v>
      </c>
      <c r="AD17" s="146">
        <f>INDEX(CPAT_Results!$A:$AD,MATCH($H17&amp;"_"&amp;$C17,CPAT_Results!$F:$F,0),MATCH(AD$5,CPAT_Results!$1:$1,0))</f>
        <v>-3</v>
      </c>
      <c r="AE17" s="146">
        <f>INDEX(CPAT_Results!$A:$AD,MATCH($H17&amp;"_"&amp;$C17,CPAT_Results!$F:$F,0),MATCH(AE$5,CPAT_Results!$1:$1,0))</f>
        <v>0</v>
      </c>
    </row>
    <row r="18" spans="2:31" x14ac:dyDescent="0.2">
      <c r="B18" s="112" t="s">
        <v>3278</v>
      </c>
      <c r="C18" s="112" t="s">
        <v>3256</v>
      </c>
      <c r="D18" s="112" t="s">
        <v>3279</v>
      </c>
      <c r="E18" s="112" t="s">
        <v>3280</v>
      </c>
      <c r="F18" s="112" t="s">
        <v>11679</v>
      </c>
      <c r="H18" s="116" t="s">
        <v>3281</v>
      </c>
      <c r="I18" s="5"/>
      <c r="J18" s="5"/>
      <c r="L18" s="146">
        <f>INDEX(CPAT_Results!$A:$AD,MATCH($H18&amp;"_"&amp;$C18,CPAT_Results!$F:$F,0),MATCH(L$5,CPAT_Results!$1:$1,0))</f>
        <v>0</v>
      </c>
      <c r="M18" s="146">
        <f>INDEX(CPAT_Results!$A:$AD,MATCH($H18&amp;"_"&amp;$C18,CPAT_Results!$F:$F,0),MATCH(M$5,CPAT_Results!$1:$1,0))</f>
        <v>-2</v>
      </c>
      <c r="N18" s="146">
        <f>INDEX(CPAT_Results!$A:$AD,MATCH($H18&amp;"_"&amp;$C18,CPAT_Results!$F:$F,0),MATCH(N$5,CPAT_Results!$1:$1,0))</f>
        <v>-4</v>
      </c>
      <c r="O18" s="146">
        <f>INDEX(CPAT_Results!$A:$AD,MATCH($H18&amp;"_"&amp;$C18,CPAT_Results!$F:$F,0),MATCH(O$5,CPAT_Results!$1:$1,0))</f>
        <v>-5</v>
      </c>
      <c r="P18" s="146">
        <f>INDEX(CPAT_Results!$A:$AD,MATCH($H18&amp;"_"&amp;$C18,CPAT_Results!$F:$F,0),MATCH(P$5,CPAT_Results!$1:$1,0))</f>
        <v>2338</v>
      </c>
      <c r="Q18" s="146">
        <f>INDEX(CPAT_Results!$A:$AD,MATCH($H18&amp;"_"&amp;$C18,CPAT_Results!$F:$F,0),MATCH(Q$5,CPAT_Results!$1:$1,0))</f>
        <v>4309</v>
      </c>
      <c r="R18" s="146">
        <f>INDEX(CPAT_Results!$A:$AD,MATCH($H18&amp;"_"&amp;$C18,CPAT_Results!$F:$F,0),MATCH(R$5,CPAT_Results!$1:$1,0))</f>
        <v>6141</v>
      </c>
      <c r="S18" s="146">
        <f>INDEX(CPAT_Results!$A:$AD,MATCH($H18&amp;"_"&amp;$C18,CPAT_Results!$F:$F,0),MATCH(S$5,CPAT_Results!$1:$1,0))</f>
        <v>7851</v>
      </c>
      <c r="T18" s="146">
        <f>INDEX(CPAT_Results!$A:$AD,MATCH($H18&amp;"_"&amp;$C18,CPAT_Results!$F:$F,0),MATCH(T$5,CPAT_Results!$1:$1,0))</f>
        <v>9471</v>
      </c>
      <c r="U18" s="146">
        <f>INDEX(CPAT_Results!$A:$AD,MATCH($H18&amp;"_"&amp;$C18,CPAT_Results!$F:$F,0),MATCH(U$5,CPAT_Results!$1:$1,0))</f>
        <v>11026</v>
      </c>
      <c r="V18" s="146">
        <f>INDEX(CPAT_Results!$A:$AD,MATCH($H18&amp;"_"&amp;$C18,CPAT_Results!$F:$F,0),MATCH(V$5,CPAT_Results!$1:$1,0))</f>
        <v>12626</v>
      </c>
      <c r="W18" s="146">
        <f>INDEX(CPAT_Results!$A:$AD,MATCH($H18&amp;"_"&amp;$C18,CPAT_Results!$F:$F,0),MATCH(W$5,CPAT_Results!$1:$1,0))</f>
        <v>14317</v>
      </c>
      <c r="X18" s="146">
        <f>INDEX(CPAT_Results!$A:$AD,MATCH($H18&amp;"_"&amp;$C18,CPAT_Results!$F:$F,0),MATCH(X$5,CPAT_Results!$1:$1,0))</f>
        <v>16099</v>
      </c>
      <c r="Y18" s="146">
        <f>INDEX(CPAT_Results!$A:$AD,MATCH($H18&amp;"_"&amp;$C18,CPAT_Results!$F:$F,0),MATCH(Y$5,CPAT_Results!$1:$1,0))</f>
        <v>17966</v>
      </c>
      <c r="Z18" s="146">
        <f>INDEX(CPAT_Results!$A:$AD,MATCH($H18&amp;"_"&amp;$C18,CPAT_Results!$F:$F,0),MATCH(Z$5,CPAT_Results!$1:$1,0))</f>
        <v>19916</v>
      </c>
      <c r="AA18" s="146">
        <f>INDEX(CPAT_Results!$A:$AD,MATCH($H18&amp;"_"&amp;$C18,CPAT_Results!$F:$F,0),MATCH(AA$5,CPAT_Results!$1:$1,0))</f>
        <v>21941</v>
      </c>
      <c r="AB18" s="146">
        <f>INDEX(CPAT_Results!$A:$AD,MATCH($H18&amp;"_"&amp;$C18,CPAT_Results!$F:$F,0),MATCH(AB$5,CPAT_Results!$1:$1,0))</f>
        <v>24042</v>
      </c>
      <c r="AC18" s="146">
        <f>INDEX(CPAT_Results!$A:$AD,MATCH($H18&amp;"_"&amp;$C18,CPAT_Results!$F:$F,0),MATCH(AC$5,CPAT_Results!$1:$1,0))</f>
        <v>26214</v>
      </c>
      <c r="AD18" s="146">
        <f>INDEX(CPAT_Results!$A:$AD,MATCH($H18&amp;"_"&amp;$C18,CPAT_Results!$F:$F,0),MATCH(AD$5,CPAT_Results!$1:$1,0))</f>
        <v>28453</v>
      </c>
      <c r="AE18" s="146">
        <f>INDEX(CPAT_Results!$A:$AD,MATCH($H18&amp;"_"&amp;$C18,CPAT_Results!$F:$F,0),MATCH(AE$5,CPAT_Results!$1:$1,0))</f>
        <v>0</v>
      </c>
    </row>
    <row r="19" spans="2:31" x14ac:dyDescent="0.2">
      <c r="B19" s="112" t="s">
        <v>3282</v>
      </c>
      <c r="C19" s="112" t="s">
        <v>3261</v>
      </c>
      <c r="D19" s="112" t="s">
        <v>3279</v>
      </c>
      <c r="E19" s="112" t="s">
        <v>3280</v>
      </c>
      <c r="F19" s="112" t="s">
        <v>11680</v>
      </c>
      <c r="H19" s="116" t="s">
        <v>3281</v>
      </c>
      <c r="I19" s="5"/>
      <c r="J19" s="5"/>
      <c r="L19" s="146">
        <f>INDEX(CPAT_Results!$A:$AD,MATCH($H19&amp;"_"&amp;$C19,CPAT_Results!$F:$F,0),MATCH(L$5,CPAT_Results!$1:$1,0))</f>
        <v>0</v>
      </c>
      <c r="M19" s="146">
        <f>INDEX(CPAT_Results!$A:$AD,MATCH($H19&amp;"_"&amp;$C19,CPAT_Results!$F:$F,0),MATCH(M$5,CPAT_Results!$1:$1,0))</f>
        <v>0</v>
      </c>
      <c r="N19" s="146">
        <f>INDEX(CPAT_Results!$A:$AD,MATCH($H19&amp;"_"&amp;$C19,CPAT_Results!$F:$F,0),MATCH(N$5,CPAT_Results!$1:$1,0))</f>
        <v>0</v>
      </c>
      <c r="O19" s="146">
        <f>INDEX(CPAT_Results!$A:$AD,MATCH($H19&amp;"_"&amp;$C19,CPAT_Results!$F:$F,0),MATCH(O$5,CPAT_Results!$1:$1,0))</f>
        <v>0</v>
      </c>
      <c r="P19" s="146">
        <f>INDEX(CPAT_Results!$A:$AD,MATCH($H19&amp;"_"&amp;$C19,CPAT_Results!$F:$F,0),MATCH(P$5,CPAT_Results!$1:$1,0))</f>
        <v>0</v>
      </c>
      <c r="Q19" s="146">
        <f>INDEX(CPAT_Results!$A:$AD,MATCH($H19&amp;"_"&amp;$C19,CPAT_Results!$F:$F,0),MATCH(Q$5,CPAT_Results!$1:$1,0))</f>
        <v>0</v>
      </c>
      <c r="R19" s="146">
        <f>INDEX(CPAT_Results!$A:$AD,MATCH($H19&amp;"_"&amp;$C19,CPAT_Results!$F:$F,0),MATCH(R$5,CPAT_Results!$1:$1,0))</f>
        <v>0</v>
      </c>
      <c r="S19" s="146">
        <f>INDEX(CPAT_Results!$A:$AD,MATCH($H19&amp;"_"&amp;$C19,CPAT_Results!$F:$F,0),MATCH(S$5,CPAT_Results!$1:$1,0))</f>
        <v>86</v>
      </c>
      <c r="T19" s="146">
        <f>INDEX(CPAT_Results!$A:$AD,MATCH($H19&amp;"_"&amp;$C19,CPAT_Results!$F:$F,0),MATCH(T$5,CPAT_Results!$1:$1,0))</f>
        <v>240</v>
      </c>
      <c r="U19" s="146">
        <f>INDEX(CPAT_Results!$A:$AD,MATCH($H19&amp;"_"&amp;$C19,CPAT_Results!$F:$F,0),MATCH(U$5,CPAT_Results!$1:$1,0))</f>
        <v>467</v>
      </c>
      <c r="V19" s="146">
        <f>INDEX(CPAT_Results!$A:$AD,MATCH($H19&amp;"_"&amp;$C19,CPAT_Results!$F:$F,0),MATCH(V$5,CPAT_Results!$1:$1,0))</f>
        <v>757</v>
      </c>
      <c r="W19" s="146">
        <f>INDEX(CPAT_Results!$A:$AD,MATCH($H19&amp;"_"&amp;$C19,CPAT_Results!$F:$F,0),MATCH(W$5,CPAT_Results!$1:$1,0))</f>
        <v>1111</v>
      </c>
      <c r="X19" s="146">
        <f>INDEX(CPAT_Results!$A:$AD,MATCH($H19&amp;"_"&amp;$C19,CPAT_Results!$F:$F,0),MATCH(X$5,CPAT_Results!$1:$1,0))</f>
        <v>1521</v>
      </c>
      <c r="Y19" s="146">
        <f>INDEX(CPAT_Results!$A:$AD,MATCH($H19&amp;"_"&amp;$C19,CPAT_Results!$F:$F,0),MATCH(Y$5,CPAT_Results!$1:$1,0))</f>
        <v>1982</v>
      </c>
      <c r="Z19" s="146">
        <f>INDEX(CPAT_Results!$A:$AD,MATCH($H19&amp;"_"&amp;$C19,CPAT_Results!$F:$F,0),MATCH(Z$5,CPAT_Results!$1:$1,0))</f>
        <v>2482</v>
      </c>
      <c r="AA19" s="146">
        <f>INDEX(CPAT_Results!$A:$AD,MATCH($H19&amp;"_"&amp;$C19,CPAT_Results!$F:$F,0),MATCH(AA$5,CPAT_Results!$1:$1,0))</f>
        <v>3011</v>
      </c>
      <c r="AB19" s="146">
        <f>INDEX(CPAT_Results!$A:$AD,MATCH($H19&amp;"_"&amp;$C19,CPAT_Results!$F:$F,0),MATCH(AB$5,CPAT_Results!$1:$1,0))</f>
        <v>3553</v>
      </c>
      <c r="AC19" s="146">
        <f>INDEX(CPAT_Results!$A:$AD,MATCH($H19&amp;"_"&amp;$C19,CPAT_Results!$F:$F,0),MATCH(AC$5,CPAT_Results!$1:$1,0))</f>
        <v>4091</v>
      </c>
      <c r="AD19" s="146">
        <f>INDEX(CPAT_Results!$A:$AD,MATCH($H19&amp;"_"&amp;$C19,CPAT_Results!$F:$F,0),MATCH(AD$5,CPAT_Results!$1:$1,0))</f>
        <v>4612</v>
      </c>
      <c r="AE19" s="146">
        <f>INDEX(CPAT_Results!$A:$AD,MATCH($H19&amp;"_"&amp;$C19,CPAT_Results!$F:$F,0),MATCH(AE$5,CPAT_Results!$1:$1,0))</f>
        <v>0</v>
      </c>
    </row>
    <row r="20" spans="2:31" x14ac:dyDescent="0.2">
      <c r="B20" s="112" t="s">
        <v>3283</v>
      </c>
      <c r="C20" s="112" t="s">
        <v>3263</v>
      </c>
      <c r="D20" s="112" t="s">
        <v>3279</v>
      </c>
      <c r="E20" s="112" t="s">
        <v>3280</v>
      </c>
      <c r="F20" s="112" t="s">
        <v>11681</v>
      </c>
      <c r="H20" s="116" t="s">
        <v>3281</v>
      </c>
      <c r="I20" s="5"/>
      <c r="J20" s="5"/>
      <c r="L20" s="146">
        <f>INDEX(CPAT_Results!$A:$AD,MATCH($H20&amp;"_"&amp;$C20,CPAT_Results!$F:$F,0),MATCH(L$5,CPAT_Results!$1:$1,0))</f>
        <v>0</v>
      </c>
      <c r="M20" s="146">
        <f>INDEX(CPAT_Results!$A:$AD,MATCH($H20&amp;"_"&amp;$C20,CPAT_Results!$F:$F,0),MATCH(M$5,CPAT_Results!$1:$1,0))</f>
        <v>2</v>
      </c>
      <c r="N20" s="146">
        <f>INDEX(CPAT_Results!$A:$AD,MATCH($H20&amp;"_"&amp;$C20,CPAT_Results!$F:$F,0),MATCH(N$5,CPAT_Results!$1:$1,0))</f>
        <v>4</v>
      </c>
      <c r="O20" s="146">
        <f>INDEX(CPAT_Results!$A:$AD,MATCH($H20&amp;"_"&amp;$C20,CPAT_Results!$F:$F,0),MATCH(O$5,CPAT_Results!$1:$1,0))</f>
        <v>5</v>
      </c>
      <c r="P20" s="146">
        <f>INDEX(CPAT_Results!$A:$AD,MATCH($H20&amp;"_"&amp;$C20,CPAT_Results!$F:$F,0),MATCH(P$5,CPAT_Results!$1:$1,0))</f>
        <v>659</v>
      </c>
      <c r="Q20" s="146">
        <f>INDEX(CPAT_Results!$A:$AD,MATCH($H20&amp;"_"&amp;$C20,CPAT_Results!$F:$F,0),MATCH(Q$5,CPAT_Results!$1:$1,0))</f>
        <v>907</v>
      </c>
      <c r="R20" s="146">
        <f>INDEX(CPAT_Results!$A:$AD,MATCH($H20&amp;"_"&amp;$C20,CPAT_Results!$F:$F,0),MATCH(R$5,CPAT_Results!$1:$1,0))</f>
        <v>1239</v>
      </c>
      <c r="S20" s="146">
        <f>INDEX(CPAT_Results!$A:$AD,MATCH($H20&amp;"_"&amp;$C20,CPAT_Results!$F:$F,0),MATCH(S$5,CPAT_Results!$1:$1,0))</f>
        <v>1785</v>
      </c>
      <c r="T20" s="146">
        <f>INDEX(CPAT_Results!$A:$AD,MATCH($H20&amp;"_"&amp;$C20,CPAT_Results!$F:$F,0),MATCH(T$5,CPAT_Results!$1:$1,0))</f>
        <v>2549</v>
      </c>
      <c r="U20" s="146">
        <f>INDEX(CPAT_Results!$A:$AD,MATCH($H20&amp;"_"&amp;$C20,CPAT_Results!$F:$F,0),MATCH(U$5,CPAT_Results!$1:$1,0))</f>
        <v>3587</v>
      </c>
      <c r="V20" s="146">
        <f>INDEX(CPAT_Results!$A:$AD,MATCH($H20&amp;"_"&amp;$C20,CPAT_Results!$F:$F,0),MATCH(V$5,CPAT_Results!$1:$1,0))</f>
        <v>5015</v>
      </c>
      <c r="W20" s="146">
        <f>INDEX(CPAT_Results!$A:$AD,MATCH($H20&amp;"_"&amp;$C20,CPAT_Results!$F:$F,0),MATCH(W$5,CPAT_Results!$1:$1,0))</f>
        <v>6844</v>
      </c>
      <c r="X20" s="146">
        <f>INDEX(CPAT_Results!$A:$AD,MATCH($H20&amp;"_"&amp;$C20,CPAT_Results!$F:$F,0),MATCH(X$5,CPAT_Results!$1:$1,0))</f>
        <v>9095</v>
      </c>
      <c r="Y20" s="146">
        <f>INDEX(CPAT_Results!$A:$AD,MATCH($H20&amp;"_"&amp;$C20,CPAT_Results!$F:$F,0),MATCH(Y$5,CPAT_Results!$1:$1,0))</f>
        <v>11788</v>
      </c>
      <c r="Z20" s="146">
        <f>INDEX(CPAT_Results!$A:$AD,MATCH($H20&amp;"_"&amp;$C20,CPAT_Results!$F:$F,0),MATCH(Z$5,CPAT_Results!$1:$1,0))</f>
        <v>14946</v>
      </c>
      <c r="AA20" s="146">
        <f>INDEX(CPAT_Results!$A:$AD,MATCH($H20&amp;"_"&amp;$C20,CPAT_Results!$F:$F,0),MATCH(AA$5,CPAT_Results!$1:$1,0))</f>
        <v>18596</v>
      </c>
      <c r="AB20" s="146">
        <f>INDEX(CPAT_Results!$A:$AD,MATCH($H20&amp;"_"&amp;$C20,CPAT_Results!$F:$F,0),MATCH(AB$5,CPAT_Results!$1:$1,0))</f>
        <v>22765</v>
      </c>
      <c r="AC20" s="146">
        <f>INDEX(CPAT_Results!$A:$AD,MATCH($H20&amp;"_"&amp;$C20,CPAT_Results!$F:$F,0),MATCH(AC$5,CPAT_Results!$1:$1,0))</f>
        <v>27481</v>
      </c>
      <c r="AD20" s="146">
        <f>INDEX(CPAT_Results!$A:$AD,MATCH($H20&amp;"_"&amp;$C20,CPAT_Results!$F:$F,0),MATCH(AD$5,CPAT_Results!$1:$1,0))</f>
        <v>32783</v>
      </c>
      <c r="AE20" s="146">
        <f>INDEX(CPAT_Results!$A:$AD,MATCH($H20&amp;"_"&amp;$C20,CPAT_Results!$F:$F,0),MATCH(AE$5,CPAT_Results!$1:$1,0))</f>
        <v>0</v>
      </c>
    </row>
    <row r="21" spans="2:31" x14ac:dyDescent="0.2">
      <c r="B21" s="112" t="s">
        <v>3284</v>
      </c>
      <c r="C21" s="112" t="s">
        <v>3265</v>
      </c>
      <c r="D21" s="112" t="s">
        <v>3279</v>
      </c>
      <c r="E21" s="112" t="s">
        <v>3280</v>
      </c>
      <c r="F21" s="112" t="s">
        <v>11682</v>
      </c>
      <c r="H21" s="116" t="s">
        <v>3281</v>
      </c>
      <c r="I21" s="5"/>
      <c r="J21" s="5"/>
      <c r="L21" s="146">
        <f>INDEX(CPAT_Results!$A:$AD,MATCH($H21&amp;"_"&amp;$C21,CPAT_Results!$F:$F,0),MATCH(L$5,CPAT_Results!$1:$1,0))</f>
        <v>0</v>
      </c>
      <c r="M21" s="146">
        <f>INDEX(CPAT_Results!$A:$AD,MATCH($H21&amp;"_"&amp;$C21,CPAT_Results!$F:$F,0),MATCH(M$5,CPAT_Results!$1:$1,0))</f>
        <v>0</v>
      </c>
      <c r="N21" s="146">
        <f>INDEX(CPAT_Results!$A:$AD,MATCH($H21&amp;"_"&amp;$C21,CPAT_Results!$F:$F,0),MATCH(N$5,CPAT_Results!$1:$1,0))</f>
        <v>0</v>
      </c>
      <c r="O21" s="146">
        <f>INDEX(CPAT_Results!$A:$AD,MATCH($H21&amp;"_"&amp;$C21,CPAT_Results!$F:$F,0),MATCH(O$5,CPAT_Results!$1:$1,0))</f>
        <v>0</v>
      </c>
      <c r="P21" s="146">
        <f>INDEX(CPAT_Results!$A:$AD,MATCH($H21&amp;"_"&amp;$C21,CPAT_Results!$F:$F,0),MATCH(P$5,CPAT_Results!$1:$1,0))</f>
        <v>0</v>
      </c>
      <c r="Q21" s="146">
        <f>INDEX(CPAT_Results!$A:$AD,MATCH($H21&amp;"_"&amp;$C21,CPAT_Results!$F:$F,0),MATCH(Q$5,CPAT_Results!$1:$1,0))</f>
        <v>0</v>
      </c>
      <c r="R21" s="146">
        <f>INDEX(CPAT_Results!$A:$AD,MATCH($H21&amp;"_"&amp;$C21,CPAT_Results!$F:$F,0),MATCH(R$5,CPAT_Results!$1:$1,0))</f>
        <v>6</v>
      </c>
      <c r="S21" s="146">
        <f>INDEX(CPAT_Results!$A:$AD,MATCH($H21&amp;"_"&amp;$C21,CPAT_Results!$F:$F,0),MATCH(S$5,CPAT_Results!$1:$1,0))</f>
        <v>23</v>
      </c>
      <c r="T21" s="146">
        <f>INDEX(CPAT_Results!$A:$AD,MATCH($H21&amp;"_"&amp;$C21,CPAT_Results!$F:$F,0),MATCH(T$5,CPAT_Results!$1:$1,0))</f>
        <v>61</v>
      </c>
      <c r="U21" s="146">
        <f>INDEX(CPAT_Results!$A:$AD,MATCH($H21&amp;"_"&amp;$C21,CPAT_Results!$F:$F,0),MATCH(U$5,CPAT_Results!$1:$1,0))</f>
        <v>124</v>
      </c>
      <c r="V21" s="146">
        <f>INDEX(CPAT_Results!$A:$AD,MATCH($H21&amp;"_"&amp;$C21,CPAT_Results!$F:$F,0),MATCH(V$5,CPAT_Results!$1:$1,0))</f>
        <v>215</v>
      </c>
      <c r="W21" s="146">
        <f>INDEX(CPAT_Results!$A:$AD,MATCH($H21&amp;"_"&amp;$C21,CPAT_Results!$F:$F,0),MATCH(W$5,CPAT_Results!$1:$1,0))</f>
        <v>332</v>
      </c>
      <c r="X21" s="146">
        <f>INDEX(CPAT_Results!$A:$AD,MATCH($H21&amp;"_"&amp;$C21,CPAT_Results!$F:$F,0),MATCH(X$5,CPAT_Results!$1:$1,0))</f>
        <v>471</v>
      </c>
      <c r="Y21" s="146">
        <f>INDEX(CPAT_Results!$A:$AD,MATCH($H21&amp;"_"&amp;$C21,CPAT_Results!$F:$F,0),MATCH(Y$5,CPAT_Results!$1:$1,0))</f>
        <v>624</v>
      </c>
      <c r="Z21" s="146">
        <f>INDEX(CPAT_Results!$A:$AD,MATCH($H21&amp;"_"&amp;$C21,CPAT_Results!$F:$F,0),MATCH(Z$5,CPAT_Results!$1:$1,0))</f>
        <v>782</v>
      </c>
      <c r="AA21" s="146">
        <f>INDEX(CPAT_Results!$A:$AD,MATCH($H21&amp;"_"&amp;$C21,CPAT_Results!$F:$F,0),MATCH(AA$5,CPAT_Results!$1:$1,0))</f>
        <v>909</v>
      </c>
      <c r="AB21" s="146">
        <f>INDEX(CPAT_Results!$A:$AD,MATCH($H21&amp;"_"&amp;$C21,CPAT_Results!$F:$F,0),MATCH(AB$5,CPAT_Results!$1:$1,0))</f>
        <v>995</v>
      </c>
      <c r="AC21" s="146">
        <f>INDEX(CPAT_Results!$A:$AD,MATCH($H21&amp;"_"&amp;$C21,CPAT_Results!$F:$F,0),MATCH(AC$5,CPAT_Results!$1:$1,0))</f>
        <v>1023</v>
      </c>
      <c r="AD21" s="146">
        <f>INDEX(CPAT_Results!$A:$AD,MATCH($H21&amp;"_"&amp;$C21,CPAT_Results!$F:$F,0),MATCH(AD$5,CPAT_Results!$1:$1,0))</f>
        <v>977</v>
      </c>
      <c r="AE21" s="146">
        <f>INDEX(CPAT_Results!$A:$AD,MATCH($H21&amp;"_"&amp;$C21,CPAT_Results!$F:$F,0),MATCH(AE$5,CPAT_Results!$1:$1,0))</f>
        <v>0</v>
      </c>
    </row>
    <row r="22" spans="2:31" x14ac:dyDescent="0.2">
      <c r="B22" s="112" t="s">
        <v>3285</v>
      </c>
      <c r="C22" s="112" t="s">
        <v>3256</v>
      </c>
      <c r="D22" s="112" t="s">
        <v>3286</v>
      </c>
      <c r="E22" s="112" t="s">
        <v>3258</v>
      </c>
      <c r="F22" s="112" t="s">
        <v>11679</v>
      </c>
      <c r="H22" s="116" t="s">
        <v>3287</v>
      </c>
      <c r="I22" s="5"/>
      <c r="J22" s="5"/>
      <c r="L22" s="146">
        <f>INDEX(CPAT_Results!$A:$AD,MATCH($H22&amp;"_"&amp;$C22,CPAT_Results!$F:$F,0),MATCH(L$5,CPAT_Results!$1:$1,0))</f>
        <v>64271.06</v>
      </c>
      <c r="M22" s="146">
        <f>INDEX(CPAT_Results!$A:$AD,MATCH($H22&amp;"_"&amp;$C22,CPAT_Results!$F:$F,0),MATCH(M$5,CPAT_Results!$1:$1,0))</f>
        <v>64979.96</v>
      </c>
      <c r="N22" s="146">
        <f>INDEX(CPAT_Results!$A:$AD,MATCH($H22&amp;"_"&amp;$C22,CPAT_Results!$F:$F,0),MATCH(N$5,CPAT_Results!$1:$1,0))</f>
        <v>68421.149999999994</v>
      </c>
      <c r="O22" s="146">
        <f>INDEX(CPAT_Results!$A:$AD,MATCH($H22&amp;"_"&amp;$C22,CPAT_Results!$F:$F,0),MATCH(O$5,CPAT_Results!$1:$1,0))</f>
        <v>71670.740000000005</v>
      </c>
      <c r="P22" s="146">
        <f>INDEX(CPAT_Results!$A:$AD,MATCH($H22&amp;"_"&amp;$C22,CPAT_Results!$F:$F,0),MATCH(P$5,CPAT_Results!$1:$1,0))</f>
        <v>72909.149999999994</v>
      </c>
      <c r="Q22" s="146">
        <f>INDEX(CPAT_Results!$A:$AD,MATCH($H22&amp;"_"&amp;$C22,CPAT_Results!$F:$F,0),MATCH(Q$5,CPAT_Results!$1:$1,0))</f>
        <v>74388.63</v>
      </c>
      <c r="R22" s="146">
        <f>INDEX(CPAT_Results!$A:$AD,MATCH($H22&amp;"_"&amp;$C22,CPAT_Results!$F:$F,0),MATCH(R$5,CPAT_Results!$1:$1,0))</f>
        <v>76016.42</v>
      </c>
      <c r="S22" s="146">
        <f>INDEX(CPAT_Results!$A:$AD,MATCH($H22&amp;"_"&amp;$C22,CPAT_Results!$F:$F,0),MATCH(S$5,CPAT_Results!$1:$1,0))</f>
        <v>77603.44</v>
      </c>
      <c r="T22" s="146">
        <f>INDEX(CPAT_Results!$A:$AD,MATCH($H22&amp;"_"&amp;$C22,CPAT_Results!$F:$F,0),MATCH(T$5,CPAT_Results!$1:$1,0))</f>
        <v>79239.92</v>
      </c>
      <c r="U22" s="146">
        <f>INDEX(CPAT_Results!$A:$AD,MATCH($H22&amp;"_"&amp;$C22,CPAT_Results!$F:$F,0),MATCH(U$5,CPAT_Results!$1:$1,0))</f>
        <v>80986.69</v>
      </c>
      <c r="V22" s="146">
        <f>INDEX(CPAT_Results!$A:$AD,MATCH($H22&amp;"_"&amp;$C22,CPAT_Results!$F:$F,0),MATCH(V$5,CPAT_Results!$1:$1,0))</f>
        <v>82813.039999999994</v>
      </c>
      <c r="W22" s="146">
        <f>INDEX(CPAT_Results!$A:$AD,MATCH($H22&amp;"_"&amp;$C22,CPAT_Results!$F:$F,0),MATCH(W$5,CPAT_Results!$1:$1,0))</f>
        <v>84720.65</v>
      </c>
      <c r="X22" s="146">
        <f>INDEX(CPAT_Results!$A:$AD,MATCH($H22&amp;"_"&amp;$C22,CPAT_Results!$F:$F,0),MATCH(X$5,CPAT_Results!$1:$1,0))</f>
        <v>86706.47</v>
      </c>
      <c r="Y22" s="146">
        <f>INDEX(CPAT_Results!$A:$AD,MATCH($H22&amp;"_"&amp;$C22,CPAT_Results!$F:$F,0),MATCH(Y$5,CPAT_Results!$1:$1,0))</f>
        <v>88769.93</v>
      </c>
      <c r="Z22" s="146">
        <f>INDEX(CPAT_Results!$A:$AD,MATCH($H22&amp;"_"&amp;$C22,CPAT_Results!$F:$F,0),MATCH(Z$5,CPAT_Results!$1:$1,0))</f>
        <v>90911.14</v>
      </c>
      <c r="AA22" s="146">
        <f>INDEX(CPAT_Results!$A:$AD,MATCH($H22&amp;"_"&amp;$C22,CPAT_Results!$F:$F,0),MATCH(AA$5,CPAT_Results!$1:$1,0))</f>
        <v>93138.28</v>
      </c>
      <c r="AB22" s="146">
        <f>INDEX(CPAT_Results!$A:$AD,MATCH($H22&amp;"_"&amp;$C22,CPAT_Results!$F:$F,0),MATCH(AB$5,CPAT_Results!$1:$1,0))</f>
        <v>95450.880000000005</v>
      </c>
      <c r="AC22" s="146">
        <f>INDEX(CPAT_Results!$A:$AD,MATCH($H22&amp;"_"&amp;$C22,CPAT_Results!$F:$F,0),MATCH(AC$5,CPAT_Results!$1:$1,0))</f>
        <v>97853.2</v>
      </c>
      <c r="AD22" s="146">
        <f>INDEX(CPAT_Results!$A:$AD,MATCH($H22&amp;"_"&amp;$C22,CPAT_Results!$F:$F,0),MATCH(AD$5,CPAT_Results!$1:$1,0))</f>
        <v>100344.64</v>
      </c>
      <c r="AE22" s="146">
        <f>INDEX(CPAT_Results!$A:$AD,MATCH($H22&amp;"_"&amp;$C22,CPAT_Results!$F:$F,0),MATCH(AE$5,CPAT_Results!$1:$1,0))</f>
        <v>0</v>
      </c>
    </row>
    <row r="23" spans="2:31" x14ac:dyDescent="0.2">
      <c r="B23" s="112" t="s">
        <v>3288</v>
      </c>
      <c r="C23" s="112" t="s">
        <v>3261</v>
      </c>
      <c r="D23" s="112" t="s">
        <v>3286</v>
      </c>
      <c r="E23" s="112" t="s">
        <v>3258</v>
      </c>
      <c r="F23" s="112" t="s">
        <v>11680</v>
      </c>
      <c r="H23" s="116" t="s">
        <v>3287</v>
      </c>
      <c r="I23" s="5"/>
      <c r="J23" s="5"/>
      <c r="L23" s="146">
        <f>INDEX(CPAT_Results!$A:$AD,MATCH($H23&amp;"_"&amp;$C23,CPAT_Results!$F:$F,0),MATCH(L$5,CPAT_Results!$1:$1,0))</f>
        <v>64271.06</v>
      </c>
      <c r="M23" s="146">
        <f>INDEX(CPAT_Results!$A:$AD,MATCH($H23&amp;"_"&amp;$C23,CPAT_Results!$F:$F,0),MATCH(M$5,CPAT_Results!$1:$1,0))</f>
        <v>64979.96</v>
      </c>
      <c r="N23" s="146">
        <f>INDEX(CPAT_Results!$A:$AD,MATCH($H23&amp;"_"&amp;$C23,CPAT_Results!$F:$F,0),MATCH(N$5,CPAT_Results!$1:$1,0))</f>
        <v>68421.149999999994</v>
      </c>
      <c r="O23" s="146">
        <f>INDEX(CPAT_Results!$A:$AD,MATCH($H23&amp;"_"&amp;$C23,CPAT_Results!$F:$F,0),MATCH(O$5,CPAT_Results!$1:$1,0))</f>
        <v>71670.740000000005</v>
      </c>
      <c r="P23" s="146">
        <f>INDEX(CPAT_Results!$A:$AD,MATCH($H23&amp;"_"&amp;$C23,CPAT_Results!$F:$F,0),MATCH(P$5,CPAT_Results!$1:$1,0))</f>
        <v>72909.149999999994</v>
      </c>
      <c r="Q23" s="146">
        <f>INDEX(CPAT_Results!$A:$AD,MATCH($H23&amp;"_"&amp;$C23,CPAT_Results!$F:$F,0),MATCH(Q$5,CPAT_Results!$1:$1,0))</f>
        <v>74388.63</v>
      </c>
      <c r="R23" s="146">
        <f>INDEX(CPAT_Results!$A:$AD,MATCH($H23&amp;"_"&amp;$C23,CPAT_Results!$F:$F,0),MATCH(R$5,CPAT_Results!$1:$1,0))</f>
        <v>76016.42</v>
      </c>
      <c r="S23" s="146">
        <f>INDEX(CPAT_Results!$A:$AD,MATCH($H23&amp;"_"&amp;$C23,CPAT_Results!$F:$F,0),MATCH(S$5,CPAT_Results!$1:$1,0))</f>
        <v>77603.44</v>
      </c>
      <c r="T23" s="146">
        <f>INDEX(CPAT_Results!$A:$AD,MATCH($H23&amp;"_"&amp;$C23,CPAT_Results!$F:$F,0),MATCH(T$5,CPAT_Results!$1:$1,0))</f>
        <v>79239.92</v>
      </c>
      <c r="U23" s="146">
        <f>INDEX(CPAT_Results!$A:$AD,MATCH($H23&amp;"_"&amp;$C23,CPAT_Results!$F:$F,0),MATCH(U$5,CPAT_Results!$1:$1,0))</f>
        <v>80986.69</v>
      </c>
      <c r="V23" s="146">
        <f>INDEX(CPAT_Results!$A:$AD,MATCH($H23&amp;"_"&amp;$C23,CPAT_Results!$F:$F,0),MATCH(V$5,CPAT_Results!$1:$1,0))</f>
        <v>82813.039999999994</v>
      </c>
      <c r="W23" s="146">
        <f>INDEX(CPAT_Results!$A:$AD,MATCH($H23&amp;"_"&amp;$C23,CPAT_Results!$F:$F,0),MATCH(W$5,CPAT_Results!$1:$1,0))</f>
        <v>84720.65</v>
      </c>
      <c r="X23" s="146">
        <f>INDEX(CPAT_Results!$A:$AD,MATCH($H23&amp;"_"&amp;$C23,CPAT_Results!$F:$F,0),MATCH(X$5,CPAT_Results!$1:$1,0))</f>
        <v>86706.47</v>
      </c>
      <c r="Y23" s="146">
        <f>INDEX(CPAT_Results!$A:$AD,MATCH($H23&amp;"_"&amp;$C23,CPAT_Results!$F:$F,0),MATCH(Y$5,CPAT_Results!$1:$1,0))</f>
        <v>88769.93</v>
      </c>
      <c r="Z23" s="146">
        <f>INDEX(CPAT_Results!$A:$AD,MATCH($H23&amp;"_"&amp;$C23,CPAT_Results!$F:$F,0),MATCH(Z$5,CPAT_Results!$1:$1,0))</f>
        <v>90911.14</v>
      </c>
      <c r="AA23" s="146">
        <f>INDEX(CPAT_Results!$A:$AD,MATCH($H23&amp;"_"&amp;$C23,CPAT_Results!$F:$F,0),MATCH(AA$5,CPAT_Results!$1:$1,0))</f>
        <v>93138.28</v>
      </c>
      <c r="AB23" s="146">
        <f>INDEX(CPAT_Results!$A:$AD,MATCH($H23&amp;"_"&amp;$C23,CPAT_Results!$F:$F,0),MATCH(AB$5,CPAT_Results!$1:$1,0))</f>
        <v>95450.880000000005</v>
      </c>
      <c r="AC23" s="146">
        <f>INDEX(CPAT_Results!$A:$AD,MATCH($H23&amp;"_"&amp;$C23,CPAT_Results!$F:$F,0),MATCH(AC$5,CPAT_Results!$1:$1,0))</f>
        <v>97853.2</v>
      </c>
      <c r="AD23" s="146">
        <f>INDEX(CPAT_Results!$A:$AD,MATCH($H23&amp;"_"&amp;$C23,CPAT_Results!$F:$F,0),MATCH(AD$5,CPAT_Results!$1:$1,0))</f>
        <v>100344.64</v>
      </c>
      <c r="AE23" s="146">
        <f>INDEX(CPAT_Results!$A:$AD,MATCH($H23&amp;"_"&amp;$C23,CPAT_Results!$F:$F,0),MATCH(AE$5,CPAT_Results!$1:$1,0))</f>
        <v>0</v>
      </c>
    </row>
    <row r="24" spans="2:31" x14ac:dyDescent="0.2">
      <c r="B24" s="112" t="s">
        <v>3289</v>
      </c>
      <c r="C24" s="112" t="s">
        <v>3263</v>
      </c>
      <c r="D24" s="112" t="s">
        <v>3286</v>
      </c>
      <c r="E24" s="112" t="s">
        <v>3258</v>
      </c>
      <c r="F24" s="112" t="s">
        <v>11681</v>
      </c>
      <c r="H24" s="116" t="s">
        <v>3287</v>
      </c>
      <c r="I24" s="5"/>
      <c r="J24" s="5"/>
      <c r="L24" s="146">
        <f>INDEX(CPAT_Results!$A:$AD,MATCH($H24&amp;"_"&amp;$C24,CPAT_Results!$F:$F,0),MATCH(L$5,CPAT_Results!$1:$1,0))</f>
        <v>64271.06</v>
      </c>
      <c r="M24" s="146">
        <f>INDEX(CPAT_Results!$A:$AD,MATCH($H24&amp;"_"&amp;$C24,CPAT_Results!$F:$F,0),MATCH(M$5,CPAT_Results!$1:$1,0))</f>
        <v>64979.96</v>
      </c>
      <c r="N24" s="146">
        <f>INDEX(CPAT_Results!$A:$AD,MATCH($H24&amp;"_"&amp;$C24,CPAT_Results!$F:$F,0),MATCH(N$5,CPAT_Results!$1:$1,0))</f>
        <v>68421.149999999994</v>
      </c>
      <c r="O24" s="146">
        <f>INDEX(CPAT_Results!$A:$AD,MATCH($H24&amp;"_"&amp;$C24,CPAT_Results!$F:$F,0),MATCH(O$5,CPAT_Results!$1:$1,0))</f>
        <v>71670.740000000005</v>
      </c>
      <c r="P24" s="146">
        <f>INDEX(CPAT_Results!$A:$AD,MATCH($H24&amp;"_"&amp;$C24,CPAT_Results!$F:$F,0),MATCH(P$5,CPAT_Results!$1:$1,0))</f>
        <v>72909.149999999994</v>
      </c>
      <c r="Q24" s="146">
        <f>INDEX(CPAT_Results!$A:$AD,MATCH($H24&amp;"_"&amp;$C24,CPAT_Results!$F:$F,0),MATCH(Q$5,CPAT_Results!$1:$1,0))</f>
        <v>74388.63</v>
      </c>
      <c r="R24" s="146">
        <f>INDEX(CPAT_Results!$A:$AD,MATCH($H24&amp;"_"&amp;$C24,CPAT_Results!$F:$F,0),MATCH(R$5,CPAT_Results!$1:$1,0))</f>
        <v>76016.42</v>
      </c>
      <c r="S24" s="146">
        <f>INDEX(CPAT_Results!$A:$AD,MATCH($H24&amp;"_"&amp;$C24,CPAT_Results!$F:$F,0),MATCH(S$5,CPAT_Results!$1:$1,0))</f>
        <v>77603.44</v>
      </c>
      <c r="T24" s="146">
        <f>INDEX(CPAT_Results!$A:$AD,MATCH($H24&amp;"_"&amp;$C24,CPAT_Results!$F:$F,0),MATCH(T$5,CPAT_Results!$1:$1,0))</f>
        <v>79239.92</v>
      </c>
      <c r="U24" s="146">
        <f>INDEX(CPAT_Results!$A:$AD,MATCH($H24&amp;"_"&amp;$C24,CPAT_Results!$F:$F,0),MATCH(U$5,CPAT_Results!$1:$1,0))</f>
        <v>80986.69</v>
      </c>
      <c r="V24" s="146">
        <f>INDEX(CPAT_Results!$A:$AD,MATCH($H24&amp;"_"&amp;$C24,CPAT_Results!$F:$F,0),MATCH(V$5,CPAT_Results!$1:$1,0))</f>
        <v>82813.039999999994</v>
      </c>
      <c r="W24" s="146">
        <f>INDEX(CPAT_Results!$A:$AD,MATCH($H24&amp;"_"&amp;$C24,CPAT_Results!$F:$F,0),MATCH(W$5,CPAT_Results!$1:$1,0))</f>
        <v>84720.65</v>
      </c>
      <c r="X24" s="146">
        <f>INDEX(CPAT_Results!$A:$AD,MATCH($H24&amp;"_"&amp;$C24,CPAT_Results!$F:$F,0),MATCH(X$5,CPAT_Results!$1:$1,0))</f>
        <v>86706.47</v>
      </c>
      <c r="Y24" s="146">
        <f>INDEX(CPAT_Results!$A:$AD,MATCH($H24&amp;"_"&amp;$C24,CPAT_Results!$F:$F,0),MATCH(Y$5,CPAT_Results!$1:$1,0))</f>
        <v>88769.93</v>
      </c>
      <c r="Z24" s="146">
        <f>INDEX(CPAT_Results!$A:$AD,MATCH($H24&amp;"_"&amp;$C24,CPAT_Results!$F:$F,0),MATCH(Z$5,CPAT_Results!$1:$1,0))</f>
        <v>90911.14</v>
      </c>
      <c r="AA24" s="146">
        <f>INDEX(CPAT_Results!$A:$AD,MATCH($H24&amp;"_"&amp;$C24,CPAT_Results!$F:$F,0),MATCH(AA$5,CPAT_Results!$1:$1,0))</f>
        <v>93138.28</v>
      </c>
      <c r="AB24" s="146">
        <f>INDEX(CPAT_Results!$A:$AD,MATCH($H24&amp;"_"&amp;$C24,CPAT_Results!$F:$F,0),MATCH(AB$5,CPAT_Results!$1:$1,0))</f>
        <v>95450.880000000005</v>
      </c>
      <c r="AC24" s="146">
        <f>INDEX(CPAT_Results!$A:$AD,MATCH($H24&amp;"_"&amp;$C24,CPAT_Results!$F:$F,0),MATCH(AC$5,CPAT_Results!$1:$1,0))</f>
        <v>97853.2</v>
      </c>
      <c r="AD24" s="146">
        <f>INDEX(CPAT_Results!$A:$AD,MATCH($H24&amp;"_"&amp;$C24,CPAT_Results!$F:$F,0),MATCH(AD$5,CPAT_Results!$1:$1,0))</f>
        <v>100344.64</v>
      </c>
      <c r="AE24" s="146">
        <f>INDEX(CPAT_Results!$A:$AD,MATCH($H24&amp;"_"&amp;$C24,CPAT_Results!$F:$F,0),MATCH(AE$5,CPAT_Results!$1:$1,0))</f>
        <v>0</v>
      </c>
    </row>
    <row r="25" spans="2:31" x14ac:dyDescent="0.2">
      <c r="B25" s="112" t="s">
        <v>3290</v>
      </c>
      <c r="C25" s="112" t="s">
        <v>3265</v>
      </c>
      <c r="D25" s="112" t="s">
        <v>3286</v>
      </c>
      <c r="E25" s="112" t="s">
        <v>3258</v>
      </c>
      <c r="F25" s="112" t="s">
        <v>11682</v>
      </c>
      <c r="H25" s="116" t="s">
        <v>3287</v>
      </c>
      <c r="I25" s="5"/>
      <c r="J25" s="5"/>
      <c r="L25" s="146">
        <f>INDEX(CPAT_Results!$A:$AD,MATCH($H25&amp;"_"&amp;$C25,CPAT_Results!$F:$F,0),MATCH(L$5,CPAT_Results!$1:$1,0))</f>
        <v>64271.06</v>
      </c>
      <c r="M25" s="146">
        <f>INDEX(CPAT_Results!$A:$AD,MATCH($H25&amp;"_"&amp;$C25,CPAT_Results!$F:$F,0),MATCH(M$5,CPAT_Results!$1:$1,0))</f>
        <v>64975.82</v>
      </c>
      <c r="N25" s="146">
        <f>INDEX(CPAT_Results!$A:$AD,MATCH($H25&amp;"_"&amp;$C25,CPAT_Results!$F:$F,0),MATCH(N$5,CPAT_Results!$1:$1,0))</f>
        <v>68417.05</v>
      </c>
      <c r="O25" s="146">
        <f>INDEX(CPAT_Results!$A:$AD,MATCH($H25&amp;"_"&amp;$C25,CPAT_Results!$F:$F,0),MATCH(O$5,CPAT_Results!$1:$1,0))</f>
        <v>71666.720000000001</v>
      </c>
      <c r="P25" s="146">
        <f>INDEX(CPAT_Results!$A:$AD,MATCH($H25&amp;"_"&amp;$C25,CPAT_Results!$F:$F,0),MATCH(P$5,CPAT_Results!$1:$1,0))</f>
        <v>72894.960000000006</v>
      </c>
      <c r="Q25" s="146">
        <f>INDEX(CPAT_Results!$A:$AD,MATCH($H25&amp;"_"&amp;$C25,CPAT_Results!$F:$F,0),MATCH(Q$5,CPAT_Results!$1:$1,0))</f>
        <v>74371.66</v>
      </c>
      <c r="R25" s="146">
        <f>INDEX(CPAT_Results!$A:$AD,MATCH($H25&amp;"_"&amp;$C25,CPAT_Results!$F:$F,0),MATCH(R$5,CPAT_Results!$1:$1,0))</f>
        <v>75999.94</v>
      </c>
      <c r="S25" s="146">
        <f>INDEX(CPAT_Results!$A:$AD,MATCH($H25&amp;"_"&amp;$C25,CPAT_Results!$F:$F,0),MATCH(S$5,CPAT_Results!$1:$1,0))</f>
        <v>77591.28</v>
      </c>
      <c r="T25" s="146">
        <f>INDEX(CPAT_Results!$A:$AD,MATCH($H25&amp;"_"&amp;$C25,CPAT_Results!$F:$F,0),MATCH(T$5,CPAT_Results!$1:$1,0))</f>
        <v>79228.039999999994</v>
      </c>
      <c r="U25" s="146">
        <f>INDEX(CPAT_Results!$A:$AD,MATCH($H25&amp;"_"&amp;$C25,CPAT_Results!$F:$F,0),MATCH(U$5,CPAT_Results!$1:$1,0))</f>
        <v>80975.05</v>
      </c>
      <c r="V25" s="146">
        <f>INDEX(CPAT_Results!$A:$AD,MATCH($H25&amp;"_"&amp;$C25,CPAT_Results!$F:$F,0),MATCH(V$5,CPAT_Results!$1:$1,0))</f>
        <v>82801.66</v>
      </c>
      <c r="W25" s="146">
        <f>INDEX(CPAT_Results!$A:$AD,MATCH($H25&amp;"_"&amp;$C25,CPAT_Results!$F:$F,0),MATCH(W$5,CPAT_Results!$1:$1,0))</f>
        <v>84709.53</v>
      </c>
      <c r="X25" s="146">
        <f>INDEX(CPAT_Results!$A:$AD,MATCH($H25&amp;"_"&amp;$C25,CPAT_Results!$F:$F,0),MATCH(X$5,CPAT_Results!$1:$1,0))</f>
        <v>86695.6</v>
      </c>
      <c r="Y25" s="146">
        <f>INDEX(CPAT_Results!$A:$AD,MATCH($H25&amp;"_"&amp;$C25,CPAT_Results!$F:$F,0),MATCH(Y$5,CPAT_Results!$1:$1,0))</f>
        <v>88759.31</v>
      </c>
      <c r="Z25" s="146">
        <f>INDEX(CPAT_Results!$A:$AD,MATCH($H25&amp;"_"&amp;$C25,CPAT_Results!$F:$F,0),MATCH(Z$5,CPAT_Results!$1:$1,0))</f>
        <v>90900.75</v>
      </c>
      <c r="AA25" s="146">
        <f>INDEX(CPAT_Results!$A:$AD,MATCH($H25&amp;"_"&amp;$C25,CPAT_Results!$F:$F,0),MATCH(AA$5,CPAT_Results!$1:$1,0))</f>
        <v>93128.13</v>
      </c>
      <c r="AB25" s="146">
        <f>INDEX(CPAT_Results!$A:$AD,MATCH($H25&amp;"_"&amp;$C25,CPAT_Results!$F:$F,0),MATCH(AB$5,CPAT_Results!$1:$1,0))</f>
        <v>95440.97</v>
      </c>
      <c r="AC25" s="146">
        <f>INDEX(CPAT_Results!$A:$AD,MATCH($H25&amp;"_"&amp;$C25,CPAT_Results!$F:$F,0),MATCH(AC$5,CPAT_Results!$1:$1,0))</f>
        <v>97843.51</v>
      </c>
      <c r="AD25" s="146">
        <f>INDEX(CPAT_Results!$A:$AD,MATCH($H25&amp;"_"&amp;$C25,CPAT_Results!$F:$F,0),MATCH(AD$5,CPAT_Results!$1:$1,0))</f>
        <v>100335.18</v>
      </c>
      <c r="AE25" s="146">
        <f>INDEX(CPAT_Results!$A:$AD,MATCH($H25&amp;"_"&amp;$C25,CPAT_Results!$F:$F,0),MATCH(AE$5,CPAT_Results!$1:$1,0))</f>
        <v>0</v>
      </c>
    </row>
    <row r="26" spans="2:31" x14ac:dyDescent="0.2">
      <c r="B26" s="112" t="s">
        <v>3291</v>
      </c>
      <c r="C26" s="112" t="s">
        <v>3256</v>
      </c>
      <c r="D26" s="112" t="s">
        <v>3292</v>
      </c>
      <c r="E26" s="112" t="s">
        <v>2065</v>
      </c>
      <c r="F26" s="112" t="s">
        <v>11679</v>
      </c>
      <c r="H26" s="116" t="s">
        <v>3293</v>
      </c>
      <c r="I26" s="5"/>
      <c r="J26" s="5"/>
      <c r="L26" s="146">
        <f>INDEX(CPAT_Results!$A:$AD,MATCH($H26&amp;"_"&amp;$C26,CPAT_Results!$F:$F,0),MATCH(L$5,CPAT_Results!$1:$1,0))</f>
        <v>210.916</v>
      </c>
      <c r="M26" s="146">
        <f>INDEX(CPAT_Results!$A:$AD,MATCH($H26&amp;"_"&amp;$C26,CPAT_Results!$F:$F,0),MATCH(M$5,CPAT_Results!$1:$1,0))</f>
        <v>207.072</v>
      </c>
      <c r="N26" s="146">
        <f>INDEX(CPAT_Results!$A:$AD,MATCH($H26&amp;"_"&amp;$C26,CPAT_Results!$F:$F,0),MATCH(N$5,CPAT_Results!$1:$1,0))</f>
        <v>233.316</v>
      </c>
      <c r="O26" s="146">
        <f>INDEX(CPAT_Results!$A:$AD,MATCH($H26&amp;"_"&amp;$C26,CPAT_Results!$F:$F,0),MATCH(O$5,CPAT_Results!$1:$1,0))</f>
        <v>242.24799999999999</v>
      </c>
      <c r="P26" s="146">
        <f>INDEX(CPAT_Results!$A:$AD,MATCH($H26&amp;"_"&amp;$C26,CPAT_Results!$F:$F,0),MATCH(P$5,CPAT_Results!$1:$1,0))</f>
        <v>244.22</v>
      </c>
      <c r="Q26" s="146">
        <f>INDEX(CPAT_Results!$A:$AD,MATCH($H26&amp;"_"&amp;$C26,CPAT_Results!$F:$F,0),MATCH(Q$5,CPAT_Results!$1:$1,0))</f>
        <v>250.51400000000001</v>
      </c>
      <c r="R26" s="146">
        <f>INDEX(CPAT_Results!$A:$AD,MATCH($H26&amp;"_"&amp;$C26,CPAT_Results!$F:$F,0),MATCH(R$5,CPAT_Results!$1:$1,0))</f>
        <v>260.67700000000002</v>
      </c>
      <c r="S26" s="146">
        <f>INDEX(CPAT_Results!$A:$AD,MATCH($H26&amp;"_"&amp;$C26,CPAT_Results!$F:$F,0),MATCH(S$5,CPAT_Results!$1:$1,0))</f>
        <v>271.51400000000001</v>
      </c>
      <c r="T26" s="146">
        <f>INDEX(CPAT_Results!$A:$AD,MATCH($H26&amp;"_"&amp;$C26,CPAT_Results!$F:$F,0),MATCH(T$5,CPAT_Results!$1:$1,0))</f>
        <v>282.90699999999998</v>
      </c>
      <c r="U26" s="146">
        <f>INDEX(CPAT_Results!$A:$AD,MATCH($H26&amp;"_"&amp;$C26,CPAT_Results!$F:$F,0),MATCH(U$5,CPAT_Results!$1:$1,0))</f>
        <v>295.63499999999999</v>
      </c>
      <c r="V26" s="146">
        <f>INDEX(CPAT_Results!$A:$AD,MATCH($H26&amp;"_"&amp;$C26,CPAT_Results!$F:$F,0),MATCH(V$5,CPAT_Results!$1:$1,0))</f>
        <v>309.23700000000002</v>
      </c>
      <c r="W26" s="146">
        <f>INDEX(CPAT_Results!$A:$AD,MATCH($H26&amp;"_"&amp;$C26,CPAT_Results!$F:$F,0),MATCH(W$5,CPAT_Results!$1:$1,0))</f>
        <v>323.88299999999998</v>
      </c>
      <c r="X26" s="146">
        <f>INDEX(CPAT_Results!$A:$AD,MATCH($H26&amp;"_"&amp;$C26,CPAT_Results!$F:$F,0),MATCH(X$5,CPAT_Results!$1:$1,0))</f>
        <v>339.46899999999999</v>
      </c>
      <c r="Y26" s="146">
        <f>INDEX(CPAT_Results!$A:$AD,MATCH($H26&amp;"_"&amp;$C26,CPAT_Results!$F:$F,0),MATCH(Y$5,CPAT_Results!$1:$1,0))</f>
        <v>356.10300000000001</v>
      </c>
      <c r="Z26" s="146">
        <f>INDEX(CPAT_Results!$A:$AD,MATCH($H26&amp;"_"&amp;$C26,CPAT_Results!$F:$F,0),MATCH(Z$5,CPAT_Results!$1:$1,0))</f>
        <v>373.74799999999999</v>
      </c>
      <c r="AA26" s="146">
        <f>INDEX(CPAT_Results!$A:$AD,MATCH($H26&amp;"_"&amp;$C26,CPAT_Results!$F:$F,0),MATCH(AA$5,CPAT_Results!$1:$1,0))</f>
        <v>392.60300000000001</v>
      </c>
      <c r="AB26" s="146">
        <f>INDEX(CPAT_Results!$A:$AD,MATCH($H26&amp;"_"&amp;$C26,CPAT_Results!$F:$F,0),MATCH(AB$5,CPAT_Results!$1:$1,0))</f>
        <v>412.76</v>
      </c>
      <c r="AC26" s="146">
        <f>INDEX(CPAT_Results!$A:$AD,MATCH($H26&amp;"_"&amp;$C26,CPAT_Results!$F:$F,0),MATCH(AC$5,CPAT_Results!$1:$1,0))</f>
        <v>434.37099999999998</v>
      </c>
      <c r="AD26" s="146">
        <f>INDEX(CPAT_Results!$A:$AD,MATCH($H26&amp;"_"&amp;$C26,CPAT_Results!$F:$F,0),MATCH(AD$5,CPAT_Results!$1:$1,0))</f>
        <v>457.61900000000003</v>
      </c>
      <c r="AE26" s="146">
        <f>INDEX(CPAT_Results!$A:$AD,MATCH($H26&amp;"_"&amp;$C26,CPAT_Results!$F:$F,0),MATCH(AE$5,CPAT_Results!$1:$1,0))</f>
        <v>481.39299999999997</v>
      </c>
    </row>
    <row r="27" spans="2:31" x14ac:dyDescent="0.2">
      <c r="B27" s="112" t="s">
        <v>3294</v>
      </c>
      <c r="C27" s="112" t="s">
        <v>3261</v>
      </c>
      <c r="D27" s="112" t="s">
        <v>3292</v>
      </c>
      <c r="E27" s="112" t="s">
        <v>2065</v>
      </c>
      <c r="F27" s="112" t="s">
        <v>11680</v>
      </c>
      <c r="H27" s="116" t="s">
        <v>3293</v>
      </c>
      <c r="I27" s="5"/>
      <c r="J27" s="5"/>
      <c r="L27" s="146">
        <f>INDEX(CPAT_Results!$A:$AD,MATCH($H27&amp;"_"&amp;$C27,CPAT_Results!$F:$F,0),MATCH(L$5,CPAT_Results!$1:$1,0))</f>
        <v>210.916</v>
      </c>
      <c r="M27" s="146">
        <f>INDEX(CPAT_Results!$A:$AD,MATCH($H27&amp;"_"&amp;$C27,CPAT_Results!$F:$F,0),MATCH(M$5,CPAT_Results!$1:$1,0))</f>
        <v>207.072</v>
      </c>
      <c r="N27" s="146">
        <f>INDEX(CPAT_Results!$A:$AD,MATCH($H27&amp;"_"&amp;$C27,CPAT_Results!$F:$F,0),MATCH(N$5,CPAT_Results!$1:$1,0))</f>
        <v>233.316</v>
      </c>
      <c r="O27" s="146">
        <f>INDEX(CPAT_Results!$A:$AD,MATCH($H27&amp;"_"&amp;$C27,CPAT_Results!$F:$F,0),MATCH(O$5,CPAT_Results!$1:$1,0))</f>
        <v>242.24799999999999</v>
      </c>
      <c r="P27" s="146">
        <f>INDEX(CPAT_Results!$A:$AD,MATCH($H27&amp;"_"&amp;$C27,CPAT_Results!$F:$F,0),MATCH(P$5,CPAT_Results!$1:$1,0))</f>
        <v>244.22</v>
      </c>
      <c r="Q27" s="146">
        <f>INDEX(CPAT_Results!$A:$AD,MATCH($H27&amp;"_"&amp;$C27,CPAT_Results!$F:$F,0),MATCH(Q$5,CPAT_Results!$1:$1,0))</f>
        <v>250.51400000000001</v>
      </c>
      <c r="R27" s="146">
        <f>INDEX(CPAT_Results!$A:$AD,MATCH($H27&amp;"_"&amp;$C27,CPAT_Results!$F:$F,0),MATCH(R$5,CPAT_Results!$1:$1,0))</f>
        <v>260.67700000000002</v>
      </c>
      <c r="S27" s="146">
        <f>INDEX(CPAT_Results!$A:$AD,MATCH($H27&amp;"_"&amp;$C27,CPAT_Results!$F:$F,0),MATCH(S$5,CPAT_Results!$1:$1,0))</f>
        <v>271.51400000000001</v>
      </c>
      <c r="T27" s="146">
        <f>INDEX(CPAT_Results!$A:$AD,MATCH($H27&amp;"_"&amp;$C27,CPAT_Results!$F:$F,0),MATCH(T$5,CPAT_Results!$1:$1,0))</f>
        <v>282.90699999999998</v>
      </c>
      <c r="U27" s="146">
        <f>INDEX(CPAT_Results!$A:$AD,MATCH($H27&amp;"_"&amp;$C27,CPAT_Results!$F:$F,0),MATCH(U$5,CPAT_Results!$1:$1,0))</f>
        <v>295.63499999999999</v>
      </c>
      <c r="V27" s="146">
        <f>INDEX(CPAT_Results!$A:$AD,MATCH($H27&amp;"_"&amp;$C27,CPAT_Results!$F:$F,0),MATCH(V$5,CPAT_Results!$1:$1,0))</f>
        <v>309.23700000000002</v>
      </c>
      <c r="W27" s="146">
        <f>INDEX(CPAT_Results!$A:$AD,MATCH($H27&amp;"_"&amp;$C27,CPAT_Results!$F:$F,0),MATCH(W$5,CPAT_Results!$1:$1,0))</f>
        <v>323.88299999999998</v>
      </c>
      <c r="X27" s="146">
        <f>INDEX(CPAT_Results!$A:$AD,MATCH($H27&amp;"_"&amp;$C27,CPAT_Results!$F:$F,0),MATCH(X$5,CPAT_Results!$1:$1,0))</f>
        <v>339.46899999999999</v>
      </c>
      <c r="Y27" s="146">
        <f>INDEX(CPAT_Results!$A:$AD,MATCH($H27&amp;"_"&amp;$C27,CPAT_Results!$F:$F,0),MATCH(Y$5,CPAT_Results!$1:$1,0))</f>
        <v>356.10300000000001</v>
      </c>
      <c r="Z27" s="146">
        <f>INDEX(CPAT_Results!$A:$AD,MATCH($H27&amp;"_"&amp;$C27,CPAT_Results!$F:$F,0),MATCH(Z$5,CPAT_Results!$1:$1,0))</f>
        <v>373.74799999999999</v>
      </c>
      <c r="AA27" s="146">
        <f>INDEX(CPAT_Results!$A:$AD,MATCH($H27&amp;"_"&amp;$C27,CPAT_Results!$F:$F,0),MATCH(AA$5,CPAT_Results!$1:$1,0))</f>
        <v>392.60300000000001</v>
      </c>
      <c r="AB27" s="146">
        <f>INDEX(CPAT_Results!$A:$AD,MATCH($H27&amp;"_"&amp;$C27,CPAT_Results!$F:$F,0),MATCH(AB$5,CPAT_Results!$1:$1,0))</f>
        <v>412.76</v>
      </c>
      <c r="AC27" s="146">
        <f>INDEX(CPAT_Results!$A:$AD,MATCH($H27&amp;"_"&amp;$C27,CPAT_Results!$F:$F,0),MATCH(AC$5,CPAT_Results!$1:$1,0))</f>
        <v>434.37099999999998</v>
      </c>
      <c r="AD27" s="146">
        <f>INDEX(CPAT_Results!$A:$AD,MATCH($H27&amp;"_"&amp;$C27,CPAT_Results!$F:$F,0),MATCH(AD$5,CPAT_Results!$1:$1,0))</f>
        <v>457.61900000000003</v>
      </c>
      <c r="AE27" s="146">
        <f>INDEX(CPAT_Results!$A:$AD,MATCH($H27&amp;"_"&amp;$C27,CPAT_Results!$F:$F,0),MATCH(AE$5,CPAT_Results!$1:$1,0))</f>
        <v>481.39299999999997</v>
      </c>
    </row>
    <row r="28" spans="2:31" x14ac:dyDescent="0.2">
      <c r="B28" s="112" t="s">
        <v>3295</v>
      </c>
      <c r="C28" s="112" t="s">
        <v>3263</v>
      </c>
      <c r="D28" s="112" t="s">
        <v>3292</v>
      </c>
      <c r="E28" s="112" t="s">
        <v>2065</v>
      </c>
      <c r="F28" s="112" t="s">
        <v>11681</v>
      </c>
      <c r="H28" s="116" t="s">
        <v>3293</v>
      </c>
      <c r="I28" s="5"/>
      <c r="J28" s="5"/>
      <c r="L28" s="146">
        <f>INDEX(CPAT_Results!$A:$AD,MATCH($H28&amp;"_"&amp;$C28,CPAT_Results!$F:$F,0),MATCH(L$5,CPAT_Results!$1:$1,0))</f>
        <v>210.916</v>
      </c>
      <c r="M28" s="146">
        <f>INDEX(CPAT_Results!$A:$AD,MATCH($H28&amp;"_"&amp;$C28,CPAT_Results!$F:$F,0),MATCH(M$5,CPAT_Results!$1:$1,0))</f>
        <v>207.072</v>
      </c>
      <c r="N28" s="146">
        <f>INDEX(CPAT_Results!$A:$AD,MATCH($H28&amp;"_"&amp;$C28,CPAT_Results!$F:$F,0),MATCH(N$5,CPAT_Results!$1:$1,0))</f>
        <v>233.316</v>
      </c>
      <c r="O28" s="146">
        <f>INDEX(CPAT_Results!$A:$AD,MATCH($H28&amp;"_"&amp;$C28,CPAT_Results!$F:$F,0),MATCH(O$5,CPAT_Results!$1:$1,0))</f>
        <v>242.24799999999999</v>
      </c>
      <c r="P28" s="146">
        <f>INDEX(CPAT_Results!$A:$AD,MATCH($H28&amp;"_"&amp;$C28,CPAT_Results!$F:$F,0),MATCH(P$5,CPAT_Results!$1:$1,0))</f>
        <v>244.22</v>
      </c>
      <c r="Q28" s="146">
        <f>INDEX(CPAT_Results!$A:$AD,MATCH($H28&amp;"_"&amp;$C28,CPAT_Results!$F:$F,0),MATCH(Q$5,CPAT_Results!$1:$1,0))</f>
        <v>250.51400000000001</v>
      </c>
      <c r="R28" s="146">
        <f>INDEX(CPAT_Results!$A:$AD,MATCH($H28&amp;"_"&amp;$C28,CPAT_Results!$F:$F,0),MATCH(R$5,CPAT_Results!$1:$1,0))</f>
        <v>260.67700000000002</v>
      </c>
      <c r="S28" s="146">
        <f>INDEX(CPAT_Results!$A:$AD,MATCH($H28&amp;"_"&amp;$C28,CPAT_Results!$F:$F,0),MATCH(S$5,CPAT_Results!$1:$1,0))</f>
        <v>271.51400000000001</v>
      </c>
      <c r="T28" s="146">
        <f>INDEX(CPAT_Results!$A:$AD,MATCH($H28&amp;"_"&amp;$C28,CPAT_Results!$F:$F,0),MATCH(T$5,CPAT_Results!$1:$1,0))</f>
        <v>282.90699999999998</v>
      </c>
      <c r="U28" s="146">
        <f>INDEX(CPAT_Results!$A:$AD,MATCH($H28&amp;"_"&amp;$C28,CPAT_Results!$F:$F,0),MATCH(U$5,CPAT_Results!$1:$1,0))</f>
        <v>295.63499999999999</v>
      </c>
      <c r="V28" s="146">
        <f>INDEX(CPAT_Results!$A:$AD,MATCH($H28&amp;"_"&amp;$C28,CPAT_Results!$F:$F,0),MATCH(V$5,CPAT_Results!$1:$1,0))</f>
        <v>309.23700000000002</v>
      </c>
      <c r="W28" s="146">
        <f>INDEX(CPAT_Results!$A:$AD,MATCH($H28&amp;"_"&amp;$C28,CPAT_Results!$F:$F,0),MATCH(W$5,CPAT_Results!$1:$1,0))</f>
        <v>323.88299999999998</v>
      </c>
      <c r="X28" s="146">
        <f>INDEX(CPAT_Results!$A:$AD,MATCH($H28&amp;"_"&amp;$C28,CPAT_Results!$F:$F,0),MATCH(X$5,CPAT_Results!$1:$1,0))</f>
        <v>339.46899999999999</v>
      </c>
      <c r="Y28" s="146">
        <f>INDEX(CPAT_Results!$A:$AD,MATCH($H28&amp;"_"&amp;$C28,CPAT_Results!$F:$F,0),MATCH(Y$5,CPAT_Results!$1:$1,0))</f>
        <v>356.10300000000001</v>
      </c>
      <c r="Z28" s="146">
        <f>INDEX(CPAT_Results!$A:$AD,MATCH($H28&amp;"_"&amp;$C28,CPAT_Results!$F:$F,0),MATCH(Z$5,CPAT_Results!$1:$1,0))</f>
        <v>373.74799999999999</v>
      </c>
      <c r="AA28" s="146">
        <f>INDEX(CPAT_Results!$A:$AD,MATCH($H28&amp;"_"&amp;$C28,CPAT_Results!$F:$F,0),MATCH(AA$5,CPAT_Results!$1:$1,0))</f>
        <v>392.60300000000001</v>
      </c>
      <c r="AB28" s="146">
        <f>INDEX(CPAT_Results!$A:$AD,MATCH($H28&amp;"_"&amp;$C28,CPAT_Results!$F:$F,0),MATCH(AB$5,CPAT_Results!$1:$1,0))</f>
        <v>412.76</v>
      </c>
      <c r="AC28" s="146">
        <f>INDEX(CPAT_Results!$A:$AD,MATCH($H28&amp;"_"&amp;$C28,CPAT_Results!$F:$F,0),MATCH(AC$5,CPAT_Results!$1:$1,0))</f>
        <v>434.37099999999998</v>
      </c>
      <c r="AD28" s="146">
        <f>INDEX(CPAT_Results!$A:$AD,MATCH($H28&amp;"_"&amp;$C28,CPAT_Results!$F:$F,0),MATCH(AD$5,CPAT_Results!$1:$1,0))</f>
        <v>457.61900000000003</v>
      </c>
      <c r="AE28" s="146">
        <f>INDEX(CPAT_Results!$A:$AD,MATCH($H28&amp;"_"&amp;$C28,CPAT_Results!$F:$F,0),MATCH(AE$5,CPAT_Results!$1:$1,0))</f>
        <v>481.39299999999997</v>
      </c>
    </row>
    <row r="29" spans="2:31" x14ac:dyDescent="0.2">
      <c r="B29" s="112" t="s">
        <v>3296</v>
      </c>
      <c r="C29" s="112" t="s">
        <v>3265</v>
      </c>
      <c r="D29" s="112" t="s">
        <v>3292</v>
      </c>
      <c r="E29" s="112" t="s">
        <v>2065</v>
      </c>
      <c r="F29" s="112" t="s">
        <v>11682</v>
      </c>
      <c r="H29" s="116" t="s">
        <v>3293</v>
      </c>
      <c r="I29" s="5"/>
      <c r="J29" s="5"/>
      <c r="L29" s="146">
        <f>INDEX(CPAT_Results!$A:$AD,MATCH($H29&amp;"_"&amp;$C29,CPAT_Results!$F:$F,0),MATCH(L$5,CPAT_Results!$1:$1,0))</f>
        <v>210.916</v>
      </c>
      <c r="M29" s="146">
        <f>INDEX(CPAT_Results!$A:$AD,MATCH($H29&amp;"_"&amp;$C29,CPAT_Results!$F:$F,0),MATCH(M$5,CPAT_Results!$1:$1,0))</f>
        <v>207.059</v>
      </c>
      <c r="N29" s="146">
        <f>INDEX(CPAT_Results!$A:$AD,MATCH($H29&amp;"_"&amp;$C29,CPAT_Results!$F:$F,0),MATCH(N$5,CPAT_Results!$1:$1,0))</f>
        <v>233.304</v>
      </c>
      <c r="O29" s="146">
        <f>INDEX(CPAT_Results!$A:$AD,MATCH($H29&amp;"_"&amp;$C29,CPAT_Results!$F:$F,0),MATCH(O$5,CPAT_Results!$1:$1,0))</f>
        <v>242.23699999999999</v>
      </c>
      <c r="P29" s="146">
        <f>INDEX(CPAT_Results!$A:$AD,MATCH($H29&amp;"_"&amp;$C29,CPAT_Results!$F:$F,0),MATCH(P$5,CPAT_Results!$1:$1,0))</f>
        <v>244.184</v>
      </c>
      <c r="Q29" s="146">
        <f>INDEX(CPAT_Results!$A:$AD,MATCH($H29&amp;"_"&amp;$C29,CPAT_Results!$F:$F,0),MATCH(Q$5,CPAT_Results!$1:$1,0))</f>
        <v>250.47300000000001</v>
      </c>
      <c r="R29" s="146">
        <f>INDEX(CPAT_Results!$A:$AD,MATCH($H29&amp;"_"&amp;$C29,CPAT_Results!$F:$F,0),MATCH(R$5,CPAT_Results!$1:$1,0))</f>
        <v>260.64400000000001</v>
      </c>
      <c r="S29" s="146">
        <f>INDEX(CPAT_Results!$A:$AD,MATCH($H29&amp;"_"&amp;$C29,CPAT_Results!$F:$F,0),MATCH(S$5,CPAT_Results!$1:$1,0))</f>
        <v>271.48099999999999</v>
      </c>
      <c r="T29" s="146">
        <f>INDEX(CPAT_Results!$A:$AD,MATCH($H29&amp;"_"&amp;$C29,CPAT_Results!$F:$F,0),MATCH(T$5,CPAT_Results!$1:$1,0))</f>
        <v>282.875</v>
      </c>
      <c r="U29" s="146">
        <f>INDEX(CPAT_Results!$A:$AD,MATCH($H29&amp;"_"&amp;$C29,CPAT_Results!$F:$F,0),MATCH(U$5,CPAT_Results!$1:$1,0))</f>
        <v>295.60199999999998</v>
      </c>
      <c r="V29" s="146">
        <f>INDEX(CPAT_Results!$A:$AD,MATCH($H29&amp;"_"&amp;$C29,CPAT_Results!$F:$F,0),MATCH(V$5,CPAT_Results!$1:$1,0))</f>
        <v>309.20600000000002</v>
      </c>
      <c r="W29" s="146">
        <f>INDEX(CPAT_Results!$A:$AD,MATCH($H29&amp;"_"&amp;$C29,CPAT_Results!$F:$F,0),MATCH(W$5,CPAT_Results!$1:$1,0))</f>
        <v>323.851</v>
      </c>
      <c r="X29" s="146">
        <f>INDEX(CPAT_Results!$A:$AD,MATCH($H29&amp;"_"&amp;$C29,CPAT_Results!$F:$F,0),MATCH(X$5,CPAT_Results!$1:$1,0))</f>
        <v>339.43900000000002</v>
      </c>
      <c r="Y29" s="146">
        <f>INDEX(CPAT_Results!$A:$AD,MATCH($H29&amp;"_"&amp;$C29,CPAT_Results!$F:$F,0),MATCH(Y$5,CPAT_Results!$1:$1,0))</f>
        <v>356.07299999999998</v>
      </c>
      <c r="Z29" s="146">
        <f>INDEX(CPAT_Results!$A:$AD,MATCH($H29&amp;"_"&amp;$C29,CPAT_Results!$F:$F,0),MATCH(Z$5,CPAT_Results!$1:$1,0))</f>
        <v>373.71800000000002</v>
      </c>
      <c r="AA29" s="146">
        <f>INDEX(CPAT_Results!$A:$AD,MATCH($H29&amp;"_"&amp;$C29,CPAT_Results!$F:$F,0),MATCH(AA$5,CPAT_Results!$1:$1,0))</f>
        <v>392.57400000000001</v>
      </c>
      <c r="AB29" s="146">
        <f>INDEX(CPAT_Results!$A:$AD,MATCH($H29&amp;"_"&amp;$C29,CPAT_Results!$F:$F,0),MATCH(AB$5,CPAT_Results!$1:$1,0))</f>
        <v>412.73099999999999</v>
      </c>
      <c r="AC29" s="146">
        <f>INDEX(CPAT_Results!$A:$AD,MATCH($H29&amp;"_"&amp;$C29,CPAT_Results!$F:$F,0),MATCH(AC$5,CPAT_Results!$1:$1,0))</f>
        <v>434.34199999999998</v>
      </c>
      <c r="AD29" s="146">
        <f>INDEX(CPAT_Results!$A:$AD,MATCH($H29&amp;"_"&amp;$C29,CPAT_Results!$F:$F,0),MATCH(AD$5,CPAT_Results!$1:$1,0))</f>
        <v>457.59</v>
      </c>
      <c r="AE29" s="146">
        <f>INDEX(CPAT_Results!$A:$AD,MATCH($H29&amp;"_"&amp;$C29,CPAT_Results!$F:$F,0),MATCH(AE$5,CPAT_Results!$1:$1,0))</f>
        <v>481.36500000000001</v>
      </c>
    </row>
    <row r="30" spans="2:31" x14ac:dyDescent="0.2">
      <c r="B30" s="112" t="s">
        <v>3297</v>
      </c>
      <c r="C30" s="112" t="s">
        <v>3256</v>
      </c>
      <c r="D30" s="112" t="s">
        <v>3298</v>
      </c>
      <c r="E30" s="112" t="s">
        <v>2065</v>
      </c>
      <c r="F30" s="112" t="s">
        <v>11679</v>
      </c>
      <c r="H30" s="116" t="s">
        <v>3299</v>
      </c>
      <c r="I30" s="5"/>
      <c r="J30" s="5"/>
      <c r="L30" s="146">
        <f>INDEX(CPAT_Results!$A:$AD,MATCH($H30&amp;"_"&amp;$C30,CPAT_Results!$F:$F,0),MATCH(L$5,CPAT_Results!$1:$1,0))</f>
        <v>210.916</v>
      </c>
      <c r="M30" s="146">
        <f>INDEX(CPAT_Results!$A:$AD,MATCH($H30&amp;"_"&amp;$C30,CPAT_Results!$F:$F,0),MATCH(M$5,CPAT_Results!$1:$1,0))</f>
        <v>206.94</v>
      </c>
      <c r="N30" s="146">
        <f>INDEX(CPAT_Results!$A:$AD,MATCH($H30&amp;"_"&amp;$C30,CPAT_Results!$F:$F,0),MATCH(N$5,CPAT_Results!$1:$1,0))</f>
        <v>233.18799999999999</v>
      </c>
      <c r="O30" s="146">
        <f>INDEX(CPAT_Results!$A:$AD,MATCH($H30&amp;"_"&amp;$C30,CPAT_Results!$F:$F,0),MATCH(O$5,CPAT_Results!$1:$1,0))</f>
        <v>242.12299999999999</v>
      </c>
      <c r="P30" s="146">
        <f>INDEX(CPAT_Results!$A:$AD,MATCH($H30&amp;"_"&amp;$C30,CPAT_Results!$F:$F,0),MATCH(P$5,CPAT_Results!$1:$1,0))</f>
        <v>222.54900000000001</v>
      </c>
      <c r="Q30" s="146">
        <f>INDEX(CPAT_Results!$A:$AD,MATCH($H30&amp;"_"&amp;$C30,CPAT_Results!$F:$F,0),MATCH(Q$5,CPAT_Results!$1:$1,0))</f>
        <v>222.178</v>
      </c>
      <c r="R30" s="146">
        <f>INDEX(CPAT_Results!$A:$AD,MATCH($H30&amp;"_"&amp;$C30,CPAT_Results!$F:$F,0),MATCH(R$5,CPAT_Results!$1:$1,0))</f>
        <v>234.476</v>
      </c>
      <c r="S30" s="146">
        <f>INDEX(CPAT_Results!$A:$AD,MATCH($H30&amp;"_"&amp;$C30,CPAT_Results!$F:$F,0),MATCH(S$5,CPAT_Results!$1:$1,0))</f>
        <v>244.11199999999999</v>
      </c>
      <c r="T30" s="146">
        <f>INDEX(CPAT_Results!$A:$AD,MATCH($H30&amp;"_"&amp;$C30,CPAT_Results!$F:$F,0),MATCH(T$5,CPAT_Results!$1:$1,0))</f>
        <v>254.89500000000001</v>
      </c>
      <c r="U30" s="146">
        <f>INDEX(CPAT_Results!$A:$AD,MATCH($H30&amp;"_"&amp;$C30,CPAT_Results!$F:$F,0),MATCH(U$5,CPAT_Results!$1:$1,0))</f>
        <v>265.58800000000002</v>
      </c>
      <c r="V30" s="146">
        <f>INDEX(CPAT_Results!$A:$AD,MATCH($H30&amp;"_"&amp;$C30,CPAT_Results!$F:$F,0),MATCH(V$5,CPAT_Results!$1:$1,0))</f>
        <v>277.51299999999998</v>
      </c>
      <c r="W30" s="146">
        <f>INDEX(CPAT_Results!$A:$AD,MATCH($H30&amp;"_"&amp;$C30,CPAT_Results!$F:$F,0),MATCH(W$5,CPAT_Results!$1:$1,0))</f>
        <v>290.2</v>
      </c>
      <c r="X30" s="146">
        <f>INDEX(CPAT_Results!$A:$AD,MATCH($H30&amp;"_"&amp;$C30,CPAT_Results!$F:$F,0),MATCH(X$5,CPAT_Results!$1:$1,0))</f>
        <v>304.03699999999998</v>
      </c>
      <c r="Y30" s="146">
        <f>INDEX(CPAT_Results!$A:$AD,MATCH($H30&amp;"_"&amp;$C30,CPAT_Results!$F:$F,0),MATCH(Y$5,CPAT_Results!$1:$1,0))</f>
        <v>318.97800000000001</v>
      </c>
      <c r="Z30" s="146">
        <f>INDEX(CPAT_Results!$A:$AD,MATCH($H30&amp;"_"&amp;$C30,CPAT_Results!$F:$F,0),MATCH(Z$5,CPAT_Results!$1:$1,0))</f>
        <v>335.03500000000003</v>
      </c>
      <c r="AA30" s="146">
        <f>INDEX(CPAT_Results!$A:$AD,MATCH($H30&amp;"_"&amp;$C30,CPAT_Results!$F:$F,0),MATCH(AA$5,CPAT_Results!$1:$1,0))</f>
        <v>352.48</v>
      </c>
      <c r="AB30" s="146">
        <f>INDEX(CPAT_Results!$A:$AD,MATCH($H30&amp;"_"&amp;$C30,CPAT_Results!$F:$F,0),MATCH(AB$5,CPAT_Results!$1:$1,0))</f>
        <v>371.30900000000003</v>
      </c>
      <c r="AC30" s="146">
        <f>INDEX(CPAT_Results!$A:$AD,MATCH($H30&amp;"_"&amp;$C30,CPAT_Results!$F:$F,0),MATCH(AC$5,CPAT_Results!$1:$1,0))</f>
        <v>391.70400000000001</v>
      </c>
      <c r="AD30" s="146">
        <f>INDEX(CPAT_Results!$A:$AD,MATCH($H30&amp;"_"&amp;$C30,CPAT_Results!$F:$F,0),MATCH(AD$5,CPAT_Results!$1:$1,0))</f>
        <v>413.94900000000001</v>
      </c>
      <c r="AE30" s="146">
        <f>INDEX(CPAT_Results!$A:$AD,MATCH($H30&amp;"_"&amp;$C30,CPAT_Results!$F:$F,0),MATCH(AE$5,CPAT_Results!$1:$1,0))</f>
        <v>436.73899999999998</v>
      </c>
    </row>
    <row r="31" spans="2:31" x14ac:dyDescent="0.2">
      <c r="B31" s="112" t="s">
        <v>3300</v>
      </c>
      <c r="C31" s="112" t="s">
        <v>3261</v>
      </c>
      <c r="D31" s="112" t="s">
        <v>3298</v>
      </c>
      <c r="E31" s="112" t="s">
        <v>2065</v>
      </c>
      <c r="F31" s="112" t="s">
        <v>11680</v>
      </c>
      <c r="H31" s="116" t="s">
        <v>3299</v>
      </c>
      <c r="I31" s="5"/>
      <c r="J31" s="5"/>
      <c r="L31" s="146">
        <f>INDEX(CPAT_Results!$A:$AD,MATCH($H31&amp;"_"&amp;$C31,CPAT_Results!$F:$F,0),MATCH(L$5,CPAT_Results!$1:$1,0))</f>
        <v>210.916</v>
      </c>
      <c r="M31" s="146">
        <f>INDEX(CPAT_Results!$A:$AD,MATCH($H31&amp;"_"&amp;$C31,CPAT_Results!$F:$F,0),MATCH(M$5,CPAT_Results!$1:$1,0))</f>
        <v>207.072</v>
      </c>
      <c r="N31" s="146">
        <f>INDEX(CPAT_Results!$A:$AD,MATCH($H31&amp;"_"&amp;$C31,CPAT_Results!$F:$F,0),MATCH(N$5,CPAT_Results!$1:$1,0))</f>
        <v>233.316</v>
      </c>
      <c r="O31" s="146">
        <f>INDEX(CPAT_Results!$A:$AD,MATCH($H31&amp;"_"&amp;$C31,CPAT_Results!$F:$F,0),MATCH(O$5,CPAT_Results!$1:$1,0))</f>
        <v>242.24799999999999</v>
      </c>
      <c r="P31" s="146">
        <f>INDEX(CPAT_Results!$A:$AD,MATCH($H31&amp;"_"&amp;$C31,CPAT_Results!$F:$F,0),MATCH(P$5,CPAT_Results!$1:$1,0))</f>
        <v>244.22</v>
      </c>
      <c r="Q31" s="146">
        <f>INDEX(CPAT_Results!$A:$AD,MATCH($H31&amp;"_"&amp;$C31,CPAT_Results!$F:$F,0),MATCH(Q$5,CPAT_Results!$1:$1,0))</f>
        <v>250.51400000000001</v>
      </c>
      <c r="R31" s="146">
        <f>INDEX(CPAT_Results!$A:$AD,MATCH($H31&amp;"_"&amp;$C31,CPAT_Results!$F:$F,0),MATCH(R$5,CPAT_Results!$1:$1,0))</f>
        <v>260.67700000000002</v>
      </c>
      <c r="S31" s="146">
        <f>INDEX(CPAT_Results!$A:$AD,MATCH($H31&amp;"_"&amp;$C31,CPAT_Results!$F:$F,0),MATCH(S$5,CPAT_Results!$1:$1,0))</f>
        <v>265.47000000000003</v>
      </c>
      <c r="T31" s="146">
        <f>INDEX(CPAT_Results!$A:$AD,MATCH($H31&amp;"_"&amp;$C31,CPAT_Results!$F:$F,0),MATCH(T$5,CPAT_Results!$1:$1,0))</f>
        <v>273.79399999999998</v>
      </c>
      <c r="U31" s="146">
        <f>INDEX(CPAT_Results!$A:$AD,MATCH($H31&amp;"_"&amp;$C31,CPAT_Results!$F:$F,0),MATCH(U$5,CPAT_Results!$1:$1,0))</f>
        <v>283.06299999999999</v>
      </c>
      <c r="V31" s="146">
        <f>INDEX(CPAT_Results!$A:$AD,MATCH($H31&amp;"_"&amp;$C31,CPAT_Results!$F:$F,0),MATCH(V$5,CPAT_Results!$1:$1,0))</f>
        <v>294.05</v>
      </c>
      <c r="W31" s="146">
        <f>INDEX(CPAT_Results!$A:$AD,MATCH($H31&amp;"_"&amp;$C31,CPAT_Results!$F:$F,0),MATCH(W$5,CPAT_Results!$1:$1,0))</f>
        <v>305.88</v>
      </c>
      <c r="X31" s="146">
        <f>INDEX(CPAT_Results!$A:$AD,MATCH($H31&amp;"_"&amp;$C31,CPAT_Results!$F:$F,0),MATCH(X$5,CPAT_Results!$1:$1,0))</f>
        <v>318.85000000000002</v>
      </c>
      <c r="Y31" s="146">
        <f>INDEX(CPAT_Results!$A:$AD,MATCH($H31&amp;"_"&amp;$C31,CPAT_Results!$F:$F,0),MATCH(Y$5,CPAT_Results!$1:$1,0))</f>
        <v>332.89</v>
      </c>
      <c r="Z31" s="146">
        <f>INDEX(CPAT_Results!$A:$AD,MATCH($H31&amp;"_"&amp;$C31,CPAT_Results!$F:$F,0),MATCH(Z$5,CPAT_Results!$1:$1,0))</f>
        <v>348.06</v>
      </c>
      <c r="AA31" s="146">
        <f>INDEX(CPAT_Results!$A:$AD,MATCH($H31&amp;"_"&amp;$C31,CPAT_Results!$F:$F,0),MATCH(AA$5,CPAT_Results!$1:$1,0))</f>
        <v>364.52600000000001</v>
      </c>
      <c r="AB31" s="146">
        <f>INDEX(CPAT_Results!$A:$AD,MATCH($H31&amp;"_"&amp;$C31,CPAT_Results!$F:$F,0),MATCH(AB$5,CPAT_Results!$1:$1,0))</f>
        <v>382.39100000000002</v>
      </c>
      <c r="AC31" s="146">
        <f>INDEX(CPAT_Results!$A:$AD,MATCH($H31&amp;"_"&amp;$C31,CPAT_Results!$F:$F,0),MATCH(AC$5,CPAT_Results!$1:$1,0))</f>
        <v>401.76</v>
      </c>
      <c r="AD31" s="146">
        <f>INDEX(CPAT_Results!$A:$AD,MATCH($H31&amp;"_"&amp;$C31,CPAT_Results!$F:$F,0),MATCH(AD$5,CPAT_Results!$1:$1,0))</f>
        <v>422.63799999999998</v>
      </c>
      <c r="AE31" s="146">
        <f>INDEX(CPAT_Results!$A:$AD,MATCH($H31&amp;"_"&amp;$C31,CPAT_Results!$F:$F,0),MATCH(AE$5,CPAT_Results!$1:$1,0))</f>
        <v>444.43700000000001</v>
      </c>
    </row>
    <row r="32" spans="2:31" x14ac:dyDescent="0.2">
      <c r="B32" s="112" t="s">
        <v>3301</v>
      </c>
      <c r="C32" s="112" t="s">
        <v>3263</v>
      </c>
      <c r="D32" s="112" t="s">
        <v>3298</v>
      </c>
      <c r="E32" s="112" t="s">
        <v>2065</v>
      </c>
      <c r="F32" s="112" t="s">
        <v>11681</v>
      </c>
      <c r="H32" s="116" t="s">
        <v>3299</v>
      </c>
      <c r="I32" s="5"/>
      <c r="J32" s="5"/>
      <c r="L32" s="146">
        <f>INDEX(CPAT_Results!$A:$AD,MATCH($H32&amp;"_"&amp;$C32,CPAT_Results!$F:$F,0),MATCH(L$5,CPAT_Results!$1:$1,0))</f>
        <v>210.916</v>
      </c>
      <c r="M32" s="146">
        <f>INDEX(CPAT_Results!$A:$AD,MATCH($H32&amp;"_"&amp;$C32,CPAT_Results!$F:$F,0),MATCH(M$5,CPAT_Results!$1:$1,0))</f>
        <v>207.06800000000001</v>
      </c>
      <c r="N32" s="146">
        <f>INDEX(CPAT_Results!$A:$AD,MATCH($H32&amp;"_"&amp;$C32,CPAT_Results!$F:$F,0),MATCH(N$5,CPAT_Results!$1:$1,0))</f>
        <v>233.31299999999999</v>
      </c>
      <c r="O32" s="146">
        <f>INDEX(CPAT_Results!$A:$AD,MATCH($H32&amp;"_"&amp;$C32,CPAT_Results!$F:$F,0),MATCH(O$5,CPAT_Results!$1:$1,0))</f>
        <v>242.245</v>
      </c>
      <c r="P32" s="146">
        <f>INDEX(CPAT_Results!$A:$AD,MATCH($H32&amp;"_"&amp;$C32,CPAT_Results!$F:$F,0),MATCH(P$5,CPAT_Results!$1:$1,0))</f>
        <v>237.191</v>
      </c>
      <c r="Q32" s="146">
        <f>INDEX(CPAT_Results!$A:$AD,MATCH($H32&amp;"_"&amp;$C32,CPAT_Results!$F:$F,0),MATCH(Q$5,CPAT_Results!$1:$1,0))</f>
        <v>242.43600000000001</v>
      </c>
      <c r="R32" s="146">
        <f>INDEX(CPAT_Results!$A:$AD,MATCH($H32&amp;"_"&amp;$C32,CPAT_Results!$F:$F,0),MATCH(R$5,CPAT_Results!$1:$1,0))</f>
        <v>250.36099999999999</v>
      </c>
      <c r="S32" s="146">
        <f>INDEX(CPAT_Results!$A:$AD,MATCH($H32&amp;"_"&amp;$C32,CPAT_Results!$F:$F,0),MATCH(S$5,CPAT_Results!$1:$1,0))</f>
        <v>257.79500000000002</v>
      </c>
      <c r="T32" s="146">
        <f>INDEX(CPAT_Results!$A:$AD,MATCH($H32&amp;"_"&amp;$C32,CPAT_Results!$F:$F,0),MATCH(T$5,CPAT_Results!$1:$1,0))</f>
        <v>265.69200000000001</v>
      </c>
      <c r="U32" s="146">
        <f>INDEX(CPAT_Results!$A:$AD,MATCH($H32&amp;"_"&amp;$C32,CPAT_Results!$F:$F,0),MATCH(U$5,CPAT_Results!$1:$1,0))</f>
        <v>274.63299999999998</v>
      </c>
      <c r="V32" s="146">
        <f>INDEX(CPAT_Results!$A:$AD,MATCH($H32&amp;"_"&amp;$C32,CPAT_Results!$F:$F,0),MATCH(V$5,CPAT_Results!$1:$1,0))</f>
        <v>283.74400000000003</v>
      </c>
      <c r="W32" s="146">
        <f>INDEX(CPAT_Results!$A:$AD,MATCH($H32&amp;"_"&amp;$C32,CPAT_Results!$F:$F,0),MATCH(W$5,CPAT_Results!$1:$1,0))</f>
        <v>293.68799999999999</v>
      </c>
      <c r="X32" s="146">
        <f>INDEX(CPAT_Results!$A:$AD,MATCH($H32&amp;"_"&amp;$C32,CPAT_Results!$F:$F,0),MATCH(X$5,CPAT_Results!$1:$1,0))</f>
        <v>304.36</v>
      </c>
      <c r="Y32" s="146">
        <f>INDEX(CPAT_Results!$A:$AD,MATCH($H32&amp;"_"&amp;$C32,CPAT_Results!$F:$F,0),MATCH(Y$5,CPAT_Results!$1:$1,0))</f>
        <v>315.87099999999998</v>
      </c>
      <c r="Z32" s="146">
        <f>INDEX(CPAT_Results!$A:$AD,MATCH($H32&amp;"_"&amp;$C32,CPAT_Results!$F:$F,0),MATCH(Z$5,CPAT_Results!$1:$1,0))</f>
        <v>328.16800000000001</v>
      </c>
      <c r="AA32" s="146">
        <f>INDEX(CPAT_Results!$A:$AD,MATCH($H32&amp;"_"&amp;$C32,CPAT_Results!$F:$F,0),MATCH(AA$5,CPAT_Results!$1:$1,0))</f>
        <v>341.46100000000001</v>
      </c>
      <c r="AB32" s="146">
        <f>INDEX(CPAT_Results!$A:$AD,MATCH($H32&amp;"_"&amp;$C32,CPAT_Results!$F:$F,0),MATCH(AB$5,CPAT_Results!$1:$1,0))</f>
        <v>355.81900000000002</v>
      </c>
      <c r="AC32" s="146">
        <f>INDEX(CPAT_Results!$A:$AD,MATCH($H32&amp;"_"&amp;$C32,CPAT_Results!$F:$F,0),MATCH(AC$5,CPAT_Results!$1:$1,0))</f>
        <v>371.49599999999998</v>
      </c>
      <c r="AD32" s="146">
        <f>INDEX(CPAT_Results!$A:$AD,MATCH($H32&amp;"_"&amp;$C32,CPAT_Results!$F:$F,0),MATCH(AD$5,CPAT_Results!$1:$1,0))</f>
        <v>388.12299999999999</v>
      </c>
      <c r="AE32" s="146">
        <f>INDEX(CPAT_Results!$A:$AD,MATCH($H32&amp;"_"&amp;$C32,CPAT_Results!$F:$F,0),MATCH(AE$5,CPAT_Results!$1:$1,0))</f>
        <v>404.98099999999999</v>
      </c>
    </row>
    <row r="33" spans="2:31" x14ac:dyDescent="0.2">
      <c r="B33" s="112" t="s">
        <v>3302</v>
      </c>
      <c r="C33" s="112" t="s">
        <v>3265</v>
      </c>
      <c r="D33" s="112" t="s">
        <v>3298</v>
      </c>
      <c r="E33" s="112" t="s">
        <v>2065</v>
      </c>
      <c r="F33" s="112" t="s">
        <v>11682</v>
      </c>
      <c r="H33" s="116" t="s">
        <v>3299</v>
      </c>
      <c r="I33" s="5"/>
      <c r="J33" s="5"/>
      <c r="L33" s="146">
        <f>INDEX(CPAT_Results!$A:$AD,MATCH($H33&amp;"_"&amp;$C33,CPAT_Results!$F:$F,0),MATCH(L$5,CPAT_Results!$1:$1,0))</f>
        <v>210.916</v>
      </c>
      <c r="M33" s="146">
        <f>INDEX(CPAT_Results!$A:$AD,MATCH($H33&amp;"_"&amp;$C33,CPAT_Results!$F:$F,0),MATCH(M$5,CPAT_Results!$1:$1,0))</f>
        <v>207.059</v>
      </c>
      <c r="N33" s="146">
        <f>INDEX(CPAT_Results!$A:$AD,MATCH($H33&amp;"_"&amp;$C33,CPAT_Results!$F:$F,0),MATCH(N$5,CPAT_Results!$1:$1,0))</f>
        <v>233.304</v>
      </c>
      <c r="O33" s="146">
        <f>INDEX(CPAT_Results!$A:$AD,MATCH($H33&amp;"_"&amp;$C33,CPAT_Results!$F:$F,0),MATCH(O$5,CPAT_Results!$1:$1,0))</f>
        <v>242.23699999999999</v>
      </c>
      <c r="P33" s="146">
        <f>INDEX(CPAT_Results!$A:$AD,MATCH($H33&amp;"_"&amp;$C33,CPAT_Results!$F:$F,0),MATCH(P$5,CPAT_Results!$1:$1,0))</f>
        <v>244.184</v>
      </c>
      <c r="Q33" s="146">
        <f>INDEX(CPAT_Results!$A:$AD,MATCH($H33&amp;"_"&amp;$C33,CPAT_Results!$F:$F,0),MATCH(Q$5,CPAT_Results!$1:$1,0))</f>
        <v>250.47300000000001</v>
      </c>
      <c r="R33" s="146">
        <f>INDEX(CPAT_Results!$A:$AD,MATCH($H33&amp;"_"&amp;$C33,CPAT_Results!$F:$F,0),MATCH(R$5,CPAT_Results!$1:$1,0))</f>
        <v>260.28300000000002</v>
      </c>
      <c r="S33" s="146">
        <f>INDEX(CPAT_Results!$A:$AD,MATCH($H33&amp;"_"&amp;$C33,CPAT_Results!$F:$F,0),MATCH(S$5,CPAT_Results!$1:$1,0))</f>
        <v>270.42899999999997</v>
      </c>
      <c r="T33" s="146">
        <f>INDEX(CPAT_Results!$A:$AD,MATCH($H33&amp;"_"&amp;$C33,CPAT_Results!$F:$F,0),MATCH(T$5,CPAT_Results!$1:$1,0))</f>
        <v>280.65100000000001</v>
      </c>
      <c r="U33" s="146">
        <f>INDEX(CPAT_Results!$A:$AD,MATCH($H33&amp;"_"&amp;$C33,CPAT_Results!$F:$F,0),MATCH(U$5,CPAT_Results!$1:$1,0))</f>
        <v>291.95</v>
      </c>
      <c r="V33" s="146">
        <f>INDEX(CPAT_Results!$A:$AD,MATCH($H33&amp;"_"&amp;$C33,CPAT_Results!$F:$F,0),MATCH(V$5,CPAT_Results!$1:$1,0))</f>
        <v>303.95</v>
      </c>
      <c r="W33" s="146">
        <f>INDEX(CPAT_Results!$A:$AD,MATCH($H33&amp;"_"&amp;$C33,CPAT_Results!$F:$F,0),MATCH(W$5,CPAT_Results!$1:$1,0))</f>
        <v>316.88499999999999</v>
      </c>
      <c r="X33" s="146">
        <f>INDEX(CPAT_Results!$A:$AD,MATCH($H33&amp;"_"&amp;$C33,CPAT_Results!$F:$F,0),MATCH(X$5,CPAT_Results!$1:$1,0))</f>
        <v>330.65600000000001</v>
      </c>
      <c r="Y33" s="146">
        <f>INDEX(CPAT_Results!$A:$AD,MATCH($H33&amp;"_"&amp;$C33,CPAT_Results!$F:$F,0),MATCH(Y$5,CPAT_Results!$1:$1,0))</f>
        <v>345.399</v>
      </c>
      <c r="Z33" s="146">
        <f>INDEX(CPAT_Results!$A:$AD,MATCH($H33&amp;"_"&amp;$C33,CPAT_Results!$F:$F,0),MATCH(Z$5,CPAT_Results!$1:$1,0))</f>
        <v>360.74400000000003</v>
      </c>
      <c r="AA33" s="146">
        <f>INDEX(CPAT_Results!$A:$AD,MATCH($H33&amp;"_"&amp;$C33,CPAT_Results!$F:$F,0),MATCH(AA$5,CPAT_Results!$1:$1,0))</f>
        <v>379.30500000000001</v>
      </c>
      <c r="AB33" s="146">
        <f>INDEX(CPAT_Results!$A:$AD,MATCH($H33&amp;"_"&amp;$C33,CPAT_Results!$F:$F,0),MATCH(AB$5,CPAT_Results!$1:$1,0))</f>
        <v>398.255</v>
      </c>
      <c r="AC33" s="146">
        <f>INDEX(CPAT_Results!$A:$AD,MATCH($H33&amp;"_"&amp;$C33,CPAT_Results!$F:$F,0),MATCH(AC$5,CPAT_Results!$1:$1,0))</f>
        <v>419.19799999999998</v>
      </c>
      <c r="AD33" s="146">
        <f>INDEX(CPAT_Results!$A:$AD,MATCH($H33&amp;"_"&amp;$C33,CPAT_Results!$F:$F,0),MATCH(AD$5,CPAT_Results!$1:$1,0))</f>
        <v>441.93400000000003</v>
      </c>
      <c r="AE33" s="146">
        <f>INDEX(CPAT_Results!$A:$AD,MATCH($H33&amp;"_"&amp;$C33,CPAT_Results!$F:$F,0),MATCH(AE$5,CPAT_Results!$1:$1,0))</f>
        <v>466.10300000000001</v>
      </c>
    </row>
    <row r="34" spans="2:31" x14ac:dyDescent="0.2">
      <c r="B34" s="112" t="s">
        <v>3303</v>
      </c>
      <c r="C34" s="112" t="s">
        <v>3256</v>
      </c>
      <c r="D34" s="112" t="s">
        <v>3304</v>
      </c>
      <c r="E34" s="112" t="s">
        <v>2065</v>
      </c>
      <c r="F34" s="112" t="s">
        <v>11679</v>
      </c>
      <c r="H34" s="116" t="s">
        <v>3305</v>
      </c>
      <c r="I34" s="5"/>
      <c r="J34" s="5"/>
      <c r="L34" s="146">
        <f>INDEX(CPAT_Results!$A:$AD,MATCH($H34&amp;"_"&amp;$C34,CPAT_Results!$F:$F,0),MATCH(L$5,CPAT_Results!$1:$1,0))</f>
        <v>59.633000000000003</v>
      </c>
      <c r="M34" s="146">
        <f>INDEX(CPAT_Results!$A:$AD,MATCH($H34&amp;"_"&amp;$C34,CPAT_Results!$F:$F,0),MATCH(M$5,CPAT_Results!$1:$1,0))</f>
        <v>58.865000000000002</v>
      </c>
      <c r="N34" s="146">
        <f>INDEX(CPAT_Results!$A:$AD,MATCH($H34&amp;"_"&amp;$C34,CPAT_Results!$F:$F,0),MATCH(N$5,CPAT_Results!$1:$1,0))</f>
        <v>69.37</v>
      </c>
      <c r="O34" s="146">
        <f>INDEX(CPAT_Results!$A:$AD,MATCH($H34&amp;"_"&amp;$C34,CPAT_Results!$F:$F,0),MATCH(O$5,CPAT_Results!$1:$1,0))</f>
        <v>74.998999999999995</v>
      </c>
      <c r="P34" s="146">
        <f>INDEX(CPAT_Results!$A:$AD,MATCH($H34&amp;"_"&amp;$C34,CPAT_Results!$F:$F,0),MATCH(P$5,CPAT_Results!$1:$1,0))</f>
        <v>77.138999999999996</v>
      </c>
      <c r="Q34" s="146">
        <f>INDEX(CPAT_Results!$A:$AD,MATCH($H34&amp;"_"&amp;$C34,CPAT_Results!$F:$F,0),MATCH(Q$5,CPAT_Results!$1:$1,0))</f>
        <v>79.643000000000001</v>
      </c>
      <c r="R34" s="146">
        <f>INDEX(CPAT_Results!$A:$AD,MATCH($H34&amp;"_"&amp;$C34,CPAT_Results!$F:$F,0),MATCH(R$5,CPAT_Results!$1:$1,0))</f>
        <v>82.683999999999997</v>
      </c>
      <c r="S34" s="146">
        <f>INDEX(CPAT_Results!$A:$AD,MATCH($H34&amp;"_"&amp;$C34,CPAT_Results!$F:$F,0),MATCH(S$5,CPAT_Results!$1:$1,0))</f>
        <v>85.623000000000005</v>
      </c>
      <c r="T34" s="146">
        <f>INDEX(CPAT_Results!$A:$AD,MATCH($H34&amp;"_"&amp;$C34,CPAT_Results!$F:$F,0),MATCH(T$5,CPAT_Results!$1:$1,0))</f>
        <v>88.399000000000001</v>
      </c>
      <c r="U34" s="146">
        <f>INDEX(CPAT_Results!$A:$AD,MATCH($H34&amp;"_"&amp;$C34,CPAT_Results!$F:$F,0),MATCH(U$5,CPAT_Results!$1:$1,0))</f>
        <v>91.215999999999994</v>
      </c>
      <c r="V34" s="146">
        <f>INDEX(CPAT_Results!$A:$AD,MATCH($H34&amp;"_"&amp;$C34,CPAT_Results!$F:$F,0),MATCH(V$5,CPAT_Results!$1:$1,0))</f>
        <v>94.063000000000002</v>
      </c>
      <c r="W34" s="146">
        <f>INDEX(CPAT_Results!$A:$AD,MATCH($H34&amp;"_"&amp;$C34,CPAT_Results!$F:$F,0),MATCH(W$5,CPAT_Results!$1:$1,0))</f>
        <v>96.96</v>
      </c>
      <c r="X34" s="146">
        <f>INDEX(CPAT_Results!$A:$AD,MATCH($H34&amp;"_"&amp;$C34,CPAT_Results!$F:$F,0),MATCH(X$5,CPAT_Results!$1:$1,0))</f>
        <v>99.908000000000001</v>
      </c>
      <c r="Y34" s="146">
        <f>INDEX(CPAT_Results!$A:$AD,MATCH($H34&amp;"_"&amp;$C34,CPAT_Results!$F:$F,0),MATCH(Y$5,CPAT_Results!$1:$1,0))</f>
        <v>102.907</v>
      </c>
      <c r="Z34" s="146">
        <f>INDEX(CPAT_Results!$A:$AD,MATCH($H34&amp;"_"&amp;$C34,CPAT_Results!$F:$F,0),MATCH(Z$5,CPAT_Results!$1:$1,0))</f>
        <v>105.95399999999999</v>
      </c>
      <c r="AA34" s="146">
        <f>INDEX(CPAT_Results!$A:$AD,MATCH($H34&amp;"_"&amp;$C34,CPAT_Results!$F:$F,0),MATCH(AA$5,CPAT_Results!$1:$1,0))</f>
        <v>109.051</v>
      </c>
      <c r="AB34" s="146">
        <f>INDEX(CPAT_Results!$A:$AD,MATCH($H34&amp;"_"&amp;$C34,CPAT_Results!$F:$F,0),MATCH(AB$5,CPAT_Results!$1:$1,0))</f>
        <v>112.197</v>
      </c>
      <c r="AC34" s="146">
        <f>INDEX(CPAT_Results!$A:$AD,MATCH($H34&amp;"_"&amp;$C34,CPAT_Results!$F:$F,0),MATCH(AC$5,CPAT_Results!$1:$1,0))</f>
        <v>115.39100000000001</v>
      </c>
      <c r="AD34" s="146">
        <f>INDEX(CPAT_Results!$A:$AD,MATCH($H34&amp;"_"&amp;$C34,CPAT_Results!$F:$F,0),MATCH(AD$5,CPAT_Results!$1:$1,0))</f>
        <v>118.633</v>
      </c>
      <c r="AE34" s="146">
        <f>INDEX(CPAT_Results!$A:$AD,MATCH($H34&amp;"_"&amp;$C34,CPAT_Results!$F:$F,0),MATCH(AE$5,CPAT_Results!$1:$1,0))</f>
        <v>121.922</v>
      </c>
    </row>
    <row r="35" spans="2:31" x14ac:dyDescent="0.2">
      <c r="B35" s="112" t="s">
        <v>3306</v>
      </c>
      <c r="C35" s="112" t="s">
        <v>3261</v>
      </c>
      <c r="D35" s="112" t="s">
        <v>3304</v>
      </c>
      <c r="E35" s="112" t="s">
        <v>2065</v>
      </c>
      <c r="F35" s="112" t="s">
        <v>11680</v>
      </c>
      <c r="H35" s="116" t="s">
        <v>3305</v>
      </c>
      <c r="I35" s="5"/>
      <c r="J35" s="5"/>
      <c r="L35" s="146">
        <f>INDEX(CPAT_Results!$A:$AD,MATCH($H35&amp;"_"&amp;$C35,CPAT_Results!$F:$F,0),MATCH(L$5,CPAT_Results!$1:$1,0))</f>
        <v>59.633000000000003</v>
      </c>
      <c r="M35" s="146">
        <f>INDEX(CPAT_Results!$A:$AD,MATCH($H35&amp;"_"&amp;$C35,CPAT_Results!$F:$F,0),MATCH(M$5,CPAT_Results!$1:$1,0))</f>
        <v>58.865000000000002</v>
      </c>
      <c r="N35" s="146">
        <f>INDEX(CPAT_Results!$A:$AD,MATCH($H35&amp;"_"&amp;$C35,CPAT_Results!$F:$F,0),MATCH(N$5,CPAT_Results!$1:$1,0))</f>
        <v>69.37</v>
      </c>
      <c r="O35" s="146">
        <f>INDEX(CPAT_Results!$A:$AD,MATCH($H35&amp;"_"&amp;$C35,CPAT_Results!$F:$F,0),MATCH(O$5,CPAT_Results!$1:$1,0))</f>
        <v>74.998999999999995</v>
      </c>
      <c r="P35" s="146">
        <f>INDEX(CPAT_Results!$A:$AD,MATCH($H35&amp;"_"&amp;$C35,CPAT_Results!$F:$F,0),MATCH(P$5,CPAT_Results!$1:$1,0))</f>
        <v>77.138999999999996</v>
      </c>
      <c r="Q35" s="146">
        <f>INDEX(CPAT_Results!$A:$AD,MATCH($H35&amp;"_"&amp;$C35,CPAT_Results!$F:$F,0),MATCH(Q$5,CPAT_Results!$1:$1,0))</f>
        <v>79.643000000000001</v>
      </c>
      <c r="R35" s="146">
        <f>INDEX(CPAT_Results!$A:$AD,MATCH($H35&amp;"_"&amp;$C35,CPAT_Results!$F:$F,0),MATCH(R$5,CPAT_Results!$1:$1,0))</f>
        <v>82.683999999999997</v>
      </c>
      <c r="S35" s="146">
        <f>INDEX(CPAT_Results!$A:$AD,MATCH($H35&amp;"_"&amp;$C35,CPAT_Results!$F:$F,0),MATCH(S$5,CPAT_Results!$1:$1,0))</f>
        <v>85.623000000000005</v>
      </c>
      <c r="T35" s="146">
        <f>INDEX(CPAT_Results!$A:$AD,MATCH($H35&amp;"_"&amp;$C35,CPAT_Results!$F:$F,0),MATCH(T$5,CPAT_Results!$1:$1,0))</f>
        <v>88.399000000000001</v>
      </c>
      <c r="U35" s="146">
        <f>INDEX(CPAT_Results!$A:$AD,MATCH($H35&amp;"_"&amp;$C35,CPAT_Results!$F:$F,0),MATCH(U$5,CPAT_Results!$1:$1,0))</f>
        <v>91.215999999999994</v>
      </c>
      <c r="V35" s="146">
        <f>INDEX(CPAT_Results!$A:$AD,MATCH($H35&amp;"_"&amp;$C35,CPAT_Results!$F:$F,0),MATCH(V$5,CPAT_Results!$1:$1,0))</f>
        <v>94.063000000000002</v>
      </c>
      <c r="W35" s="146">
        <f>INDEX(CPAT_Results!$A:$AD,MATCH($H35&amp;"_"&amp;$C35,CPAT_Results!$F:$F,0),MATCH(W$5,CPAT_Results!$1:$1,0))</f>
        <v>96.96</v>
      </c>
      <c r="X35" s="146">
        <f>INDEX(CPAT_Results!$A:$AD,MATCH($H35&amp;"_"&amp;$C35,CPAT_Results!$F:$F,0),MATCH(X$5,CPAT_Results!$1:$1,0))</f>
        <v>99.908000000000001</v>
      </c>
      <c r="Y35" s="146">
        <f>INDEX(CPAT_Results!$A:$AD,MATCH($H35&amp;"_"&amp;$C35,CPAT_Results!$F:$F,0),MATCH(Y$5,CPAT_Results!$1:$1,0))</f>
        <v>102.907</v>
      </c>
      <c r="Z35" s="146">
        <f>INDEX(CPAT_Results!$A:$AD,MATCH($H35&amp;"_"&amp;$C35,CPAT_Results!$F:$F,0),MATCH(Z$5,CPAT_Results!$1:$1,0))</f>
        <v>105.95399999999999</v>
      </c>
      <c r="AA35" s="146">
        <f>INDEX(CPAT_Results!$A:$AD,MATCH($H35&amp;"_"&amp;$C35,CPAT_Results!$F:$F,0),MATCH(AA$5,CPAT_Results!$1:$1,0))</f>
        <v>109.051</v>
      </c>
      <c r="AB35" s="146">
        <f>INDEX(CPAT_Results!$A:$AD,MATCH($H35&amp;"_"&amp;$C35,CPAT_Results!$F:$F,0),MATCH(AB$5,CPAT_Results!$1:$1,0))</f>
        <v>112.197</v>
      </c>
      <c r="AC35" s="146">
        <f>INDEX(CPAT_Results!$A:$AD,MATCH($H35&amp;"_"&amp;$C35,CPAT_Results!$F:$F,0),MATCH(AC$5,CPAT_Results!$1:$1,0))</f>
        <v>115.39100000000001</v>
      </c>
      <c r="AD35" s="146">
        <f>INDEX(CPAT_Results!$A:$AD,MATCH($H35&amp;"_"&amp;$C35,CPAT_Results!$F:$F,0),MATCH(AD$5,CPAT_Results!$1:$1,0))</f>
        <v>118.633</v>
      </c>
      <c r="AE35" s="146">
        <f>INDEX(CPAT_Results!$A:$AD,MATCH($H35&amp;"_"&amp;$C35,CPAT_Results!$F:$F,0),MATCH(AE$5,CPAT_Results!$1:$1,0))</f>
        <v>121.922</v>
      </c>
    </row>
    <row r="36" spans="2:31" x14ac:dyDescent="0.2">
      <c r="B36" s="112" t="s">
        <v>3307</v>
      </c>
      <c r="C36" s="112" t="s">
        <v>3263</v>
      </c>
      <c r="D36" s="112" t="s">
        <v>3304</v>
      </c>
      <c r="E36" s="112" t="s">
        <v>2065</v>
      </c>
      <c r="F36" s="112" t="s">
        <v>11681</v>
      </c>
      <c r="H36" s="116" t="s">
        <v>3305</v>
      </c>
      <c r="I36" s="5"/>
      <c r="J36" s="5"/>
      <c r="L36" s="146">
        <f>INDEX(CPAT_Results!$A:$AD,MATCH($H36&amp;"_"&amp;$C36,CPAT_Results!$F:$F,0),MATCH(L$5,CPAT_Results!$1:$1,0))</f>
        <v>59.633000000000003</v>
      </c>
      <c r="M36" s="146">
        <f>INDEX(CPAT_Results!$A:$AD,MATCH($H36&amp;"_"&amp;$C36,CPAT_Results!$F:$F,0),MATCH(M$5,CPAT_Results!$1:$1,0))</f>
        <v>58.865000000000002</v>
      </c>
      <c r="N36" s="146">
        <f>INDEX(CPAT_Results!$A:$AD,MATCH($H36&amp;"_"&amp;$C36,CPAT_Results!$F:$F,0),MATCH(N$5,CPAT_Results!$1:$1,0))</f>
        <v>69.37</v>
      </c>
      <c r="O36" s="146">
        <f>INDEX(CPAT_Results!$A:$AD,MATCH($H36&amp;"_"&amp;$C36,CPAT_Results!$F:$F,0),MATCH(O$5,CPAT_Results!$1:$1,0))</f>
        <v>74.998999999999995</v>
      </c>
      <c r="P36" s="146">
        <f>INDEX(CPAT_Results!$A:$AD,MATCH($H36&amp;"_"&amp;$C36,CPAT_Results!$F:$F,0),MATCH(P$5,CPAT_Results!$1:$1,0))</f>
        <v>77.138999999999996</v>
      </c>
      <c r="Q36" s="146">
        <f>INDEX(CPAT_Results!$A:$AD,MATCH($H36&amp;"_"&amp;$C36,CPAT_Results!$F:$F,0),MATCH(Q$5,CPAT_Results!$1:$1,0))</f>
        <v>79.643000000000001</v>
      </c>
      <c r="R36" s="146">
        <f>INDEX(CPAT_Results!$A:$AD,MATCH($H36&amp;"_"&amp;$C36,CPAT_Results!$F:$F,0),MATCH(R$5,CPAT_Results!$1:$1,0))</f>
        <v>82.683999999999997</v>
      </c>
      <c r="S36" s="146">
        <f>INDEX(CPAT_Results!$A:$AD,MATCH($H36&amp;"_"&amp;$C36,CPAT_Results!$F:$F,0),MATCH(S$5,CPAT_Results!$1:$1,0))</f>
        <v>85.623000000000005</v>
      </c>
      <c r="T36" s="146">
        <f>INDEX(CPAT_Results!$A:$AD,MATCH($H36&amp;"_"&amp;$C36,CPAT_Results!$F:$F,0),MATCH(T$5,CPAT_Results!$1:$1,0))</f>
        <v>88.399000000000001</v>
      </c>
      <c r="U36" s="146">
        <f>INDEX(CPAT_Results!$A:$AD,MATCH($H36&amp;"_"&amp;$C36,CPAT_Results!$F:$F,0),MATCH(U$5,CPAT_Results!$1:$1,0))</f>
        <v>91.215999999999994</v>
      </c>
      <c r="V36" s="146">
        <f>INDEX(CPAT_Results!$A:$AD,MATCH($H36&amp;"_"&amp;$C36,CPAT_Results!$F:$F,0),MATCH(V$5,CPAT_Results!$1:$1,0))</f>
        <v>94.063000000000002</v>
      </c>
      <c r="W36" s="146">
        <f>INDEX(CPAT_Results!$A:$AD,MATCH($H36&amp;"_"&amp;$C36,CPAT_Results!$F:$F,0),MATCH(W$5,CPAT_Results!$1:$1,0))</f>
        <v>96.96</v>
      </c>
      <c r="X36" s="146">
        <f>INDEX(CPAT_Results!$A:$AD,MATCH($H36&amp;"_"&amp;$C36,CPAT_Results!$F:$F,0),MATCH(X$5,CPAT_Results!$1:$1,0))</f>
        <v>99.908000000000001</v>
      </c>
      <c r="Y36" s="146">
        <f>INDEX(CPAT_Results!$A:$AD,MATCH($H36&amp;"_"&amp;$C36,CPAT_Results!$F:$F,0),MATCH(Y$5,CPAT_Results!$1:$1,0))</f>
        <v>102.907</v>
      </c>
      <c r="Z36" s="146">
        <f>INDEX(CPAT_Results!$A:$AD,MATCH($H36&amp;"_"&amp;$C36,CPAT_Results!$F:$F,0),MATCH(Z$5,CPAT_Results!$1:$1,0))</f>
        <v>105.95399999999999</v>
      </c>
      <c r="AA36" s="146">
        <f>INDEX(CPAT_Results!$A:$AD,MATCH($H36&amp;"_"&amp;$C36,CPAT_Results!$F:$F,0),MATCH(AA$5,CPAT_Results!$1:$1,0))</f>
        <v>109.051</v>
      </c>
      <c r="AB36" s="146">
        <f>INDEX(CPAT_Results!$A:$AD,MATCH($H36&amp;"_"&amp;$C36,CPAT_Results!$F:$F,0),MATCH(AB$5,CPAT_Results!$1:$1,0))</f>
        <v>112.197</v>
      </c>
      <c r="AC36" s="146">
        <f>INDEX(CPAT_Results!$A:$AD,MATCH($H36&amp;"_"&amp;$C36,CPAT_Results!$F:$F,0),MATCH(AC$5,CPAT_Results!$1:$1,0))</f>
        <v>115.39100000000001</v>
      </c>
      <c r="AD36" s="146">
        <f>INDEX(CPAT_Results!$A:$AD,MATCH($H36&amp;"_"&amp;$C36,CPAT_Results!$F:$F,0),MATCH(AD$5,CPAT_Results!$1:$1,0))</f>
        <v>118.633</v>
      </c>
      <c r="AE36" s="146">
        <f>INDEX(CPAT_Results!$A:$AD,MATCH($H36&amp;"_"&amp;$C36,CPAT_Results!$F:$F,0),MATCH(AE$5,CPAT_Results!$1:$1,0))</f>
        <v>121.922</v>
      </c>
    </row>
    <row r="37" spans="2:31" x14ac:dyDescent="0.2">
      <c r="B37" s="112" t="s">
        <v>3308</v>
      </c>
      <c r="C37" s="112" t="s">
        <v>3265</v>
      </c>
      <c r="D37" s="112" t="s">
        <v>3304</v>
      </c>
      <c r="E37" s="112" t="s">
        <v>2065</v>
      </c>
      <c r="F37" s="112" t="s">
        <v>11682</v>
      </c>
      <c r="H37" s="116" t="s">
        <v>3305</v>
      </c>
      <c r="I37" s="5"/>
      <c r="J37" s="5"/>
      <c r="L37" s="146">
        <f>INDEX(CPAT_Results!$A:$AD,MATCH($H37&amp;"_"&amp;$C37,CPAT_Results!$F:$F,0),MATCH(L$5,CPAT_Results!$1:$1,0))</f>
        <v>59.633000000000003</v>
      </c>
      <c r="M37" s="146">
        <f>INDEX(CPAT_Results!$A:$AD,MATCH($H37&amp;"_"&amp;$C37,CPAT_Results!$F:$F,0),MATCH(M$5,CPAT_Results!$1:$1,0))</f>
        <v>58.865000000000002</v>
      </c>
      <c r="N37" s="146">
        <f>INDEX(CPAT_Results!$A:$AD,MATCH($H37&amp;"_"&amp;$C37,CPAT_Results!$F:$F,0),MATCH(N$5,CPAT_Results!$1:$1,0))</f>
        <v>69.37</v>
      </c>
      <c r="O37" s="146">
        <f>INDEX(CPAT_Results!$A:$AD,MATCH($H37&amp;"_"&amp;$C37,CPAT_Results!$F:$F,0),MATCH(O$5,CPAT_Results!$1:$1,0))</f>
        <v>74.998999999999995</v>
      </c>
      <c r="P37" s="146">
        <f>INDEX(CPAT_Results!$A:$AD,MATCH($H37&amp;"_"&amp;$C37,CPAT_Results!$F:$F,0),MATCH(P$5,CPAT_Results!$1:$1,0))</f>
        <v>77.138999999999996</v>
      </c>
      <c r="Q37" s="146">
        <f>INDEX(CPAT_Results!$A:$AD,MATCH($H37&amp;"_"&amp;$C37,CPAT_Results!$F:$F,0),MATCH(Q$5,CPAT_Results!$1:$1,0))</f>
        <v>79.643000000000001</v>
      </c>
      <c r="R37" s="146">
        <f>INDEX(CPAT_Results!$A:$AD,MATCH($H37&amp;"_"&amp;$C37,CPAT_Results!$F:$F,0),MATCH(R$5,CPAT_Results!$1:$1,0))</f>
        <v>82.683999999999997</v>
      </c>
      <c r="S37" s="146">
        <f>INDEX(CPAT_Results!$A:$AD,MATCH($H37&amp;"_"&amp;$C37,CPAT_Results!$F:$F,0),MATCH(S$5,CPAT_Results!$1:$1,0))</f>
        <v>85.623000000000005</v>
      </c>
      <c r="T37" s="146">
        <f>INDEX(CPAT_Results!$A:$AD,MATCH($H37&amp;"_"&amp;$C37,CPAT_Results!$F:$F,0),MATCH(T$5,CPAT_Results!$1:$1,0))</f>
        <v>88.399000000000001</v>
      </c>
      <c r="U37" s="146">
        <f>INDEX(CPAT_Results!$A:$AD,MATCH($H37&amp;"_"&amp;$C37,CPAT_Results!$F:$F,0),MATCH(U$5,CPAT_Results!$1:$1,0))</f>
        <v>91.215999999999994</v>
      </c>
      <c r="V37" s="146">
        <f>INDEX(CPAT_Results!$A:$AD,MATCH($H37&amp;"_"&amp;$C37,CPAT_Results!$F:$F,0),MATCH(V$5,CPAT_Results!$1:$1,0))</f>
        <v>94.063000000000002</v>
      </c>
      <c r="W37" s="146">
        <f>INDEX(CPAT_Results!$A:$AD,MATCH($H37&amp;"_"&amp;$C37,CPAT_Results!$F:$F,0),MATCH(W$5,CPAT_Results!$1:$1,0))</f>
        <v>96.96</v>
      </c>
      <c r="X37" s="146">
        <f>INDEX(CPAT_Results!$A:$AD,MATCH($H37&amp;"_"&amp;$C37,CPAT_Results!$F:$F,0),MATCH(X$5,CPAT_Results!$1:$1,0))</f>
        <v>99.908000000000001</v>
      </c>
      <c r="Y37" s="146">
        <f>INDEX(CPAT_Results!$A:$AD,MATCH($H37&amp;"_"&amp;$C37,CPAT_Results!$F:$F,0),MATCH(Y$5,CPAT_Results!$1:$1,0))</f>
        <v>102.907</v>
      </c>
      <c r="Z37" s="146">
        <f>INDEX(CPAT_Results!$A:$AD,MATCH($H37&amp;"_"&amp;$C37,CPAT_Results!$F:$F,0),MATCH(Z$5,CPAT_Results!$1:$1,0))</f>
        <v>105.95399999999999</v>
      </c>
      <c r="AA37" s="146">
        <f>INDEX(CPAT_Results!$A:$AD,MATCH($H37&amp;"_"&amp;$C37,CPAT_Results!$F:$F,0),MATCH(AA$5,CPAT_Results!$1:$1,0))</f>
        <v>109.051</v>
      </c>
      <c r="AB37" s="146">
        <f>INDEX(CPAT_Results!$A:$AD,MATCH($H37&amp;"_"&amp;$C37,CPAT_Results!$F:$F,0),MATCH(AB$5,CPAT_Results!$1:$1,0))</f>
        <v>112.197</v>
      </c>
      <c r="AC37" s="146">
        <f>INDEX(CPAT_Results!$A:$AD,MATCH($H37&amp;"_"&amp;$C37,CPAT_Results!$F:$F,0),MATCH(AC$5,CPAT_Results!$1:$1,0))</f>
        <v>115.39100000000001</v>
      </c>
      <c r="AD37" s="146">
        <f>INDEX(CPAT_Results!$A:$AD,MATCH($H37&amp;"_"&amp;$C37,CPAT_Results!$F:$F,0),MATCH(AD$5,CPAT_Results!$1:$1,0))</f>
        <v>118.633</v>
      </c>
      <c r="AE37" s="146">
        <f>INDEX(CPAT_Results!$A:$AD,MATCH($H37&amp;"_"&amp;$C37,CPAT_Results!$F:$F,0),MATCH(AE$5,CPAT_Results!$1:$1,0))</f>
        <v>121.922</v>
      </c>
    </row>
    <row r="38" spans="2:31" x14ac:dyDescent="0.2">
      <c r="B38" s="112" t="s">
        <v>3309</v>
      </c>
      <c r="C38" s="112" t="s">
        <v>3256</v>
      </c>
      <c r="D38" s="112" t="s">
        <v>3310</v>
      </c>
      <c r="E38" s="112" t="s">
        <v>2065</v>
      </c>
      <c r="F38" s="112" t="s">
        <v>11679</v>
      </c>
      <c r="H38" s="116" t="s">
        <v>3311</v>
      </c>
      <c r="I38" s="5"/>
      <c r="J38" s="5"/>
      <c r="L38" s="146">
        <f>INDEX(CPAT_Results!$A:$AD,MATCH($H38&amp;"_"&amp;$C38,CPAT_Results!$F:$F,0),MATCH(L$5,CPAT_Results!$1:$1,0))</f>
        <v>59.633000000000003</v>
      </c>
      <c r="M38" s="146">
        <f>INDEX(CPAT_Results!$A:$AD,MATCH($H38&amp;"_"&amp;$C38,CPAT_Results!$F:$F,0),MATCH(M$5,CPAT_Results!$1:$1,0))</f>
        <v>58.865000000000002</v>
      </c>
      <c r="N38" s="146">
        <f>INDEX(CPAT_Results!$A:$AD,MATCH($H38&amp;"_"&amp;$C38,CPAT_Results!$F:$F,0),MATCH(N$5,CPAT_Results!$1:$1,0))</f>
        <v>69.37</v>
      </c>
      <c r="O38" s="146">
        <f>INDEX(CPAT_Results!$A:$AD,MATCH($H38&amp;"_"&amp;$C38,CPAT_Results!$F:$F,0),MATCH(O$5,CPAT_Results!$1:$1,0))</f>
        <v>74.998999999999995</v>
      </c>
      <c r="P38" s="146">
        <f>INDEX(CPAT_Results!$A:$AD,MATCH($H38&amp;"_"&amp;$C38,CPAT_Results!$F:$F,0),MATCH(P$5,CPAT_Results!$1:$1,0))</f>
        <v>63.695</v>
      </c>
      <c r="Q38" s="146">
        <f>INDEX(CPAT_Results!$A:$AD,MATCH($H38&amp;"_"&amp;$C38,CPAT_Results!$F:$F,0),MATCH(Q$5,CPAT_Results!$1:$1,0))</f>
        <v>67.805999999999997</v>
      </c>
      <c r="R38" s="146">
        <f>INDEX(CPAT_Results!$A:$AD,MATCH($H38&amp;"_"&amp;$C38,CPAT_Results!$F:$F,0),MATCH(R$5,CPAT_Results!$1:$1,0))</f>
        <v>71.138999999999996</v>
      </c>
      <c r="S38" s="146">
        <f>INDEX(CPAT_Results!$A:$AD,MATCH($H38&amp;"_"&amp;$C38,CPAT_Results!$F:$F,0),MATCH(S$5,CPAT_Results!$1:$1,0))</f>
        <v>74.108999999999995</v>
      </c>
      <c r="T38" s="146">
        <f>INDEX(CPAT_Results!$A:$AD,MATCH($H38&amp;"_"&amp;$C38,CPAT_Results!$F:$F,0),MATCH(T$5,CPAT_Results!$1:$1,0))</f>
        <v>76.585999999999999</v>
      </c>
      <c r="U38" s="146">
        <f>INDEX(CPAT_Results!$A:$AD,MATCH($H38&amp;"_"&amp;$C38,CPAT_Results!$F:$F,0),MATCH(U$5,CPAT_Results!$1:$1,0))</f>
        <v>79.022999999999996</v>
      </c>
      <c r="V38" s="146">
        <f>INDEX(CPAT_Results!$A:$AD,MATCH($H38&amp;"_"&amp;$C38,CPAT_Results!$F:$F,0),MATCH(V$5,CPAT_Results!$1:$1,0))</f>
        <v>81.554000000000002</v>
      </c>
      <c r="W38" s="146">
        <f>INDEX(CPAT_Results!$A:$AD,MATCH($H38&amp;"_"&amp;$C38,CPAT_Results!$F:$F,0),MATCH(W$5,CPAT_Results!$1:$1,0))</f>
        <v>84.182000000000002</v>
      </c>
      <c r="X38" s="146">
        <f>INDEX(CPAT_Results!$A:$AD,MATCH($H38&amp;"_"&amp;$C38,CPAT_Results!$F:$F,0),MATCH(X$5,CPAT_Results!$1:$1,0))</f>
        <v>86.926000000000002</v>
      </c>
      <c r="Y38" s="146">
        <f>INDEX(CPAT_Results!$A:$AD,MATCH($H38&amp;"_"&amp;$C38,CPAT_Results!$F:$F,0),MATCH(Y$5,CPAT_Results!$1:$1,0))</f>
        <v>89.826999999999998</v>
      </c>
      <c r="Z38" s="146">
        <f>INDEX(CPAT_Results!$A:$AD,MATCH($H38&amp;"_"&amp;$C38,CPAT_Results!$F:$F,0),MATCH(Z$5,CPAT_Results!$1:$1,0))</f>
        <v>92.858000000000004</v>
      </c>
      <c r="AA38" s="146">
        <f>INDEX(CPAT_Results!$A:$AD,MATCH($H38&amp;"_"&amp;$C38,CPAT_Results!$F:$F,0),MATCH(AA$5,CPAT_Results!$1:$1,0))</f>
        <v>96.013000000000005</v>
      </c>
      <c r="AB38" s="146">
        <f>INDEX(CPAT_Results!$A:$AD,MATCH($H38&amp;"_"&amp;$C38,CPAT_Results!$F:$F,0),MATCH(AB$5,CPAT_Results!$1:$1,0))</f>
        <v>99.256</v>
      </c>
      <c r="AC38" s="146">
        <f>INDEX(CPAT_Results!$A:$AD,MATCH($H38&amp;"_"&amp;$C38,CPAT_Results!$F:$F,0),MATCH(AC$5,CPAT_Results!$1:$1,0))</f>
        <v>102.586</v>
      </c>
      <c r="AD38" s="146">
        <f>INDEX(CPAT_Results!$A:$AD,MATCH($H38&amp;"_"&amp;$C38,CPAT_Results!$F:$F,0),MATCH(AD$5,CPAT_Results!$1:$1,0))</f>
        <v>106.008</v>
      </c>
      <c r="AE38" s="146">
        <f>INDEX(CPAT_Results!$A:$AD,MATCH($H38&amp;"_"&amp;$C38,CPAT_Results!$F:$F,0),MATCH(AE$5,CPAT_Results!$1:$1,0))</f>
        <v>109.52200000000001</v>
      </c>
    </row>
    <row r="39" spans="2:31" x14ac:dyDescent="0.2">
      <c r="B39" s="112" t="s">
        <v>3312</v>
      </c>
      <c r="C39" s="112" t="s">
        <v>3261</v>
      </c>
      <c r="D39" s="112" t="s">
        <v>3310</v>
      </c>
      <c r="E39" s="112" t="s">
        <v>2065</v>
      </c>
      <c r="F39" s="112" t="s">
        <v>11680</v>
      </c>
      <c r="H39" s="116" t="s">
        <v>3311</v>
      </c>
      <c r="I39" s="5"/>
      <c r="J39" s="5"/>
      <c r="L39" s="146">
        <f>INDEX(CPAT_Results!$A:$AD,MATCH($H39&amp;"_"&amp;$C39,CPAT_Results!$F:$F,0),MATCH(L$5,CPAT_Results!$1:$1,0))</f>
        <v>59.633000000000003</v>
      </c>
      <c r="M39" s="146">
        <f>INDEX(CPAT_Results!$A:$AD,MATCH($H39&amp;"_"&amp;$C39,CPAT_Results!$F:$F,0),MATCH(M$5,CPAT_Results!$1:$1,0))</f>
        <v>58.865000000000002</v>
      </c>
      <c r="N39" s="146">
        <f>INDEX(CPAT_Results!$A:$AD,MATCH($H39&amp;"_"&amp;$C39,CPAT_Results!$F:$F,0),MATCH(N$5,CPAT_Results!$1:$1,0))</f>
        <v>69.37</v>
      </c>
      <c r="O39" s="146">
        <f>INDEX(CPAT_Results!$A:$AD,MATCH($H39&amp;"_"&amp;$C39,CPAT_Results!$F:$F,0),MATCH(O$5,CPAT_Results!$1:$1,0))</f>
        <v>74.998999999999995</v>
      </c>
      <c r="P39" s="146">
        <f>INDEX(CPAT_Results!$A:$AD,MATCH($H39&amp;"_"&amp;$C39,CPAT_Results!$F:$F,0),MATCH(P$5,CPAT_Results!$1:$1,0))</f>
        <v>77.138999999999996</v>
      </c>
      <c r="Q39" s="146">
        <f>INDEX(CPAT_Results!$A:$AD,MATCH($H39&amp;"_"&amp;$C39,CPAT_Results!$F:$F,0),MATCH(Q$5,CPAT_Results!$1:$1,0))</f>
        <v>79.643000000000001</v>
      </c>
      <c r="R39" s="146">
        <f>INDEX(CPAT_Results!$A:$AD,MATCH($H39&amp;"_"&amp;$C39,CPAT_Results!$F:$F,0),MATCH(R$5,CPAT_Results!$1:$1,0))</f>
        <v>82.683999999999997</v>
      </c>
      <c r="S39" s="146">
        <f>INDEX(CPAT_Results!$A:$AD,MATCH($H39&amp;"_"&amp;$C39,CPAT_Results!$F:$F,0),MATCH(S$5,CPAT_Results!$1:$1,0))</f>
        <v>85.629000000000005</v>
      </c>
      <c r="T39" s="146">
        <f>INDEX(CPAT_Results!$A:$AD,MATCH($H39&amp;"_"&amp;$C39,CPAT_Results!$F:$F,0),MATCH(T$5,CPAT_Results!$1:$1,0))</f>
        <v>88.406000000000006</v>
      </c>
      <c r="U39" s="146">
        <f>INDEX(CPAT_Results!$A:$AD,MATCH($H39&amp;"_"&amp;$C39,CPAT_Results!$F:$F,0),MATCH(U$5,CPAT_Results!$1:$1,0))</f>
        <v>91.212999999999994</v>
      </c>
      <c r="V39" s="146">
        <f>INDEX(CPAT_Results!$A:$AD,MATCH($H39&amp;"_"&amp;$C39,CPAT_Results!$F:$F,0),MATCH(V$5,CPAT_Results!$1:$1,0))</f>
        <v>94.037999999999997</v>
      </c>
      <c r="W39" s="146">
        <f>INDEX(CPAT_Results!$A:$AD,MATCH($H39&amp;"_"&amp;$C39,CPAT_Results!$F:$F,0),MATCH(W$5,CPAT_Results!$1:$1,0))</f>
        <v>96.903999999999996</v>
      </c>
      <c r="X39" s="146">
        <f>INDEX(CPAT_Results!$A:$AD,MATCH($H39&amp;"_"&amp;$C39,CPAT_Results!$F:$F,0),MATCH(X$5,CPAT_Results!$1:$1,0))</f>
        <v>99.834000000000003</v>
      </c>
      <c r="Y39" s="146">
        <f>INDEX(CPAT_Results!$A:$AD,MATCH($H39&amp;"_"&amp;$C39,CPAT_Results!$F:$F,0),MATCH(Y$5,CPAT_Results!$1:$1,0))</f>
        <v>102.842</v>
      </c>
      <c r="Z39" s="146">
        <f>INDEX(CPAT_Results!$A:$AD,MATCH($H39&amp;"_"&amp;$C39,CPAT_Results!$F:$F,0),MATCH(Z$5,CPAT_Results!$1:$1,0))</f>
        <v>105.94799999999999</v>
      </c>
      <c r="AA39" s="146">
        <f>INDEX(CPAT_Results!$A:$AD,MATCH($H39&amp;"_"&amp;$C39,CPAT_Results!$F:$F,0),MATCH(AA$5,CPAT_Results!$1:$1,0))</f>
        <v>109.17700000000001</v>
      </c>
      <c r="AB39" s="146">
        <f>INDEX(CPAT_Results!$A:$AD,MATCH($H39&amp;"_"&amp;$C39,CPAT_Results!$F:$F,0),MATCH(AB$5,CPAT_Results!$1:$1,0))</f>
        <v>112.55500000000001</v>
      </c>
      <c r="AC39" s="146">
        <f>INDEX(CPAT_Results!$A:$AD,MATCH($H39&amp;"_"&amp;$C39,CPAT_Results!$F:$F,0),MATCH(AC$5,CPAT_Results!$1:$1,0))</f>
        <v>116.09699999999999</v>
      </c>
      <c r="AD39" s="146">
        <f>INDEX(CPAT_Results!$A:$AD,MATCH($H39&amp;"_"&amp;$C39,CPAT_Results!$F:$F,0),MATCH(AD$5,CPAT_Results!$1:$1,0))</f>
        <v>119.812</v>
      </c>
      <c r="AE39" s="146">
        <f>INDEX(CPAT_Results!$A:$AD,MATCH($H39&amp;"_"&amp;$C39,CPAT_Results!$F:$F,0),MATCH(AE$5,CPAT_Results!$1:$1,0))</f>
        <v>123.69</v>
      </c>
    </row>
    <row r="40" spans="2:31" x14ac:dyDescent="0.2">
      <c r="B40" s="112" t="s">
        <v>3313</v>
      </c>
      <c r="C40" s="112" t="s">
        <v>3263</v>
      </c>
      <c r="D40" s="112" t="s">
        <v>3310</v>
      </c>
      <c r="E40" s="112" t="s">
        <v>2065</v>
      </c>
      <c r="F40" s="112" t="s">
        <v>11681</v>
      </c>
      <c r="H40" s="116" t="s">
        <v>3311</v>
      </c>
      <c r="I40" s="5"/>
      <c r="J40" s="5"/>
      <c r="L40" s="146">
        <f>INDEX(CPAT_Results!$A:$AD,MATCH($H40&amp;"_"&amp;$C40,CPAT_Results!$F:$F,0),MATCH(L$5,CPAT_Results!$1:$1,0))</f>
        <v>59.633000000000003</v>
      </c>
      <c r="M40" s="146">
        <f>INDEX(CPAT_Results!$A:$AD,MATCH($H40&amp;"_"&amp;$C40,CPAT_Results!$F:$F,0),MATCH(M$5,CPAT_Results!$1:$1,0))</f>
        <v>58.865000000000002</v>
      </c>
      <c r="N40" s="146">
        <f>INDEX(CPAT_Results!$A:$AD,MATCH($H40&amp;"_"&amp;$C40,CPAT_Results!$F:$F,0),MATCH(N$5,CPAT_Results!$1:$1,0))</f>
        <v>69.37</v>
      </c>
      <c r="O40" s="146">
        <f>INDEX(CPAT_Results!$A:$AD,MATCH($H40&amp;"_"&amp;$C40,CPAT_Results!$F:$F,0),MATCH(O$5,CPAT_Results!$1:$1,0))</f>
        <v>74.998999999999995</v>
      </c>
      <c r="P40" s="146">
        <f>INDEX(CPAT_Results!$A:$AD,MATCH($H40&amp;"_"&amp;$C40,CPAT_Results!$F:$F,0),MATCH(P$5,CPAT_Results!$1:$1,0))</f>
        <v>71.736000000000004</v>
      </c>
      <c r="Q40" s="146">
        <f>INDEX(CPAT_Results!$A:$AD,MATCH($H40&amp;"_"&amp;$C40,CPAT_Results!$F:$F,0),MATCH(Q$5,CPAT_Results!$1:$1,0))</f>
        <v>74.347999999999999</v>
      </c>
      <c r="R40" s="146">
        <f>INDEX(CPAT_Results!$A:$AD,MATCH($H40&amp;"_"&amp;$C40,CPAT_Results!$F:$F,0),MATCH(R$5,CPAT_Results!$1:$1,0))</f>
        <v>75.843999999999994</v>
      </c>
      <c r="S40" s="146">
        <f>INDEX(CPAT_Results!$A:$AD,MATCH($H40&amp;"_"&amp;$C40,CPAT_Results!$F:$F,0),MATCH(S$5,CPAT_Results!$1:$1,0))</f>
        <v>76.596000000000004</v>
      </c>
      <c r="T40" s="146">
        <f>INDEX(CPAT_Results!$A:$AD,MATCH($H40&amp;"_"&amp;$C40,CPAT_Results!$F:$F,0),MATCH(T$5,CPAT_Results!$1:$1,0))</f>
        <v>77.168000000000006</v>
      </c>
      <c r="U40" s="146">
        <f>INDEX(CPAT_Results!$A:$AD,MATCH($H40&amp;"_"&amp;$C40,CPAT_Results!$F:$F,0),MATCH(U$5,CPAT_Results!$1:$1,0))</f>
        <v>77.837999999999994</v>
      </c>
      <c r="V40" s="146">
        <f>INDEX(CPAT_Results!$A:$AD,MATCH($H40&amp;"_"&amp;$C40,CPAT_Results!$F:$F,0),MATCH(V$5,CPAT_Results!$1:$1,0))</f>
        <v>78.245999999999995</v>
      </c>
      <c r="W40" s="146">
        <f>INDEX(CPAT_Results!$A:$AD,MATCH($H40&amp;"_"&amp;$C40,CPAT_Results!$F:$F,0),MATCH(W$5,CPAT_Results!$1:$1,0))</f>
        <v>78.77</v>
      </c>
      <c r="X40" s="146">
        <f>INDEX(CPAT_Results!$A:$AD,MATCH($H40&amp;"_"&amp;$C40,CPAT_Results!$F:$F,0),MATCH(X$5,CPAT_Results!$1:$1,0))</f>
        <v>79.394999999999996</v>
      </c>
      <c r="Y40" s="146">
        <f>INDEX(CPAT_Results!$A:$AD,MATCH($H40&amp;"_"&amp;$C40,CPAT_Results!$F:$F,0),MATCH(Y$5,CPAT_Results!$1:$1,0))</f>
        <v>80.117000000000004</v>
      </c>
      <c r="Z40" s="146">
        <f>INDEX(CPAT_Results!$A:$AD,MATCH($H40&amp;"_"&amp;$C40,CPAT_Results!$F:$F,0),MATCH(Z$5,CPAT_Results!$1:$1,0))</f>
        <v>80.921000000000006</v>
      </c>
      <c r="AA40" s="146">
        <f>INDEX(CPAT_Results!$A:$AD,MATCH($H40&amp;"_"&amp;$C40,CPAT_Results!$F:$F,0),MATCH(AA$5,CPAT_Results!$1:$1,0))</f>
        <v>81.802999999999997</v>
      </c>
      <c r="AB40" s="146">
        <f>INDEX(CPAT_Results!$A:$AD,MATCH($H40&amp;"_"&amp;$C40,CPAT_Results!$F:$F,0),MATCH(AB$5,CPAT_Results!$1:$1,0))</f>
        <v>82.754999999999995</v>
      </c>
      <c r="AC40" s="146">
        <f>INDEX(CPAT_Results!$A:$AD,MATCH($H40&amp;"_"&amp;$C40,CPAT_Results!$F:$F,0),MATCH(AC$5,CPAT_Results!$1:$1,0))</f>
        <v>83.772000000000006</v>
      </c>
      <c r="AD40" s="146">
        <f>INDEX(CPAT_Results!$A:$AD,MATCH($H40&amp;"_"&amp;$C40,CPAT_Results!$F:$F,0),MATCH(AD$5,CPAT_Results!$1:$1,0))</f>
        <v>84.852999999999994</v>
      </c>
      <c r="AE40" s="146">
        <f>INDEX(CPAT_Results!$A:$AD,MATCH($H40&amp;"_"&amp;$C40,CPAT_Results!$F:$F,0),MATCH(AE$5,CPAT_Results!$1:$1,0))</f>
        <v>85.992000000000004</v>
      </c>
    </row>
    <row r="41" spans="2:31" x14ac:dyDescent="0.2">
      <c r="B41" s="112" t="s">
        <v>3314</v>
      </c>
      <c r="C41" s="112" t="s">
        <v>3265</v>
      </c>
      <c r="D41" s="112" t="s">
        <v>3310</v>
      </c>
      <c r="E41" s="112" t="s">
        <v>2065</v>
      </c>
      <c r="F41" s="112" t="s">
        <v>11682</v>
      </c>
      <c r="H41" s="116" t="s">
        <v>3311</v>
      </c>
      <c r="I41" s="5"/>
      <c r="J41" s="5"/>
      <c r="L41" s="146">
        <f>INDEX(CPAT_Results!$A:$AD,MATCH($H41&amp;"_"&amp;$C41,CPAT_Results!$F:$F,0),MATCH(L$5,CPAT_Results!$1:$1,0))</f>
        <v>59.633000000000003</v>
      </c>
      <c r="M41" s="146">
        <f>INDEX(CPAT_Results!$A:$AD,MATCH($H41&amp;"_"&amp;$C41,CPAT_Results!$F:$F,0),MATCH(M$5,CPAT_Results!$1:$1,0))</f>
        <v>58.865000000000002</v>
      </c>
      <c r="N41" s="146">
        <f>INDEX(CPAT_Results!$A:$AD,MATCH($H41&amp;"_"&amp;$C41,CPAT_Results!$F:$F,0),MATCH(N$5,CPAT_Results!$1:$1,0))</f>
        <v>69.37</v>
      </c>
      <c r="O41" s="146">
        <f>INDEX(CPAT_Results!$A:$AD,MATCH($H41&amp;"_"&amp;$C41,CPAT_Results!$F:$F,0),MATCH(O$5,CPAT_Results!$1:$1,0))</f>
        <v>74.998999999999995</v>
      </c>
      <c r="P41" s="146">
        <f>INDEX(CPAT_Results!$A:$AD,MATCH($H41&amp;"_"&amp;$C41,CPAT_Results!$F:$F,0),MATCH(P$5,CPAT_Results!$1:$1,0))</f>
        <v>77.138999999999996</v>
      </c>
      <c r="Q41" s="146">
        <f>INDEX(CPAT_Results!$A:$AD,MATCH($H41&amp;"_"&amp;$C41,CPAT_Results!$F:$F,0),MATCH(Q$5,CPAT_Results!$1:$1,0))</f>
        <v>79.643000000000001</v>
      </c>
      <c r="R41" s="146">
        <f>INDEX(CPAT_Results!$A:$AD,MATCH($H41&amp;"_"&amp;$C41,CPAT_Results!$F:$F,0),MATCH(R$5,CPAT_Results!$1:$1,0))</f>
        <v>82.322000000000003</v>
      </c>
      <c r="S41" s="146">
        <f>INDEX(CPAT_Results!$A:$AD,MATCH($H41&amp;"_"&amp;$C41,CPAT_Results!$F:$F,0),MATCH(S$5,CPAT_Results!$1:$1,0))</f>
        <v>85.061999999999998</v>
      </c>
      <c r="T41" s="146">
        <f>INDEX(CPAT_Results!$A:$AD,MATCH($H41&amp;"_"&amp;$C41,CPAT_Results!$F:$F,0),MATCH(T$5,CPAT_Results!$1:$1,0))</f>
        <v>87.748000000000005</v>
      </c>
      <c r="U41" s="146">
        <f>INDEX(CPAT_Results!$A:$AD,MATCH($H41&amp;"_"&amp;$C41,CPAT_Results!$F:$F,0),MATCH(U$5,CPAT_Results!$1:$1,0))</f>
        <v>90.558000000000007</v>
      </c>
      <c r="V41" s="146">
        <f>INDEX(CPAT_Results!$A:$AD,MATCH($H41&amp;"_"&amp;$C41,CPAT_Results!$F:$F,0),MATCH(V$5,CPAT_Results!$1:$1,0))</f>
        <v>93.468000000000004</v>
      </c>
      <c r="W41" s="146">
        <f>INDEX(CPAT_Results!$A:$AD,MATCH($H41&amp;"_"&amp;$C41,CPAT_Results!$F:$F,0),MATCH(W$5,CPAT_Results!$1:$1,0))</f>
        <v>96.489000000000004</v>
      </c>
      <c r="X41" s="146">
        <f>INDEX(CPAT_Results!$A:$AD,MATCH($H41&amp;"_"&amp;$C41,CPAT_Results!$F:$F,0),MATCH(X$5,CPAT_Results!$1:$1,0))</f>
        <v>99.623000000000005</v>
      </c>
      <c r="Y41" s="146">
        <f>INDEX(CPAT_Results!$A:$AD,MATCH($H41&amp;"_"&amp;$C41,CPAT_Results!$F:$F,0),MATCH(Y$5,CPAT_Results!$1:$1,0))</f>
        <v>102.878</v>
      </c>
      <c r="Z41" s="146">
        <f>INDEX(CPAT_Results!$A:$AD,MATCH($H41&amp;"_"&amp;$C41,CPAT_Results!$F:$F,0),MATCH(Z$5,CPAT_Results!$1:$1,0))</f>
        <v>105.92700000000001</v>
      </c>
      <c r="AA41" s="146">
        <f>INDEX(CPAT_Results!$A:$AD,MATCH($H41&amp;"_"&amp;$C41,CPAT_Results!$F:$F,0),MATCH(AA$5,CPAT_Results!$1:$1,0))</f>
        <v>109.039</v>
      </c>
      <c r="AB41" s="146">
        <f>INDEX(CPAT_Results!$A:$AD,MATCH($H41&amp;"_"&amp;$C41,CPAT_Results!$F:$F,0),MATCH(AB$5,CPAT_Results!$1:$1,0))</f>
        <v>112.23699999999999</v>
      </c>
      <c r="AC41" s="146">
        <f>INDEX(CPAT_Results!$A:$AD,MATCH($H41&amp;"_"&amp;$C41,CPAT_Results!$F:$F,0),MATCH(AC$5,CPAT_Results!$1:$1,0))</f>
        <v>115.53400000000001</v>
      </c>
      <c r="AD41" s="146">
        <f>INDEX(CPAT_Results!$A:$AD,MATCH($H41&amp;"_"&amp;$C41,CPAT_Results!$F:$F,0),MATCH(AD$5,CPAT_Results!$1:$1,0))</f>
        <v>118.947</v>
      </c>
      <c r="AE41" s="146">
        <f>INDEX(CPAT_Results!$A:$AD,MATCH($H41&amp;"_"&amp;$C41,CPAT_Results!$F:$F,0),MATCH(AE$5,CPAT_Results!$1:$1,0))</f>
        <v>122.482</v>
      </c>
    </row>
    <row r="42" spans="2:31" x14ac:dyDescent="0.2">
      <c r="B42" s="112" t="s">
        <v>3315</v>
      </c>
      <c r="C42" s="112" t="s">
        <v>3256</v>
      </c>
      <c r="D42" s="112" t="s">
        <v>3316</v>
      </c>
      <c r="E42" s="112" t="s">
        <v>2065</v>
      </c>
      <c r="F42" s="112" t="s">
        <v>11679</v>
      </c>
      <c r="H42" s="116" t="s">
        <v>3317</v>
      </c>
      <c r="I42" s="5"/>
      <c r="J42" s="5"/>
      <c r="L42" s="146">
        <f>INDEX(CPAT_Results!$A:$AD,MATCH($H42&amp;"_"&amp;$C42,CPAT_Results!$F:$F,0),MATCH(L$5,CPAT_Results!$1:$1,0))</f>
        <v>82.215000000000003</v>
      </c>
      <c r="M42" s="146">
        <f>INDEX(CPAT_Results!$A:$AD,MATCH($H42&amp;"_"&amp;$C42,CPAT_Results!$F:$F,0),MATCH(M$5,CPAT_Results!$1:$1,0))</f>
        <v>78.528000000000006</v>
      </c>
      <c r="N42" s="146">
        <f>INDEX(CPAT_Results!$A:$AD,MATCH($H42&amp;"_"&amp;$C42,CPAT_Results!$F:$F,0),MATCH(N$5,CPAT_Results!$1:$1,0))</f>
        <v>90.745999999999995</v>
      </c>
      <c r="O42" s="146">
        <f>INDEX(CPAT_Results!$A:$AD,MATCH($H42&amp;"_"&amp;$C42,CPAT_Results!$F:$F,0),MATCH(O$5,CPAT_Results!$1:$1,0))</f>
        <v>95.173000000000002</v>
      </c>
      <c r="P42" s="146">
        <f>INDEX(CPAT_Results!$A:$AD,MATCH($H42&amp;"_"&amp;$C42,CPAT_Results!$F:$F,0),MATCH(P$5,CPAT_Results!$1:$1,0))</f>
        <v>92.543999999999997</v>
      </c>
      <c r="Q42" s="146">
        <f>INDEX(CPAT_Results!$A:$AD,MATCH($H42&amp;"_"&amp;$C42,CPAT_Results!$F:$F,0),MATCH(Q$5,CPAT_Results!$1:$1,0))</f>
        <v>91.198999999999998</v>
      </c>
      <c r="R42" s="146">
        <f>INDEX(CPAT_Results!$A:$AD,MATCH($H42&amp;"_"&amp;$C42,CPAT_Results!$F:$F,0),MATCH(R$5,CPAT_Results!$1:$1,0))</f>
        <v>92.68</v>
      </c>
      <c r="S42" s="146">
        <f>INDEX(CPAT_Results!$A:$AD,MATCH($H42&amp;"_"&amp;$C42,CPAT_Results!$F:$F,0),MATCH(S$5,CPAT_Results!$1:$1,0))</f>
        <v>94.536000000000001</v>
      </c>
      <c r="T42" s="146">
        <f>INDEX(CPAT_Results!$A:$AD,MATCH($H42&amp;"_"&amp;$C42,CPAT_Results!$F:$F,0),MATCH(T$5,CPAT_Results!$1:$1,0))</f>
        <v>96.091999999999999</v>
      </c>
      <c r="U42" s="146">
        <f>INDEX(CPAT_Results!$A:$AD,MATCH($H42&amp;"_"&amp;$C42,CPAT_Results!$F:$F,0),MATCH(U$5,CPAT_Results!$1:$1,0))</f>
        <v>97.725999999999999</v>
      </c>
      <c r="V42" s="146">
        <f>INDEX(CPAT_Results!$A:$AD,MATCH($H42&amp;"_"&amp;$C42,CPAT_Results!$F:$F,0),MATCH(V$5,CPAT_Results!$1:$1,0))</f>
        <v>99.531000000000006</v>
      </c>
      <c r="W42" s="146">
        <f>INDEX(CPAT_Results!$A:$AD,MATCH($H42&amp;"_"&amp;$C42,CPAT_Results!$F:$F,0),MATCH(W$5,CPAT_Results!$1:$1,0))</f>
        <v>101.702</v>
      </c>
      <c r="X42" s="146">
        <f>INDEX(CPAT_Results!$A:$AD,MATCH($H42&amp;"_"&amp;$C42,CPAT_Results!$F:$F,0),MATCH(X$5,CPAT_Results!$1:$1,0))</f>
        <v>104.23099999999999</v>
      </c>
      <c r="Y42" s="146">
        <f>INDEX(CPAT_Results!$A:$AD,MATCH($H42&amp;"_"&amp;$C42,CPAT_Results!$F:$F,0),MATCH(Y$5,CPAT_Results!$1:$1,0))</f>
        <v>107.23399999999999</v>
      </c>
      <c r="Z42" s="146">
        <f>INDEX(CPAT_Results!$A:$AD,MATCH($H42&amp;"_"&amp;$C42,CPAT_Results!$F:$F,0),MATCH(Z$5,CPAT_Results!$1:$1,0))</f>
        <v>110.72499999999999</v>
      </c>
      <c r="AA42" s="146">
        <f>INDEX(CPAT_Results!$A:$AD,MATCH($H42&amp;"_"&amp;$C42,CPAT_Results!$F:$F,0),MATCH(AA$5,CPAT_Results!$1:$1,0))</f>
        <v>114.83499999999999</v>
      </c>
      <c r="AB42" s="146">
        <f>INDEX(CPAT_Results!$A:$AD,MATCH($H42&amp;"_"&amp;$C42,CPAT_Results!$F:$F,0),MATCH(AB$5,CPAT_Results!$1:$1,0))</f>
        <v>119.66200000000001</v>
      </c>
      <c r="AC42" s="146">
        <f>INDEX(CPAT_Results!$A:$AD,MATCH($H42&amp;"_"&amp;$C42,CPAT_Results!$F:$F,0),MATCH(AC$5,CPAT_Results!$1:$1,0))</f>
        <v>125.354</v>
      </c>
      <c r="AD42" s="146">
        <f>INDEX(CPAT_Results!$A:$AD,MATCH($H42&amp;"_"&amp;$C42,CPAT_Results!$F:$F,0),MATCH(AD$5,CPAT_Results!$1:$1,0))</f>
        <v>132.08099999999999</v>
      </c>
      <c r="AE42" s="146">
        <f>INDEX(CPAT_Results!$A:$AD,MATCH($H42&amp;"_"&amp;$C42,CPAT_Results!$F:$F,0),MATCH(AE$5,CPAT_Results!$1:$1,0))</f>
        <v>138.85300000000001</v>
      </c>
    </row>
    <row r="43" spans="2:31" x14ac:dyDescent="0.2">
      <c r="B43" s="112" t="s">
        <v>3318</v>
      </c>
      <c r="C43" s="112" t="s">
        <v>3261</v>
      </c>
      <c r="D43" s="112" t="s">
        <v>3316</v>
      </c>
      <c r="E43" s="112" t="s">
        <v>2065</v>
      </c>
      <c r="F43" s="112" t="s">
        <v>11680</v>
      </c>
      <c r="H43" s="116" t="s">
        <v>3317</v>
      </c>
      <c r="I43" s="5"/>
      <c r="J43" s="5"/>
      <c r="L43" s="146">
        <f>INDEX(CPAT_Results!$A:$AD,MATCH($H43&amp;"_"&amp;$C43,CPAT_Results!$F:$F,0),MATCH(L$5,CPAT_Results!$1:$1,0))</f>
        <v>82.215000000000003</v>
      </c>
      <c r="M43" s="146">
        <f>INDEX(CPAT_Results!$A:$AD,MATCH($H43&amp;"_"&amp;$C43,CPAT_Results!$F:$F,0),MATCH(M$5,CPAT_Results!$1:$1,0))</f>
        <v>78.528000000000006</v>
      </c>
      <c r="N43" s="146">
        <f>INDEX(CPAT_Results!$A:$AD,MATCH($H43&amp;"_"&amp;$C43,CPAT_Results!$F:$F,0),MATCH(N$5,CPAT_Results!$1:$1,0))</f>
        <v>90.745999999999995</v>
      </c>
      <c r="O43" s="146">
        <f>INDEX(CPAT_Results!$A:$AD,MATCH($H43&amp;"_"&amp;$C43,CPAT_Results!$F:$F,0),MATCH(O$5,CPAT_Results!$1:$1,0))</f>
        <v>95.173000000000002</v>
      </c>
      <c r="P43" s="146">
        <f>INDEX(CPAT_Results!$A:$AD,MATCH($H43&amp;"_"&amp;$C43,CPAT_Results!$F:$F,0),MATCH(P$5,CPAT_Results!$1:$1,0))</f>
        <v>92.543999999999997</v>
      </c>
      <c r="Q43" s="146">
        <f>INDEX(CPAT_Results!$A:$AD,MATCH($H43&amp;"_"&amp;$C43,CPAT_Results!$F:$F,0),MATCH(Q$5,CPAT_Results!$1:$1,0))</f>
        <v>91.198999999999998</v>
      </c>
      <c r="R43" s="146">
        <f>INDEX(CPAT_Results!$A:$AD,MATCH($H43&amp;"_"&amp;$C43,CPAT_Results!$F:$F,0),MATCH(R$5,CPAT_Results!$1:$1,0))</f>
        <v>92.68</v>
      </c>
      <c r="S43" s="146">
        <f>INDEX(CPAT_Results!$A:$AD,MATCH($H43&amp;"_"&amp;$C43,CPAT_Results!$F:$F,0),MATCH(S$5,CPAT_Results!$1:$1,0))</f>
        <v>94.536000000000001</v>
      </c>
      <c r="T43" s="146">
        <f>INDEX(CPAT_Results!$A:$AD,MATCH($H43&amp;"_"&amp;$C43,CPAT_Results!$F:$F,0),MATCH(T$5,CPAT_Results!$1:$1,0))</f>
        <v>96.091999999999999</v>
      </c>
      <c r="U43" s="146">
        <f>INDEX(CPAT_Results!$A:$AD,MATCH($H43&amp;"_"&amp;$C43,CPAT_Results!$F:$F,0),MATCH(U$5,CPAT_Results!$1:$1,0))</f>
        <v>97.725999999999999</v>
      </c>
      <c r="V43" s="146">
        <f>INDEX(CPAT_Results!$A:$AD,MATCH($H43&amp;"_"&amp;$C43,CPAT_Results!$F:$F,0),MATCH(V$5,CPAT_Results!$1:$1,0))</f>
        <v>99.531000000000006</v>
      </c>
      <c r="W43" s="146">
        <f>INDEX(CPAT_Results!$A:$AD,MATCH($H43&amp;"_"&amp;$C43,CPAT_Results!$F:$F,0),MATCH(W$5,CPAT_Results!$1:$1,0))</f>
        <v>101.702</v>
      </c>
      <c r="X43" s="146">
        <f>INDEX(CPAT_Results!$A:$AD,MATCH($H43&amp;"_"&amp;$C43,CPAT_Results!$F:$F,0),MATCH(X$5,CPAT_Results!$1:$1,0))</f>
        <v>104.23099999999999</v>
      </c>
      <c r="Y43" s="146">
        <f>INDEX(CPAT_Results!$A:$AD,MATCH($H43&amp;"_"&amp;$C43,CPAT_Results!$F:$F,0),MATCH(Y$5,CPAT_Results!$1:$1,0))</f>
        <v>107.23399999999999</v>
      </c>
      <c r="Z43" s="146">
        <f>INDEX(CPAT_Results!$A:$AD,MATCH($H43&amp;"_"&amp;$C43,CPAT_Results!$F:$F,0),MATCH(Z$5,CPAT_Results!$1:$1,0))</f>
        <v>110.72499999999999</v>
      </c>
      <c r="AA43" s="146">
        <f>INDEX(CPAT_Results!$A:$AD,MATCH($H43&amp;"_"&amp;$C43,CPAT_Results!$F:$F,0),MATCH(AA$5,CPAT_Results!$1:$1,0))</f>
        <v>114.83499999999999</v>
      </c>
      <c r="AB43" s="146">
        <f>INDEX(CPAT_Results!$A:$AD,MATCH($H43&amp;"_"&amp;$C43,CPAT_Results!$F:$F,0),MATCH(AB$5,CPAT_Results!$1:$1,0))</f>
        <v>119.66200000000001</v>
      </c>
      <c r="AC43" s="146">
        <f>INDEX(CPAT_Results!$A:$AD,MATCH($H43&amp;"_"&amp;$C43,CPAT_Results!$F:$F,0),MATCH(AC$5,CPAT_Results!$1:$1,0))</f>
        <v>125.354</v>
      </c>
      <c r="AD43" s="146">
        <f>INDEX(CPAT_Results!$A:$AD,MATCH($H43&amp;"_"&amp;$C43,CPAT_Results!$F:$F,0),MATCH(AD$5,CPAT_Results!$1:$1,0))</f>
        <v>132.08099999999999</v>
      </c>
      <c r="AE43" s="146">
        <f>INDEX(CPAT_Results!$A:$AD,MATCH($H43&amp;"_"&amp;$C43,CPAT_Results!$F:$F,0),MATCH(AE$5,CPAT_Results!$1:$1,0))</f>
        <v>138.85300000000001</v>
      </c>
    </row>
    <row r="44" spans="2:31" x14ac:dyDescent="0.2">
      <c r="B44" s="112" t="s">
        <v>3319</v>
      </c>
      <c r="C44" s="112" t="s">
        <v>3263</v>
      </c>
      <c r="D44" s="112" t="s">
        <v>3316</v>
      </c>
      <c r="E44" s="112" t="s">
        <v>2065</v>
      </c>
      <c r="F44" s="112" t="s">
        <v>11681</v>
      </c>
      <c r="H44" s="116" t="s">
        <v>3317</v>
      </c>
      <c r="I44" s="5"/>
      <c r="J44" s="5"/>
      <c r="L44" s="146">
        <f>INDEX(CPAT_Results!$A:$AD,MATCH($H44&amp;"_"&amp;$C44,CPAT_Results!$F:$F,0),MATCH(L$5,CPAT_Results!$1:$1,0))</f>
        <v>82.215000000000003</v>
      </c>
      <c r="M44" s="146">
        <f>INDEX(CPAT_Results!$A:$AD,MATCH($H44&amp;"_"&amp;$C44,CPAT_Results!$F:$F,0),MATCH(M$5,CPAT_Results!$1:$1,0))</f>
        <v>78.528000000000006</v>
      </c>
      <c r="N44" s="146">
        <f>INDEX(CPAT_Results!$A:$AD,MATCH($H44&amp;"_"&amp;$C44,CPAT_Results!$F:$F,0),MATCH(N$5,CPAT_Results!$1:$1,0))</f>
        <v>90.745999999999995</v>
      </c>
      <c r="O44" s="146">
        <f>INDEX(CPAT_Results!$A:$AD,MATCH($H44&amp;"_"&amp;$C44,CPAT_Results!$F:$F,0),MATCH(O$5,CPAT_Results!$1:$1,0))</f>
        <v>95.173000000000002</v>
      </c>
      <c r="P44" s="146">
        <f>INDEX(CPAT_Results!$A:$AD,MATCH($H44&amp;"_"&amp;$C44,CPAT_Results!$F:$F,0),MATCH(P$5,CPAT_Results!$1:$1,0))</f>
        <v>92.543999999999997</v>
      </c>
      <c r="Q44" s="146">
        <f>INDEX(CPAT_Results!$A:$AD,MATCH($H44&amp;"_"&amp;$C44,CPAT_Results!$F:$F,0),MATCH(Q$5,CPAT_Results!$1:$1,0))</f>
        <v>91.198999999999998</v>
      </c>
      <c r="R44" s="146">
        <f>INDEX(CPAT_Results!$A:$AD,MATCH($H44&amp;"_"&amp;$C44,CPAT_Results!$F:$F,0),MATCH(R$5,CPAT_Results!$1:$1,0))</f>
        <v>92.68</v>
      </c>
      <c r="S44" s="146">
        <f>INDEX(CPAT_Results!$A:$AD,MATCH($H44&amp;"_"&amp;$C44,CPAT_Results!$F:$F,0),MATCH(S$5,CPAT_Results!$1:$1,0))</f>
        <v>94.536000000000001</v>
      </c>
      <c r="T44" s="146">
        <f>INDEX(CPAT_Results!$A:$AD,MATCH($H44&amp;"_"&amp;$C44,CPAT_Results!$F:$F,0),MATCH(T$5,CPAT_Results!$1:$1,0))</f>
        <v>96.091999999999999</v>
      </c>
      <c r="U44" s="146">
        <f>INDEX(CPAT_Results!$A:$AD,MATCH($H44&amp;"_"&amp;$C44,CPAT_Results!$F:$F,0),MATCH(U$5,CPAT_Results!$1:$1,0))</f>
        <v>97.725999999999999</v>
      </c>
      <c r="V44" s="146">
        <f>INDEX(CPAT_Results!$A:$AD,MATCH($H44&amp;"_"&amp;$C44,CPAT_Results!$F:$F,0),MATCH(V$5,CPAT_Results!$1:$1,0))</f>
        <v>99.531000000000006</v>
      </c>
      <c r="W44" s="146">
        <f>INDEX(CPAT_Results!$A:$AD,MATCH($H44&amp;"_"&amp;$C44,CPAT_Results!$F:$F,0),MATCH(W$5,CPAT_Results!$1:$1,0))</f>
        <v>101.702</v>
      </c>
      <c r="X44" s="146">
        <f>INDEX(CPAT_Results!$A:$AD,MATCH($H44&amp;"_"&amp;$C44,CPAT_Results!$F:$F,0),MATCH(X$5,CPAT_Results!$1:$1,0))</f>
        <v>104.23099999999999</v>
      </c>
      <c r="Y44" s="146">
        <f>INDEX(CPAT_Results!$A:$AD,MATCH($H44&amp;"_"&amp;$C44,CPAT_Results!$F:$F,0),MATCH(Y$5,CPAT_Results!$1:$1,0))</f>
        <v>107.23399999999999</v>
      </c>
      <c r="Z44" s="146">
        <f>INDEX(CPAT_Results!$A:$AD,MATCH($H44&amp;"_"&amp;$C44,CPAT_Results!$F:$F,0),MATCH(Z$5,CPAT_Results!$1:$1,0))</f>
        <v>110.72499999999999</v>
      </c>
      <c r="AA44" s="146">
        <f>INDEX(CPAT_Results!$A:$AD,MATCH($H44&amp;"_"&amp;$C44,CPAT_Results!$F:$F,0),MATCH(AA$5,CPAT_Results!$1:$1,0))</f>
        <v>114.83499999999999</v>
      </c>
      <c r="AB44" s="146">
        <f>INDEX(CPAT_Results!$A:$AD,MATCH($H44&amp;"_"&amp;$C44,CPAT_Results!$F:$F,0),MATCH(AB$5,CPAT_Results!$1:$1,0))</f>
        <v>119.66200000000001</v>
      </c>
      <c r="AC44" s="146">
        <f>INDEX(CPAT_Results!$A:$AD,MATCH($H44&amp;"_"&amp;$C44,CPAT_Results!$F:$F,0),MATCH(AC$5,CPAT_Results!$1:$1,0))</f>
        <v>125.354</v>
      </c>
      <c r="AD44" s="146">
        <f>INDEX(CPAT_Results!$A:$AD,MATCH($H44&amp;"_"&amp;$C44,CPAT_Results!$F:$F,0),MATCH(AD$5,CPAT_Results!$1:$1,0))</f>
        <v>132.08099999999999</v>
      </c>
      <c r="AE44" s="146">
        <f>INDEX(CPAT_Results!$A:$AD,MATCH($H44&amp;"_"&amp;$C44,CPAT_Results!$F:$F,0),MATCH(AE$5,CPAT_Results!$1:$1,0))</f>
        <v>138.85300000000001</v>
      </c>
    </row>
    <row r="45" spans="2:31" x14ac:dyDescent="0.2">
      <c r="B45" s="112" t="s">
        <v>3320</v>
      </c>
      <c r="C45" s="112" t="s">
        <v>3265</v>
      </c>
      <c r="D45" s="112" t="s">
        <v>3316</v>
      </c>
      <c r="E45" s="112" t="s">
        <v>2065</v>
      </c>
      <c r="F45" s="112" t="s">
        <v>11682</v>
      </c>
      <c r="H45" s="116" t="s">
        <v>3317</v>
      </c>
      <c r="I45" s="5"/>
      <c r="J45" s="5"/>
      <c r="L45" s="146">
        <f>INDEX(CPAT_Results!$A:$AD,MATCH($H45&amp;"_"&amp;$C45,CPAT_Results!$F:$F,0),MATCH(L$5,CPAT_Results!$1:$1,0))</f>
        <v>82.215000000000003</v>
      </c>
      <c r="M45" s="146">
        <f>INDEX(CPAT_Results!$A:$AD,MATCH($H45&amp;"_"&amp;$C45,CPAT_Results!$F:$F,0),MATCH(M$5,CPAT_Results!$1:$1,0))</f>
        <v>78.516000000000005</v>
      </c>
      <c r="N45" s="146">
        <f>INDEX(CPAT_Results!$A:$AD,MATCH($H45&amp;"_"&amp;$C45,CPAT_Results!$F:$F,0),MATCH(N$5,CPAT_Results!$1:$1,0))</f>
        <v>90.733999999999995</v>
      </c>
      <c r="O45" s="146">
        <f>INDEX(CPAT_Results!$A:$AD,MATCH($H45&amp;"_"&amp;$C45,CPAT_Results!$F:$F,0),MATCH(O$5,CPAT_Results!$1:$1,0))</f>
        <v>95.161000000000001</v>
      </c>
      <c r="P45" s="146">
        <f>INDEX(CPAT_Results!$A:$AD,MATCH($H45&amp;"_"&amp;$C45,CPAT_Results!$F:$F,0),MATCH(P$5,CPAT_Results!$1:$1,0))</f>
        <v>92.507000000000005</v>
      </c>
      <c r="Q45" s="146">
        <f>INDEX(CPAT_Results!$A:$AD,MATCH($H45&amp;"_"&amp;$C45,CPAT_Results!$F:$F,0),MATCH(Q$5,CPAT_Results!$1:$1,0))</f>
        <v>91.156999999999996</v>
      </c>
      <c r="R45" s="146">
        <f>INDEX(CPAT_Results!$A:$AD,MATCH($H45&amp;"_"&amp;$C45,CPAT_Results!$F:$F,0),MATCH(R$5,CPAT_Results!$1:$1,0))</f>
        <v>92.647999999999996</v>
      </c>
      <c r="S45" s="146">
        <f>INDEX(CPAT_Results!$A:$AD,MATCH($H45&amp;"_"&amp;$C45,CPAT_Results!$F:$F,0),MATCH(S$5,CPAT_Results!$1:$1,0))</f>
        <v>94.504000000000005</v>
      </c>
      <c r="T45" s="146">
        <f>INDEX(CPAT_Results!$A:$AD,MATCH($H45&amp;"_"&amp;$C45,CPAT_Results!$F:$F,0),MATCH(T$5,CPAT_Results!$1:$1,0))</f>
        <v>96.061000000000007</v>
      </c>
      <c r="U45" s="146">
        <f>INDEX(CPAT_Results!$A:$AD,MATCH($H45&amp;"_"&amp;$C45,CPAT_Results!$F:$F,0),MATCH(U$5,CPAT_Results!$1:$1,0))</f>
        <v>97.694000000000003</v>
      </c>
      <c r="V45" s="146">
        <f>INDEX(CPAT_Results!$A:$AD,MATCH($H45&amp;"_"&amp;$C45,CPAT_Results!$F:$F,0),MATCH(V$5,CPAT_Results!$1:$1,0))</f>
        <v>99.498999999999995</v>
      </c>
      <c r="W45" s="146">
        <f>INDEX(CPAT_Results!$A:$AD,MATCH($H45&amp;"_"&amp;$C45,CPAT_Results!$F:$F,0),MATCH(W$5,CPAT_Results!$1:$1,0))</f>
        <v>101.67</v>
      </c>
      <c r="X45" s="146">
        <f>INDEX(CPAT_Results!$A:$AD,MATCH($H45&amp;"_"&amp;$C45,CPAT_Results!$F:$F,0),MATCH(X$5,CPAT_Results!$1:$1,0))</f>
        <v>104.2</v>
      </c>
      <c r="Y45" s="146">
        <f>INDEX(CPAT_Results!$A:$AD,MATCH($H45&amp;"_"&amp;$C45,CPAT_Results!$F:$F,0),MATCH(Y$5,CPAT_Results!$1:$1,0))</f>
        <v>107.203</v>
      </c>
      <c r="Z45" s="146">
        <f>INDEX(CPAT_Results!$A:$AD,MATCH($H45&amp;"_"&amp;$C45,CPAT_Results!$F:$F,0),MATCH(Z$5,CPAT_Results!$1:$1,0))</f>
        <v>110.696</v>
      </c>
      <c r="AA45" s="146">
        <f>INDEX(CPAT_Results!$A:$AD,MATCH($H45&amp;"_"&amp;$C45,CPAT_Results!$F:$F,0),MATCH(AA$5,CPAT_Results!$1:$1,0))</f>
        <v>114.806</v>
      </c>
      <c r="AB45" s="146">
        <f>INDEX(CPAT_Results!$A:$AD,MATCH($H45&amp;"_"&amp;$C45,CPAT_Results!$F:$F,0),MATCH(AB$5,CPAT_Results!$1:$1,0))</f>
        <v>119.633</v>
      </c>
      <c r="AC45" s="146">
        <f>INDEX(CPAT_Results!$A:$AD,MATCH($H45&amp;"_"&amp;$C45,CPAT_Results!$F:$F,0),MATCH(AC$5,CPAT_Results!$1:$1,0))</f>
        <v>125.325</v>
      </c>
      <c r="AD45" s="146">
        <f>INDEX(CPAT_Results!$A:$AD,MATCH($H45&amp;"_"&amp;$C45,CPAT_Results!$F:$F,0),MATCH(AD$5,CPAT_Results!$1:$1,0))</f>
        <v>132.05199999999999</v>
      </c>
      <c r="AE45" s="146">
        <f>INDEX(CPAT_Results!$A:$AD,MATCH($H45&amp;"_"&amp;$C45,CPAT_Results!$F:$F,0),MATCH(AE$5,CPAT_Results!$1:$1,0))</f>
        <v>138.82499999999999</v>
      </c>
    </row>
    <row r="46" spans="2:31" x14ac:dyDescent="0.2">
      <c r="B46" s="112" t="s">
        <v>3321</v>
      </c>
      <c r="C46" s="112" t="s">
        <v>3256</v>
      </c>
      <c r="D46" s="112" t="s">
        <v>3322</v>
      </c>
      <c r="E46" s="112" t="s">
        <v>2065</v>
      </c>
      <c r="F46" s="112" t="s">
        <v>11679</v>
      </c>
      <c r="H46" s="116" t="s">
        <v>3323</v>
      </c>
      <c r="I46" s="5"/>
      <c r="J46" s="5"/>
      <c r="L46" s="146">
        <f>INDEX(CPAT_Results!$A:$AD,MATCH($H46&amp;"_"&amp;$C46,CPAT_Results!$F:$F,0),MATCH(L$5,CPAT_Results!$1:$1,0))</f>
        <v>82.215000000000003</v>
      </c>
      <c r="M46" s="146">
        <f>INDEX(CPAT_Results!$A:$AD,MATCH($H46&amp;"_"&amp;$C46,CPAT_Results!$F:$F,0),MATCH(M$5,CPAT_Results!$1:$1,0))</f>
        <v>78.396000000000001</v>
      </c>
      <c r="N46" s="146">
        <f>INDEX(CPAT_Results!$A:$AD,MATCH($H46&amp;"_"&amp;$C46,CPAT_Results!$F:$F,0),MATCH(N$5,CPAT_Results!$1:$1,0))</f>
        <v>90.617000000000004</v>
      </c>
      <c r="O46" s="146">
        <f>INDEX(CPAT_Results!$A:$AD,MATCH($H46&amp;"_"&amp;$C46,CPAT_Results!$F:$F,0),MATCH(O$5,CPAT_Results!$1:$1,0))</f>
        <v>95.048000000000002</v>
      </c>
      <c r="P46" s="146">
        <f>INDEX(CPAT_Results!$A:$AD,MATCH($H46&amp;"_"&amp;$C46,CPAT_Results!$F:$F,0),MATCH(P$5,CPAT_Results!$1:$1,0))</f>
        <v>92.555000000000007</v>
      </c>
      <c r="Q46" s="146">
        <f>INDEX(CPAT_Results!$A:$AD,MATCH($H46&amp;"_"&amp;$C46,CPAT_Results!$F:$F,0),MATCH(Q$5,CPAT_Results!$1:$1,0))</f>
        <v>83.265000000000001</v>
      </c>
      <c r="R46" s="146">
        <f>INDEX(CPAT_Results!$A:$AD,MATCH($H46&amp;"_"&amp;$C46,CPAT_Results!$F:$F,0),MATCH(R$5,CPAT_Results!$1:$1,0))</f>
        <v>87.128</v>
      </c>
      <c r="S46" s="146">
        <f>INDEX(CPAT_Results!$A:$AD,MATCH($H46&amp;"_"&amp;$C46,CPAT_Results!$F:$F,0),MATCH(S$5,CPAT_Results!$1:$1,0))</f>
        <v>88.363</v>
      </c>
      <c r="T46" s="146">
        <f>INDEX(CPAT_Results!$A:$AD,MATCH($H46&amp;"_"&amp;$C46,CPAT_Results!$F:$F,0),MATCH(T$5,CPAT_Results!$1:$1,0))</f>
        <v>90.355999999999995</v>
      </c>
      <c r="U46" s="146">
        <f>INDEX(CPAT_Results!$A:$AD,MATCH($H46&amp;"_"&amp;$C46,CPAT_Results!$F:$F,0),MATCH(U$5,CPAT_Results!$1:$1,0))</f>
        <v>91.21</v>
      </c>
      <c r="V46" s="146">
        <f>INDEX(CPAT_Results!$A:$AD,MATCH($H46&amp;"_"&amp;$C46,CPAT_Results!$F:$F,0),MATCH(V$5,CPAT_Results!$1:$1,0))</f>
        <v>92.599000000000004</v>
      </c>
      <c r="W46" s="146">
        <f>INDEX(CPAT_Results!$A:$AD,MATCH($H46&amp;"_"&amp;$C46,CPAT_Results!$F:$F,0),MATCH(W$5,CPAT_Results!$1:$1,0))</f>
        <v>94.1</v>
      </c>
      <c r="X46" s="146">
        <f>INDEX(CPAT_Results!$A:$AD,MATCH($H46&amp;"_"&amp;$C46,CPAT_Results!$F:$F,0),MATCH(X$5,CPAT_Results!$1:$1,0))</f>
        <v>96.171000000000006</v>
      </c>
      <c r="Y46" s="146">
        <f>INDEX(CPAT_Results!$A:$AD,MATCH($H46&amp;"_"&amp;$C46,CPAT_Results!$F:$F,0),MATCH(Y$5,CPAT_Results!$1:$1,0))</f>
        <v>98.716999999999999</v>
      </c>
      <c r="Z46" s="146">
        <f>INDEX(CPAT_Results!$A:$AD,MATCH($H46&amp;"_"&amp;$C46,CPAT_Results!$F:$F,0),MATCH(Z$5,CPAT_Results!$1:$1,0))</f>
        <v>101.82299999999999</v>
      </c>
      <c r="AA46" s="146">
        <f>INDEX(CPAT_Results!$A:$AD,MATCH($H46&amp;"_"&amp;$C46,CPAT_Results!$F:$F,0),MATCH(AA$5,CPAT_Results!$1:$1,0))</f>
        <v>105.666</v>
      </c>
      <c r="AB46" s="146">
        <f>INDEX(CPAT_Results!$A:$AD,MATCH($H46&amp;"_"&amp;$C46,CPAT_Results!$F:$F,0),MATCH(AB$5,CPAT_Results!$1:$1,0))</f>
        <v>110.32</v>
      </c>
      <c r="AC46" s="146">
        <f>INDEX(CPAT_Results!$A:$AD,MATCH($H46&amp;"_"&amp;$C46,CPAT_Results!$F:$F,0),MATCH(AC$5,CPAT_Results!$1:$1,0))</f>
        <v>115.959</v>
      </c>
      <c r="AD46" s="146">
        <f>INDEX(CPAT_Results!$A:$AD,MATCH($H46&amp;"_"&amp;$C46,CPAT_Results!$F:$F,0),MATCH(AD$5,CPAT_Results!$1:$1,0))</f>
        <v>122.84699999999999</v>
      </c>
      <c r="AE46" s="146">
        <f>INDEX(CPAT_Results!$A:$AD,MATCH($H46&amp;"_"&amp;$C46,CPAT_Results!$F:$F,0),MATCH(AE$5,CPAT_Results!$1:$1,0))</f>
        <v>129.785</v>
      </c>
    </row>
    <row r="47" spans="2:31" x14ac:dyDescent="0.2">
      <c r="B47" s="112" t="s">
        <v>3324</v>
      </c>
      <c r="C47" s="112" t="s">
        <v>3261</v>
      </c>
      <c r="D47" s="112" t="s">
        <v>3322</v>
      </c>
      <c r="E47" s="112" t="s">
        <v>2065</v>
      </c>
      <c r="F47" s="112" t="s">
        <v>11680</v>
      </c>
      <c r="H47" s="116" t="s">
        <v>3323</v>
      </c>
      <c r="I47" s="5"/>
      <c r="J47" s="5"/>
      <c r="L47" s="146">
        <f>INDEX(CPAT_Results!$A:$AD,MATCH($H47&amp;"_"&amp;$C47,CPAT_Results!$F:$F,0),MATCH(L$5,CPAT_Results!$1:$1,0))</f>
        <v>82.215000000000003</v>
      </c>
      <c r="M47" s="146">
        <f>INDEX(CPAT_Results!$A:$AD,MATCH($H47&amp;"_"&amp;$C47,CPAT_Results!$F:$F,0),MATCH(M$5,CPAT_Results!$1:$1,0))</f>
        <v>78.528000000000006</v>
      </c>
      <c r="N47" s="146">
        <f>INDEX(CPAT_Results!$A:$AD,MATCH($H47&amp;"_"&amp;$C47,CPAT_Results!$F:$F,0),MATCH(N$5,CPAT_Results!$1:$1,0))</f>
        <v>90.745999999999995</v>
      </c>
      <c r="O47" s="146">
        <f>INDEX(CPAT_Results!$A:$AD,MATCH($H47&amp;"_"&amp;$C47,CPAT_Results!$F:$F,0),MATCH(O$5,CPAT_Results!$1:$1,0))</f>
        <v>95.173000000000002</v>
      </c>
      <c r="P47" s="146">
        <f>INDEX(CPAT_Results!$A:$AD,MATCH($H47&amp;"_"&amp;$C47,CPAT_Results!$F:$F,0),MATCH(P$5,CPAT_Results!$1:$1,0))</f>
        <v>92.543999999999997</v>
      </c>
      <c r="Q47" s="146">
        <f>INDEX(CPAT_Results!$A:$AD,MATCH($H47&amp;"_"&amp;$C47,CPAT_Results!$F:$F,0),MATCH(Q$5,CPAT_Results!$1:$1,0))</f>
        <v>91.198999999999998</v>
      </c>
      <c r="R47" s="146">
        <f>INDEX(CPAT_Results!$A:$AD,MATCH($H47&amp;"_"&amp;$C47,CPAT_Results!$F:$F,0),MATCH(R$5,CPAT_Results!$1:$1,0))</f>
        <v>92.68</v>
      </c>
      <c r="S47" s="146">
        <f>INDEX(CPAT_Results!$A:$AD,MATCH($H47&amp;"_"&amp;$C47,CPAT_Results!$F:$F,0),MATCH(S$5,CPAT_Results!$1:$1,0))</f>
        <v>88.486000000000004</v>
      </c>
      <c r="T47" s="146">
        <f>INDEX(CPAT_Results!$A:$AD,MATCH($H47&amp;"_"&amp;$C47,CPAT_Results!$F:$F,0),MATCH(T$5,CPAT_Results!$1:$1,0))</f>
        <v>86.968999999999994</v>
      </c>
      <c r="U47" s="146">
        <f>INDEX(CPAT_Results!$A:$AD,MATCH($H47&amp;"_"&amp;$C47,CPAT_Results!$F:$F,0),MATCH(U$5,CPAT_Results!$1:$1,0))</f>
        <v>85.149000000000001</v>
      </c>
      <c r="V47" s="146">
        <f>INDEX(CPAT_Results!$A:$AD,MATCH($H47&amp;"_"&amp;$C47,CPAT_Results!$F:$F,0),MATCH(V$5,CPAT_Results!$1:$1,0))</f>
        <v>84.340999999999994</v>
      </c>
      <c r="W47" s="146">
        <f>INDEX(CPAT_Results!$A:$AD,MATCH($H47&amp;"_"&amp;$C47,CPAT_Results!$F:$F,0),MATCH(W$5,CPAT_Results!$1:$1,0))</f>
        <v>83.679000000000002</v>
      </c>
      <c r="X47" s="146">
        <f>INDEX(CPAT_Results!$A:$AD,MATCH($H47&amp;"_"&amp;$C47,CPAT_Results!$F:$F,0),MATCH(X$5,CPAT_Results!$1:$1,0))</f>
        <v>83.503</v>
      </c>
      <c r="Y47" s="146">
        <f>INDEX(CPAT_Results!$A:$AD,MATCH($H47&amp;"_"&amp;$C47,CPAT_Results!$F:$F,0),MATCH(Y$5,CPAT_Results!$1:$1,0))</f>
        <v>83.718000000000004</v>
      </c>
      <c r="Z47" s="146">
        <f>INDEX(CPAT_Results!$A:$AD,MATCH($H47&amp;"_"&amp;$C47,CPAT_Results!$F:$F,0),MATCH(Z$5,CPAT_Results!$1:$1,0))</f>
        <v>84.396000000000001</v>
      </c>
      <c r="AA47" s="146">
        <f>INDEX(CPAT_Results!$A:$AD,MATCH($H47&amp;"_"&amp;$C47,CPAT_Results!$F:$F,0),MATCH(AA$5,CPAT_Results!$1:$1,0))</f>
        <v>85.59</v>
      </c>
      <c r="AB47" s="146">
        <f>INDEX(CPAT_Results!$A:$AD,MATCH($H47&amp;"_"&amp;$C47,CPAT_Results!$F:$F,0),MATCH(AB$5,CPAT_Results!$1:$1,0))</f>
        <v>87.364000000000004</v>
      </c>
      <c r="AC47" s="146">
        <f>INDEX(CPAT_Results!$A:$AD,MATCH($H47&amp;"_"&amp;$C47,CPAT_Results!$F:$F,0),MATCH(AC$5,CPAT_Results!$1:$1,0))</f>
        <v>89.79</v>
      </c>
      <c r="AD47" s="146">
        <f>INDEX(CPAT_Results!$A:$AD,MATCH($H47&amp;"_"&amp;$C47,CPAT_Results!$F:$F,0),MATCH(AD$5,CPAT_Results!$1:$1,0))</f>
        <v>92.838999999999999</v>
      </c>
      <c r="AE47" s="146">
        <f>INDEX(CPAT_Results!$A:$AD,MATCH($H47&amp;"_"&amp;$C47,CPAT_Results!$F:$F,0),MATCH(AE$5,CPAT_Results!$1:$1,0))</f>
        <v>96.054000000000002</v>
      </c>
    </row>
    <row r="48" spans="2:31" x14ac:dyDescent="0.2">
      <c r="B48" s="112" t="s">
        <v>3325</v>
      </c>
      <c r="C48" s="112" t="s">
        <v>3263</v>
      </c>
      <c r="D48" s="112" t="s">
        <v>3322</v>
      </c>
      <c r="E48" s="112" t="s">
        <v>2065</v>
      </c>
      <c r="F48" s="112" t="s">
        <v>11681</v>
      </c>
      <c r="H48" s="116" t="s">
        <v>3323</v>
      </c>
      <c r="I48" s="5"/>
      <c r="J48" s="5"/>
      <c r="L48" s="146">
        <f>INDEX(CPAT_Results!$A:$AD,MATCH($H48&amp;"_"&amp;$C48,CPAT_Results!$F:$F,0),MATCH(L$5,CPAT_Results!$1:$1,0))</f>
        <v>82.215000000000003</v>
      </c>
      <c r="M48" s="146">
        <f>INDEX(CPAT_Results!$A:$AD,MATCH($H48&amp;"_"&amp;$C48,CPAT_Results!$F:$F,0),MATCH(M$5,CPAT_Results!$1:$1,0))</f>
        <v>78.525000000000006</v>
      </c>
      <c r="N48" s="146">
        <f>INDEX(CPAT_Results!$A:$AD,MATCH($H48&amp;"_"&amp;$C48,CPAT_Results!$F:$F,0),MATCH(N$5,CPAT_Results!$1:$1,0))</f>
        <v>90.742999999999995</v>
      </c>
      <c r="O48" s="146">
        <f>INDEX(CPAT_Results!$A:$AD,MATCH($H48&amp;"_"&amp;$C48,CPAT_Results!$F:$F,0),MATCH(O$5,CPAT_Results!$1:$1,0))</f>
        <v>95.17</v>
      </c>
      <c r="P48" s="146">
        <f>INDEX(CPAT_Results!$A:$AD,MATCH($H48&amp;"_"&amp;$C48,CPAT_Results!$F:$F,0),MATCH(P$5,CPAT_Results!$1:$1,0))</f>
        <v>92.542000000000002</v>
      </c>
      <c r="Q48" s="146">
        <f>INDEX(CPAT_Results!$A:$AD,MATCH($H48&amp;"_"&amp;$C48,CPAT_Results!$F:$F,0),MATCH(Q$5,CPAT_Results!$1:$1,0))</f>
        <v>90.585999999999999</v>
      </c>
      <c r="R48" s="146">
        <f>INDEX(CPAT_Results!$A:$AD,MATCH($H48&amp;"_"&amp;$C48,CPAT_Results!$F:$F,0),MATCH(R$5,CPAT_Results!$1:$1,0))</f>
        <v>92.247</v>
      </c>
      <c r="S48" s="146">
        <f>INDEX(CPAT_Results!$A:$AD,MATCH($H48&amp;"_"&amp;$C48,CPAT_Results!$F:$F,0),MATCH(S$5,CPAT_Results!$1:$1,0))</f>
        <v>94.013999999999996</v>
      </c>
      <c r="T48" s="146">
        <f>INDEX(CPAT_Results!$A:$AD,MATCH($H48&amp;"_"&amp;$C48,CPAT_Results!$F:$F,0),MATCH(T$5,CPAT_Results!$1:$1,0))</f>
        <v>95.631</v>
      </c>
      <c r="U48" s="146">
        <f>INDEX(CPAT_Results!$A:$AD,MATCH($H48&amp;"_"&amp;$C48,CPAT_Results!$F:$F,0),MATCH(U$5,CPAT_Results!$1:$1,0))</f>
        <v>97.241</v>
      </c>
      <c r="V48" s="146">
        <f>INDEX(CPAT_Results!$A:$AD,MATCH($H48&amp;"_"&amp;$C48,CPAT_Results!$F:$F,0),MATCH(V$5,CPAT_Results!$1:$1,0))</f>
        <v>98.998000000000005</v>
      </c>
      <c r="W48" s="146">
        <f>INDEX(CPAT_Results!$A:$AD,MATCH($H48&amp;"_"&amp;$C48,CPAT_Results!$F:$F,0),MATCH(W$5,CPAT_Results!$1:$1,0))</f>
        <v>101.15300000000001</v>
      </c>
      <c r="X48" s="146">
        <f>INDEX(CPAT_Results!$A:$AD,MATCH($H48&amp;"_"&amp;$C48,CPAT_Results!$F:$F,0),MATCH(X$5,CPAT_Results!$1:$1,0))</f>
        <v>103.72499999999999</v>
      </c>
      <c r="Y48" s="146">
        <f>INDEX(CPAT_Results!$A:$AD,MATCH($H48&amp;"_"&amp;$C48,CPAT_Results!$F:$F,0),MATCH(Y$5,CPAT_Results!$1:$1,0))</f>
        <v>106.83499999999999</v>
      </c>
      <c r="Z48" s="146">
        <f>INDEX(CPAT_Results!$A:$AD,MATCH($H48&amp;"_"&amp;$C48,CPAT_Results!$F:$F,0),MATCH(Z$5,CPAT_Results!$1:$1,0))</f>
        <v>110.491</v>
      </c>
      <c r="AA48" s="146">
        <f>INDEX(CPAT_Results!$A:$AD,MATCH($H48&amp;"_"&amp;$C48,CPAT_Results!$F:$F,0),MATCH(AA$5,CPAT_Results!$1:$1,0))</f>
        <v>114.84399999999999</v>
      </c>
      <c r="AB48" s="146">
        <f>INDEX(CPAT_Results!$A:$AD,MATCH($H48&amp;"_"&amp;$C48,CPAT_Results!$F:$F,0),MATCH(AB$5,CPAT_Results!$1:$1,0))</f>
        <v>119.98399999999999</v>
      </c>
      <c r="AC48" s="146">
        <f>INDEX(CPAT_Results!$A:$AD,MATCH($H48&amp;"_"&amp;$C48,CPAT_Results!$F:$F,0),MATCH(AC$5,CPAT_Results!$1:$1,0))</f>
        <v>126.16200000000001</v>
      </c>
      <c r="AD48" s="146">
        <f>INDEX(CPAT_Results!$A:$AD,MATCH($H48&amp;"_"&amp;$C48,CPAT_Results!$F:$F,0),MATCH(AD$5,CPAT_Results!$1:$1,0))</f>
        <v>133.006</v>
      </c>
      <c r="AE48" s="146">
        <f>INDEX(CPAT_Results!$A:$AD,MATCH($H48&amp;"_"&amp;$C48,CPAT_Results!$F:$F,0),MATCH(AE$5,CPAT_Results!$1:$1,0))</f>
        <v>139.89500000000001</v>
      </c>
    </row>
    <row r="49" spans="2:31" x14ac:dyDescent="0.2">
      <c r="B49" s="112" t="s">
        <v>3326</v>
      </c>
      <c r="C49" s="112" t="s">
        <v>3265</v>
      </c>
      <c r="D49" s="112" t="s">
        <v>3322</v>
      </c>
      <c r="E49" s="112" t="s">
        <v>2065</v>
      </c>
      <c r="F49" s="112" t="s">
        <v>11682</v>
      </c>
      <c r="H49" s="116" t="s">
        <v>3323</v>
      </c>
      <c r="I49" s="5"/>
      <c r="J49" s="5"/>
      <c r="L49" s="146">
        <f>INDEX(CPAT_Results!$A:$AD,MATCH($H49&amp;"_"&amp;$C49,CPAT_Results!$F:$F,0),MATCH(L$5,CPAT_Results!$1:$1,0))</f>
        <v>82.215000000000003</v>
      </c>
      <c r="M49" s="146">
        <f>INDEX(CPAT_Results!$A:$AD,MATCH($H49&amp;"_"&amp;$C49,CPAT_Results!$F:$F,0),MATCH(M$5,CPAT_Results!$1:$1,0))</f>
        <v>78.516000000000005</v>
      </c>
      <c r="N49" s="146">
        <f>INDEX(CPAT_Results!$A:$AD,MATCH($H49&amp;"_"&amp;$C49,CPAT_Results!$F:$F,0),MATCH(N$5,CPAT_Results!$1:$1,0))</f>
        <v>90.733999999999995</v>
      </c>
      <c r="O49" s="146">
        <f>INDEX(CPAT_Results!$A:$AD,MATCH($H49&amp;"_"&amp;$C49,CPAT_Results!$F:$F,0),MATCH(O$5,CPAT_Results!$1:$1,0))</f>
        <v>95.161000000000001</v>
      </c>
      <c r="P49" s="146">
        <f>INDEX(CPAT_Results!$A:$AD,MATCH($H49&amp;"_"&amp;$C49,CPAT_Results!$F:$F,0),MATCH(P$5,CPAT_Results!$1:$1,0))</f>
        <v>92.507000000000005</v>
      </c>
      <c r="Q49" s="146">
        <f>INDEX(CPAT_Results!$A:$AD,MATCH($H49&amp;"_"&amp;$C49,CPAT_Results!$F:$F,0),MATCH(Q$5,CPAT_Results!$1:$1,0))</f>
        <v>91.156999999999996</v>
      </c>
      <c r="R49" s="146">
        <f>INDEX(CPAT_Results!$A:$AD,MATCH($H49&amp;"_"&amp;$C49,CPAT_Results!$F:$F,0),MATCH(R$5,CPAT_Results!$1:$1,0))</f>
        <v>92.647999999999996</v>
      </c>
      <c r="S49" s="146">
        <f>INDEX(CPAT_Results!$A:$AD,MATCH($H49&amp;"_"&amp;$C49,CPAT_Results!$F:$F,0),MATCH(S$5,CPAT_Results!$1:$1,0))</f>
        <v>94.013000000000005</v>
      </c>
      <c r="T49" s="146">
        <f>INDEX(CPAT_Results!$A:$AD,MATCH($H49&amp;"_"&amp;$C49,CPAT_Results!$F:$F,0),MATCH(T$5,CPAT_Results!$1:$1,0))</f>
        <v>94.486999999999995</v>
      </c>
      <c r="U49" s="146">
        <f>INDEX(CPAT_Results!$A:$AD,MATCH($H49&amp;"_"&amp;$C49,CPAT_Results!$F:$F,0),MATCH(U$5,CPAT_Results!$1:$1,0))</f>
        <v>94.697999999999993</v>
      </c>
      <c r="V49" s="146">
        <f>INDEX(CPAT_Results!$A:$AD,MATCH($H49&amp;"_"&amp;$C49,CPAT_Results!$F:$F,0),MATCH(V$5,CPAT_Results!$1:$1,0))</f>
        <v>94.835999999999999</v>
      </c>
      <c r="W49" s="146">
        <f>INDEX(CPAT_Results!$A:$AD,MATCH($H49&amp;"_"&amp;$C49,CPAT_Results!$F:$F,0),MATCH(W$5,CPAT_Results!$1:$1,0))</f>
        <v>95.165999999999997</v>
      </c>
      <c r="X49" s="146">
        <f>INDEX(CPAT_Results!$A:$AD,MATCH($H49&amp;"_"&amp;$C49,CPAT_Results!$F:$F,0),MATCH(X$5,CPAT_Results!$1:$1,0))</f>
        <v>95.676000000000002</v>
      </c>
      <c r="Y49" s="146">
        <f>INDEX(CPAT_Results!$A:$AD,MATCH($H49&amp;"_"&amp;$C49,CPAT_Results!$F:$F,0),MATCH(Y$5,CPAT_Results!$1:$1,0))</f>
        <v>96.498000000000005</v>
      </c>
      <c r="Z49" s="146">
        <f>INDEX(CPAT_Results!$A:$AD,MATCH($H49&amp;"_"&amp;$C49,CPAT_Results!$F:$F,0),MATCH(Z$5,CPAT_Results!$1:$1,0))</f>
        <v>97.632999999999996</v>
      </c>
      <c r="AA49" s="146">
        <f>INDEX(CPAT_Results!$A:$AD,MATCH($H49&amp;"_"&amp;$C49,CPAT_Results!$F:$F,0),MATCH(AA$5,CPAT_Results!$1:$1,0))</f>
        <v>101.349</v>
      </c>
      <c r="AB49" s="146">
        <f>INDEX(CPAT_Results!$A:$AD,MATCH($H49&amp;"_"&amp;$C49,CPAT_Results!$F:$F,0),MATCH(AB$5,CPAT_Results!$1:$1,0))</f>
        <v>104.807</v>
      </c>
      <c r="AC49" s="146">
        <f>INDEX(CPAT_Results!$A:$AD,MATCH($H49&amp;"_"&amp;$C49,CPAT_Results!$F:$F,0),MATCH(AC$5,CPAT_Results!$1:$1,0))</f>
        <v>109.592</v>
      </c>
      <c r="AD49" s="146">
        <f>INDEX(CPAT_Results!$A:$AD,MATCH($H49&amp;"_"&amp;$C49,CPAT_Results!$F:$F,0),MATCH(AD$5,CPAT_Results!$1:$1,0))</f>
        <v>115.47499999999999</v>
      </c>
      <c r="AE49" s="146">
        <f>INDEX(CPAT_Results!$A:$AD,MATCH($H49&amp;"_"&amp;$C49,CPAT_Results!$F:$F,0),MATCH(AE$5,CPAT_Results!$1:$1,0))</f>
        <v>122.212</v>
      </c>
    </row>
    <row r="50" spans="2:31" x14ac:dyDescent="0.2">
      <c r="B50" s="112" t="s">
        <v>3327</v>
      </c>
      <c r="C50" s="112" t="s">
        <v>3256</v>
      </c>
      <c r="D50" s="112" t="s">
        <v>3328</v>
      </c>
      <c r="E50" s="112" t="s">
        <v>2065</v>
      </c>
      <c r="F50" s="112" t="s">
        <v>11679</v>
      </c>
      <c r="H50" s="116" t="s">
        <v>3329</v>
      </c>
      <c r="I50" s="5"/>
      <c r="J50" s="5"/>
      <c r="L50" s="146">
        <f>INDEX(CPAT_Results!$A:$AD,MATCH($H50&amp;"_"&amp;$C50,CPAT_Results!$F:$F,0),MATCH(L$5,CPAT_Results!$1:$1,0))</f>
        <v>15.803000000000001</v>
      </c>
      <c r="M50" s="146">
        <f>INDEX(CPAT_Results!$A:$AD,MATCH($H50&amp;"_"&amp;$C50,CPAT_Results!$F:$F,0),MATCH(M$5,CPAT_Results!$1:$1,0))</f>
        <v>17.407</v>
      </c>
      <c r="N50" s="146">
        <f>INDEX(CPAT_Results!$A:$AD,MATCH($H50&amp;"_"&amp;$C50,CPAT_Results!$F:$F,0),MATCH(N$5,CPAT_Results!$1:$1,0))</f>
        <v>21.786000000000001</v>
      </c>
      <c r="O50" s="146">
        <f>INDEX(CPAT_Results!$A:$AD,MATCH($H50&amp;"_"&amp;$C50,CPAT_Results!$F:$F,0),MATCH(O$5,CPAT_Results!$1:$1,0))</f>
        <v>22.128</v>
      </c>
      <c r="P50" s="146">
        <f>INDEX(CPAT_Results!$A:$AD,MATCH($H50&amp;"_"&amp;$C50,CPAT_Results!$F:$F,0),MATCH(P$5,CPAT_Results!$1:$1,0))</f>
        <v>22.457000000000001</v>
      </c>
      <c r="Q50" s="146">
        <f>INDEX(CPAT_Results!$A:$AD,MATCH($H50&amp;"_"&amp;$C50,CPAT_Results!$F:$F,0),MATCH(Q$5,CPAT_Results!$1:$1,0))</f>
        <v>22.846</v>
      </c>
      <c r="R50" s="146">
        <f>INDEX(CPAT_Results!$A:$AD,MATCH($H50&amp;"_"&amp;$C50,CPAT_Results!$F:$F,0),MATCH(R$5,CPAT_Results!$1:$1,0))</f>
        <v>23.306999999999999</v>
      </c>
      <c r="S50" s="146">
        <f>INDEX(CPAT_Results!$A:$AD,MATCH($H50&amp;"_"&amp;$C50,CPAT_Results!$F:$F,0),MATCH(S$5,CPAT_Results!$1:$1,0))</f>
        <v>23.741</v>
      </c>
      <c r="T50" s="146">
        <f>INDEX(CPAT_Results!$A:$AD,MATCH($H50&amp;"_"&amp;$C50,CPAT_Results!$F:$F,0),MATCH(T$5,CPAT_Results!$1:$1,0))</f>
        <v>24.14</v>
      </c>
      <c r="U50" s="146">
        <f>INDEX(CPAT_Results!$A:$AD,MATCH($H50&amp;"_"&amp;$C50,CPAT_Results!$F:$F,0),MATCH(U$5,CPAT_Results!$1:$1,0))</f>
        <v>24.538</v>
      </c>
      <c r="V50" s="146">
        <f>INDEX(CPAT_Results!$A:$AD,MATCH($H50&amp;"_"&amp;$C50,CPAT_Results!$F:$F,0),MATCH(V$5,CPAT_Results!$1:$1,0))</f>
        <v>24.936</v>
      </c>
      <c r="W50" s="146">
        <f>INDEX(CPAT_Results!$A:$AD,MATCH($H50&amp;"_"&amp;$C50,CPAT_Results!$F:$F,0),MATCH(W$5,CPAT_Results!$1:$1,0))</f>
        <v>25.335000000000001</v>
      </c>
      <c r="X50" s="146">
        <f>INDEX(CPAT_Results!$A:$AD,MATCH($H50&amp;"_"&amp;$C50,CPAT_Results!$F:$F,0),MATCH(X$5,CPAT_Results!$1:$1,0))</f>
        <v>25.734000000000002</v>
      </c>
      <c r="Y50" s="146">
        <f>INDEX(CPAT_Results!$A:$AD,MATCH($H50&amp;"_"&amp;$C50,CPAT_Results!$F:$F,0),MATCH(Y$5,CPAT_Results!$1:$1,0))</f>
        <v>26.132999999999999</v>
      </c>
      <c r="Z50" s="146">
        <f>INDEX(CPAT_Results!$A:$AD,MATCH($H50&amp;"_"&amp;$C50,CPAT_Results!$F:$F,0),MATCH(Z$5,CPAT_Results!$1:$1,0))</f>
        <v>26.533000000000001</v>
      </c>
      <c r="AA50" s="146">
        <f>INDEX(CPAT_Results!$A:$AD,MATCH($H50&amp;"_"&amp;$C50,CPAT_Results!$F:$F,0),MATCH(AA$5,CPAT_Results!$1:$1,0))</f>
        <v>26.931999999999999</v>
      </c>
      <c r="AB50" s="146">
        <f>INDEX(CPAT_Results!$A:$AD,MATCH($H50&amp;"_"&amp;$C50,CPAT_Results!$F:$F,0),MATCH(AB$5,CPAT_Results!$1:$1,0))</f>
        <v>27.331</v>
      </c>
      <c r="AC50" s="146">
        <f>INDEX(CPAT_Results!$A:$AD,MATCH($H50&amp;"_"&amp;$C50,CPAT_Results!$F:$F,0),MATCH(AC$5,CPAT_Results!$1:$1,0))</f>
        <v>27.731000000000002</v>
      </c>
      <c r="AD50" s="146">
        <f>INDEX(CPAT_Results!$A:$AD,MATCH($H50&amp;"_"&amp;$C50,CPAT_Results!$F:$F,0),MATCH(AD$5,CPAT_Results!$1:$1,0))</f>
        <v>28.129000000000001</v>
      </c>
      <c r="AE50" s="146">
        <f>INDEX(CPAT_Results!$A:$AD,MATCH($H50&amp;"_"&amp;$C50,CPAT_Results!$F:$F,0),MATCH(AE$5,CPAT_Results!$1:$1,0))</f>
        <v>28.527999999999999</v>
      </c>
    </row>
    <row r="51" spans="2:31" x14ac:dyDescent="0.2">
      <c r="B51" s="112" t="s">
        <v>3330</v>
      </c>
      <c r="C51" s="112" t="s">
        <v>3261</v>
      </c>
      <c r="D51" s="112" t="s">
        <v>3328</v>
      </c>
      <c r="E51" s="112" t="s">
        <v>2065</v>
      </c>
      <c r="F51" s="112" t="s">
        <v>11680</v>
      </c>
      <c r="H51" s="116" t="s">
        <v>3329</v>
      </c>
      <c r="I51" s="5"/>
      <c r="J51" s="5"/>
      <c r="L51" s="146">
        <f>INDEX(CPAT_Results!$A:$AD,MATCH($H51&amp;"_"&amp;$C51,CPAT_Results!$F:$F,0),MATCH(L$5,CPAT_Results!$1:$1,0))</f>
        <v>15.803000000000001</v>
      </c>
      <c r="M51" s="146">
        <f>INDEX(CPAT_Results!$A:$AD,MATCH($H51&amp;"_"&amp;$C51,CPAT_Results!$F:$F,0),MATCH(M$5,CPAT_Results!$1:$1,0))</f>
        <v>17.407</v>
      </c>
      <c r="N51" s="146">
        <f>INDEX(CPAT_Results!$A:$AD,MATCH($H51&amp;"_"&amp;$C51,CPAT_Results!$F:$F,0),MATCH(N$5,CPAT_Results!$1:$1,0))</f>
        <v>21.786000000000001</v>
      </c>
      <c r="O51" s="146">
        <f>INDEX(CPAT_Results!$A:$AD,MATCH($H51&amp;"_"&amp;$C51,CPAT_Results!$F:$F,0),MATCH(O$5,CPAT_Results!$1:$1,0))</f>
        <v>22.128</v>
      </c>
      <c r="P51" s="146">
        <f>INDEX(CPAT_Results!$A:$AD,MATCH($H51&amp;"_"&amp;$C51,CPAT_Results!$F:$F,0),MATCH(P$5,CPAT_Results!$1:$1,0))</f>
        <v>22.457000000000001</v>
      </c>
      <c r="Q51" s="146">
        <f>INDEX(CPAT_Results!$A:$AD,MATCH($H51&amp;"_"&amp;$C51,CPAT_Results!$F:$F,0),MATCH(Q$5,CPAT_Results!$1:$1,0))</f>
        <v>22.846</v>
      </c>
      <c r="R51" s="146">
        <f>INDEX(CPAT_Results!$A:$AD,MATCH($H51&amp;"_"&amp;$C51,CPAT_Results!$F:$F,0),MATCH(R$5,CPAT_Results!$1:$1,0))</f>
        <v>23.306999999999999</v>
      </c>
      <c r="S51" s="146">
        <f>INDEX(CPAT_Results!$A:$AD,MATCH($H51&amp;"_"&amp;$C51,CPAT_Results!$F:$F,0),MATCH(S$5,CPAT_Results!$1:$1,0))</f>
        <v>23.741</v>
      </c>
      <c r="T51" s="146">
        <f>INDEX(CPAT_Results!$A:$AD,MATCH($H51&amp;"_"&amp;$C51,CPAT_Results!$F:$F,0),MATCH(T$5,CPAT_Results!$1:$1,0))</f>
        <v>24.14</v>
      </c>
      <c r="U51" s="146">
        <f>INDEX(CPAT_Results!$A:$AD,MATCH($H51&amp;"_"&amp;$C51,CPAT_Results!$F:$F,0),MATCH(U$5,CPAT_Results!$1:$1,0))</f>
        <v>24.538</v>
      </c>
      <c r="V51" s="146">
        <f>INDEX(CPAT_Results!$A:$AD,MATCH($H51&amp;"_"&amp;$C51,CPAT_Results!$F:$F,0),MATCH(V$5,CPAT_Results!$1:$1,0))</f>
        <v>24.936</v>
      </c>
      <c r="W51" s="146">
        <f>INDEX(CPAT_Results!$A:$AD,MATCH($H51&amp;"_"&amp;$C51,CPAT_Results!$F:$F,0),MATCH(W$5,CPAT_Results!$1:$1,0))</f>
        <v>25.335000000000001</v>
      </c>
      <c r="X51" s="146">
        <f>INDEX(CPAT_Results!$A:$AD,MATCH($H51&amp;"_"&amp;$C51,CPAT_Results!$F:$F,0),MATCH(X$5,CPAT_Results!$1:$1,0))</f>
        <v>25.734000000000002</v>
      </c>
      <c r="Y51" s="146">
        <f>INDEX(CPAT_Results!$A:$AD,MATCH($H51&amp;"_"&amp;$C51,CPAT_Results!$F:$F,0),MATCH(Y$5,CPAT_Results!$1:$1,0))</f>
        <v>26.132999999999999</v>
      </c>
      <c r="Z51" s="146">
        <f>INDEX(CPAT_Results!$A:$AD,MATCH($H51&amp;"_"&amp;$C51,CPAT_Results!$F:$F,0),MATCH(Z$5,CPAT_Results!$1:$1,0))</f>
        <v>26.533000000000001</v>
      </c>
      <c r="AA51" s="146">
        <f>INDEX(CPAT_Results!$A:$AD,MATCH($H51&amp;"_"&amp;$C51,CPAT_Results!$F:$F,0),MATCH(AA$5,CPAT_Results!$1:$1,0))</f>
        <v>26.931999999999999</v>
      </c>
      <c r="AB51" s="146">
        <f>INDEX(CPAT_Results!$A:$AD,MATCH($H51&amp;"_"&amp;$C51,CPAT_Results!$F:$F,0),MATCH(AB$5,CPAT_Results!$1:$1,0))</f>
        <v>27.331</v>
      </c>
      <c r="AC51" s="146">
        <f>INDEX(CPAT_Results!$A:$AD,MATCH($H51&amp;"_"&amp;$C51,CPAT_Results!$F:$F,0),MATCH(AC$5,CPAT_Results!$1:$1,0))</f>
        <v>27.731000000000002</v>
      </c>
      <c r="AD51" s="146">
        <f>INDEX(CPAT_Results!$A:$AD,MATCH($H51&amp;"_"&amp;$C51,CPAT_Results!$F:$F,0),MATCH(AD$5,CPAT_Results!$1:$1,0))</f>
        <v>28.129000000000001</v>
      </c>
      <c r="AE51" s="146">
        <f>INDEX(CPAT_Results!$A:$AD,MATCH($H51&amp;"_"&amp;$C51,CPAT_Results!$F:$F,0),MATCH(AE$5,CPAT_Results!$1:$1,0))</f>
        <v>28.527999999999999</v>
      </c>
    </row>
    <row r="52" spans="2:31" x14ac:dyDescent="0.2">
      <c r="B52" s="112" t="s">
        <v>3331</v>
      </c>
      <c r="C52" s="112" t="s">
        <v>3263</v>
      </c>
      <c r="D52" s="112" t="s">
        <v>3328</v>
      </c>
      <c r="E52" s="112" t="s">
        <v>2065</v>
      </c>
      <c r="F52" s="112" t="s">
        <v>11681</v>
      </c>
      <c r="H52" s="116" t="s">
        <v>3329</v>
      </c>
      <c r="I52" s="5"/>
      <c r="J52" s="5"/>
      <c r="L52" s="146">
        <f>INDEX(CPAT_Results!$A:$AD,MATCH($H52&amp;"_"&amp;$C52,CPAT_Results!$F:$F,0),MATCH(L$5,CPAT_Results!$1:$1,0))</f>
        <v>15.803000000000001</v>
      </c>
      <c r="M52" s="146">
        <f>INDEX(CPAT_Results!$A:$AD,MATCH($H52&amp;"_"&amp;$C52,CPAT_Results!$F:$F,0),MATCH(M$5,CPAT_Results!$1:$1,0))</f>
        <v>17.407</v>
      </c>
      <c r="N52" s="146">
        <f>INDEX(CPAT_Results!$A:$AD,MATCH($H52&amp;"_"&amp;$C52,CPAT_Results!$F:$F,0),MATCH(N$5,CPAT_Results!$1:$1,0))</f>
        <v>21.786000000000001</v>
      </c>
      <c r="O52" s="146">
        <f>INDEX(CPAT_Results!$A:$AD,MATCH($H52&amp;"_"&amp;$C52,CPAT_Results!$F:$F,0),MATCH(O$5,CPAT_Results!$1:$1,0))</f>
        <v>22.128</v>
      </c>
      <c r="P52" s="146">
        <f>INDEX(CPAT_Results!$A:$AD,MATCH($H52&amp;"_"&amp;$C52,CPAT_Results!$F:$F,0),MATCH(P$5,CPAT_Results!$1:$1,0))</f>
        <v>22.457000000000001</v>
      </c>
      <c r="Q52" s="146">
        <f>INDEX(CPAT_Results!$A:$AD,MATCH($H52&amp;"_"&amp;$C52,CPAT_Results!$F:$F,0),MATCH(Q$5,CPAT_Results!$1:$1,0))</f>
        <v>22.846</v>
      </c>
      <c r="R52" s="146">
        <f>INDEX(CPAT_Results!$A:$AD,MATCH($H52&amp;"_"&amp;$C52,CPAT_Results!$F:$F,0),MATCH(R$5,CPAT_Results!$1:$1,0))</f>
        <v>23.306999999999999</v>
      </c>
      <c r="S52" s="146">
        <f>INDEX(CPAT_Results!$A:$AD,MATCH($H52&amp;"_"&amp;$C52,CPAT_Results!$F:$F,0),MATCH(S$5,CPAT_Results!$1:$1,0))</f>
        <v>23.741</v>
      </c>
      <c r="T52" s="146">
        <f>INDEX(CPAT_Results!$A:$AD,MATCH($H52&amp;"_"&amp;$C52,CPAT_Results!$F:$F,0),MATCH(T$5,CPAT_Results!$1:$1,0))</f>
        <v>24.14</v>
      </c>
      <c r="U52" s="146">
        <f>INDEX(CPAT_Results!$A:$AD,MATCH($H52&amp;"_"&amp;$C52,CPAT_Results!$F:$F,0),MATCH(U$5,CPAT_Results!$1:$1,0))</f>
        <v>24.538</v>
      </c>
      <c r="V52" s="146">
        <f>INDEX(CPAT_Results!$A:$AD,MATCH($H52&amp;"_"&amp;$C52,CPAT_Results!$F:$F,0),MATCH(V$5,CPAT_Results!$1:$1,0))</f>
        <v>24.936</v>
      </c>
      <c r="W52" s="146">
        <f>INDEX(CPAT_Results!$A:$AD,MATCH($H52&amp;"_"&amp;$C52,CPAT_Results!$F:$F,0),MATCH(W$5,CPAT_Results!$1:$1,0))</f>
        <v>25.335000000000001</v>
      </c>
      <c r="X52" s="146">
        <f>INDEX(CPAT_Results!$A:$AD,MATCH($H52&amp;"_"&amp;$C52,CPAT_Results!$F:$F,0),MATCH(X$5,CPAT_Results!$1:$1,0))</f>
        <v>25.734000000000002</v>
      </c>
      <c r="Y52" s="146">
        <f>INDEX(CPAT_Results!$A:$AD,MATCH($H52&amp;"_"&amp;$C52,CPAT_Results!$F:$F,0),MATCH(Y$5,CPAT_Results!$1:$1,0))</f>
        <v>26.132999999999999</v>
      </c>
      <c r="Z52" s="146">
        <f>INDEX(CPAT_Results!$A:$AD,MATCH($H52&amp;"_"&amp;$C52,CPAT_Results!$F:$F,0),MATCH(Z$5,CPAT_Results!$1:$1,0))</f>
        <v>26.533000000000001</v>
      </c>
      <c r="AA52" s="146">
        <f>INDEX(CPAT_Results!$A:$AD,MATCH($H52&amp;"_"&amp;$C52,CPAT_Results!$F:$F,0),MATCH(AA$5,CPAT_Results!$1:$1,0))</f>
        <v>26.931999999999999</v>
      </c>
      <c r="AB52" s="146">
        <f>INDEX(CPAT_Results!$A:$AD,MATCH($H52&amp;"_"&amp;$C52,CPAT_Results!$F:$F,0),MATCH(AB$5,CPAT_Results!$1:$1,0))</f>
        <v>27.331</v>
      </c>
      <c r="AC52" s="146">
        <f>INDEX(CPAT_Results!$A:$AD,MATCH($H52&amp;"_"&amp;$C52,CPAT_Results!$F:$F,0),MATCH(AC$5,CPAT_Results!$1:$1,0))</f>
        <v>27.731000000000002</v>
      </c>
      <c r="AD52" s="146">
        <f>INDEX(CPAT_Results!$A:$AD,MATCH($H52&amp;"_"&amp;$C52,CPAT_Results!$F:$F,0),MATCH(AD$5,CPAT_Results!$1:$1,0))</f>
        <v>28.129000000000001</v>
      </c>
      <c r="AE52" s="146">
        <f>INDEX(CPAT_Results!$A:$AD,MATCH($H52&amp;"_"&amp;$C52,CPAT_Results!$F:$F,0),MATCH(AE$5,CPAT_Results!$1:$1,0))</f>
        <v>28.527999999999999</v>
      </c>
    </row>
    <row r="53" spans="2:31" x14ac:dyDescent="0.2">
      <c r="B53" s="112" t="s">
        <v>3332</v>
      </c>
      <c r="C53" s="112" t="s">
        <v>3265</v>
      </c>
      <c r="D53" s="112" t="s">
        <v>3328</v>
      </c>
      <c r="E53" s="112" t="s">
        <v>2065</v>
      </c>
      <c r="F53" s="112" t="s">
        <v>11682</v>
      </c>
      <c r="H53" s="116" t="s">
        <v>3329</v>
      </c>
      <c r="I53" s="5"/>
      <c r="J53" s="5"/>
      <c r="L53" s="146">
        <f>INDEX(CPAT_Results!$A:$AD,MATCH($H53&amp;"_"&amp;$C53,CPAT_Results!$F:$F,0),MATCH(L$5,CPAT_Results!$1:$1,0))</f>
        <v>15.803000000000001</v>
      </c>
      <c r="M53" s="146">
        <f>INDEX(CPAT_Results!$A:$AD,MATCH($H53&amp;"_"&amp;$C53,CPAT_Results!$F:$F,0),MATCH(M$5,CPAT_Results!$1:$1,0))</f>
        <v>17.407</v>
      </c>
      <c r="N53" s="146">
        <f>INDEX(CPAT_Results!$A:$AD,MATCH($H53&amp;"_"&amp;$C53,CPAT_Results!$F:$F,0),MATCH(N$5,CPAT_Results!$1:$1,0))</f>
        <v>21.786000000000001</v>
      </c>
      <c r="O53" s="146">
        <f>INDEX(CPAT_Results!$A:$AD,MATCH($H53&amp;"_"&amp;$C53,CPAT_Results!$F:$F,0),MATCH(O$5,CPAT_Results!$1:$1,0))</f>
        <v>22.128</v>
      </c>
      <c r="P53" s="146">
        <f>INDEX(CPAT_Results!$A:$AD,MATCH($H53&amp;"_"&amp;$C53,CPAT_Results!$F:$F,0),MATCH(P$5,CPAT_Results!$1:$1,0))</f>
        <v>22.457000000000001</v>
      </c>
      <c r="Q53" s="146">
        <f>INDEX(CPAT_Results!$A:$AD,MATCH($H53&amp;"_"&amp;$C53,CPAT_Results!$F:$F,0),MATCH(Q$5,CPAT_Results!$1:$1,0))</f>
        <v>22.846</v>
      </c>
      <c r="R53" s="146">
        <f>INDEX(CPAT_Results!$A:$AD,MATCH($H53&amp;"_"&amp;$C53,CPAT_Results!$F:$F,0),MATCH(R$5,CPAT_Results!$1:$1,0))</f>
        <v>23.306999999999999</v>
      </c>
      <c r="S53" s="146">
        <f>INDEX(CPAT_Results!$A:$AD,MATCH($H53&amp;"_"&amp;$C53,CPAT_Results!$F:$F,0),MATCH(S$5,CPAT_Results!$1:$1,0))</f>
        <v>23.741</v>
      </c>
      <c r="T53" s="146">
        <f>INDEX(CPAT_Results!$A:$AD,MATCH($H53&amp;"_"&amp;$C53,CPAT_Results!$F:$F,0),MATCH(T$5,CPAT_Results!$1:$1,0))</f>
        <v>24.14</v>
      </c>
      <c r="U53" s="146">
        <f>INDEX(CPAT_Results!$A:$AD,MATCH($H53&amp;"_"&amp;$C53,CPAT_Results!$F:$F,0),MATCH(U$5,CPAT_Results!$1:$1,0))</f>
        <v>24.538</v>
      </c>
      <c r="V53" s="146">
        <f>INDEX(CPAT_Results!$A:$AD,MATCH($H53&amp;"_"&amp;$C53,CPAT_Results!$F:$F,0),MATCH(V$5,CPAT_Results!$1:$1,0))</f>
        <v>24.936</v>
      </c>
      <c r="W53" s="146">
        <f>INDEX(CPAT_Results!$A:$AD,MATCH($H53&amp;"_"&amp;$C53,CPAT_Results!$F:$F,0),MATCH(W$5,CPAT_Results!$1:$1,0))</f>
        <v>25.335000000000001</v>
      </c>
      <c r="X53" s="146">
        <f>INDEX(CPAT_Results!$A:$AD,MATCH($H53&amp;"_"&amp;$C53,CPAT_Results!$F:$F,0),MATCH(X$5,CPAT_Results!$1:$1,0))</f>
        <v>25.734000000000002</v>
      </c>
      <c r="Y53" s="146">
        <f>INDEX(CPAT_Results!$A:$AD,MATCH($H53&amp;"_"&amp;$C53,CPAT_Results!$F:$F,0),MATCH(Y$5,CPAT_Results!$1:$1,0))</f>
        <v>26.132999999999999</v>
      </c>
      <c r="Z53" s="146">
        <f>INDEX(CPAT_Results!$A:$AD,MATCH($H53&amp;"_"&amp;$C53,CPAT_Results!$F:$F,0),MATCH(Z$5,CPAT_Results!$1:$1,0))</f>
        <v>26.533000000000001</v>
      </c>
      <c r="AA53" s="146">
        <f>INDEX(CPAT_Results!$A:$AD,MATCH($H53&amp;"_"&amp;$C53,CPAT_Results!$F:$F,0),MATCH(AA$5,CPAT_Results!$1:$1,0))</f>
        <v>26.931999999999999</v>
      </c>
      <c r="AB53" s="146">
        <f>INDEX(CPAT_Results!$A:$AD,MATCH($H53&amp;"_"&amp;$C53,CPAT_Results!$F:$F,0),MATCH(AB$5,CPAT_Results!$1:$1,0))</f>
        <v>27.331</v>
      </c>
      <c r="AC53" s="146">
        <f>INDEX(CPAT_Results!$A:$AD,MATCH($H53&amp;"_"&amp;$C53,CPAT_Results!$F:$F,0),MATCH(AC$5,CPAT_Results!$1:$1,0))</f>
        <v>27.731000000000002</v>
      </c>
      <c r="AD53" s="146">
        <f>INDEX(CPAT_Results!$A:$AD,MATCH($H53&amp;"_"&amp;$C53,CPAT_Results!$F:$F,0),MATCH(AD$5,CPAT_Results!$1:$1,0))</f>
        <v>28.129000000000001</v>
      </c>
      <c r="AE53" s="146">
        <f>INDEX(CPAT_Results!$A:$AD,MATCH($H53&amp;"_"&amp;$C53,CPAT_Results!$F:$F,0),MATCH(AE$5,CPAT_Results!$1:$1,0))</f>
        <v>28.527999999999999</v>
      </c>
    </row>
    <row r="54" spans="2:31" x14ac:dyDescent="0.2">
      <c r="B54" s="112" t="s">
        <v>3333</v>
      </c>
      <c r="C54" s="112" t="s">
        <v>3256</v>
      </c>
      <c r="D54" s="112" t="s">
        <v>3334</v>
      </c>
      <c r="E54" s="112" t="s">
        <v>2065</v>
      </c>
      <c r="F54" s="112" t="s">
        <v>11679</v>
      </c>
      <c r="H54" s="116" t="s">
        <v>3335</v>
      </c>
      <c r="I54" s="5"/>
      <c r="J54" s="5"/>
      <c r="L54" s="146">
        <f>INDEX(CPAT_Results!$A:$AD,MATCH($H54&amp;"_"&amp;$C54,CPAT_Results!$F:$F,0),MATCH(L$5,CPAT_Results!$1:$1,0))</f>
        <v>15.803000000000001</v>
      </c>
      <c r="M54" s="146">
        <f>INDEX(CPAT_Results!$A:$AD,MATCH($H54&amp;"_"&amp;$C54,CPAT_Results!$F:$F,0),MATCH(M$5,CPAT_Results!$1:$1,0))</f>
        <v>17.407</v>
      </c>
      <c r="N54" s="146">
        <f>INDEX(CPAT_Results!$A:$AD,MATCH($H54&amp;"_"&amp;$C54,CPAT_Results!$F:$F,0),MATCH(N$5,CPAT_Results!$1:$1,0))</f>
        <v>21.786000000000001</v>
      </c>
      <c r="O54" s="146">
        <f>INDEX(CPAT_Results!$A:$AD,MATCH($H54&amp;"_"&amp;$C54,CPAT_Results!$F:$F,0),MATCH(O$5,CPAT_Results!$1:$1,0))</f>
        <v>22.128</v>
      </c>
      <c r="P54" s="146">
        <f>INDEX(CPAT_Results!$A:$AD,MATCH($H54&amp;"_"&amp;$C54,CPAT_Results!$F:$F,0),MATCH(P$5,CPAT_Results!$1:$1,0))</f>
        <v>18.048999999999999</v>
      </c>
      <c r="Q54" s="146">
        <f>INDEX(CPAT_Results!$A:$AD,MATCH($H54&amp;"_"&amp;$C54,CPAT_Results!$F:$F,0),MATCH(Q$5,CPAT_Results!$1:$1,0))</f>
        <v>18.353999999999999</v>
      </c>
      <c r="R54" s="146">
        <f>INDEX(CPAT_Results!$A:$AD,MATCH($H54&amp;"_"&amp;$C54,CPAT_Results!$F:$F,0),MATCH(R$5,CPAT_Results!$1:$1,0))</f>
        <v>18.706</v>
      </c>
      <c r="S54" s="146">
        <f>INDEX(CPAT_Results!$A:$AD,MATCH($H54&amp;"_"&amp;$C54,CPAT_Results!$F:$F,0),MATCH(S$5,CPAT_Results!$1:$1,0))</f>
        <v>19.038</v>
      </c>
      <c r="T54" s="146">
        <f>INDEX(CPAT_Results!$A:$AD,MATCH($H54&amp;"_"&amp;$C54,CPAT_Results!$F:$F,0),MATCH(T$5,CPAT_Results!$1:$1,0))</f>
        <v>19.337</v>
      </c>
      <c r="U54" s="146">
        <f>INDEX(CPAT_Results!$A:$AD,MATCH($H54&amp;"_"&amp;$C54,CPAT_Results!$F:$F,0),MATCH(U$5,CPAT_Results!$1:$1,0))</f>
        <v>19.640999999999998</v>
      </c>
      <c r="V54" s="146">
        <f>INDEX(CPAT_Results!$A:$AD,MATCH($H54&amp;"_"&amp;$C54,CPAT_Results!$F:$F,0),MATCH(V$5,CPAT_Results!$1:$1,0))</f>
        <v>19.952999999999999</v>
      </c>
      <c r="W54" s="146">
        <f>INDEX(CPAT_Results!$A:$AD,MATCH($H54&amp;"_"&amp;$C54,CPAT_Results!$F:$F,0),MATCH(W$5,CPAT_Results!$1:$1,0))</f>
        <v>20.273</v>
      </c>
      <c r="X54" s="146">
        <f>INDEX(CPAT_Results!$A:$AD,MATCH($H54&amp;"_"&amp;$C54,CPAT_Results!$F:$F,0),MATCH(X$5,CPAT_Results!$1:$1,0))</f>
        <v>20.600999999999999</v>
      </c>
      <c r="Y54" s="146">
        <f>INDEX(CPAT_Results!$A:$AD,MATCH($H54&amp;"_"&amp;$C54,CPAT_Results!$F:$F,0),MATCH(Y$5,CPAT_Results!$1:$1,0))</f>
        <v>20.943999999999999</v>
      </c>
      <c r="Z54" s="146">
        <f>INDEX(CPAT_Results!$A:$AD,MATCH($H54&amp;"_"&amp;$C54,CPAT_Results!$F:$F,0),MATCH(Z$5,CPAT_Results!$1:$1,0))</f>
        <v>21.295999999999999</v>
      </c>
      <c r="AA54" s="146">
        <f>INDEX(CPAT_Results!$A:$AD,MATCH($H54&amp;"_"&amp;$C54,CPAT_Results!$F:$F,0),MATCH(AA$5,CPAT_Results!$1:$1,0))</f>
        <v>21.678000000000001</v>
      </c>
      <c r="AB54" s="146">
        <f>INDEX(CPAT_Results!$A:$AD,MATCH($H54&amp;"_"&amp;$C54,CPAT_Results!$F:$F,0),MATCH(AB$5,CPAT_Results!$1:$1,0))</f>
        <v>22.062999999999999</v>
      </c>
      <c r="AC54" s="146">
        <f>INDEX(CPAT_Results!$A:$AD,MATCH($H54&amp;"_"&amp;$C54,CPAT_Results!$F:$F,0),MATCH(AC$5,CPAT_Results!$1:$1,0))</f>
        <v>22.452999999999999</v>
      </c>
      <c r="AD54" s="146">
        <f>INDEX(CPAT_Results!$A:$AD,MATCH($H54&amp;"_"&amp;$C54,CPAT_Results!$F:$F,0),MATCH(AD$5,CPAT_Results!$1:$1,0))</f>
        <v>22.846</v>
      </c>
      <c r="AE54" s="146">
        <f>INDEX(CPAT_Results!$A:$AD,MATCH($H54&amp;"_"&amp;$C54,CPAT_Results!$F:$F,0),MATCH(AE$5,CPAT_Results!$1:$1,0))</f>
        <v>23.242999999999999</v>
      </c>
    </row>
    <row r="55" spans="2:31" x14ac:dyDescent="0.2">
      <c r="B55" s="112" t="s">
        <v>3336</v>
      </c>
      <c r="C55" s="112" t="s">
        <v>3261</v>
      </c>
      <c r="D55" s="112" t="s">
        <v>3334</v>
      </c>
      <c r="E55" s="112" t="s">
        <v>2065</v>
      </c>
      <c r="F55" s="112" t="s">
        <v>11680</v>
      </c>
      <c r="H55" s="116" t="s">
        <v>3335</v>
      </c>
      <c r="I55" s="5"/>
      <c r="J55" s="5"/>
      <c r="L55" s="146">
        <f>INDEX(CPAT_Results!$A:$AD,MATCH($H55&amp;"_"&amp;$C55,CPAT_Results!$F:$F,0),MATCH(L$5,CPAT_Results!$1:$1,0))</f>
        <v>15.803000000000001</v>
      </c>
      <c r="M55" s="146">
        <f>INDEX(CPAT_Results!$A:$AD,MATCH($H55&amp;"_"&amp;$C55,CPAT_Results!$F:$F,0),MATCH(M$5,CPAT_Results!$1:$1,0))</f>
        <v>17.407</v>
      </c>
      <c r="N55" s="146">
        <f>INDEX(CPAT_Results!$A:$AD,MATCH($H55&amp;"_"&amp;$C55,CPAT_Results!$F:$F,0),MATCH(N$5,CPAT_Results!$1:$1,0))</f>
        <v>21.786000000000001</v>
      </c>
      <c r="O55" s="146">
        <f>INDEX(CPAT_Results!$A:$AD,MATCH($H55&amp;"_"&amp;$C55,CPAT_Results!$F:$F,0),MATCH(O$5,CPAT_Results!$1:$1,0))</f>
        <v>22.128</v>
      </c>
      <c r="P55" s="146">
        <f>INDEX(CPAT_Results!$A:$AD,MATCH($H55&amp;"_"&amp;$C55,CPAT_Results!$F:$F,0),MATCH(P$5,CPAT_Results!$1:$1,0))</f>
        <v>22.457000000000001</v>
      </c>
      <c r="Q55" s="146">
        <f>INDEX(CPAT_Results!$A:$AD,MATCH($H55&amp;"_"&amp;$C55,CPAT_Results!$F:$F,0),MATCH(Q$5,CPAT_Results!$1:$1,0))</f>
        <v>22.846</v>
      </c>
      <c r="R55" s="146">
        <f>INDEX(CPAT_Results!$A:$AD,MATCH($H55&amp;"_"&amp;$C55,CPAT_Results!$F:$F,0),MATCH(R$5,CPAT_Results!$1:$1,0))</f>
        <v>23.306999999999999</v>
      </c>
      <c r="S55" s="146">
        <f>INDEX(CPAT_Results!$A:$AD,MATCH($H55&amp;"_"&amp;$C55,CPAT_Results!$F:$F,0),MATCH(S$5,CPAT_Results!$1:$1,0))</f>
        <v>23.742000000000001</v>
      </c>
      <c r="T55" s="146">
        <f>INDEX(CPAT_Results!$A:$AD,MATCH($H55&amp;"_"&amp;$C55,CPAT_Results!$F:$F,0),MATCH(T$5,CPAT_Results!$1:$1,0))</f>
        <v>24.140999999999998</v>
      </c>
      <c r="U55" s="146">
        <f>INDEX(CPAT_Results!$A:$AD,MATCH($H55&amp;"_"&amp;$C55,CPAT_Results!$F:$F,0),MATCH(U$5,CPAT_Results!$1:$1,0))</f>
        <v>24.536999999999999</v>
      </c>
      <c r="V55" s="146">
        <f>INDEX(CPAT_Results!$A:$AD,MATCH($H55&amp;"_"&amp;$C55,CPAT_Results!$F:$F,0),MATCH(V$5,CPAT_Results!$1:$1,0))</f>
        <v>24.931999999999999</v>
      </c>
      <c r="W55" s="146">
        <f>INDEX(CPAT_Results!$A:$AD,MATCH($H55&amp;"_"&amp;$C55,CPAT_Results!$F:$F,0),MATCH(W$5,CPAT_Results!$1:$1,0))</f>
        <v>25.326000000000001</v>
      </c>
      <c r="X55" s="146">
        <f>INDEX(CPAT_Results!$A:$AD,MATCH($H55&amp;"_"&amp;$C55,CPAT_Results!$F:$F,0),MATCH(X$5,CPAT_Results!$1:$1,0))</f>
        <v>25.722999999999999</v>
      </c>
      <c r="Y55" s="146">
        <f>INDEX(CPAT_Results!$A:$AD,MATCH($H55&amp;"_"&amp;$C55,CPAT_Results!$F:$F,0),MATCH(Y$5,CPAT_Results!$1:$1,0))</f>
        <v>26.123999999999999</v>
      </c>
      <c r="Z55" s="146">
        <f>INDEX(CPAT_Results!$A:$AD,MATCH($H55&amp;"_"&amp;$C55,CPAT_Results!$F:$F,0),MATCH(Z$5,CPAT_Results!$1:$1,0))</f>
        <v>26.532</v>
      </c>
      <c r="AA55" s="146">
        <f>INDEX(CPAT_Results!$A:$AD,MATCH($H55&amp;"_"&amp;$C55,CPAT_Results!$F:$F,0),MATCH(AA$5,CPAT_Results!$1:$1,0))</f>
        <v>26.95</v>
      </c>
      <c r="AB55" s="146">
        <f>INDEX(CPAT_Results!$A:$AD,MATCH($H55&amp;"_"&amp;$C55,CPAT_Results!$F:$F,0),MATCH(AB$5,CPAT_Results!$1:$1,0))</f>
        <v>27.382000000000001</v>
      </c>
      <c r="AC55" s="146">
        <f>INDEX(CPAT_Results!$A:$AD,MATCH($H55&amp;"_"&amp;$C55,CPAT_Results!$F:$F,0),MATCH(AC$5,CPAT_Results!$1:$1,0))</f>
        <v>27.827999999999999</v>
      </c>
      <c r="AD55" s="146">
        <f>INDEX(CPAT_Results!$A:$AD,MATCH($H55&amp;"_"&amp;$C55,CPAT_Results!$F:$F,0),MATCH(AD$5,CPAT_Results!$1:$1,0))</f>
        <v>28.29</v>
      </c>
      <c r="AE55" s="146">
        <f>INDEX(CPAT_Results!$A:$AD,MATCH($H55&amp;"_"&amp;$C55,CPAT_Results!$F:$F,0),MATCH(AE$5,CPAT_Results!$1:$1,0))</f>
        <v>28.765999999999998</v>
      </c>
    </row>
    <row r="56" spans="2:31" x14ac:dyDescent="0.2">
      <c r="B56" s="112" t="s">
        <v>3337</v>
      </c>
      <c r="C56" s="112" t="s">
        <v>3263</v>
      </c>
      <c r="D56" s="112" t="s">
        <v>3334</v>
      </c>
      <c r="E56" s="112" t="s">
        <v>2065</v>
      </c>
      <c r="F56" s="112" t="s">
        <v>11681</v>
      </c>
      <c r="H56" s="116" t="s">
        <v>3335</v>
      </c>
      <c r="L56" s="146">
        <f>INDEX(CPAT_Results!$A:$AD,MATCH($H56&amp;"_"&amp;$C56,CPAT_Results!$F:$F,0),MATCH(L$5,CPAT_Results!$1:$1,0))</f>
        <v>15.803000000000001</v>
      </c>
      <c r="M56" s="146">
        <f>INDEX(CPAT_Results!$A:$AD,MATCH($H56&amp;"_"&amp;$C56,CPAT_Results!$F:$F,0),MATCH(M$5,CPAT_Results!$1:$1,0))</f>
        <v>17.407</v>
      </c>
      <c r="N56" s="146">
        <f>INDEX(CPAT_Results!$A:$AD,MATCH($H56&amp;"_"&amp;$C56,CPAT_Results!$F:$F,0),MATCH(N$5,CPAT_Results!$1:$1,0))</f>
        <v>21.786000000000001</v>
      </c>
      <c r="O56" s="146">
        <f>INDEX(CPAT_Results!$A:$AD,MATCH($H56&amp;"_"&amp;$C56,CPAT_Results!$F:$F,0),MATCH(O$5,CPAT_Results!$1:$1,0))</f>
        <v>22.128</v>
      </c>
      <c r="P56" s="146">
        <f>INDEX(CPAT_Results!$A:$AD,MATCH($H56&amp;"_"&amp;$C56,CPAT_Results!$F:$F,0),MATCH(P$5,CPAT_Results!$1:$1,0))</f>
        <v>22.457000000000001</v>
      </c>
      <c r="Q56" s="146">
        <f>INDEX(CPAT_Results!$A:$AD,MATCH($H56&amp;"_"&amp;$C56,CPAT_Results!$F:$F,0),MATCH(Q$5,CPAT_Results!$1:$1,0))</f>
        <v>22.847000000000001</v>
      </c>
      <c r="R56" s="146">
        <f>INDEX(CPAT_Results!$A:$AD,MATCH($H56&amp;"_"&amp;$C56,CPAT_Results!$F:$F,0),MATCH(R$5,CPAT_Results!$1:$1,0))</f>
        <v>23.306000000000001</v>
      </c>
      <c r="S56" s="146">
        <f>INDEX(CPAT_Results!$A:$AD,MATCH($H56&amp;"_"&amp;$C56,CPAT_Results!$F:$F,0),MATCH(S$5,CPAT_Results!$1:$1,0))</f>
        <v>23.74</v>
      </c>
      <c r="T56" s="146">
        <f>INDEX(CPAT_Results!$A:$AD,MATCH($H56&amp;"_"&amp;$C56,CPAT_Results!$F:$F,0),MATCH(T$5,CPAT_Results!$1:$1,0))</f>
        <v>24.137</v>
      </c>
      <c r="U56" s="146">
        <f>INDEX(CPAT_Results!$A:$AD,MATCH($H56&amp;"_"&amp;$C56,CPAT_Results!$F:$F,0),MATCH(U$5,CPAT_Results!$1:$1,0))</f>
        <v>24.533999999999999</v>
      </c>
      <c r="V56" s="146">
        <f>INDEX(CPAT_Results!$A:$AD,MATCH($H56&amp;"_"&amp;$C56,CPAT_Results!$F:$F,0),MATCH(V$5,CPAT_Results!$1:$1,0))</f>
        <v>24.933</v>
      </c>
      <c r="W56" s="146">
        <f>INDEX(CPAT_Results!$A:$AD,MATCH($H56&amp;"_"&amp;$C56,CPAT_Results!$F:$F,0),MATCH(W$5,CPAT_Results!$1:$1,0))</f>
        <v>25.334</v>
      </c>
      <c r="X56" s="146">
        <f>INDEX(CPAT_Results!$A:$AD,MATCH($H56&amp;"_"&amp;$C56,CPAT_Results!$F:$F,0),MATCH(X$5,CPAT_Results!$1:$1,0))</f>
        <v>25.738</v>
      </c>
      <c r="Y56" s="146">
        <f>INDEX(CPAT_Results!$A:$AD,MATCH($H56&amp;"_"&amp;$C56,CPAT_Results!$F:$F,0),MATCH(Y$5,CPAT_Results!$1:$1,0))</f>
        <v>26.146999999999998</v>
      </c>
      <c r="Z56" s="146">
        <f>INDEX(CPAT_Results!$A:$AD,MATCH($H56&amp;"_"&amp;$C56,CPAT_Results!$F:$F,0),MATCH(Z$5,CPAT_Results!$1:$1,0))</f>
        <v>26.559000000000001</v>
      </c>
      <c r="AA56" s="146">
        <f>INDEX(CPAT_Results!$A:$AD,MATCH($H56&amp;"_"&amp;$C56,CPAT_Results!$F:$F,0),MATCH(AA$5,CPAT_Results!$1:$1,0))</f>
        <v>26.977</v>
      </c>
      <c r="AB56" s="146">
        <f>INDEX(CPAT_Results!$A:$AD,MATCH($H56&amp;"_"&amp;$C56,CPAT_Results!$F:$F,0),MATCH(AB$5,CPAT_Results!$1:$1,0))</f>
        <v>27.398</v>
      </c>
      <c r="AC56" s="146">
        <f>INDEX(CPAT_Results!$A:$AD,MATCH($H56&amp;"_"&amp;$C56,CPAT_Results!$F:$F,0),MATCH(AC$5,CPAT_Results!$1:$1,0))</f>
        <v>27.824999999999999</v>
      </c>
      <c r="AD56" s="146">
        <f>INDEX(CPAT_Results!$A:$AD,MATCH($H56&amp;"_"&amp;$C56,CPAT_Results!$F:$F,0),MATCH(AD$5,CPAT_Results!$1:$1,0))</f>
        <v>28.256</v>
      </c>
      <c r="AE56" s="146">
        <f>INDEX(CPAT_Results!$A:$AD,MATCH($H56&amp;"_"&amp;$C56,CPAT_Results!$F:$F,0),MATCH(AE$5,CPAT_Results!$1:$1,0))</f>
        <v>28.692</v>
      </c>
    </row>
    <row r="57" spans="2:31" x14ac:dyDescent="0.2">
      <c r="B57" s="112" t="s">
        <v>3338</v>
      </c>
      <c r="C57" s="112" t="s">
        <v>3265</v>
      </c>
      <c r="D57" s="112" t="s">
        <v>3334</v>
      </c>
      <c r="E57" s="112" t="s">
        <v>2065</v>
      </c>
      <c r="F57" s="112" t="s">
        <v>11682</v>
      </c>
      <c r="H57" s="116" t="s">
        <v>3335</v>
      </c>
      <c r="L57" s="146">
        <f>INDEX(CPAT_Results!$A:$AD,MATCH($H57&amp;"_"&amp;$C57,CPAT_Results!$F:$F,0),MATCH(L$5,CPAT_Results!$1:$1,0))</f>
        <v>15.803000000000001</v>
      </c>
      <c r="M57" s="146">
        <f>INDEX(CPAT_Results!$A:$AD,MATCH($H57&amp;"_"&amp;$C57,CPAT_Results!$F:$F,0),MATCH(M$5,CPAT_Results!$1:$1,0))</f>
        <v>17.407</v>
      </c>
      <c r="N57" s="146">
        <f>INDEX(CPAT_Results!$A:$AD,MATCH($H57&amp;"_"&amp;$C57,CPAT_Results!$F:$F,0),MATCH(N$5,CPAT_Results!$1:$1,0))</f>
        <v>21.786000000000001</v>
      </c>
      <c r="O57" s="146">
        <f>INDEX(CPAT_Results!$A:$AD,MATCH($H57&amp;"_"&amp;$C57,CPAT_Results!$F:$F,0),MATCH(O$5,CPAT_Results!$1:$1,0))</f>
        <v>22.128</v>
      </c>
      <c r="P57" s="146">
        <f>INDEX(CPAT_Results!$A:$AD,MATCH($H57&amp;"_"&amp;$C57,CPAT_Results!$F:$F,0),MATCH(P$5,CPAT_Results!$1:$1,0))</f>
        <v>22.457000000000001</v>
      </c>
      <c r="Q57" s="146">
        <f>INDEX(CPAT_Results!$A:$AD,MATCH($H57&amp;"_"&amp;$C57,CPAT_Results!$F:$F,0),MATCH(Q$5,CPAT_Results!$1:$1,0))</f>
        <v>22.846</v>
      </c>
      <c r="R57" s="146">
        <f>INDEX(CPAT_Results!$A:$AD,MATCH($H57&amp;"_"&amp;$C57,CPAT_Results!$F:$F,0),MATCH(R$5,CPAT_Results!$1:$1,0))</f>
        <v>23.306999999999999</v>
      </c>
      <c r="S57" s="146">
        <f>INDEX(CPAT_Results!$A:$AD,MATCH($H57&amp;"_"&amp;$C57,CPAT_Results!$F:$F,0),MATCH(S$5,CPAT_Results!$1:$1,0))</f>
        <v>23.741</v>
      </c>
      <c r="T57" s="146">
        <f>INDEX(CPAT_Results!$A:$AD,MATCH($H57&amp;"_"&amp;$C57,CPAT_Results!$F:$F,0),MATCH(T$5,CPAT_Results!$1:$1,0))</f>
        <v>24.14</v>
      </c>
      <c r="U57" s="146">
        <f>INDEX(CPAT_Results!$A:$AD,MATCH($H57&amp;"_"&amp;$C57,CPAT_Results!$F:$F,0),MATCH(U$5,CPAT_Results!$1:$1,0))</f>
        <v>24.538</v>
      </c>
      <c r="V57" s="146">
        <f>INDEX(CPAT_Results!$A:$AD,MATCH($H57&amp;"_"&amp;$C57,CPAT_Results!$F:$F,0),MATCH(V$5,CPAT_Results!$1:$1,0))</f>
        <v>24.936</v>
      </c>
      <c r="W57" s="146">
        <f>INDEX(CPAT_Results!$A:$AD,MATCH($H57&amp;"_"&amp;$C57,CPAT_Results!$F:$F,0),MATCH(W$5,CPAT_Results!$1:$1,0))</f>
        <v>25.332999999999998</v>
      </c>
      <c r="X57" s="146">
        <f>INDEX(CPAT_Results!$A:$AD,MATCH($H57&amp;"_"&amp;$C57,CPAT_Results!$F:$F,0),MATCH(X$5,CPAT_Results!$1:$1,0))</f>
        <v>25.731000000000002</v>
      </c>
      <c r="Y57" s="146">
        <f>INDEX(CPAT_Results!$A:$AD,MATCH($H57&amp;"_"&amp;$C57,CPAT_Results!$F:$F,0),MATCH(Y$5,CPAT_Results!$1:$1,0))</f>
        <v>26.129000000000001</v>
      </c>
      <c r="Z57" s="146">
        <f>INDEX(CPAT_Results!$A:$AD,MATCH($H57&amp;"_"&amp;$C57,CPAT_Results!$F:$F,0),MATCH(Z$5,CPAT_Results!$1:$1,0))</f>
        <v>26.529</v>
      </c>
      <c r="AA57" s="146">
        <f>INDEX(CPAT_Results!$A:$AD,MATCH($H57&amp;"_"&amp;$C57,CPAT_Results!$F:$F,0),MATCH(AA$5,CPAT_Results!$1:$1,0))</f>
        <v>26.93</v>
      </c>
      <c r="AB57" s="146">
        <f>INDEX(CPAT_Results!$A:$AD,MATCH($H57&amp;"_"&amp;$C57,CPAT_Results!$F:$F,0),MATCH(AB$5,CPAT_Results!$1:$1,0))</f>
        <v>27.337</v>
      </c>
      <c r="AC57" s="146">
        <f>INDEX(CPAT_Results!$A:$AD,MATCH($H57&amp;"_"&amp;$C57,CPAT_Results!$F:$F,0),MATCH(AC$5,CPAT_Results!$1:$1,0))</f>
        <v>27.75</v>
      </c>
      <c r="AD57" s="146">
        <f>INDEX(CPAT_Results!$A:$AD,MATCH($H57&amp;"_"&amp;$C57,CPAT_Results!$F:$F,0),MATCH(AD$5,CPAT_Results!$1:$1,0))</f>
        <v>28.172000000000001</v>
      </c>
      <c r="AE57" s="146">
        <f>INDEX(CPAT_Results!$A:$AD,MATCH($H57&amp;"_"&amp;$C57,CPAT_Results!$F:$F,0),MATCH(AE$5,CPAT_Results!$1:$1,0))</f>
        <v>28.603000000000002</v>
      </c>
    </row>
    <row r="58" spans="2:31" x14ac:dyDescent="0.2">
      <c r="B58" s="112" t="s">
        <v>3339</v>
      </c>
      <c r="C58" s="112" t="s">
        <v>3256</v>
      </c>
      <c r="D58" s="112" t="s">
        <v>3340</v>
      </c>
      <c r="E58" s="112" t="s">
        <v>2065</v>
      </c>
      <c r="F58" s="112" t="s">
        <v>11679</v>
      </c>
      <c r="H58" s="116" t="s">
        <v>3341</v>
      </c>
      <c r="L58" s="146">
        <f>INDEX(CPAT_Results!$A:$AD,MATCH($H58&amp;"_"&amp;$C58,CPAT_Results!$F:$F,0),MATCH(L$5,CPAT_Results!$1:$1,0))</f>
        <v>307.637</v>
      </c>
      <c r="M58" s="146">
        <f>INDEX(CPAT_Results!$A:$AD,MATCH($H58&amp;"_"&amp;$C58,CPAT_Results!$F:$F,0),MATCH(M$5,CPAT_Results!$1:$1,0))</f>
        <v>315.625</v>
      </c>
      <c r="N58" s="146">
        <f>INDEX(CPAT_Results!$A:$AD,MATCH($H58&amp;"_"&amp;$C58,CPAT_Results!$F:$F,0),MATCH(N$5,CPAT_Results!$1:$1,0))</f>
        <v>350.60500000000002</v>
      </c>
      <c r="O58" s="146">
        <f>INDEX(CPAT_Results!$A:$AD,MATCH($H58&amp;"_"&amp;$C58,CPAT_Results!$F:$F,0),MATCH(O$5,CPAT_Results!$1:$1,0))</f>
        <v>364.72300000000001</v>
      </c>
      <c r="P58" s="146">
        <f>INDEX(CPAT_Results!$A:$AD,MATCH($H58&amp;"_"&amp;$C58,CPAT_Results!$F:$F,0),MATCH(P$5,CPAT_Results!$1:$1,0))</f>
        <v>369.17599999999999</v>
      </c>
      <c r="Q58" s="146">
        <f>INDEX(CPAT_Results!$A:$AD,MATCH($H58&amp;"_"&amp;$C58,CPAT_Results!$F:$F,0),MATCH(Q$5,CPAT_Results!$1:$1,0))</f>
        <v>378.15499999999997</v>
      </c>
      <c r="R58" s="146">
        <f>INDEX(CPAT_Results!$A:$AD,MATCH($H58&amp;"_"&amp;$C58,CPAT_Results!$F:$F,0),MATCH(R$5,CPAT_Results!$1:$1,0))</f>
        <v>391.94499999999999</v>
      </c>
      <c r="S58" s="146">
        <f>INDEX(CPAT_Results!$A:$AD,MATCH($H58&amp;"_"&amp;$C58,CPAT_Results!$F:$F,0),MATCH(S$5,CPAT_Results!$1:$1,0))</f>
        <v>406.36399999999998</v>
      </c>
      <c r="T58" s="146">
        <f>INDEX(CPAT_Results!$A:$AD,MATCH($H58&amp;"_"&amp;$C58,CPAT_Results!$F:$F,0),MATCH(T$5,CPAT_Results!$1:$1,0))</f>
        <v>421.24599999999998</v>
      </c>
      <c r="U58" s="146">
        <f>INDEX(CPAT_Results!$A:$AD,MATCH($H58&amp;"_"&amp;$C58,CPAT_Results!$F:$F,0),MATCH(U$5,CPAT_Results!$1:$1,0))</f>
        <v>437.51900000000001</v>
      </c>
      <c r="V58" s="146">
        <f>INDEX(CPAT_Results!$A:$AD,MATCH($H58&amp;"_"&amp;$C58,CPAT_Results!$F:$F,0),MATCH(V$5,CPAT_Results!$1:$1,0))</f>
        <v>455.45699999999999</v>
      </c>
      <c r="W58" s="146">
        <f>INDEX(CPAT_Results!$A:$AD,MATCH($H58&amp;"_"&amp;$C58,CPAT_Results!$F:$F,0),MATCH(W$5,CPAT_Results!$1:$1,0))</f>
        <v>475.30500000000001</v>
      </c>
      <c r="X58" s="146">
        <f>INDEX(CPAT_Results!$A:$AD,MATCH($H58&amp;"_"&amp;$C58,CPAT_Results!$F:$F,0),MATCH(X$5,CPAT_Results!$1:$1,0))</f>
        <v>496.25400000000002</v>
      </c>
      <c r="Y58" s="146">
        <f>INDEX(CPAT_Results!$A:$AD,MATCH($H58&amp;"_"&amp;$C58,CPAT_Results!$F:$F,0),MATCH(Y$5,CPAT_Results!$1:$1,0))</f>
        <v>518.41399999999999</v>
      </c>
      <c r="Z58" s="146">
        <f>INDEX(CPAT_Results!$A:$AD,MATCH($H58&amp;"_"&amp;$C58,CPAT_Results!$F:$F,0),MATCH(Z$5,CPAT_Results!$1:$1,0))</f>
        <v>541.75400000000002</v>
      </c>
      <c r="AA58" s="146">
        <f>INDEX(CPAT_Results!$A:$AD,MATCH($H58&amp;"_"&amp;$C58,CPAT_Results!$F:$F,0),MATCH(AA$5,CPAT_Results!$1:$1,0))</f>
        <v>566.47799999999995</v>
      </c>
      <c r="AB58" s="146">
        <f>INDEX(CPAT_Results!$A:$AD,MATCH($H58&amp;"_"&amp;$C58,CPAT_Results!$F:$F,0),MATCH(AB$5,CPAT_Results!$1:$1,0))</f>
        <v>592.68200000000002</v>
      </c>
      <c r="AC58" s="146">
        <f>INDEX(CPAT_Results!$A:$AD,MATCH($H58&amp;"_"&amp;$C58,CPAT_Results!$F:$F,0),MATCH(AC$5,CPAT_Results!$1:$1,0))</f>
        <v>620.52499999999998</v>
      </c>
      <c r="AD58" s="146">
        <f>INDEX(CPAT_Results!$A:$AD,MATCH($H58&amp;"_"&amp;$C58,CPAT_Results!$F:$F,0),MATCH(AD$5,CPAT_Results!$1:$1,0))</f>
        <v>650.19399999999996</v>
      </c>
      <c r="AE58" s="146">
        <f>INDEX(CPAT_Results!$A:$AD,MATCH($H58&amp;"_"&amp;$C58,CPAT_Results!$F:$F,0),MATCH(AE$5,CPAT_Results!$1:$1,0))</f>
        <v>680.58399999999995</v>
      </c>
    </row>
    <row r="59" spans="2:31" x14ac:dyDescent="0.2">
      <c r="B59" s="112" t="s">
        <v>3342</v>
      </c>
      <c r="C59" s="112" t="s">
        <v>3261</v>
      </c>
      <c r="D59" s="112" t="s">
        <v>3340</v>
      </c>
      <c r="E59" s="112" t="s">
        <v>2065</v>
      </c>
      <c r="F59" s="112" t="s">
        <v>11680</v>
      </c>
      <c r="H59" s="116" t="s">
        <v>3341</v>
      </c>
      <c r="L59" s="146">
        <f>INDEX(CPAT_Results!$A:$AD,MATCH($H59&amp;"_"&amp;$C59,CPAT_Results!$F:$F,0),MATCH(L$5,CPAT_Results!$1:$1,0))</f>
        <v>307.637</v>
      </c>
      <c r="M59" s="146">
        <f>INDEX(CPAT_Results!$A:$AD,MATCH($H59&amp;"_"&amp;$C59,CPAT_Results!$F:$F,0),MATCH(M$5,CPAT_Results!$1:$1,0))</f>
        <v>315.625</v>
      </c>
      <c r="N59" s="146">
        <f>INDEX(CPAT_Results!$A:$AD,MATCH($H59&amp;"_"&amp;$C59,CPAT_Results!$F:$F,0),MATCH(N$5,CPAT_Results!$1:$1,0))</f>
        <v>350.60500000000002</v>
      </c>
      <c r="O59" s="146">
        <f>INDEX(CPAT_Results!$A:$AD,MATCH($H59&amp;"_"&amp;$C59,CPAT_Results!$F:$F,0),MATCH(O$5,CPAT_Results!$1:$1,0))</f>
        <v>364.72300000000001</v>
      </c>
      <c r="P59" s="146">
        <f>INDEX(CPAT_Results!$A:$AD,MATCH($H59&amp;"_"&amp;$C59,CPAT_Results!$F:$F,0),MATCH(P$5,CPAT_Results!$1:$1,0))</f>
        <v>369.17599999999999</v>
      </c>
      <c r="Q59" s="146">
        <f>INDEX(CPAT_Results!$A:$AD,MATCH($H59&amp;"_"&amp;$C59,CPAT_Results!$F:$F,0),MATCH(Q$5,CPAT_Results!$1:$1,0))</f>
        <v>378.15499999999997</v>
      </c>
      <c r="R59" s="146">
        <f>INDEX(CPAT_Results!$A:$AD,MATCH($H59&amp;"_"&amp;$C59,CPAT_Results!$F:$F,0),MATCH(R$5,CPAT_Results!$1:$1,0))</f>
        <v>391.94499999999999</v>
      </c>
      <c r="S59" s="146">
        <f>INDEX(CPAT_Results!$A:$AD,MATCH($H59&amp;"_"&amp;$C59,CPAT_Results!$F:$F,0),MATCH(S$5,CPAT_Results!$1:$1,0))</f>
        <v>406.36399999999998</v>
      </c>
      <c r="T59" s="146">
        <f>INDEX(CPAT_Results!$A:$AD,MATCH($H59&amp;"_"&amp;$C59,CPAT_Results!$F:$F,0),MATCH(T$5,CPAT_Results!$1:$1,0))</f>
        <v>421.24599999999998</v>
      </c>
      <c r="U59" s="146">
        <f>INDEX(CPAT_Results!$A:$AD,MATCH($H59&amp;"_"&amp;$C59,CPAT_Results!$F:$F,0),MATCH(U$5,CPAT_Results!$1:$1,0))</f>
        <v>437.51900000000001</v>
      </c>
      <c r="V59" s="146">
        <f>INDEX(CPAT_Results!$A:$AD,MATCH($H59&amp;"_"&amp;$C59,CPAT_Results!$F:$F,0),MATCH(V$5,CPAT_Results!$1:$1,0))</f>
        <v>455.45699999999999</v>
      </c>
      <c r="W59" s="146">
        <f>INDEX(CPAT_Results!$A:$AD,MATCH($H59&amp;"_"&amp;$C59,CPAT_Results!$F:$F,0),MATCH(W$5,CPAT_Results!$1:$1,0))</f>
        <v>475.30500000000001</v>
      </c>
      <c r="X59" s="146">
        <f>INDEX(CPAT_Results!$A:$AD,MATCH($H59&amp;"_"&amp;$C59,CPAT_Results!$F:$F,0),MATCH(X$5,CPAT_Results!$1:$1,0))</f>
        <v>496.25400000000002</v>
      </c>
      <c r="Y59" s="146">
        <f>INDEX(CPAT_Results!$A:$AD,MATCH($H59&amp;"_"&amp;$C59,CPAT_Results!$F:$F,0),MATCH(Y$5,CPAT_Results!$1:$1,0))</f>
        <v>518.41399999999999</v>
      </c>
      <c r="Z59" s="146">
        <f>INDEX(CPAT_Results!$A:$AD,MATCH($H59&amp;"_"&amp;$C59,CPAT_Results!$F:$F,0),MATCH(Z$5,CPAT_Results!$1:$1,0))</f>
        <v>541.75400000000002</v>
      </c>
      <c r="AA59" s="146">
        <f>INDEX(CPAT_Results!$A:$AD,MATCH($H59&amp;"_"&amp;$C59,CPAT_Results!$F:$F,0),MATCH(AA$5,CPAT_Results!$1:$1,0))</f>
        <v>566.47799999999995</v>
      </c>
      <c r="AB59" s="146">
        <f>INDEX(CPAT_Results!$A:$AD,MATCH($H59&amp;"_"&amp;$C59,CPAT_Results!$F:$F,0),MATCH(AB$5,CPAT_Results!$1:$1,0))</f>
        <v>592.68200000000002</v>
      </c>
      <c r="AC59" s="146">
        <f>INDEX(CPAT_Results!$A:$AD,MATCH($H59&amp;"_"&amp;$C59,CPAT_Results!$F:$F,0),MATCH(AC$5,CPAT_Results!$1:$1,0))</f>
        <v>620.52499999999998</v>
      </c>
      <c r="AD59" s="146">
        <f>INDEX(CPAT_Results!$A:$AD,MATCH($H59&amp;"_"&amp;$C59,CPAT_Results!$F:$F,0),MATCH(AD$5,CPAT_Results!$1:$1,0))</f>
        <v>650.19399999999996</v>
      </c>
      <c r="AE59" s="146">
        <f>INDEX(CPAT_Results!$A:$AD,MATCH($H59&amp;"_"&amp;$C59,CPAT_Results!$F:$F,0),MATCH(AE$5,CPAT_Results!$1:$1,0))</f>
        <v>680.58399999999995</v>
      </c>
    </row>
    <row r="60" spans="2:31" x14ac:dyDescent="0.2">
      <c r="B60" s="112" t="s">
        <v>3343</v>
      </c>
      <c r="C60" s="112" t="s">
        <v>3263</v>
      </c>
      <c r="D60" s="112" t="s">
        <v>3340</v>
      </c>
      <c r="E60" s="112" t="s">
        <v>2065</v>
      </c>
      <c r="F60" s="112" t="s">
        <v>11681</v>
      </c>
      <c r="H60" s="116" t="s">
        <v>3341</v>
      </c>
      <c r="L60" s="146">
        <f>INDEX(CPAT_Results!$A:$AD,MATCH($H60&amp;"_"&amp;$C60,CPAT_Results!$F:$F,0),MATCH(L$5,CPAT_Results!$1:$1,0))</f>
        <v>307.637</v>
      </c>
      <c r="M60" s="146">
        <f>INDEX(CPAT_Results!$A:$AD,MATCH($H60&amp;"_"&amp;$C60,CPAT_Results!$F:$F,0),MATCH(M$5,CPAT_Results!$1:$1,0))</f>
        <v>315.625</v>
      </c>
      <c r="N60" s="146">
        <f>INDEX(CPAT_Results!$A:$AD,MATCH($H60&amp;"_"&amp;$C60,CPAT_Results!$F:$F,0),MATCH(N$5,CPAT_Results!$1:$1,0))</f>
        <v>350.60500000000002</v>
      </c>
      <c r="O60" s="146">
        <f>INDEX(CPAT_Results!$A:$AD,MATCH($H60&amp;"_"&amp;$C60,CPAT_Results!$F:$F,0),MATCH(O$5,CPAT_Results!$1:$1,0))</f>
        <v>364.72300000000001</v>
      </c>
      <c r="P60" s="146">
        <f>INDEX(CPAT_Results!$A:$AD,MATCH($H60&amp;"_"&amp;$C60,CPAT_Results!$F:$F,0),MATCH(P$5,CPAT_Results!$1:$1,0))</f>
        <v>369.17599999999999</v>
      </c>
      <c r="Q60" s="146">
        <f>INDEX(CPAT_Results!$A:$AD,MATCH($H60&amp;"_"&amp;$C60,CPAT_Results!$F:$F,0),MATCH(Q$5,CPAT_Results!$1:$1,0))</f>
        <v>378.15499999999997</v>
      </c>
      <c r="R60" s="146">
        <f>INDEX(CPAT_Results!$A:$AD,MATCH($H60&amp;"_"&amp;$C60,CPAT_Results!$F:$F,0),MATCH(R$5,CPAT_Results!$1:$1,0))</f>
        <v>391.94499999999999</v>
      </c>
      <c r="S60" s="146">
        <f>INDEX(CPAT_Results!$A:$AD,MATCH($H60&amp;"_"&amp;$C60,CPAT_Results!$F:$F,0),MATCH(S$5,CPAT_Results!$1:$1,0))</f>
        <v>406.36399999999998</v>
      </c>
      <c r="T60" s="146">
        <f>INDEX(CPAT_Results!$A:$AD,MATCH($H60&amp;"_"&amp;$C60,CPAT_Results!$F:$F,0),MATCH(T$5,CPAT_Results!$1:$1,0))</f>
        <v>421.24599999999998</v>
      </c>
      <c r="U60" s="146">
        <f>INDEX(CPAT_Results!$A:$AD,MATCH($H60&amp;"_"&amp;$C60,CPAT_Results!$F:$F,0),MATCH(U$5,CPAT_Results!$1:$1,0))</f>
        <v>437.51900000000001</v>
      </c>
      <c r="V60" s="146">
        <f>INDEX(CPAT_Results!$A:$AD,MATCH($H60&amp;"_"&amp;$C60,CPAT_Results!$F:$F,0),MATCH(V$5,CPAT_Results!$1:$1,0))</f>
        <v>455.45699999999999</v>
      </c>
      <c r="W60" s="146">
        <f>INDEX(CPAT_Results!$A:$AD,MATCH($H60&amp;"_"&amp;$C60,CPAT_Results!$F:$F,0),MATCH(W$5,CPAT_Results!$1:$1,0))</f>
        <v>475.30500000000001</v>
      </c>
      <c r="X60" s="146">
        <f>INDEX(CPAT_Results!$A:$AD,MATCH($H60&amp;"_"&amp;$C60,CPAT_Results!$F:$F,0),MATCH(X$5,CPAT_Results!$1:$1,0))</f>
        <v>496.25400000000002</v>
      </c>
      <c r="Y60" s="146">
        <f>INDEX(CPAT_Results!$A:$AD,MATCH($H60&amp;"_"&amp;$C60,CPAT_Results!$F:$F,0),MATCH(Y$5,CPAT_Results!$1:$1,0))</f>
        <v>518.41399999999999</v>
      </c>
      <c r="Z60" s="146">
        <f>INDEX(CPAT_Results!$A:$AD,MATCH($H60&amp;"_"&amp;$C60,CPAT_Results!$F:$F,0),MATCH(Z$5,CPAT_Results!$1:$1,0))</f>
        <v>541.75400000000002</v>
      </c>
      <c r="AA60" s="146">
        <f>INDEX(CPAT_Results!$A:$AD,MATCH($H60&amp;"_"&amp;$C60,CPAT_Results!$F:$F,0),MATCH(AA$5,CPAT_Results!$1:$1,0))</f>
        <v>566.47799999999995</v>
      </c>
      <c r="AB60" s="146">
        <f>INDEX(CPAT_Results!$A:$AD,MATCH($H60&amp;"_"&amp;$C60,CPAT_Results!$F:$F,0),MATCH(AB$5,CPAT_Results!$1:$1,0))</f>
        <v>592.68200000000002</v>
      </c>
      <c r="AC60" s="146">
        <f>INDEX(CPAT_Results!$A:$AD,MATCH($H60&amp;"_"&amp;$C60,CPAT_Results!$F:$F,0),MATCH(AC$5,CPAT_Results!$1:$1,0))</f>
        <v>620.52499999999998</v>
      </c>
      <c r="AD60" s="146">
        <f>INDEX(CPAT_Results!$A:$AD,MATCH($H60&amp;"_"&amp;$C60,CPAT_Results!$F:$F,0),MATCH(AD$5,CPAT_Results!$1:$1,0))</f>
        <v>650.19399999999996</v>
      </c>
      <c r="AE60" s="146">
        <f>INDEX(CPAT_Results!$A:$AD,MATCH($H60&amp;"_"&amp;$C60,CPAT_Results!$F:$F,0),MATCH(AE$5,CPAT_Results!$1:$1,0))</f>
        <v>680.58399999999995</v>
      </c>
    </row>
    <row r="61" spans="2:31" x14ac:dyDescent="0.2">
      <c r="B61" s="112" t="s">
        <v>3344</v>
      </c>
      <c r="C61" s="112" t="s">
        <v>3265</v>
      </c>
      <c r="D61" s="112" t="s">
        <v>3340</v>
      </c>
      <c r="E61" s="112" t="s">
        <v>2065</v>
      </c>
      <c r="F61" s="112" t="s">
        <v>11682</v>
      </c>
      <c r="H61" s="116" t="s">
        <v>3341</v>
      </c>
      <c r="L61" s="146">
        <f>INDEX(CPAT_Results!$A:$AD,MATCH($H61&amp;"_"&amp;$C61,CPAT_Results!$F:$F,0),MATCH(L$5,CPAT_Results!$1:$1,0))</f>
        <v>307.637</v>
      </c>
      <c r="M61" s="146">
        <f>INDEX(CPAT_Results!$A:$AD,MATCH($H61&amp;"_"&amp;$C61,CPAT_Results!$F:$F,0),MATCH(M$5,CPAT_Results!$1:$1,0))</f>
        <v>315.613</v>
      </c>
      <c r="N61" s="146">
        <f>INDEX(CPAT_Results!$A:$AD,MATCH($H61&amp;"_"&amp;$C61,CPAT_Results!$F:$F,0),MATCH(N$5,CPAT_Results!$1:$1,0))</f>
        <v>350.59300000000002</v>
      </c>
      <c r="O61" s="146">
        <f>INDEX(CPAT_Results!$A:$AD,MATCH($H61&amp;"_"&amp;$C61,CPAT_Results!$F:$F,0),MATCH(O$5,CPAT_Results!$1:$1,0))</f>
        <v>364.71100000000001</v>
      </c>
      <c r="P61" s="146">
        <f>INDEX(CPAT_Results!$A:$AD,MATCH($H61&amp;"_"&amp;$C61,CPAT_Results!$F:$F,0),MATCH(P$5,CPAT_Results!$1:$1,0))</f>
        <v>369.13900000000001</v>
      </c>
      <c r="Q61" s="146">
        <f>INDEX(CPAT_Results!$A:$AD,MATCH($H61&amp;"_"&amp;$C61,CPAT_Results!$F:$F,0),MATCH(Q$5,CPAT_Results!$1:$1,0))</f>
        <v>378.11399999999998</v>
      </c>
      <c r="R61" s="146">
        <f>INDEX(CPAT_Results!$A:$AD,MATCH($H61&amp;"_"&amp;$C61,CPAT_Results!$F:$F,0),MATCH(R$5,CPAT_Results!$1:$1,0))</f>
        <v>391.91199999999998</v>
      </c>
      <c r="S61" s="146">
        <f>INDEX(CPAT_Results!$A:$AD,MATCH($H61&amp;"_"&amp;$C61,CPAT_Results!$F:$F,0),MATCH(S$5,CPAT_Results!$1:$1,0))</f>
        <v>406.33199999999999</v>
      </c>
      <c r="T61" s="146">
        <f>INDEX(CPAT_Results!$A:$AD,MATCH($H61&amp;"_"&amp;$C61,CPAT_Results!$F:$F,0),MATCH(T$5,CPAT_Results!$1:$1,0))</f>
        <v>421.214</v>
      </c>
      <c r="U61" s="146">
        <f>INDEX(CPAT_Results!$A:$AD,MATCH($H61&amp;"_"&amp;$C61,CPAT_Results!$F:$F,0),MATCH(U$5,CPAT_Results!$1:$1,0))</f>
        <v>437.48700000000002</v>
      </c>
      <c r="V61" s="146">
        <f>INDEX(CPAT_Results!$A:$AD,MATCH($H61&amp;"_"&amp;$C61,CPAT_Results!$F:$F,0),MATCH(V$5,CPAT_Results!$1:$1,0))</f>
        <v>455.42500000000001</v>
      </c>
      <c r="W61" s="146">
        <f>INDEX(CPAT_Results!$A:$AD,MATCH($H61&amp;"_"&amp;$C61,CPAT_Results!$F:$F,0),MATCH(W$5,CPAT_Results!$1:$1,0))</f>
        <v>475.274</v>
      </c>
      <c r="X61" s="146">
        <f>INDEX(CPAT_Results!$A:$AD,MATCH($H61&amp;"_"&amp;$C61,CPAT_Results!$F:$F,0),MATCH(X$5,CPAT_Results!$1:$1,0))</f>
        <v>496.22399999999999</v>
      </c>
      <c r="Y61" s="146">
        <f>INDEX(CPAT_Results!$A:$AD,MATCH($H61&amp;"_"&amp;$C61,CPAT_Results!$F:$F,0),MATCH(Y$5,CPAT_Results!$1:$1,0))</f>
        <v>518.38400000000001</v>
      </c>
      <c r="Z61" s="146">
        <f>INDEX(CPAT_Results!$A:$AD,MATCH($H61&amp;"_"&amp;$C61,CPAT_Results!$F:$F,0),MATCH(Z$5,CPAT_Results!$1:$1,0))</f>
        <v>541.72500000000002</v>
      </c>
      <c r="AA61" s="146">
        <f>INDEX(CPAT_Results!$A:$AD,MATCH($H61&amp;"_"&amp;$C61,CPAT_Results!$F:$F,0),MATCH(AA$5,CPAT_Results!$1:$1,0))</f>
        <v>566.44899999999996</v>
      </c>
      <c r="AB61" s="146">
        <f>INDEX(CPAT_Results!$A:$AD,MATCH($H61&amp;"_"&amp;$C61,CPAT_Results!$F:$F,0),MATCH(AB$5,CPAT_Results!$1:$1,0))</f>
        <v>592.65300000000002</v>
      </c>
      <c r="AC61" s="146">
        <f>INDEX(CPAT_Results!$A:$AD,MATCH($H61&amp;"_"&amp;$C61,CPAT_Results!$F:$F,0),MATCH(AC$5,CPAT_Results!$1:$1,0))</f>
        <v>620.49599999999998</v>
      </c>
      <c r="AD61" s="146">
        <f>INDEX(CPAT_Results!$A:$AD,MATCH($H61&amp;"_"&amp;$C61,CPAT_Results!$F:$F,0),MATCH(AD$5,CPAT_Results!$1:$1,0))</f>
        <v>650.16499999999996</v>
      </c>
      <c r="AE61" s="146">
        <f>INDEX(CPAT_Results!$A:$AD,MATCH($H61&amp;"_"&amp;$C61,CPAT_Results!$F:$F,0),MATCH(AE$5,CPAT_Results!$1:$1,0))</f>
        <v>680.55499999999995</v>
      </c>
    </row>
    <row r="62" spans="2:31" x14ac:dyDescent="0.2">
      <c r="B62" s="112" t="s">
        <v>3345</v>
      </c>
      <c r="C62" s="112" t="s">
        <v>3256</v>
      </c>
      <c r="D62" s="112" t="s">
        <v>3346</v>
      </c>
      <c r="E62" s="112" t="s">
        <v>2065</v>
      </c>
      <c r="F62" s="112" t="s">
        <v>11679</v>
      </c>
      <c r="H62" s="116" t="s">
        <v>3347</v>
      </c>
      <c r="L62" s="146">
        <f>INDEX(CPAT_Results!$A:$AD,MATCH($H62&amp;"_"&amp;$C62,CPAT_Results!$F:$F,0),MATCH(L$5,CPAT_Results!$1:$1,0))</f>
        <v>307.637</v>
      </c>
      <c r="M62" s="146">
        <f>INDEX(CPAT_Results!$A:$AD,MATCH($H62&amp;"_"&amp;$C62,CPAT_Results!$F:$F,0),MATCH(M$5,CPAT_Results!$1:$1,0))</f>
        <v>315.49299999999999</v>
      </c>
      <c r="N62" s="146">
        <f>INDEX(CPAT_Results!$A:$AD,MATCH($H62&amp;"_"&amp;$C62,CPAT_Results!$F:$F,0),MATCH(N$5,CPAT_Results!$1:$1,0))</f>
        <v>350.47699999999998</v>
      </c>
      <c r="O62" s="146">
        <f>INDEX(CPAT_Results!$A:$AD,MATCH($H62&amp;"_"&amp;$C62,CPAT_Results!$F:$F,0),MATCH(O$5,CPAT_Results!$1:$1,0))</f>
        <v>364.59800000000001</v>
      </c>
      <c r="P62" s="146">
        <f>INDEX(CPAT_Results!$A:$AD,MATCH($H62&amp;"_"&amp;$C62,CPAT_Results!$F:$F,0),MATCH(P$5,CPAT_Results!$1:$1,0))</f>
        <v>337.55099999999999</v>
      </c>
      <c r="Q62" s="146">
        <f>INDEX(CPAT_Results!$A:$AD,MATCH($H62&amp;"_"&amp;$C62,CPAT_Results!$F:$F,0),MATCH(Q$5,CPAT_Results!$1:$1,0))</f>
        <v>341.053</v>
      </c>
      <c r="R62" s="146">
        <f>INDEX(CPAT_Results!$A:$AD,MATCH($H62&amp;"_"&amp;$C62,CPAT_Results!$F:$F,0),MATCH(R$5,CPAT_Results!$1:$1,0))</f>
        <v>357.197</v>
      </c>
      <c r="S62" s="146">
        <f>INDEX(CPAT_Results!$A:$AD,MATCH($H62&amp;"_"&amp;$C62,CPAT_Results!$F:$F,0),MATCH(S$5,CPAT_Results!$1:$1,0))</f>
        <v>370.43700000000001</v>
      </c>
      <c r="T62" s="146">
        <f>INDEX(CPAT_Results!$A:$AD,MATCH($H62&amp;"_"&amp;$C62,CPAT_Results!$F:$F,0),MATCH(T$5,CPAT_Results!$1:$1,0))</f>
        <v>384.488</v>
      </c>
      <c r="U62" s="146">
        <f>INDEX(CPAT_Results!$A:$AD,MATCH($H62&amp;"_"&amp;$C62,CPAT_Results!$F:$F,0),MATCH(U$5,CPAT_Results!$1:$1,0))</f>
        <v>398.44400000000002</v>
      </c>
      <c r="V62" s="146">
        <f>INDEX(CPAT_Results!$A:$AD,MATCH($H62&amp;"_"&amp;$C62,CPAT_Results!$F:$F,0),MATCH(V$5,CPAT_Results!$1:$1,0))</f>
        <v>414.47</v>
      </c>
      <c r="W62" s="146">
        <f>INDEX(CPAT_Results!$A:$AD,MATCH($H62&amp;"_"&amp;$C62,CPAT_Results!$F:$F,0),MATCH(W$5,CPAT_Results!$1:$1,0))</f>
        <v>432.16199999999998</v>
      </c>
      <c r="X62" s="146">
        <f>INDEX(CPAT_Results!$A:$AD,MATCH($H62&amp;"_"&amp;$C62,CPAT_Results!$F:$F,0),MATCH(X$5,CPAT_Results!$1:$1,0))</f>
        <v>451.21</v>
      </c>
      <c r="Y62" s="146">
        <f>INDEX(CPAT_Results!$A:$AD,MATCH($H62&amp;"_"&amp;$C62,CPAT_Results!$F:$F,0),MATCH(Y$5,CPAT_Results!$1:$1,0))</f>
        <v>471.60599999999999</v>
      </c>
      <c r="Z62" s="146">
        <f>INDEX(CPAT_Results!$A:$AD,MATCH($H62&amp;"_"&amp;$C62,CPAT_Results!$F:$F,0),MATCH(Z$5,CPAT_Results!$1:$1,0))</f>
        <v>493.346</v>
      </c>
      <c r="AA62" s="146">
        <f>INDEX(CPAT_Results!$A:$AD,MATCH($H62&amp;"_"&amp;$C62,CPAT_Results!$F:$F,0),MATCH(AA$5,CPAT_Results!$1:$1,0))</f>
        <v>516.702</v>
      </c>
      <c r="AB62" s="146">
        <f>INDEX(CPAT_Results!$A:$AD,MATCH($H62&amp;"_"&amp;$C62,CPAT_Results!$F:$F,0),MATCH(AB$5,CPAT_Results!$1:$1,0))</f>
        <v>541.65099999999995</v>
      </c>
      <c r="AC62" s="146">
        <f>INDEX(CPAT_Results!$A:$AD,MATCH($H62&amp;"_"&amp;$C62,CPAT_Results!$F:$F,0),MATCH(AC$5,CPAT_Results!$1:$1,0))</f>
        <v>568.37800000000004</v>
      </c>
      <c r="AD62" s="146">
        <f>INDEX(CPAT_Results!$A:$AD,MATCH($H62&amp;"_"&amp;$C62,CPAT_Results!$F:$F,0),MATCH(AD$5,CPAT_Results!$1:$1,0))</f>
        <v>597.17700000000002</v>
      </c>
      <c r="AE62" s="146">
        <f>INDEX(CPAT_Results!$A:$AD,MATCH($H62&amp;"_"&amp;$C62,CPAT_Results!$F:$F,0),MATCH(AE$5,CPAT_Results!$1:$1,0))</f>
        <v>626.75</v>
      </c>
    </row>
    <row r="63" spans="2:31" x14ac:dyDescent="0.2">
      <c r="B63" s="112" t="s">
        <v>3348</v>
      </c>
      <c r="C63" s="112" t="s">
        <v>3261</v>
      </c>
      <c r="D63" s="112" t="s">
        <v>3346</v>
      </c>
      <c r="E63" s="112" t="s">
        <v>2065</v>
      </c>
      <c r="F63" s="112" t="s">
        <v>11680</v>
      </c>
      <c r="H63" s="116" t="s">
        <v>3347</v>
      </c>
      <c r="L63" s="146">
        <f>INDEX(CPAT_Results!$A:$AD,MATCH($H63&amp;"_"&amp;$C63,CPAT_Results!$F:$F,0),MATCH(L$5,CPAT_Results!$1:$1,0))</f>
        <v>307.637</v>
      </c>
      <c r="M63" s="146">
        <f>INDEX(CPAT_Results!$A:$AD,MATCH($H63&amp;"_"&amp;$C63,CPAT_Results!$F:$F,0),MATCH(M$5,CPAT_Results!$1:$1,0))</f>
        <v>315.625</v>
      </c>
      <c r="N63" s="146">
        <f>INDEX(CPAT_Results!$A:$AD,MATCH($H63&amp;"_"&amp;$C63,CPAT_Results!$F:$F,0),MATCH(N$5,CPAT_Results!$1:$1,0))</f>
        <v>350.60500000000002</v>
      </c>
      <c r="O63" s="146">
        <f>INDEX(CPAT_Results!$A:$AD,MATCH($H63&amp;"_"&amp;$C63,CPAT_Results!$F:$F,0),MATCH(O$5,CPAT_Results!$1:$1,0))</f>
        <v>364.72300000000001</v>
      </c>
      <c r="P63" s="146">
        <f>INDEX(CPAT_Results!$A:$AD,MATCH($H63&amp;"_"&amp;$C63,CPAT_Results!$F:$F,0),MATCH(P$5,CPAT_Results!$1:$1,0))</f>
        <v>369.17599999999999</v>
      </c>
      <c r="Q63" s="146">
        <f>INDEX(CPAT_Results!$A:$AD,MATCH($H63&amp;"_"&amp;$C63,CPAT_Results!$F:$F,0),MATCH(Q$5,CPAT_Results!$1:$1,0))</f>
        <v>378.15499999999997</v>
      </c>
      <c r="R63" s="146">
        <f>INDEX(CPAT_Results!$A:$AD,MATCH($H63&amp;"_"&amp;$C63,CPAT_Results!$F:$F,0),MATCH(R$5,CPAT_Results!$1:$1,0))</f>
        <v>391.94499999999999</v>
      </c>
      <c r="S63" s="146">
        <f>INDEX(CPAT_Results!$A:$AD,MATCH($H63&amp;"_"&amp;$C63,CPAT_Results!$F:$F,0),MATCH(S$5,CPAT_Results!$1:$1,0))</f>
        <v>400.32499999999999</v>
      </c>
      <c r="T63" s="146">
        <f>INDEX(CPAT_Results!$A:$AD,MATCH($H63&amp;"_"&amp;$C63,CPAT_Results!$F:$F,0),MATCH(T$5,CPAT_Results!$1:$1,0))</f>
        <v>412.14</v>
      </c>
      <c r="U63" s="146">
        <f>INDEX(CPAT_Results!$A:$AD,MATCH($H63&amp;"_"&amp;$C63,CPAT_Results!$F:$F,0),MATCH(U$5,CPAT_Results!$1:$1,0))</f>
        <v>424.94499999999999</v>
      </c>
      <c r="V63" s="146">
        <f>INDEX(CPAT_Results!$A:$AD,MATCH($H63&amp;"_"&amp;$C63,CPAT_Results!$F:$F,0),MATCH(V$5,CPAT_Results!$1:$1,0))</f>
        <v>440.25099999999998</v>
      </c>
      <c r="W63" s="146">
        <f>INDEX(CPAT_Results!$A:$AD,MATCH($H63&amp;"_"&amp;$C63,CPAT_Results!$F:$F,0),MATCH(W$5,CPAT_Results!$1:$1,0))</f>
        <v>457.26</v>
      </c>
      <c r="X63" s="146">
        <f>INDEX(CPAT_Results!$A:$AD,MATCH($H63&amp;"_"&amp;$C63,CPAT_Results!$F:$F,0),MATCH(X$5,CPAT_Results!$1:$1,0))</f>
        <v>475.58</v>
      </c>
      <c r="Y63" s="146">
        <f>INDEX(CPAT_Results!$A:$AD,MATCH($H63&amp;"_"&amp;$C63,CPAT_Results!$F:$F,0),MATCH(Y$5,CPAT_Results!$1:$1,0))</f>
        <v>495.15300000000002</v>
      </c>
      <c r="Z63" s="146">
        <f>INDEX(CPAT_Results!$A:$AD,MATCH($H63&amp;"_"&amp;$C63,CPAT_Results!$F:$F,0),MATCH(Z$5,CPAT_Results!$1:$1,0))</f>
        <v>516.06100000000004</v>
      </c>
      <c r="AA63" s="146">
        <f>INDEX(CPAT_Results!$A:$AD,MATCH($H63&amp;"_"&amp;$C63,CPAT_Results!$F:$F,0),MATCH(AA$5,CPAT_Results!$1:$1,0))</f>
        <v>538.49400000000003</v>
      </c>
      <c r="AB63" s="146">
        <f>INDEX(CPAT_Results!$A:$AD,MATCH($H63&amp;"_"&amp;$C63,CPAT_Results!$F:$F,0),MATCH(AB$5,CPAT_Results!$1:$1,0))</f>
        <v>562.57899999999995</v>
      </c>
      <c r="AC63" s="146">
        <f>INDEX(CPAT_Results!$A:$AD,MATCH($H63&amp;"_"&amp;$C63,CPAT_Results!$F:$F,0),MATCH(AC$5,CPAT_Results!$1:$1,0))</f>
        <v>588.43700000000001</v>
      </c>
      <c r="AD63" s="146">
        <f>INDEX(CPAT_Results!$A:$AD,MATCH($H63&amp;"_"&amp;$C63,CPAT_Results!$F:$F,0),MATCH(AD$5,CPAT_Results!$1:$1,0))</f>
        <v>616.08600000000001</v>
      </c>
      <c r="AE63" s="146">
        <f>INDEX(CPAT_Results!$A:$AD,MATCH($H63&amp;"_"&amp;$C63,CPAT_Results!$F:$F,0),MATCH(AE$5,CPAT_Results!$1:$1,0))</f>
        <v>644.93799999999999</v>
      </c>
    </row>
    <row r="64" spans="2:31" x14ac:dyDescent="0.2">
      <c r="B64" s="112" t="s">
        <v>3349</v>
      </c>
      <c r="C64" s="112" t="s">
        <v>3263</v>
      </c>
      <c r="D64" s="112" t="s">
        <v>3346</v>
      </c>
      <c r="E64" s="112" t="s">
        <v>2065</v>
      </c>
      <c r="F64" s="112" t="s">
        <v>11681</v>
      </c>
      <c r="H64" s="116" t="s">
        <v>3347</v>
      </c>
      <c r="L64" s="146">
        <f>INDEX(CPAT_Results!$A:$AD,MATCH($H64&amp;"_"&amp;$C64,CPAT_Results!$F:$F,0),MATCH(L$5,CPAT_Results!$1:$1,0))</f>
        <v>307.637</v>
      </c>
      <c r="M64" s="146">
        <f>INDEX(CPAT_Results!$A:$AD,MATCH($H64&amp;"_"&amp;$C64,CPAT_Results!$F:$F,0),MATCH(M$5,CPAT_Results!$1:$1,0))</f>
        <v>315.62200000000001</v>
      </c>
      <c r="N64" s="146">
        <f>INDEX(CPAT_Results!$A:$AD,MATCH($H64&amp;"_"&amp;$C64,CPAT_Results!$F:$F,0),MATCH(N$5,CPAT_Results!$1:$1,0))</f>
        <v>350.60199999999998</v>
      </c>
      <c r="O64" s="146">
        <f>INDEX(CPAT_Results!$A:$AD,MATCH($H64&amp;"_"&amp;$C64,CPAT_Results!$F:$F,0),MATCH(O$5,CPAT_Results!$1:$1,0))</f>
        <v>364.72</v>
      </c>
      <c r="P64" s="146">
        <f>INDEX(CPAT_Results!$A:$AD,MATCH($H64&amp;"_"&amp;$C64,CPAT_Results!$F:$F,0),MATCH(P$5,CPAT_Results!$1:$1,0))</f>
        <v>358.14499999999998</v>
      </c>
      <c r="Q64" s="146">
        <f>INDEX(CPAT_Results!$A:$AD,MATCH($H64&amp;"_"&amp;$C64,CPAT_Results!$F:$F,0),MATCH(Q$5,CPAT_Results!$1:$1,0))</f>
        <v>366.15600000000001</v>
      </c>
      <c r="R64" s="146">
        <f>INDEX(CPAT_Results!$A:$AD,MATCH($H64&amp;"_"&amp;$C64,CPAT_Results!$F:$F,0),MATCH(R$5,CPAT_Results!$1:$1,0))</f>
        <v>376.565</v>
      </c>
      <c r="S64" s="146">
        <f>INDEX(CPAT_Results!$A:$AD,MATCH($H64&amp;"_"&amp;$C64,CPAT_Results!$F:$F,0),MATCH(S$5,CPAT_Results!$1:$1,0))</f>
        <v>385.96199999999999</v>
      </c>
      <c r="T64" s="146">
        <f>INDEX(CPAT_Results!$A:$AD,MATCH($H64&amp;"_"&amp;$C64,CPAT_Results!$F:$F,0),MATCH(T$5,CPAT_Results!$1:$1,0))</f>
        <v>395.71600000000001</v>
      </c>
      <c r="U64" s="146">
        <f>INDEX(CPAT_Results!$A:$AD,MATCH($H64&amp;"_"&amp;$C64,CPAT_Results!$F:$F,0),MATCH(U$5,CPAT_Results!$1:$1,0))</f>
        <v>406.61200000000002</v>
      </c>
      <c r="V64" s="146">
        <f>INDEX(CPAT_Results!$A:$AD,MATCH($H64&amp;"_"&amp;$C64,CPAT_Results!$F:$F,0),MATCH(V$5,CPAT_Results!$1:$1,0))</f>
        <v>418.25200000000001</v>
      </c>
      <c r="W64" s="146">
        <f>INDEX(CPAT_Results!$A:$AD,MATCH($H64&amp;"_"&amp;$C64,CPAT_Results!$F:$F,0),MATCH(W$5,CPAT_Results!$1:$1,0))</f>
        <v>431.642</v>
      </c>
      <c r="X64" s="146">
        <f>INDEX(CPAT_Results!$A:$AD,MATCH($H64&amp;"_"&amp;$C64,CPAT_Results!$F:$F,0),MATCH(X$5,CPAT_Results!$1:$1,0))</f>
        <v>445.95699999999999</v>
      </c>
      <c r="Y64" s="146">
        <f>INDEX(CPAT_Results!$A:$AD,MATCH($H64&amp;"_"&amp;$C64,CPAT_Results!$F:$F,0),MATCH(Y$5,CPAT_Results!$1:$1,0))</f>
        <v>461.30799999999999</v>
      </c>
      <c r="Z64" s="146">
        <f>INDEX(CPAT_Results!$A:$AD,MATCH($H64&amp;"_"&amp;$C64,CPAT_Results!$F:$F,0),MATCH(Z$5,CPAT_Results!$1:$1,0))</f>
        <v>477.63900000000001</v>
      </c>
      <c r="AA64" s="146">
        <f>INDEX(CPAT_Results!$A:$AD,MATCH($H64&amp;"_"&amp;$C64,CPAT_Results!$F:$F,0),MATCH(AA$5,CPAT_Results!$1:$1,0))</f>
        <v>495.161</v>
      </c>
      <c r="AB64" s="146">
        <f>INDEX(CPAT_Results!$A:$AD,MATCH($H64&amp;"_"&amp;$C64,CPAT_Results!$F:$F,0),MATCH(AB$5,CPAT_Results!$1:$1,0))</f>
        <v>513.94200000000001</v>
      </c>
      <c r="AC64" s="146">
        <f>INDEX(CPAT_Results!$A:$AD,MATCH($H64&amp;"_"&amp;$C64,CPAT_Results!$F:$F,0),MATCH(AC$5,CPAT_Results!$1:$1,0))</f>
        <v>534.23800000000006</v>
      </c>
      <c r="AD64" s="146">
        <f>INDEX(CPAT_Results!$A:$AD,MATCH($H64&amp;"_"&amp;$C64,CPAT_Results!$F:$F,0),MATCH(AD$5,CPAT_Results!$1:$1,0))</f>
        <v>555.68600000000004</v>
      </c>
      <c r="AE64" s="146">
        <f>INDEX(CPAT_Results!$A:$AD,MATCH($H64&amp;"_"&amp;$C64,CPAT_Results!$F:$F,0),MATCH(AE$5,CPAT_Results!$1:$1,0))</f>
        <v>577.57000000000005</v>
      </c>
    </row>
    <row r="65" spans="2:31" x14ac:dyDescent="0.2">
      <c r="B65" s="112" t="s">
        <v>3350</v>
      </c>
      <c r="C65" s="112" t="s">
        <v>3265</v>
      </c>
      <c r="D65" s="112" t="s">
        <v>3346</v>
      </c>
      <c r="E65" s="112" t="s">
        <v>2065</v>
      </c>
      <c r="F65" s="112" t="s">
        <v>11682</v>
      </c>
      <c r="H65" s="116" t="s">
        <v>3347</v>
      </c>
      <c r="L65" s="146">
        <f>INDEX(CPAT_Results!$A:$AD,MATCH($H65&amp;"_"&amp;$C65,CPAT_Results!$F:$F,0),MATCH(L$5,CPAT_Results!$1:$1,0))</f>
        <v>307.637</v>
      </c>
      <c r="M65" s="146">
        <f>INDEX(CPAT_Results!$A:$AD,MATCH($H65&amp;"_"&amp;$C65,CPAT_Results!$F:$F,0),MATCH(M$5,CPAT_Results!$1:$1,0))</f>
        <v>315.613</v>
      </c>
      <c r="N65" s="146">
        <f>INDEX(CPAT_Results!$A:$AD,MATCH($H65&amp;"_"&amp;$C65,CPAT_Results!$F:$F,0),MATCH(N$5,CPAT_Results!$1:$1,0))</f>
        <v>350.59300000000002</v>
      </c>
      <c r="O65" s="146">
        <f>INDEX(CPAT_Results!$A:$AD,MATCH($H65&amp;"_"&amp;$C65,CPAT_Results!$F:$F,0),MATCH(O$5,CPAT_Results!$1:$1,0))</f>
        <v>364.71100000000001</v>
      </c>
      <c r="P65" s="146">
        <f>INDEX(CPAT_Results!$A:$AD,MATCH($H65&amp;"_"&amp;$C65,CPAT_Results!$F:$F,0),MATCH(P$5,CPAT_Results!$1:$1,0))</f>
        <v>369.13900000000001</v>
      </c>
      <c r="Q65" s="146">
        <f>INDEX(CPAT_Results!$A:$AD,MATCH($H65&amp;"_"&amp;$C65,CPAT_Results!$F:$F,0),MATCH(Q$5,CPAT_Results!$1:$1,0))</f>
        <v>378.11399999999998</v>
      </c>
      <c r="R65" s="146">
        <f>INDEX(CPAT_Results!$A:$AD,MATCH($H65&amp;"_"&amp;$C65,CPAT_Results!$F:$F,0),MATCH(R$5,CPAT_Results!$1:$1,0))</f>
        <v>391.28300000000002</v>
      </c>
      <c r="S65" s="146">
        <f>INDEX(CPAT_Results!$A:$AD,MATCH($H65&amp;"_"&amp;$C65,CPAT_Results!$F:$F,0),MATCH(S$5,CPAT_Results!$1:$1,0))</f>
        <v>404.86399999999998</v>
      </c>
      <c r="T65" s="146">
        <f>INDEX(CPAT_Results!$A:$AD,MATCH($H65&amp;"_"&amp;$C65,CPAT_Results!$F:$F,0),MATCH(T$5,CPAT_Results!$1:$1,0))</f>
        <v>418.50900000000001</v>
      </c>
      <c r="U65" s="146">
        <f>INDEX(CPAT_Results!$A:$AD,MATCH($H65&amp;"_"&amp;$C65,CPAT_Results!$F:$F,0),MATCH(U$5,CPAT_Results!$1:$1,0))</f>
        <v>433.34800000000001</v>
      </c>
      <c r="V65" s="146">
        <f>INDEX(CPAT_Results!$A:$AD,MATCH($H65&amp;"_"&amp;$C65,CPAT_Results!$F:$F,0),MATCH(V$5,CPAT_Results!$1:$1,0))</f>
        <v>449.72899999999998</v>
      </c>
      <c r="W65" s="146">
        <f>INDEX(CPAT_Results!$A:$AD,MATCH($H65&amp;"_"&amp;$C65,CPAT_Results!$F:$F,0),MATCH(W$5,CPAT_Results!$1:$1,0))</f>
        <v>467.959</v>
      </c>
      <c r="X65" s="146">
        <f>INDEX(CPAT_Results!$A:$AD,MATCH($H65&amp;"_"&amp;$C65,CPAT_Results!$F:$F,0),MATCH(X$5,CPAT_Results!$1:$1,0))</f>
        <v>487.23</v>
      </c>
      <c r="Y65" s="146">
        <f>INDEX(CPAT_Results!$A:$AD,MATCH($H65&amp;"_"&amp;$C65,CPAT_Results!$F:$F,0),MATCH(Y$5,CPAT_Results!$1:$1,0))</f>
        <v>507.68900000000002</v>
      </c>
      <c r="Z65" s="146">
        <f>INDEX(CPAT_Results!$A:$AD,MATCH($H65&amp;"_"&amp;$C65,CPAT_Results!$F:$F,0),MATCH(Z$5,CPAT_Results!$1:$1,0))</f>
        <v>528.73</v>
      </c>
      <c r="AA65" s="146">
        <f>INDEX(CPAT_Results!$A:$AD,MATCH($H65&amp;"_"&amp;$C65,CPAT_Results!$F:$F,0),MATCH(AA$5,CPAT_Results!$1:$1,0))</f>
        <v>553.16999999999996</v>
      </c>
      <c r="AB65" s="146">
        <f>INDEX(CPAT_Results!$A:$AD,MATCH($H65&amp;"_"&amp;$C65,CPAT_Results!$F:$F,0),MATCH(AB$5,CPAT_Results!$1:$1,0))</f>
        <v>578.20699999999999</v>
      </c>
      <c r="AC65" s="146">
        <f>INDEX(CPAT_Results!$A:$AD,MATCH($H65&amp;"_"&amp;$C65,CPAT_Results!$F:$F,0),MATCH(AC$5,CPAT_Results!$1:$1,0))</f>
        <v>605.45699999999999</v>
      </c>
      <c r="AD65" s="146">
        <f>INDEX(CPAT_Results!$A:$AD,MATCH($H65&amp;"_"&amp;$C65,CPAT_Results!$F:$F,0),MATCH(AD$5,CPAT_Results!$1:$1,0))</f>
        <v>634.74199999999996</v>
      </c>
      <c r="AE65" s="146">
        <f>INDEX(CPAT_Results!$A:$AD,MATCH($H65&amp;"_"&amp;$C65,CPAT_Results!$F:$F,0),MATCH(AE$5,CPAT_Results!$1:$1,0))</f>
        <v>665.70899999999995</v>
      </c>
    </row>
    <row r="66" spans="2:31" x14ac:dyDescent="0.2">
      <c r="B66" s="112" t="s">
        <v>3351</v>
      </c>
      <c r="C66" s="112" t="s">
        <v>3256</v>
      </c>
      <c r="D66" s="112" t="s">
        <v>3352</v>
      </c>
      <c r="E66" s="112" t="s">
        <v>2065</v>
      </c>
      <c r="F66" s="112" t="s">
        <v>11679</v>
      </c>
      <c r="H66" s="116" t="s">
        <v>3353</v>
      </c>
      <c r="L66" s="146">
        <f>INDEX(CPAT_Results!$A:$AD,MATCH($H66&amp;"_"&amp;$C66,CPAT_Results!$F:$F,0),MATCH(L$5,CPAT_Results!$1:$1,0))</f>
        <v>52.970999999999997</v>
      </c>
      <c r="M66" s="146">
        <f>INDEX(CPAT_Results!$A:$AD,MATCH($H66&amp;"_"&amp;$C66,CPAT_Results!$F:$F,0),MATCH(M$5,CPAT_Results!$1:$1,0))</f>
        <v>52.003</v>
      </c>
      <c r="N66" s="146">
        <f>INDEX(CPAT_Results!$A:$AD,MATCH($H66&amp;"_"&amp;$C66,CPAT_Results!$F:$F,0),MATCH(N$5,CPAT_Results!$1:$1,0))</f>
        <v>51.097000000000001</v>
      </c>
      <c r="O66" s="146">
        <f>INDEX(CPAT_Results!$A:$AD,MATCH($H66&amp;"_"&amp;$C66,CPAT_Results!$F:$F,0),MATCH(O$5,CPAT_Results!$1:$1,0))</f>
        <v>49.530999999999999</v>
      </c>
      <c r="P66" s="146">
        <f>INDEX(CPAT_Results!$A:$AD,MATCH($H66&amp;"_"&amp;$C66,CPAT_Results!$F:$F,0),MATCH(P$5,CPAT_Results!$1:$1,0))</f>
        <v>51.664000000000001</v>
      </c>
      <c r="Q66" s="146">
        <f>INDEX(CPAT_Results!$A:$AD,MATCH($H66&amp;"_"&amp;$C66,CPAT_Results!$F:$F,0),MATCH(Q$5,CPAT_Results!$1:$1,0))</f>
        <v>56.411999999999999</v>
      </c>
      <c r="R66" s="146">
        <f>INDEX(CPAT_Results!$A:$AD,MATCH($H66&amp;"_"&amp;$C66,CPAT_Results!$F:$F,0),MATCH(R$5,CPAT_Results!$1:$1,0))</f>
        <v>61.591999999999999</v>
      </c>
      <c r="S66" s="146">
        <f>INDEX(CPAT_Results!$A:$AD,MATCH($H66&amp;"_"&amp;$C66,CPAT_Results!$F:$F,0),MATCH(S$5,CPAT_Results!$1:$1,0))</f>
        <v>67.200999999999993</v>
      </c>
      <c r="T66" s="146">
        <f>INDEX(CPAT_Results!$A:$AD,MATCH($H66&amp;"_"&amp;$C66,CPAT_Results!$F:$F,0),MATCH(T$5,CPAT_Results!$1:$1,0))</f>
        <v>73.864999999999995</v>
      </c>
      <c r="U66" s="146">
        <f>INDEX(CPAT_Results!$A:$AD,MATCH($H66&amp;"_"&amp;$C66,CPAT_Results!$F:$F,0),MATCH(U$5,CPAT_Results!$1:$1,0))</f>
        <v>81.745000000000005</v>
      </c>
      <c r="V66" s="146">
        <f>INDEX(CPAT_Results!$A:$AD,MATCH($H66&amp;"_"&amp;$C66,CPAT_Results!$F:$F,0),MATCH(V$5,CPAT_Results!$1:$1,0))</f>
        <v>90.299000000000007</v>
      </c>
      <c r="W66" s="146">
        <f>INDEX(CPAT_Results!$A:$AD,MATCH($H66&amp;"_"&amp;$C66,CPAT_Results!$F:$F,0),MATCH(W$5,CPAT_Results!$1:$1,0))</f>
        <v>99.477999999999994</v>
      </c>
      <c r="X66" s="146">
        <f>INDEX(CPAT_Results!$A:$AD,MATCH($H66&amp;"_"&amp;$C66,CPAT_Results!$F:$F,0),MATCH(X$5,CPAT_Results!$1:$1,0))</f>
        <v>109.19</v>
      </c>
      <c r="Y66" s="146">
        <f>INDEX(CPAT_Results!$A:$AD,MATCH($H66&amp;"_"&amp;$C66,CPAT_Results!$F:$F,0),MATCH(Y$5,CPAT_Results!$1:$1,0))</f>
        <v>119.425</v>
      </c>
      <c r="Z66" s="146">
        <f>INDEX(CPAT_Results!$A:$AD,MATCH($H66&amp;"_"&amp;$C66,CPAT_Results!$F:$F,0),MATCH(Z$5,CPAT_Results!$1:$1,0))</f>
        <v>130.13200000000001</v>
      </c>
      <c r="AA66" s="146">
        <f>INDEX(CPAT_Results!$A:$AD,MATCH($H66&amp;"_"&amp;$C66,CPAT_Results!$F:$F,0),MATCH(AA$5,CPAT_Results!$1:$1,0))</f>
        <v>141.38200000000001</v>
      </c>
      <c r="AB66" s="146">
        <f>INDEX(CPAT_Results!$A:$AD,MATCH($H66&amp;"_"&amp;$C66,CPAT_Results!$F:$F,0),MATCH(AB$5,CPAT_Results!$1:$1,0))</f>
        <v>153.16800000000001</v>
      </c>
      <c r="AC66" s="146">
        <f>INDEX(CPAT_Results!$A:$AD,MATCH($H66&amp;"_"&amp;$C66,CPAT_Results!$F:$F,0),MATCH(AC$5,CPAT_Results!$1:$1,0))</f>
        <v>165.49600000000001</v>
      </c>
      <c r="AD66" s="146">
        <f>INDEX(CPAT_Results!$A:$AD,MATCH($H66&amp;"_"&amp;$C66,CPAT_Results!$F:$F,0),MATCH(AD$5,CPAT_Results!$1:$1,0))</f>
        <v>178.37700000000001</v>
      </c>
      <c r="AE66" s="146">
        <f>INDEX(CPAT_Results!$A:$AD,MATCH($H66&amp;"_"&amp;$C66,CPAT_Results!$F:$F,0),MATCH(AE$5,CPAT_Results!$1:$1,0))</f>
        <v>191.69200000000001</v>
      </c>
    </row>
    <row r="67" spans="2:31" x14ac:dyDescent="0.2">
      <c r="B67" s="112" t="s">
        <v>3354</v>
      </c>
      <c r="C67" s="112" t="s">
        <v>3261</v>
      </c>
      <c r="D67" s="112" t="s">
        <v>3352</v>
      </c>
      <c r="E67" s="112" t="s">
        <v>2065</v>
      </c>
      <c r="F67" s="112" t="s">
        <v>11680</v>
      </c>
      <c r="H67" s="116" t="s">
        <v>3353</v>
      </c>
      <c r="L67" s="146">
        <f>INDEX(CPAT_Results!$A:$AD,MATCH($H67&amp;"_"&amp;$C67,CPAT_Results!$F:$F,0),MATCH(L$5,CPAT_Results!$1:$1,0))</f>
        <v>52.970999999999997</v>
      </c>
      <c r="M67" s="146">
        <f>INDEX(CPAT_Results!$A:$AD,MATCH($H67&amp;"_"&amp;$C67,CPAT_Results!$F:$F,0),MATCH(M$5,CPAT_Results!$1:$1,0))</f>
        <v>52.003</v>
      </c>
      <c r="N67" s="146">
        <f>INDEX(CPAT_Results!$A:$AD,MATCH($H67&amp;"_"&amp;$C67,CPAT_Results!$F:$F,0),MATCH(N$5,CPAT_Results!$1:$1,0))</f>
        <v>51.097000000000001</v>
      </c>
      <c r="O67" s="146">
        <f>INDEX(CPAT_Results!$A:$AD,MATCH($H67&amp;"_"&amp;$C67,CPAT_Results!$F:$F,0),MATCH(O$5,CPAT_Results!$1:$1,0))</f>
        <v>49.530999999999999</v>
      </c>
      <c r="P67" s="146">
        <f>INDEX(CPAT_Results!$A:$AD,MATCH($H67&amp;"_"&amp;$C67,CPAT_Results!$F:$F,0),MATCH(P$5,CPAT_Results!$1:$1,0))</f>
        <v>51.664000000000001</v>
      </c>
      <c r="Q67" s="146">
        <f>INDEX(CPAT_Results!$A:$AD,MATCH($H67&amp;"_"&amp;$C67,CPAT_Results!$F:$F,0),MATCH(Q$5,CPAT_Results!$1:$1,0))</f>
        <v>56.411999999999999</v>
      </c>
      <c r="R67" s="146">
        <f>INDEX(CPAT_Results!$A:$AD,MATCH($H67&amp;"_"&amp;$C67,CPAT_Results!$F:$F,0),MATCH(R$5,CPAT_Results!$1:$1,0))</f>
        <v>61.591999999999999</v>
      </c>
      <c r="S67" s="146">
        <f>INDEX(CPAT_Results!$A:$AD,MATCH($H67&amp;"_"&amp;$C67,CPAT_Results!$F:$F,0),MATCH(S$5,CPAT_Results!$1:$1,0))</f>
        <v>67.200999999999993</v>
      </c>
      <c r="T67" s="146">
        <f>INDEX(CPAT_Results!$A:$AD,MATCH($H67&amp;"_"&amp;$C67,CPAT_Results!$F:$F,0),MATCH(T$5,CPAT_Results!$1:$1,0))</f>
        <v>73.864999999999995</v>
      </c>
      <c r="U67" s="146">
        <f>INDEX(CPAT_Results!$A:$AD,MATCH($H67&amp;"_"&amp;$C67,CPAT_Results!$F:$F,0),MATCH(U$5,CPAT_Results!$1:$1,0))</f>
        <v>81.745000000000005</v>
      </c>
      <c r="V67" s="146">
        <f>INDEX(CPAT_Results!$A:$AD,MATCH($H67&amp;"_"&amp;$C67,CPAT_Results!$F:$F,0),MATCH(V$5,CPAT_Results!$1:$1,0))</f>
        <v>90.299000000000007</v>
      </c>
      <c r="W67" s="146">
        <f>INDEX(CPAT_Results!$A:$AD,MATCH($H67&amp;"_"&amp;$C67,CPAT_Results!$F:$F,0),MATCH(W$5,CPAT_Results!$1:$1,0))</f>
        <v>99.477999999999994</v>
      </c>
      <c r="X67" s="146">
        <f>INDEX(CPAT_Results!$A:$AD,MATCH($H67&amp;"_"&amp;$C67,CPAT_Results!$F:$F,0),MATCH(X$5,CPAT_Results!$1:$1,0))</f>
        <v>109.19</v>
      </c>
      <c r="Y67" s="146">
        <f>INDEX(CPAT_Results!$A:$AD,MATCH($H67&amp;"_"&amp;$C67,CPAT_Results!$F:$F,0),MATCH(Y$5,CPAT_Results!$1:$1,0))</f>
        <v>119.425</v>
      </c>
      <c r="Z67" s="146">
        <f>INDEX(CPAT_Results!$A:$AD,MATCH($H67&amp;"_"&amp;$C67,CPAT_Results!$F:$F,0),MATCH(Z$5,CPAT_Results!$1:$1,0))</f>
        <v>130.13200000000001</v>
      </c>
      <c r="AA67" s="146">
        <f>INDEX(CPAT_Results!$A:$AD,MATCH($H67&amp;"_"&amp;$C67,CPAT_Results!$F:$F,0),MATCH(AA$5,CPAT_Results!$1:$1,0))</f>
        <v>141.38200000000001</v>
      </c>
      <c r="AB67" s="146">
        <f>INDEX(CPAT_Results!$A:$AD,MATCH($H67&amp;"_"&amp;$C67,CPAT_Results!$F:$F,0),MATCH(AB$5,CPAT_Results!$1:$1,0))</f>
        <v>153.16800000000001</v>
      </c>
      <c r="AC67" s="146">
        <f>INDEX(CPAT_Results!$A:$AD,MATCH($H67&amp;"_"&amp;$C67,CPAT_Results!$F:$F,0),MATCH(AC$5,CPAT_Results!$1:$1,0))</f>
        <v>165.49600000000001</v>
      </c>
      <c r="AD67" s="146">
        <f>INDEX(CPAT_Results!$A:$AD,MATCH($H67&amp;"_"&amp;$C67,CPAT_Results!$F:$F,0),MATCH(AD$5,CPAT_Results!$1:$1,0))</f>
        <v>178.37700000000001</v>
      </c>
      <c r="AE67" s="146">
        <f>INDEX(CPAT_Results!$A:$AD,MATCH($H67&amp;"_"&amp;$C67,CPAT_Results!$F:$F,0),MATCH(AE$5,CPAT_Results!$1:$1,0))</f>
        <v>191.69200000000001</v>
      </c>
    </row>
    <row r="68" spans="2:31" x14ac:dyDescent="0.2">
      <c r="B68" s="112" t="s">
        <v>3355</v>
      </c>
      <c r="C68" s="112" t="s">
        <v>3263</v>
      </c>
      <c r="D68" s="112" t="s">
        <v>3352</v>
      </c>
      <c r="E68" s="112" t="s">
        <v>2065</v>
      </c>
      <c r="F68" s="112" t="s">
        <v>11681</v>
      </c>
      <c r="H68" s="116" t="s">
        <v>3353</v>
      </c>
      <c r="L68" s="146">
        <f>INDEX(CPAT_Results!$A:$AD,MATCH($H68&amp;"_"&amp;$C68,CPAT_Results!$F:$F,0),MATCH(L$5,CPAT_Results!$1:$1,0))</f>
        <v>52.970999999999997</v>
      </c>
      <c r="M68" s="146">
        <f>INDEX(CPAT_Results!$A:$AD,MATCH($H68&amp;"_"&amp;$C68,CPAT_Results!$F:$F,0),MATCH(M$5,CPAT_Results!$1:$1,0))</f>
        <v>52.003</v>
      </c>
      <c r="N68" s="146">
        <f>INDEX(CPAT_Results!$A:$AD,MATCH($H68&amp;"_"&amp;$C68,CPAT_Results!$F:$F,0),MATCH(N$5,CPAT_Results!$1:$1,0))</f>
        <v>51.097000000000001</v>
      </c>
      <c r="O68" s="146">
        <f>INDEX(CPAT_Results!$A:$AD,MATCH($H68&amp;"_"&amp;$C68,CPAT_Results!$F:$F,0),MATCH(O$5,CPAT_Results!$1:$1,0))</f>
        <v>49.530999999999999</v>
      </c>
      <c r="P68" s="146">
        <f>INDEX(CPAT_Results!$A:$AD,MATCH($H68&amp;"_"&amp;$C68,CPAT_Results!$F:$F,0),MATCH(P$5,CPAT_Results!$1:$1,0))</f>
        <v>51.664000000000001</v>
      </c>
      <c r="Q68" s="146">
        <f>INDEX(CPAT_Results!$A:$AD,MATCH($H68&amp;"_"&amp;$C68,CPAT_Results!$F:$F,0),MATCH(Q$5,CPAT_Results!$1:$1,0))</f>
        <v>56.411999999999999</v>
      </c>
      <c r="R68" s="146">
        <f>INDEX(CPAT_Results!$A:$AD,MATCH($H68&amp;"_"&amp;$C68,CPAT_Results!$F:$F,0),MATCH(R$5,CPAT_Results!$1:$1,0))</f>
        <v>61.591999999999999</v>
      </c>
      <c r="S68" s="146">
        <f>INDEX(CPAT_Results!$A:$AD,MATCH($H68&amp;"_"&amp;$C68,CPAT_Results!$F:$F,0),MATCH(S$5,CPAT_Results!$1:$1,0))</f>
        <v>67.200999999999993</v>
      </c>
      <c r="T68" s="146">
        <f>INDEX(CPAT_Results!$A:$AD,MATCH($H68&amp;"_"&amp;$C68,CPAT_Results!$F:$F,0),MATCH(T$5,CPAT_Results!$1:$1,0))</f>
        <v>73.864999999999995</v>
      </c>
      <c r="U68" s="146">
        <f>INDEX(CPAT_Results!$A:$AD,MATCH($H68&amp;"_"&amp;$C68,CPAT_Results!$F:$F,0),MATCH(U$5,CPAT_Results!$1:$1,0))</f>
        <v>81.745000000000005</v>
      </c>
      <c r="V68" s="146">
        <f>INDEX(CPAT_Results!$A:$AD,MATCH($H68&amp;"_"&amp;$C68,CPAT_Results!$F:$F,0),MATCH(V$5,CPAT_Results!$1:$1,0))</f>
        <v>90.299000000000007</v>
      </c>
      <c r="W68" s="146">
        <f>INDEX(CPAT_Results!$A:$AD,MATCH($H68&amp;"_"&amp;$C68,CPAT_Results!$F:$F,0),MATCH(W$5,CPAT_Results!$1:$1,0))</f>
        <v>99.477999999999994</v>
      </c>
      <c r="X68" s="146">
        <f>INDEX(CPAT_Results!$A:$AD,MATCH($H68&amp;"_"&amp;$C68,CPAT_Results!$F:$F,0),MATCH(X$5,CPAT_Results!$1:$1,0))</f>
        <v>109.19</v>
      </c>
      <c r="Y68" s="146">
        <f>INDEX(CPAT_Results!$A:$AD,MATCH($H68&amp;"_"&amp;$C68,CPAT_Results!$F:$F,0),MATCH(Y$5,CPAT_Results!$1:$1,0))</f>
        <v>119.425</v>
      </c>
      <c r="Z68" s="146">
        <f>INDEX(CPAT_Results!$A:$AD,MATCH($H68&amp;"_"&amp;$C68,CPAT_Results!$F:$F,0),MATCH(Z$5,CPAT_Results!$1:$1,0))</f>
        <v>130.13200000000001</v>
      </c>
      <c r="AA68" s="146">
        <f>INDEX(CPAT_Results!$A:$AD,MATCH($H68&amp;"_"&amp;$C68,CPAT_Results!$F:$F,0),MATCH(AA$5,CPAT_Results!$1:$1,0))</f>
        <v>141.38200000000001</v>
      </c>
      <c r="AB68" s="146">
        <f>INDEX(CPAT_Results!$A:$AD,MATCH($H68&amp;"_"&amp;$C68,CPAT_Results!$F:$F,0),MATCH(AB$5,CPAT_Results!$1:$1,0))</f>
        <v>153.16800000000001</v>
      </c>
      <c r="AC68" s="146">
        <f>INDEX(CPAT_Results!$A:$AD,MATCH($H68&amp;"_"&amp;$C68,CPAT_Results!$F:$F,0),MATCH(AC$5,CPAT_Results!$1:$1,0))</f>
        <v>165.49600000000001</v>
      </c>
      <c r="AD68" s="146">
        <f>INDEX(CPAT_Results!$A:$AD,MATCH($H68&amp;"_"&amp;$C68,CPAT_Results!$F:$F,0),MATCH(AD$5,CPAT_Results!$1:$1,0))</f>
        <v>178.37700000000001</v>
      </c>
      <c r="AE68" s="146">
        <f>INDEX(CPAT_Results!$A:$AD,MATCH($H68&amp;"_"&amp;$C68,CPAT_Results!$F:$F,0),MATCH(AE$5,CPAT_Results!$1:$1,0))</f>
        <v>191.69200000000001</v>
      </c>
    </row>
    <row r="69" spans="2:31" x14ac:dyDescent="0.2">
      <c r="B69" s="112" t="s">
        <v>3356</v>
      </c>
      <c r="C69" s="112" t="s">
        <v>3265</v>
      </c>
      <c r="D69" s="112" t="s">
        <v>3352</v>
      </c>
      <c r="E69" s="112" t="s">
        <v>2065</v>
      </c>
      <c r="F69" s="112" t="s">
        <v>11682</v>
      </c>
      <c r="H69" s="116" t="s">
        <v>3353</v>
      </c>
      <c r="L69" s="146">
        <f>INDEX(CPAT_Results!$A:$AD,MATCH($H69&amp;"_"&amp;$C69,CPAT_Results!$F:$F,0),MATCH(L$5,CPAT_Results!$1:$1,0))</f>
        <v>52.970999999999997</v>
      </c>
      <c r="M69" s="146">
        <f>INDEX(CPAT_Results!$A:$AD,MATCH($H69&amp;"_"&amp;$C69,CPAT_Results!$F:$F,0),MATCH(M$5,CPAT_Results!$1:$1,0))</f>
        <v>52.003</v>
      </c>
      <c r="N69" s="146">
        <f>INDEX(CPAT_Results!$A:$AD,MATCH($H69&amp;"_"&amp;$C69,CPAT_Results!$F:$F,0),MATCH(N$5,CPAT_Results!$1:$1,0))</f>
        <v>51.097000000000001</v>
      </c>
      <c r="O69" s="146">
        <f>INDEX(CPAT_Results!$A:$AD,MATCH($H69&amp;"_"&amp;$C69,CPAT_Results!$F:$F,0),MATCH(O$5,CPAT_Results!$1:$1,0))</f>
        <v>49.530999999999999</v>
      </c>
      <c r="P69" s="146">
        <f>INDEX(CPAT_Results!$A:$AD,MATCH($H69&amp;"_"&amp;$C69,CPAT_Results!$F:$F,0),MATCH(P$5,CPAT_Results!$1:$1,0))</f>
        <v>51.664000000000001</v>
      </c>
      <c r="Q69" s="146">
        <f>INDEX(CPAT_Results!$A:$AD,MATCH($H69&amp;"_"&amp;$C69,CPAT_Results!$F:$F,0),MATCH(Q$5,CPAT_Results!$1:$1,0))</f>
        <v>56.411999999999999</v>
      </c>
      <c r="R69" s="146">
        <f>INDEX(CPAT_Results!$A:$AD,MATCH($H69&amp;"_"&amp;$C69,CPAT_Results!$F:$F,0),MATCH(R$5,CPAT_Results!$1:$1,0))</f>
        <v>61.591999999999999</v>
      </c>
      <c r="S69" s="146">
        <f>INDEX(CPAT_Results!$A:$AD,MATCH($H69&amp;"_"&amp;$C69,CPAT_Results!$F:$F,0),MATCH(S$5,CPAT_Results!$1:$1,0))</f>
        <v>67.200999999999993</v>
      </c>
      <c r="T69" s="146">
        <f>INDEX(CPAT_Results!$A:$AD,MATCH($H69&amp;"_"&amp;$C69,CPAT_Results!$F:$F,0),MATCH(T$5,CPAT_Results!$1:$1,0))</f>
        <v>73.864999999999995</v>
      </c>
      <c r="U69" s="146">
        <f>INDEX(CPAT_Results!$A:$AD,MATCH($H69&amp;"_"&amp;$C69,CPAT_Results!$F:$F,0),MATCH(U$5,CPAT_Results!$1:$1,0))</f>
        <v>81.745000000000005</v>
      </c>
      <c r="V69" s="146">
        <f>INDEX(CPAT_Results!$A:$AD,MATCH($H69&amp;"_"&amp;$C69,CPAT_Results!$F:$F,0),MATCH(V$5,CPAT_Results!$1:$1,0))</f>
        <v>90.299000000000007</v>
      </c>
      <c r="W69" s="146">
        <f>INDEX(CPAT_Results!$A:$AD,MATCH($H69&amp;"_"&amp;$C69,CPAT_Results!$F:$F,0),MATCH(W$5,CPAT_Results!$1:$1,0))</f>
        <v>99.477999999999994</v>
      </c>
      <c r="X69" s="146">
        <f>INDEX(CPAT_Results!$A:$AD,MATCH($H69&amp;"_"&amp;$C69,CPAT_Results!$F:$F,0),MATCH(X$5,CPAT_Results!$1:$1,0))</f>
        <v>109.19</v>
      </c>
      <c r="Y69" s="146">
        <f>INDEX(CPAT_Results!$A:$AD,MATCH($H69&amp;"_"&amp;$C69,CPAT_Results!$F:$F,0),MATCH(Y$5,CPAT_Results!$1:$1,0))</f>
        <v>119.42400000000001</v>
      </c>
      <c r="Z69" s="146">
        <f>INDEX(CPAT_Results!$A:$AD,MATCH($H69&amp;"_"&amp;$C69,CPAT_Results!$F:$F,0),MATCH(Z$5,CPAT_Results!$1:$1,0))</f>
        <v>130.13200000000001</v>
      </c>
      <c r="AA69" s="146">
        <f>INDEX(CPAT_Results!$A:$AD,MATCH($H69&amp;"_"&amp;$C69,CPAT_Results!$F:$F,0),MATCH(AA$5,CPAT_Results!$1:$1,0))</f>
        <v>141.38200000000001</v>
      </c>
      <c r="AB69" s="146">
        <f>INDEX(CPAT_Results!$A:$AD,MATCH($H69&amp;"_"&amp;$C69,CPAT_Results!$F:$F,0),MATCH(AB$5,CPAT_Results!$1:$1,0))</f>
        <v>153.16800000000001</v>
      </c>
      <c r="AC69" s="146">
        <f>INDEX(CPAT_Results!$A:$AD,MATCH($H69&amp;"_"&amp;$C69,CPAT_Results!$F:$F,0),MATCH(AC$5,CPAT_Results!$1:$1,0))</f>
        <v>165.495</v>
      </c>
      <c r="AD69" s="146">
        <f>INDEX(CPAT_Results!$A:$AD,MATCH($H69&amp;"_"&amp;$C69,CPAT_Results!$F:$F,0),MATCH(AD$5,CPAT_Results!$1:$1,0))</f>
        <v>178.376</v>
      </c>
      <c r="AE69" s="146">
        <f>INDEX(CPAT_Results!$A:$AD,MATCH($H69&amp;"_"&amp;$C69,CPAT_Results!$F:$F,0),MATCH(AE$5,CPAT_Results!$1:$1,0))</f>
        <v>191.69200000000001</v>
      </c>
    </row>
    <row r="70" spans="2:31" x14ac:dyDescent="0.2">
      <c r="B70" s="112" t="s">
        <v>3357</v>
      </c>
      <c r="C70" s="112" t="s">
        <v>3256</v>
      </c>
      <c r="D70" s="112" t="s">
        <v>3358</v>
      </c>
      <c r="E70" s="112" t="s">
        <v>2065</v>
      </c>
      <c r="F70" s="112" t="s">
        <v>11679</v>
      </c>
      <c r="H70" s="116" t="s">
        <v>3359</v>
      </c>
      <c r="L70" s="146">
        <f>INDEX(CPAT_Results!$A:$AD,MATCH($H70&amp;"_"&amp;$C70,CPAT_Results!$F:$F,0),MATCH(L$5,CPAT_Results!$1:$1,0))</f>
        <v>52.970999999999997</v>
      </c>
      <c r="M70" s="146">
        <f>INDEX(CPAT_Results!$A:$AD,MATCH($H70&amp;"_"&amp;$C70,CPAT_Results!$F:$F,0),MATCH(M$5,CPAT_Results!$1:$1,0))</f>
        <v>52.003</v>
      </c>
      <c r="N70" s="146">
        <f>INDEX(CPAT_Results!$A:$AD,MATCH($H70&amp;"_"&amp;$C70,CPAT_Results!$F:$F,0),MATCH(N$5,CPAT_Results!$1:$1,0))</f>
        <v>51.097000000000001</v>
      </c>
      <c r="O70" s="146">
        <f>INDEX(CPAT_Results!$A:$AD,MATCH($H70&amp;"_"&amp;$C70,CPAT_Results!$F:$F,0),MATCH(O$5,CPAT_Results!$1:$1,0))</f>
        <v>49.530999999999999</v>
      </c>
      <c r="P70" s="146">
        <f>INDEX(CPAT_Results!$A:$AD,MATCH($H70&amp;"_"&amp;$C70,CPAT_Results!$F:$F,0),MATCH(P$5,CPAT_Results!$1:$1,0))</f>
        <v>47.933999999999997</v>
      </c>
      <c r="Q70" s="146">
        <f>INDEX(CPAT_Results!$A:$AD,MATCH($H70&amp;"_"&amp;$C70,CPAT_Results!$F:$F,0),MATCH(Q$5,CPAT_Results!$1:$1,0))</f>
        <v>52.377000000000002</v>
      </c>
      <c r="R70" s="146">
        <f>INDEX(CPAT_Results!$A:$AD,MATCH($H70&amp;"_"&amp;$C70,CPAT_Results!$F:$F,0),MATCH(R$5,CPAT_Results!$1:$1,0))</f>
        <v>57.106000000000002</v>
      </c>
      <c r="S70" s="146">
        <f>INDEX(CPAT_Results!$A:$AD,MATCH($H70&amp;"_"&amp;$C70,CPAT_Results!$F:$F,0),MATCH(S$5,CPAT_Results!$1:$1,0))</f>
        <v>62.192</v>
      </c>
      <c r="T70" s="146">
        <f>INDEX(CPAT_Results!$A:$AD,MATCH($H70&amp;"_"&amp;$C70,CPAT_Results!$F:$F,0),MATCH(T$5,CPAT_Results!$1:$1,0))</f>
        <v>68.203999999999994</v>
      </c>
      <c r="U70" s="146">
        <f>INDEX(CPAT_Results!$A:$AD,MATCH($H70&amp;"_"&amp;$C70,CPAT_Results!$F:$F,0),MATCH(U$5,CPAT_Results!$1:$1,0))</f>
        <v>75.305000000000007</v>
      </c>
      <c r="V70" s="146">
        <f>INDEX(CPAT_Results!$A:$AD,MATCH($H70&amp;"_"&amp;$C70,CPAT_Results!$F:$F,0),MATCH(V$5,CPAT_Results!$1:$1,0))</f>
        <v>82.997</v>
      </c>
      <c r="W70" s="146">
        <f>INDEX(CPAT_Results!$A:$AD,MATCH($H70&amp;"_"&amp;$C70,CPAT_Results!$F:$F,0),MATCH(W$5,CPAT_Results!$1:$1,0))</f>
        <v>91.238</v>
      </c>
      <c r="X70" s="146">
        <f>INDEX(CPAT_Results!$A:$AD,MATCH($H70&amp;"_"&amp;$C70,CPAT_Results!$F:$F,0),MATCH(X$5,CPAT_Results!$1:$1,0))</f>
        <v>99.933000000000007</v>
      </c>
      <c r="Y70" s="146">
        <f>INDEX(CPAT_Results!$A:$AD,MATCH($H70&amp;"_"&amp;$C70,CPAT_Results!$F:$F,0),MATCH(Y$5,CPAT_Results!$1:$1,0))</f>
        <v>109.08499999999999</v>
      </c>
      <c r="Z70" s="146">
        <f>INDEX(CPAT_Results!$A:$AD,MATCH($H70&amp;"_"&amp;$C70,CPAT_Results!$F:$F,0),MATCH(Z$5,CPAT_Results!$1:$1,0))</f>
        <v>118.654</v>
      </c>
      <c r="AA70" s="146">
        <f>INDEX(CPAT_Results!$A:$AD,MATCH($H70&amp;"_"&amp;$C70,CPAT_Results!$F:$F,0),MATCH(AA$5,CPAT_Results!$1:$1,0))</f>
        <v>128.72</v>
      </c>
      <c r="AB70" s="146">
        <f>INDEX(CPAT_Results!$A:$AD,MATCH($H70&amp;"_"&amp;$C70,CPAT_Results!$F:$F,0),MATCH(AB$5,CPAT_Results!$1:$1,0))</f>
        <v>139.267</v>
      </c>
      <c r="AC70" s="146">
        <f>INDEX(CPAT_Results!$A:$AD,MATCH($H70&amp;"_"&amp;$C70,CPAT_Results!$F:$F,0),MATCH(AC$5,CPAT_Results!$1:$1,0))</f>
        <v>150.30600000000001</v>
      </c>
      <c r="AD70" s="146">
        <f>INDEX(CPAT_Results!$A:$AD,MATCH($H70&amp;"_"&amp;$C70,CPAT_Results!$F:$F,0),MATCH(AD$5,CPAT_Results!$1:$1,0))</f>
        <v>161.84800000000001</v>
      </c>
      <c r="AE70" s="146">
        <f>INDEX(CPAT_Results!$A:$AD,MATCH($H70&amp;"_"&amp;$C70,CPAT_Results!$F:$F,0),MATCH(AE$5,CPAT_Results!$1:$1,0))</f>
        <v>173.791</v>
      </c>
    </row>
    <row r="71" spans="2:31" x14ac:dyDescent="0.2">
      <c r="B71" s="112" t="s">
        <v>3360</v>
      </c>
      <c r="C71" s="112" t="s">
        <v>3261</v>
      </c>
      <c r="D71" s="112" t="s">
        <v>3358</v>
      </c>
      <c r="E71" s="112" t="s">
        <v>2065</v>
      </c>
      <c r="F71" s="112" t="s">
        <v>11680</v>
      </c>
      <c r="H71" s="116" t="s">
        <v>3359</v>
      </c>
      <c r="L71" s="146">
        <f>INDEX(CPAT_Results!$A:$AD,MATCH($H71&amp;"_"&amp;$C71,CPAT_Results!$F:$F,0),MATCH(L$5,CPAT_Results!$1:$1,0))</f>
        <v>52.970999999999997</v>
      </c>
      <c r="M71" s="146">
        <f>INDEX(CPAT_Results!$A:$AD,MATCH($H71&amp;"_"&amp;$C71,CPAT_Results!$F:$F,0),MATCH(M$5,CPAT_Results!$1:$1,0))</f>
        <v>52.003</v>
      </c>
      <c r="N71" s="146">
        <f>INDEX(CPAT_Results!$A:$AD,MATCH($H71&amp;"_"&amp;$C71,CPAT_Results!$F:$F,0),MATCH(N$5,CPAT_Results!$1:$1,0))</f>
        <v>51.097000000000001</v>
      </c>
      <c r="O71" s="146">
        <f>INDEX(CPAT_Results!$A:$AD,MATCH($H71&amp;"_"&amp;$C71,CPAT_Results!$F:$F,0),MATCH(O$5,CPAT_Results!$1:$1,0))</f>
        <v>49.530999999999999</v>
      </c>
      <c r="P71" s="146">
        <f>INDEX(CPAT_Results!$A:$AD,MATCH($H71&amp;"_"&amp;$C71,CPAT_Results!$F:$F,0),MATCH(P$5,CPAT_Results!$1:$1,0))</f>
        <v>51.664000000000001</v>
      </c>
      <c r="Q71" s="146">
        <f>INDEX(CPAT_Results!$A:$AD,MATCH($H71&amp;"_"&amp;$C71,CPAT_Results!$F:$F,0),MATCH(Q$5,CPAT_Results!$1:$1,0))</f>
        <v>56.411999999999999</v>
      </c>
      <c r="R71" s="146">
        <f>INDEX(CPAT_Results!$A:$AD,MATCH($H71&amp;"_"&amp;$C71,CPAT_Results!$F:$F,0),MATCH(R$5,CPAT_Results!$1:$1,0))</f>
        <v>61.591999999999999</v>
      </c>
      <c r="S71" s="146">
        <f>INDEX(CPAT_Results!$A:$AD,MATCH($H71&amp;"_"&amp;$C71,CPAT_Results!$F:$F,0),MATCH(S$5,CPAT_Results!$1:$1,0))</f>
        <v>67.201999999999998</v>
      </c>
      <c r="T71" s="146">
        <f>INDEX(CPAT_Results!$A:$AD,MATCH($H71&amp;"_"&amp;$C71,CPAT_Results!$F:$F,0),MATCH(T$5,CPAT_Results!$1:$1,0))</f>
        <v>73.867000000000004</v>
      </c>
      <c r="U71" s="146">
        <f>INDEX(CPAT_Results!$A:$AD,MATCH($H71&amp;"_"&amp;$C71,CPAT_Results!$F:$F,0),MATCH(U$5,CPAT_Results!$1:$1,0))</f>
        <v>81.754000000000005</v>
      </c>
      <c r="V71" s="146">
        <f>INDEX(CPAT_Results!$A:$AD,MATCH($H71&amp;"_"&amp;$C71,CPAT_Results!$F:$F,0),MATCH(V$5,CPAT_Results!$1:$1,0))</f>
        <v>90.33</v>
      </c>
      <c r="W71" s="146">
        <f>INDEX(CPAT_Results!$A:$AD,MATCH($H71&amp;"_"&amp;$C71,CPAT_Results!$F:$F,0),MATCH(W$5,CPAT_Results!$1:$1,0))</f>
        <v>99.563000000000002</v>
      </c>
      <c r="X71" s="146">
        <f>INDEX(CPAT_Results!$A:$AD,MATCH($H71&amp;"_"&amp;$C71,CPAT_Results!$F:$F,0),MATCH(X$5,CPAT_Results!$1:$1,0))</f>
        <v>109.384</v>
      </c>
      <c r="Y71" s="146">
        <f>INDEX(CPAT_Results!$A:$AD,MATCH($H71&amp;"_"&amp;$C71,CPAT_Results!$F:$F,0),MATCH(Y$5,CPAT_Results!$1:$1,0))</f>
        <v>119.801</v>
      </c>
      <c r="Z71" s="146">
        <f>INDEX(CPAT_Results!$A:$AD,MATCH($H71&amp;"_"&amp;$C71,CPAT_Results!$F:$F,0),MATCH(Z$5,CPAT_Results!$1:$1,0))</f>
        <v>130.78</v>
      </c>
      <c r="AA71" s="146">
        <f>INDEX(CPAT_Results!$A:$AD,MATCH($H71&amp;"_"&amp;$C71,CPAT_Results!$F:$F,0),MATCH(AA$5,CPAT_Results!$1:$1,0))</f>
        <v>142.40600000000001</v>
      </c>
      <c r="AB71" s="146">
        <f>INDEX(CPAT_Results!$A:$AD,MATCH($H71&amp;"_"&amp;$C71,CPAT_Results!$F:$F,0),MATCH(AB$5,CPAT_Results!$1:$1,0))</f>
        <v>154.68799999999999</v>
      </c>
      <c r="AC71" s="146">
        <f>INDEX(CPAT_Results!$A:$AD,MATCH($H71&amp;"_"&amp;$C71,CPAT_Results!$F:$F,0),MATCH(AC$5,CPAT_Results!$1:$1,0))</f>
        <v>167.64400000000001</v>
      </c>
      <c r="AD71" s="146">
        <f>INDEX(CPAT_Results!$A:$AD,MATCH($H71&amp;"_"&amp;$C71,CPAT_Results!$F:$F,0),MATCH(AD$5,CPAT_Results!$1:$1,0))</f>
        <v>181.298</v>
      </c>
      <c r="AE71" s="146">
        <f>INDEX(CPAT_Results!$A:$AD,MATCH($H71&amp;"_"&amp;$C71,CPAT_Results!$F:$F,0),MATCH(AE$5,CPAT_Results!$1:$1,0))</f>
        <v>195.529</v>
      </c>
    </row>
    <row r="72" spans="2:31" x14ac:dyDescent="0.2">
      <c r="B72" s="112" t="s">
        <v>3361</v>
      </c>
      <c r="C72" s="112" t="s">
        <v>3263</v>
      </c>
      <c r="D72" s="112" t="s">
        <v>3358</v>
      </c>
      <c r="E72" s="112" t="s">
        <v>2065</v>
      </c>
      <c r="F72" s="112" t="s">
        <v>11681</v>
      </c>
      <c r="H72" s="116" t="s">
        <v>3359</v>
      </c>
      <c r="L72" s="146">
        <f>INDEX(CPAT_Results!$A:$AD,MATCH($H72&amp;"_"&amp;$C72,CPAT_Results!$F:$F,0),MATCH(L$5,CPAT_Results!$1:$1,0))</f>
        <v>52.970999999999997</v>
      </c>
      <c r="M72" s="146">
        <f>INDEX(CPAT_Results!$A:$AD,MATCH($H72&amp;"_"&amp;$C72,CPAT_Results!$F:$F,0),MATCH(M$5,CPAT_Results!$1:$1,0))</f>
        <v>52.003</v>
      </c>
      <c r="N72" s="146">
        <f>INDEX(CPAT_Results!$A:$AD,MATCH($H72&amp;"_"&amp;$C72,CPAT_Results!$F:$F,0),MATCH(N$5,CPAT_Results!$1:$1,0))</f>
        <v>51.097000000000001</v>
      </c>
      <c r="O72" s="146">
        <f>INDEX(CPAT_Results!$A:$AD,MATCH($H72&amp;"_"&amp;$C72,CPAT_Results!$F:$F,0),MATCH(O$5,CPAT_Results!$1:$1,0))</f>
        <v>49.530999999999999</v>
      </c>
      <c r="P72" s="146">
        <f>INDEX(CPAT_Results!$A:$AD,MATCH($H72&amp;"_"&amp;$C72,CPAT_Results!$F:$F,0),MATCH(P$5,CPAT_Results!$1:$1,0))</f>
        <v>50.012999999999998</v>
      </c>
      <c r="Q72" s="146">
        <f>INDEX(CPAT_Results!$A:$AD,MATCH($H72&amp;"_"&amp;$C72,CPAT_Results!$F:$F,0),MATCH(Q$5,CPAT_Results!$1:$1,0))</f>
        <v>54.055999999999997</v>
      </c>
      <c r="R72" s="146">
        <f>INDEX(CPAT_Results!$A:$AD,MATCH($H72&amp;"_"&amp;$C72,CPAT_Results!$F:$F,0),MATCH(R$5,CPAT_Results!$1:$1,0))</f>
        <v>58.261000000000003</v>
      </c>
      <c r="S72" s="146">
        <f>INDEX(CPAT_Results!$A:$AD,MATCH($H72&amp;"_"&amp;$C72,CPAT_Results!$F:$F,0),MATCH(S$5,CPAT_Results!$1:$1,0))</f>
        <v>62.688000000000002</v>
      </c>
      <c r="T72" s="146">
        <f>INDEX(CPAT_Results!$A:$AD,MATCH($H72&amp;"_"&amp;$C72,CPAT_Results!$F:$F,0),MATCH(T$5,CPAT_Results!$1:$1,0))</f>
        <v>67.938999999999993</v>
      </c>
      <c r="U72" s="146">
        <f>INDEX(CPAT_Results!$A:$AD,MATCH($H72&amp;"_"&amp;$C72,CPAT_Results!$F:$F,0),MATCH(U$5,CPAT_Results!$1:$1,0))</f>
        <v>74.120999999999995</v>
      </c>
      <c r="V72" s="146">
        <f>INDEX(CPAT_Results!$A:$AD,MATCH($H72&amp;"_"&amp;$C72,CPAT_Results!$F:$F,0),MATCH(V$5,CPAT_Results!$1:$1,0))</f>
        <v>80.668999999999997</v>
      </c>
      <c r="W72" s="146">
        <f>INDEX(CPAT_Results!$A:$AD,MATCH($H72&amp;"_"&amp;$C72,CPAT_Results!$F:$F,0),MATCH(W$5,CPAT_Results!$1:$1,0))</f>
        <v>87.537000000000006</v>
      </c>
      <c r="X72" s="146">
        <f>INDEX(CPAT_Results!$A:$AD,MATCH($H72&amp;"_"&amp;$C72,CPAT_Results!$F:$F,0),MATCH(X$5,CPAT_Results!$1:$1,0))</f>
        <v>94.611000000000004</v>
      </c>
      <c r="Y72" s="146">
        <f>INDEX(CPAT_Results!$A:$AD,MATCH($H72&amp;"_"&amp;$C72,CPAT_Results!$F:$F,0),MATCH(Y$5,CPAT_Results!$1:$1,0))</f>
        <v>101.884</v>
      </c>
      <c r="Z72" s="146">
        <f>INDEX(CPAT_Results!$A:$AD,MATCH($H72&amp;"_"&amp;$C72,CPAT_Results!$F:$F,0),MATCH(Z$5,CPAT_Results!$1:$1,0))</f>
        <v>109.312</v>
      </c>
      <c r="AA72" s="146">
        <f>INDEX(CPAT_Results!$A:$AD,MATCH($H72&amp;"_"&amp;$C72,CPAT_Results!$F:$F,0),MATCH(AA$5,CPAT_Results!$1:$1,0))</f>
        <v>116.95399999999999</v>
      </c>
      <c r="AB72" s="146">
        <f>INDEX(CPAT_Results!$A:$AD,MATCH($H72&amp;"_"&amp;$C72,CPAT_Results!$F:$F,0),MATCH(AB$5,CPAT_Results!$1:$1,0))</f>
        <v>124.80200000000001</v>
      </c>
      <c r="AC72" s="146">
        <f>INDEX(CPAT_Results!$A:$AD,MATCH($H72&amp;"_"&amp;$C72,CPAT_Results!$F:$F,0),MATCH(AC$5,CPAT_Results!$1:$1,0))</f>
        <v>132.85900000000001</v>
      </c>
      <c r="AD72" s="146">
        <f>INDEX(CPAT_Results!$A:$AD,MATCH($H72&amp;"_"&amp;$C72,CPAT_Results!$F:$F,0),MATCH(AD$5,CPAT_Results!$1:$1,0))</f>
        <v>141.13200000000001</v>
      </c>
      <c r="AE72" s="146">
        <f>INDEX(CPAT_Results!$A:$AD,MATCH($H72&amp;"_"&amp;$C72,CPAT_Results!$F:$F,0),MATCH(AE$5,CPAT_Results!$1:$1,0))</f>
        <v>149.529</v>
      </c>
    </row>
    <row r="73" spans="2:31" x14ac:dyDescent="0.2">
      <c r="B73" s="112" t="s">
        <v>3362</v>
      </c>
      <c r="C73" s="112" t="s">
        <v>3265</v>
      </c>
      <c r="D73" s="112" t="s">
        <v>3358</v>
      </c>
      <c r="E73" s="112" t="s">
        <v>2065</v>
      </c>
      <c r="F73" s="112" t="s">
        <v>11682</v>
      </c>
      <c r="H73" s="116" t="s">
        <v>3359</v>
      </c>
      <c r="L73" s="146">
        <f>INDEX(CPAT_Results!$A:$AD,MATCH($H73&amp;"_"&amp;$C73,CPAT_Results!$F:$F,0),MATCH(L$5,CPAT_Results!$1:$1,0))</f>
        <v>52.970999999999997</v>
      </c>
      <c r="M73" s="146">
        <f>INDEX(CPAT_Results!$A:$AD,MATCH($H73&amp;"_"&amp;$C73,CPAT_Results!$F:$F,0),MATCH(M$5,CPAT_Results!$1:$1,0))</f>
        <v>52.003</v>
      </c>
      <c r="N73" s="146">
        <f>INDEX(CPAT_Results!$A:$AD,MATCH($H73&amp;"_"&amp;$C73,CPAT_Results!$F:$F,0),MATCH(N$5,CPAT_Results!$1:$1,0))</f>
        <v>51.097000000000001</v>
      </c>
      <c r="O73" s="146">
        <f>INDEX(CPAT_Results!$A:$AD,MATCH($H73&amp;"_"&amp;$C73,CPAT_Results!$F:$F,0),MATCH(O$5,CPAT_Results!$1:$1,0))</f>
        <v>49.530999999999999</v>
      </c>
      <c r="P73" s="146">
        <f>INDEX(CPAT_Results!$A:$AD,MATCH($H73&amp;"_"&amp;$C73,CPAT_Results!$F:$F,0),MATCH(P$5,CPAT_Results!$1:$1,0))</f>
        <v>51.664000000000001</v>
      </c>
      <c r="Q73" s="146">
        <f>INDEX(CPAT_Results!$A:$AD,MATCH($H73&amp;"_"&amp;$C73,CPAT_Results!$F:$F,0),MATCH(Q$5,CPAT_Results!$1:$1,0))</f>
        <v>56.411999999999999</v>
      </c>
      <c r="R73" s="146">
        <f>INDEX(CPAT_Results!$A:$AD,MATCH($H73&amp;"_"&amp;$C73,CPAT_Results!$F:$F,0),MATCH(R$5,CPAT_Results!$1:$1,0))</f>
        <v>61.591999999999999</v>
      </c>
      <c r="S73" s="146">
        <f>INDEX(CPAT_Results!$A:$AD,MATCH($H73&amp;"_"&amp;$C73,CPAT_Results!$F:$F,0),MATCH(S$5,CPAT_Results!$1:$1,0))</f>
        <v>67.201999999999998</v>
      </c>
      <c r="T73" s="146">
        <f>INDEX(CPAT_Results!$A:$AD,MATCH($H73&amp;"_"&amp;$C73,CPAT_Results!$F:$F,0),MATCH(T$5,CPAT_Results!$1:$1,0))</f>
        <v>73.864999999999995</v>
      </c>
      <c r="U73" s="146">
        <f>INDEX(CPAT_Results!$A:$AD,MATCH($H73&amp;"_"&amp;$C73,CPAT_Results!$F:$F,0),MATCH(U$5,CPAT_Results!$1:$1,0))</f>
        <v>81.745999999999995</v>
      </c>
      <c r="V73" s="146">
        <f>INDEX(CPAT_Results!$A:$AD,MATCH($H73&amp;"_"&amp;$C73,CPAT_Results!$F:$F,0),MATCH(V$5,CPAT_Results!$1:$1,0))</f>
        <v>90.302000000000007</v>
      </c>
      <c r="W73" s="146">
        <f>INDEX(CPAT_Results!$A:$AD,MATCH($H73&amp;"_"&amp;$C73,CPAT_Results!$F:$F,0),MATCH(W$5,CPAT_Results!$1:$1,0))</f>
        <v>99.489000000000004</v>
      </c>
      <c r="X73" s="146">
        <f>INDEX(CPAT_Results!$A:$AD,MATCH($H73&amp;"_"&amp;$C73,CPAT_Results!$F:$F,0),MATCH(X$5,CPAT_Results!$1:$1,0))</f>
        <v>109.22</v>
      </c>
      <c r="Y73" s="146">
        <f>INDEX(CPAT_Results!$A:$AD,MATCH($H73&amp;"_"&amp;$C73,CPAT_Results!$F:$F,0),MATCH(Y$5,CPAT_Results!$1:$1,0))</f>
        <v>119.489</v>
      </c>
      <c r="Z73" s="146">
        <f>INDEX(CPAT_Results!$A:$AD,MATCH($H73&amp;"_"&amp;$C73,CPAT_Results!$F:$F,0),MATCH(Z$5,CPAT_Results!$1:$1,0))</f>
        <v>130.25200000000001</v>
      </c>
      <c r="AA73" s="146">
        <f>INDEX(CPAT_Results!$A:$AD,MATCH($H73&amp;"_"&amp;$C73,CPAT_Results!$F:$F,0),MATCH(AA$5,CPAT_Results!$1:$1,0))</f>
        <v>141.58500000000001</v>
      </c>
      <c r="AB73" s="146">
        <f>INDEX(CPAT_Results!$A:$AD,MATCH($H73&amp;"_"&amp;$C73,CPAT_Results!$F:$F,0),MATCH(AB$5,CPAT_Results!$1:$1,0))</f>
        <v>153.47300000000001</v>
      </c>
      <c r="AC73" s="146">
        <f>INDEX(CPAT_Results!$A:$AD,MATCH($H73&amp;"_"&amp;$C73,CPAT_Results!$F:$F,0),MATCH(AC$5,CPAT_Results!$1:$1,0))</f>
        <v>165.922</v>
      </c>
      <c r="AD73" s="146">
        <f>INDEX(CPAT_Results!$A:$AD,MATCH($H73&amp;"_"&amp;$C73,CPAT_Results!$F:$F,0),MATCH(AD$5,CPAT_Results!$1:$1,0))</f>
        <v>178.94</v>
      </c>
      <c r="AE73" s="146">
        <f>INDEX(CPAT_Results!$A:$AD,MATCH($H73&amp;"_"&amp;$C73,CPAT_Results!$F:$F,0),MATCH(AE$5,CPAT_Results!$1:$1,0))</f>
        <v>192.40799999999999</v>
      </c>
    </row>
    <row r="74" spans="2:31" x14ac:dyDescent="0.2">
      <c r="B74" s="112" t="s">
        <v>3363</v>
      </c>
      <c r="C74" s="112" t="s">
        <v>3256</v>
      </c>
      <c r="D74" s="112" t="s">
        <v>3364</v>
      </c>
      <c r="E74" s="112" t="s">
        <v>16</v>
      </c>
      <c r="F74" s="112" t="s">
        <v>11679</v>
      </c>
      <c r="H74" s="116" t="s">
        <v>1403</v>
      </c>
      <c r="L74" s="146">
        <f>INDEX(CPAT_Results!$A:$AD,MATCH($H74&amp;"_"&amp;$C74,CPAT_Results!$F:$F,0),MATCH(L$5,CPAT_Results!$1:$1,0))</f>
        <v>0</v>
      </c>
      <c r="M74" s="146">
        <f>INDEX(CPAT_Results!$A:$AD,MATCH($H74&amp;"_"&amp;$C74,CPAT_Results!$F:$F,0),MATCH(M$5,CPAT_Results!$1:$1,0))</f>
        <v>0</v>
      </c>
      <c r="N74" s="146">
        <f>INDEX(CPAT_Results!$A:$AD,MATCH($H74&amp;"_"&amp;$C74,CPAT_Results!$F:$F,0),MATCH(N$5,CPAT_Results!$1:$1,0))</f>
        <v>0</v>
      </c>
      <c r="O74" s="146">
        <f>INDEX(CPAT_Results!$A:$AD,MATCH($H74&amp;"_"&amp;$C74,CPAT_Results!$F:$F,0),MATCH(O$5,CPAT_Results!$1:$1,0))</f>
        <v>0</v>
      </c>
      <c r="P74" s="146">
        <f>INDEX(CPAT_Results!$A:$AD,MATCH($H74&amp;"_"&amp;$C74,CPAT_Results!$F:$F,0),MATCH(P$5,CPAT_Results!$1:$1,0))</f>
        <v>20</v>
      </c>
      <c r="Q74" s="146">
        <f>INDEX(CPAT_Results!$A:$AD,MATCH($H74&amp;"_"&amp;$C74,CPAT_Results!$F:$F,0),MATCH(Q$5,CPAT_Results!$1:$1,0))</f>
        <v>20</v>
      </c>
      <c r="R74" s="146">
        <f>INDEX(CPAT_Results!$A:$AD,MATCH($H74&amp;"_"&amp;$C74,CPAT_Results!$F:$F,0),MATCH(R$5,CPAT_Results!$1:$1,0))</f>
        <v>20</v>
      </c>
      <c r="S74" s="146">
        <f>INDEX(CPAT_Results!$A:$AD,MATCH($H74&amp;"_"&amp;$C74,CPAT_Results!$F:$F,0),MATCH(S$5,CPAT_Results!$1:$1,0))</f>
        <v>20</v>
      </c>
      <c r="T74" s="146">
        <f>INDEX(CPAT_Results!$A:$AD,MATCH($H74&amp;"_"&amp;$C74,CPAT_Results!$F:$F,0),MATCH(T$5,CPAT_Results!$1:$1,0))</f>
        <v>20</v>
      </c>
      <c r="U74" s="146">
        <f>INDEX(CPAT_Results!$A:$AD,MATCH($H74&amp;"_"&amp;$C74,CPAT_Results!$F:$F,0),MATCH(U$5,CPAT_Results!$1:$1,0))</f>
        <v>20</v>
      </c>
      <c r="V74" s="146">
        <f>INDEX(CPAT_Results!$A:$AD,MATCH($H74&amp;"_"&amp;$C74,CPAT_Results!$F:$F,0),MATCH(V$5,CPAT_Results!$1:$1,0))</f>
        <v>20</v>
      </c>
      <c r="W74" s="146">
        <f>INDEX(CPAT_Results!$A:$AD,MATCH($H74&amp;"_"&amp;$C74,CPAT_Results!$F:$F,0),MATCH(W$5,CPAT_Results!$1:$1,0))</f>
        <v>20</v>
      </c>
      <c r="X74" s="146">
        <f>INDEX(CPAT_Results!$A:$AD,MATCH($H74&amp;"_"&amp;$C74,CPAT_Results!$F:$F,0),MATCH(X$5,CPAT_Results!$1:$1,0))</f>
        <v>20</v>
      </c>
      <c r="Y74" s="146">
        <f>INDEX(CPAT_Results!$A:$AD,MATCH($H74&amp;"_"&amp;$C74,CPAT_Results!$F:$F,0),MATCH(Y$5,CPAT_Results!$1:$1,0))</f>
        <v>20</v>
      </c>
      <c r="Z74" s="146">
        <f>INDEX(CPAT_Results!$A:$AD,MATCH($H74&amp;"_"&amp;$C74,CPAT_Results!$F:$F,0),MATCH(Z$5,CPAT_Results!$1:$1,0))</f>
        <v>20</v>
      </c>
      <c r="AA74" s="146">
        <f>INDEX(CPAT_Results!$A:$AD,MATCH($H74&amp;"_"&amp;$C74,CPAT_Results!$F:$F,0),MATCH(AA$5,CPAT_Results!$1:$1,0))</f>
        <v>20</v>
      </c>
      <c r="AB74" s="146">
        <f>INDEX(CPAT_Results!$A:$AD,MATCH($H74&amp;"_"&amp;$C74,CPAT_Results!$F:$F,0),MATCH(AB$5,CPAT_Results!$1:$1,0))</f>
        <v>20</v>
      </c>
      <c r="AC74" s="146">
        <f>INDEX(CPAT_Results!$A:$AD,MATCH($H74&amp;"_"&amp;$C74,CPAT_Results!$F:$F,0),MATCH(AC$5,CPAT_Results!$1:$1,0))</f>
        <v>20</v>
      </c>
      <c r="AD74" s="146">
        <f>INDEX(CPAT_Results!$A:$AD,MATCH($H74&amp;"_"&amp;$C74,CPAT_Results!$F:$F,0),MATCH(AD$5,CPAT_Results!$1:$1,0))</f>
        <v>20</v>
      </c>
      <c r="AE74" s="146">
        <f>INDEX(CPAT_Results!$A:$AD,MATCH($H74&amp;"_"&amp;$C74,CPAT_Results!$F:$F,0),MATCH(AE$5,CPAT_Results!$1:$1,0))</f>
        <v>20</v>
      </c>
    </row>
    <row r="75" spans="2:31" x14ac:dyDescent="0.2">
      <c r="B75" s="112" t="s">
        <v>3365</v>
      </c>
      <c r="C75" s="112" t="s">
        <v>3261</v>
      </c>
      <c r="D75" s="112" t="s">
        <v>3364</v>
      </c>
      <c r="E75" s="112" t="s">
        <v>16</v>
      </c>
      <c r="F75" s="112" t="s">
        <v>11680</v>
      </c>
      <c r="H75" s="116" t="s">
        <v>1403</v>
      </c>
      <c r="L75" s="146">
        <f>INDEX(CPAT_Results!$A:$AD,MATCH($H75&amp;"_"&amp;$C75,CPAT_Results!$F:$F,0),MATCH(L$5,CPAT_Results!$1:$1,0))</f>
        <v>0</v>
      </c>
      <c r="M75" s="146">
        <f>INDEX(CPAT_Results!$A:$AD,MATCH($H75&amp;"_"&amp;$C75,CPAT_Results!$F:$F,0),MATCH(M$5,CPAT_Results!$1:$1,0))</f>
        <v>0</v>
      </c>
      <c r="N75" s="146">
        <f>INDEX(CPAT_Results!$A:$AD,MATCH($H75&amp;"_"&amp;$C75,CPAT_Results!$F:$F,0),MATCH(N$5,CPAT_Results!$1:$1,0))</f>
        <v>0</v>
      </c>
      <c r="O75" s="146">
        <f>INDEX(CPAT_Results!$A:$AD,MATCH($H75&amp;"_"&amp;$C75,CPAT_Results!$F:$F,0),MATCH(O$5,CPAT_Results!$1:$1,0))</f>
        <v>0</v>
      </c>
      <c r="P75" s="146">
        <f>INDEX(CPAT_Results!$A:$AD,MATCH($H75&amp;"_"&amp;$C75,CPAT_Results!$F:$F,0),MATCH(P$5,CPAT_Results!$1:$1,0))</f>
        <v>0</v>
      </c>
      <c r="Q75" s="146">
        <f>INDEX(CPAT_Results!$A:$AD,MATCH($H75&amp;"_"&amp;$C75,CPAT_Results!$F:$F,0),MATCH(Q$5,CPAT_Results!$1:$1,0))</f>
        <v>0</v>
      </c>
      <c r="R75" s="146">
        <f>INDEX(CPAT_Results!$A:$AD,MATCH($H75&amp;"_"&amp;$C75,CPAT_Results!$F:$F,0),MATCH(R$5,CPAT_Results!$1:$1,0))</f>
        <v>0</v>
      </c>
      <c r="S75" s="146">
        <f>INDEX(CPAT_Results!$A:$AD,MATCH($H75&amp;"_"&amp;$C75,CPAT_Results!$F:$F,0),MATCH(S$5,CPAT_Results!$1:$1,0))</f>
        <v>0</v>
      </c>
      <c r="T75" s="146">
        <f>INDEX(CPAT_Results!$A:$AD,MATCH($H75&amp;"_"&amp;$C75,CPAT_Results!$F:$F,0),MATCH(T$5,CPAT_Results!$1:$1,0))</f>
        <v>0</v>
      </c>
      <c r="U75" s="146">
        <f>INDEX(CPAT_Results!$A:$AD,MATCH($H75&amp;"_"&amp;$C75,CPAT_Results!$F:$F,0),MATCH(U$5,CPAT_Results!$1:$1,0))</f>
        <v>0</v>
      </c>
      <c r="V75" s="146">
        <f>INDEX(CPAT_Results!$A:$AD,MATCH($H75&amp;"_"&amp;$C75,CPAT_Results!$F:$F,0),MATCH(V$5,CPAT_Results!$1:$1,0))</f>
        <v>0</v>
      </c>
      <c r="W75" s="146">
        <f>INDEX(CPAT_Results!$A:$AD,MATCH($H75&amp;"_"&amp;$C75,CPAT_Results!$F:$F,0),MATCH(W$5,CPAT_Results!$1:$1,0))</f>
        <v>0</v>
      </c>
      <c r="X75" s="146">
        <f>INDEX(CPAT_Results!$A:$AD,MATCH($H75&amp;"_"&amp;$C75,CPAT_Results!$F:$F,0),MATCH(X$5,CPAT_Results!$1:$1,0))</f>
        <v>0</v>
      </c>
      <c r="Y75" s="146">
        <f>INDEX(CPAT_Results!$A:$AD,MATCH($H75&amp;"_"&amp;$C75,CPAT_Results!$F:$F,0),MATCH(Y$5,CPAT_Results!$1:$1,0))</f>
        <v>0</v>
      </c>
      <c r="Z75" s="146">
        <f>INDEX(CPAT_Results!$A:$AD,MATCH($H75&amp;"_"&amp;$C75,CPAT_Results!$F:$F,0),MATCH(Z$5,CPAT_Results!$1:$1,0))</f>
        <v>0</v>
      </c>
      <c r="AA75" s="146">
        <f>INDEX(CPAT_Results!$A:$AD,MATCH($H75&amp;"_"&amp;$C75,CPAT_Results!$F:$F,0),MATCH(AA$5,CPAT_Results!$1:$1,0))</f>
        <v>0</v>
      </c>
      <c r="AB75" s="146">
        <f>INDEX(CPAT_Results!$A:$AD,MATCH($H75&amp;"_"&amp;$C75,CPAT_Results!$F:$F,0),MATCH(AB$5,CPAT_Results!$1:$1,0))</f>
        <v>0</v>
      </c>
      <c r="AC75" s="146">
        <f>INDEX(CPAT_Results!$A:$AD,MATCH($H75&amp;"_"&amp;$C75,CPAT_Results!$F:$F,0),MATCH(AC$5,CPAT_Results!$1:$1,0))</f>
        <v>0</v>
      </c>
      <c r="AD75" s="146">
        <f>INDEX(CPAT_Results!$A:$AD,MATCH($H75&amp;"_"&amp;$C75,CPAT_Results!$F:$F,0),MATCH(AD$5,CPAT_Results!$1:$1,0))</f>
        <v>0</v>
      </c>
      <c r="AE75" s="146">
        <f>INDEX(CPAT_Results!$A:$AD,MATCH($H75&amp;"_"&amp;$C75,CPAT_Results!$F:$F,0),MATCH(AE$5,CPAT_Results!$1:$1,0))</f>
        <v>0</v>
      </c>
    </row>
    <row r="76" spans="2:31" x14ac:dyDescent="0.2">
      <c r="B76" s="112" t="s">
        <v>3366</v>
      </c>
      <c r="C76" s="112" t="s">
        <v>3263</v>
      </c>
      <c r="D76" s="112" t="s">
        <v>3364</v>
      </c>
      <c r="E76" s="112" t="s">
        <v>16</v>
      </c>
      <c r="F76" s="112" t="s">
        <v>11681</v>
      </c>
      <c r="H76" s="116" t="s">
        <v>1403</v>
      </c>
      <c r="L76" s="146">
        <f>INDEX(CPAT_Results!$A:$AD,MATCH($H76&amp;"_"&amp;$C76,CPAT_Results!$F:$F,0),MATCH(L$5,CPAT_Results!$1:$1,0))</f>
        <v>0</v>
      </c>
      <c r="M76" s="146">
        <f>INDEX(CPAT_Results!$A:$AD,MATCH($H76&amp;"_"&amp;$C76,CPAT_Results!$F:$F,0),MATCH(M$5,CPAT_Results!$1:$1,0))</f>
        <v>0</v>
      </c>
      <c r="N76" s="146">
        <f>INDEX(CPAT_Results!$A:$AD,MATCH($H76&amp;"_"&amp;$C76,CPAT_Results!$F:$F,0),MATCH(N$5,CPAT_Results!$1:$1,0))</f>
        <v>0</v>
      </c>
      <c r="O76" s="146">
        <f>INDEX(CPAT_Results!$A:$AD,MATCH($H76&amp;"_"&amp;$C76,CPAT_Results!$F:$F,0),MATCH(O$5,CPAT_Results!$1:$1,0))</f>
        <v>0</v>
      </c>
      <c r="P76" s="146">
        <f>INDEX(CPAT_Results!$A:$AD,MATCH($H76&amp;"_"&amp;$C76,CPAT_Results!$F:$F,0),MATCH(P$5,CPAT_Results!$1:$1,0))</f>
        <v>10</v>
      </c>
      <c r="Q76" s="146">
        <f>INDEX(CPAT_Results!$A:$AD,MATCH($H76&amp;"_"&amp;$C76,CPAT_Results!$F:$F,0),MATCH(Q$5,CPAT_Results!$1:$1,0))</f>
        <v>14</v>
      </c>
      <c r="R76" s="146">
        <f>INDEX(CPAT_Results!$A:$AD,MATCH($H76&amp;"_"&amp;$C76,CPAT_Results!$F:$F,0),MATCH(R$5,CPAT_Results!$1:$1,0))</f>
        <v>18</v>
      </c>
      <c r="S76" s="146">
        <f>INDEX(CPAT_Results!$A:$AD,MATCH($H76&amp;"_"&amp;$C76,CPAT_Results!$F:$F,0),MATCH(S$5,CPAT_Results!$1:$1,0))</f>
        <v>22</v>
      </c>
      <c r="T76" s="146">
        <f>INDEX(CPAT_Results!$A:$AD,MATCH($H76&amp;"_"&amp;$C76,CPAT_Results!$F:$F,0),MATCH(T$5,CPAT_Results!$1:$1,0))</f>
        <v>26</v>
      </c>
      <c r="U76" s="146">
        <f>INDEX(CPAT_Results!$A:$AD,MATCH($H76&amp;"_"&amp;$C76,CPAT_Results!$F:$F,0),MATCH(U$5,CPAT_Results!$1:$1,0))</f>
        <v>30</v>
      </c>
      <c r="V76" s="146">
        <f>INDEX(CPAT_Results!$A:$AD,MATCH($H76&amp;"_"&amp;$C76,CPAT_Results!$F:$F,0),MATCH(V$5,CPAT_Results!$1:$1,0))</f>
        <v>34</v>
      </c>
      <c r="W76" s="146">
        <f>INDEX(CPAT_Results!$A:$AD,MATCH($H76&amp;"_"&amp;$C76,CPAT_Results!$F:$F,0),MATCH(W$5,CPAT_Results!$1:$1,0))</f>
        <v>38</v>
      </c>
      <c r="X76" s="146">
        <f>INDEX(CPAT_Results!$A:$AD,MATCH($H76&amp;"_"&amp;$C76,CPAT_Results!$F:$F,0),MATCH(X$5,CPAT_Results!$1:$1,0))</f>
        <v>42</v>
      </c>
      <c r="Y76" s="146">
        <f>INDEX(CPAT_Results!$A:$AD,MATCH($H76&amp;"_"&amp;$C76,CPAT_Results!$F:$F,0),MATCH(Y$5,CPAT_Results!$1:$1,0))</f>
        <v>46</v>
      </c>
      <c r="Z76" s="146">
        <f>INDEX(CPAT_Results!$A:$AD,MATCH($H76&amp;"_"&amp;$C76,CPAT_Results!$F:$F,0),MATCH(Z$5,CPAT_Results!$1:$1,0))</f>
        <v>50</v>
      </c>
      <c r="AA76" s="146">
        <f>INDEX(CPAT_Results!$A:$AD,MATCH($H76&amp;"_"&amp;$C76,CPAT_Results!$F:$F,0),MATCH(AA$5,CPAT_Results!$1:$1,0))</f>
        <v>54</v>
      </c>
      <c r="AB76" s="146">
        <f>INDEX(CPAT_Results!$A:$AD,MATCH($H76&amp;"_"&amp;$C76,CPAT_Results!$F:$F,0),MATCH(AB$5,CPAT_Results!$1:$1,0))</f>
        <v>58</v>
      </c>
      <c r="AC76" s="146">
        <f>INDEX(CPAT_Results!$A:$AD,MATCH($H76&amp;"_"&amp;$C76,CPAT_Results!$F:$F,0),MATCH(AC$5,CPAT_Results!$1:$1,0))</f>
        <v>62</v>
      </c>
      <c r="AD76" s="146">
        <f>INDEX(CPAT_Results!$A:$AD,MATCH($H76&amp;"_"&amp;$C76,CPAT_Results!$F:$F,0),MATCH(AD$5,CPAT_Results!$1:$1,0))</f>
        <v>66</v>
      </c>
      <c r="AE76" s="146">
        <f>INDEX(CPAT_Results!$A:$AD,MATCH($H76&amp;"_"&amp;$C76,CPAT_Results!$F:$F,0),MATCH(AE$5,CPAT_Results!$1:$1,0))</f>
        <v>70</v>
      </c>
    </row>
    <row r="77" spans="2:31" x14ac:dyDescent="0.2">
      <c r="B77" s="112" t="s">
        <v>3367</v>
      </c>
      <c r="C77" s="112" t="s">
        <v>3265</v>
      </c>
      <c r="D77" s="112" t="s">
        <v>3364</v>
      </c>
      <c r="E77" s="112" t="s">
        <v>16</v>
      </c>
      <c r="F77" s="112" t="s">
        <v>11682</v>
      </c>
      <c r="H77" s="116" t="s">
        <v>1403</v>
      </c>
      <c r="L77" s="146">
        <f>INDEX(CPAT_Results!$A:$AD,MATCH($H77&amp;"_"&amp;$C77,CPAT_Results!$F:$F,0),MATCH(L$5,CPAT_Results!$1:$1,0))</f>
        <v>0</v>
      </c>
      <c r="M77" s="146">
        <f>INDEX(CPAT_Results!$A:$AD,MATCH($H77&amp;"_"&amp;$C77,CPAT_Results!$F:$F,0),MATCH(M$5,CPAT_Results!$1:$1,0))</f>
        <v>0</v>
      </c>
      <c r="N77" s="146">
        <f>INDEX(CPAT_Results!$A:$AD,MATCH($H77&amp;"_"&amp;$C77,CPAT_Results!$F:$F,0),MATCH(N$5,CPAT_Results!$1:$1,0))</f>
        <v>0</v>
      </c>
      <c r="O77" s="146">
        <f>INDEX(CPAT_Results!$A:$AD,MATCH($H77&amp;"_"&amp;$C77,CPAT_Results!$F:$F,0),MATCH(O$5,CPAT_Results!$1:$1,0))</f>
        <v>0</v>
      </c>
      <c r="P77" s="146">
        <f>INDEX(CPAT_Results!$A:$AD,MATCH($H77&amp;"_"&amp;$C77,CPAT_Results!$F:$F,0),MATCH(P$5,CPAT_Results!$1:$1,0))</f>
        <v>0</v>
      </c>
      <c r="Q77" s="146">
        <f>INDEX(CPAT_Results!$A:$AD,MATCH($H77&amp;"_"&amp;$C77,CPAT_Results!$F:$F,0),MATCH(Q$5,CPAT_Results!$1:$1,0))</f>
        <v>0</v>
      </c>
      <c r="R77" s="146">
        <f>INDEX(CPAT_Results!$A:$AD,MATCH($H77&amp;"_"&amp;$C77,CPAT_Results!$F:$F,0),MATCH(R$5,CPAT_Results!$1:$1,0))</f>
        <v>0</v>
      </c>
      <c r="S77" s="146">
        <f>INDEX(CPAT_Results!$A:$AD,MATCH($H77&amp;"_"&amp;$C77,CPAT_Results!$F:$F,0),MATCH(S$5,CPAT_Results!$1:$1,0))</f>
        <v>0</v>
      </c>
      <c r="T77" s="146">
        <f>INDEX(CPAT_Results!$A:$AD,MATCH($H77&amp;"_"&amp;$C77,CPAT_Results!$F:$F,0),MATCH(T$5,CPAT_Results!$1:$1,0))</f>
        <v>0</v>
      </c>
      <c r="U77" s="146">
        <f>INDEX(CPAT_Results!$A:$AD,MATCH($H77&amp;"_"&amp;$C77,CPAT_Results!$F:$F,0),MATCH(U$5,CPAT_Results!$1:$1,0))</f>
        <v>0</v>
      </c>
      <c r="V77" s="146">
        <f>INDEX(CPAT_Results!$A:$AD,MATCH($H77&amp;"_"&amp;$C77,CPAT_Results!$F:$F,0),MATCH(V$5,CPAT_Results!$1:$1,0))</f>
        <v>0</v>
      </c>
      <c r="W77" s="146">
        <f>INDEX(CPAT_Results!$A:$AD,MATCH($H77&amp;"_"&amp;$C77,CPAT_Results!$F:$F,0),MATCH(W$5,CPAT_Results!$1:$1,0))</f>
        <v>0</v>
      </c>
      <c r="X77" s="146">
        <f>INDEX(CPAT_Results!$A:$AD,MATCH($H77&amp;"_"&amp;$C77,CPAT_Results!$F:$F,0),MATCH(X$5,CPAT_Results!$1:$1,0))</f>
        <v>0</v>
      </c>
      <c r="Y77" s="146">
        <f>INDEX(CPAT_Results!$A:$AD,MATCH($H77&amp;"_"&amp;$C77,CPAT_Results!$F:$F,0),MATCH(Y$5,CPAT_Results!$1:$1,0))</f>
        <v>0</v>
      </c>
      <c r="Z77" s="146">
        <f>INDEX(CPAT_Results!$A:$AD,MATCH($H77&amp;"_"&amp;$C77,CPAT_Results!$F:$F,0),MATCH(Z$5,CPAT_Results!$1:$1,0))</f>
        <v>0</v>
      </c>
      <c r="AA77" s="146">
        <f>INDEX(CPAT_Results!$A:$AD,MATCH($H77&amp;"_"&amp;$C77,CPAT_Results!$F:$F,0),MATCH(AA$5,CPAT_Results!$1:$1,0))</f>
        <v>0</v>
      </c>
      <c r="AB77" s="146">
        <f>INDEX(CPAT_Results!$A:$AD,MATCH($H77&amp;"_"&amp;$C77,CPAT_Results!$F:$F,0),MATCH(AB$5,CPAT_Results!$1:$1,0))</f>
        <v>0</v>
      </c>
      <c r="AC77" s="146">
        <f>INDEX(CPAT_Results!$A:$AD,MATCH($H77&amp;"_"&amp;$C77,CPAT_Results!$F:$F,0),MATCH(AC$5,CPAT_Results!$1:$1,0))</f>
        <v>0</v>
      </c>
      <c r="AD77" s="146">
        <f>INDEX(CPAT_Results!$A:$AD,MATCH($H77&amp;"_"&amp;$C77,CPAT_Results!$F:$F,0),MATCH(AD$5,CPAT_Results!$1:$1,0))</f>
        <v>0</v>
      </c>
      <c r="AE77" s="146">
        <f>INDEX(CPAT_Results!$A:$AD,MATCH($H77&amp;"_"&amp;$C77,CPAT_Results!$F:$F,0),MATCH(AE$5,CPAT_Results!$1:$1,0))</f>
        <v>0</v>
      </c>
    </row>
    <row r="78" spans="2:31" x14ac:dyDescent="0.2">
      <c r="B78" s="112" t="s">
        <v>3368</v>
      </c>
      <c r="C78" s="112" t="s">
        <v>3256</v>
      </c>
      <c r="D78" s="112" t="s">
        <v>3369</v>
      </c>
      <c r="E78" s="112" t="s">
        <v>16</v>
      </c>
      <c r="F78" s="112" t="s">
        <v>11679</v>
      </c>
      <c r="H78" s="116" t="s">
        <v>3370</v>
      </c>
      <c r="L78" s="146">
        <f>INDEX(CPAT_Results!$A:$AD,MATCH($H78&amp;"_"&amp;$C78,CPAT_Results!$F:$F,0),MATCH(L$5,CPAT_Results!$1:$1,0))</f>
        <v>0</v>
      </c>
      <c r="M78" s="146">
        <f>INDEX(CPAT_Results!$A:$AD,MATCH($H78&amp;"_"&amp;$C78,CPAT_Results!$F:$F,0),MATCH(M$5,CPAT_Results!$1:$1,0))</f>
        <v>0</v>
      </c>
      <c r="N78" s="146">
        <f>INDEX(CPAT_Results!$A:$AD,MATCH($H78&amp;"_"&amp;$C78,CPAT_Results!$F:$F,0),MATCH(N$5,CPAT_Results!$1:$1,0))</f>
        <v>0</v>
      </c>
      <c r="O78" s="146">
        <f>INDEX(CPAT_Results!$A:$AD,MATCH($H78&amp;"_"&amp;$C78,CPAT_Results!$F:$F,0),MATCH(O$5,CPAT_Results!$1:$1,0))</f>
        <v>0</v>
      </c>
      <c r="P78" s="146">
        <f>INDEX(CPAT_Results!$A:$AD,MATCH($H78&amp;"_"&amp;$C78,CPAT_Results!$F:$F,0),MATCH(P$5,CPAT_Results!$1:$1,0))</f>
        <v>19.763000000000002</v>
      </c>
      <c r="Q78" s="146">
        <f>INDEX(CPAT_Results!$A:$AD,MATCH($H78&amp;"_"&amp;$C78,CPAT_Results!$F:$F,0),MATCH(Q$5,CPAT_Results!$1:$1,0))</f>
        <v>19.748999999999999</v>
      </c>
      <c r="R78" s="146">
        <f>INDEX(CPAT_Results!$A:$AD,MATCH($H78&amp;"_"&amp;$C78,CPAT_Results!$F:$F,0),MATCH(R$5,CPAT_Results!$1:$1,0))</f>
        <v>19.75</v>
      </c>
      <c r="S78" s="146">
        <f>INDEX(CPAT_Results!$A:$AD,MATCH($H78&amp;"_"&amp;$C78,CPAT_Results!$F:$F,0),MATCH(S$5,CPAT_Results!$1:$1,0))</f>
        <v>19.75</v>
      </c>
      <c r="T78" s="146">
        <f>INDEX(CPAT_Results!$A:$AD,MATCH($H78&amp;"_"&amp;$C78,CPAT_Results!$F:$F,0),MATCH(T$5,CPAT_Results!$1:$1,0))</f>
        <v>19.751999999999999</v>
      </c>
      <c r="U78" s="146">
        <f>INDEX(CPAT_Results!$A:$AD,MATCH($H78&amp;"_"&amp;$C78,CPAT_Results!$F:$F,0),MATCH(U$5,CPAT_Results!$1:$1,0))</f>
        <v>19.754000000000001</v>
      </c>
      <c r="V78" s="146">
        <f>INDEX(CPAT_Results!$A:$AD,MATCH($H78&amp;"_"&amp;$C78,CPAT_Results!$F:$F,0),MATCH(V$5,CPAT_Results!$1:$1,0))</f>
        <v>19.756</v>
      </c>
      <c r="W78" s="146">
        <f>INDEX(CPAT_Results!$A:$AD,MATCH($H78&amp;"_"&amp;$C78,CPAT_Results!$F:$F,0),MATCH(W$5,CPAT_Results!$1:$1,0))</f>
        <v>19.759</v>
      </c>
      <c r="X78" s="146">
        <f>INDEX(CPAT_Results!$A:$AD,MATCH($H78&amp;"_"&amp;$C78,CPAT_Results!$F:$F,0),MATCH(X$5,CPAT_Results!$1:$1,0))</f>
        <v>19.760999999999999</v>
      </c>
      <c r="Y78" s="146">
        <f>INDEX(CPAT_Results!$A:$AD,MATCH($H78&amp;"_"&amp;$C78,CPAT_Results!$F:$F,0),MATCH(Y$5,CPAT_Results!$1:$1,0))</f>
        <v>19.763999999999999</v>
      </c>
      <c r="Z78" s="146">
        <f>INDEX(CPAT_Results!$A:$AD,MATCH($H78&amp;"_"&amp;$C78,CPAT_Results!$F:$F,0),MATCH(Z$5,CPAT_Results!$1:$1,0))</f>
        <v>19.765999999999998</v>
      </c>
      <c r="AA78" s="146">
        <f>INDEX(CPAT_Results!$A:$AD,MATCH($H78&amp;"_"&amp;$C78,CPAT_Results!$F:$F,0),MATCH(AA$5,CPAT_Results!$1:$1,0))</f>
        <v>19.768999999999998</v>
      </c>
      <c r="AB78" s="146">
        <f>INDEX(CPAT_Results!$A:$AD,MATCH($H78&amp;"_"&amp;$C78,CPAT_Results!$F:$F,0),MATCH(AB$5,CPAT_Results!$1:$1,0))</f>
        <v>19.773</v>
      </c>
      <c r="AC78" s="146">
        <f>INDEX(CPAT_Results!$A:$AD,MATCH($H78&amp;"_"&amp;$C78,CPAT_Results!$F:$F,0),MATCH(AC$5,CPAT_Results!$1:$1,0))</f>
        <v>19.776</v>
      </c>
      <c r="AD78" s="146">
        <f>INDEX(CPAT_Results!$A:$AD,MATCH($H78&amp;"_"&amp;$C78,CPAT_Results!$F:$F,0),MATCH(AD$5,CPAT_Results!$1:$1,0))</f>
        <v>19.78</v>
      </c>
      <c r="AE78" s="146">
        <f>INDEX(CPAT_Results!$A:$AD,MATCH($H78&amp;"_"&amp;$C78,CPAT_Results!$F:$F,0),MATCH(AE$5,CPAT_Results!$1:$1,0))</f>
        <v>19.783000000000001</v>
      </c>
    </row>
    <row r="79" spans="2:31" x14ac:dyDescent="0.2">
      <c r="B79" s="112" t="s">
        <v>3371</v>
      </c>
      <c r="C79" s="112" t="s">
        <v>3261</v>
      </c>
      <c r="D79" s="112" t="s">
        <v>3369</v>
      </c>
      <c r="E79" s="112" t="s">
        <v>16</v>
      </c>
      <c r="F79" s="112" t="s">
        <v>11680</v>
      </c>
      <c r="H79" s="116" t="s">
        <v>3370</v>
      </c>
      <c r="L79" s="146">
        <f>INDEX(CPAT_Results!$A:$AD,MATCH($H79&amp;"_"&amp;$C79,CPAT_Results!$F:$F,0),MATCH(L$5,CPAT_Results!$1:$1,0))</f>
        <v>0</v>
      </c>
      <c r="M79" s="146">
        <f>INDEX(CPAT_Results!$A:$AD,MATCH($H79&amp;"_"&amp;$C79,CPAT_Results!$F:$F,0),MATCH(M$5,CPAT_Results!$1:$1,0))</f>
        <v>0</v>
      </c>
      <c r="N79" s="146">
        <f>INDEX(CPAT_Results!$A:$AD,MATCH($H79&amp;"_"&amp;$C79,CPAT_Results!$F:$F,0),MATCH(N$5,CPAT_Results!$1:$1,0))</f>
        <v>0</v>
      </c>
      <c r="O79" s="146">
        <f>INDEX(CPAT_Results!$A:$AD,MATCH($H79&amp;"_"&amp;$C79,CPAT_Results!$F:$F,0),MATCH(O$5,CPAT_Results!$1:$1,0))</f>
        <v>0</v>
      </c>
      <c r="P79" s="146">
        <f>INDEX(CPAT_Results!$A:$AD,MATCH($H79&amp;"_"&amp;$C79,CPAT_Results!$F:$F,0),MATCH(P$5,CPAT_Results!$1:$1,0))</f>
        <v>0</v>
      </c>
      <c r="Q79" s="146">
        <f>INDEX(CPAT_Results!$A:$AD,MATCH($H79&amp;"_"&amp;$C79,CPAT_Results!$F:$F,0),MATCH(Q$5,CPAT_Results!$1:$1,0))</f>
        <v>0</v>
      </c>
      <c r="R79" s="146">
        <f>INDEX(CPAT_Results!$A:$AD,MATCH($H79&amp;"_"&amp;$C79,CPAT_Results!$F:$F,0),MATCH(R$5,CPAT_Results!$1:$1,0))</f>
        <v>0</v>
      </c>
      <c r="S79" s="146">
        <f>INDEX(CPAT_Results!$A:$AD,MATCH($H79&amp;"_"&amp;$C79,CPAT_Results!$F:$F,0),MATCH(S$5,CPAT_Results!$1:$1,0))</f>
        <v>0</v>
      </c>
      <c r="T79" s="146">
        <f>INDEX(CPAT_Results!$A:$AD,MATCH($H79&amp;"_"&amp;$C79,CPAT_Results!$F:$F,0),MATCH(T$5,CPAT_Results!$1:$1,0))</f>
        <v>0</v>
      </c>
      <c r="U79" s="146">
        <f>INDEX(CPAT_Results!$A:$AD,MATCH($H79&amp;"_"&amp;$C79,CPAT_Results!$F:$F,0),MATCH(U$5,CPAT_Results!$1:$1,0))</f>
        <v>0</v>
      </c>
      <c r="V79" s="146">
        <f>INDEX(CPAT_Results!$A:$AD,MATCH($H79&amp;"_"&amp;$C79,CPAT_Results!$F:$F,0),MATCH(V$5,CPAT_Results!$1:$1,0))</f>
        <v>0</v>
      </c>
      <c r="W79" s="146">
        <f>INDEX(CPAT_Results!$A:$AD,MATCH($H79&amp;"_"&amp;$C79,CPAT_Results!$F:$F,0),MATCH(W$5,CPAT_Results!$1:$1,0))</f>
        <v>0</v>
      </c>
      <c r="X79" s="146">
        <f>INDEX(CPAT_Results!$A:$AD,MATCH($H79&amp;"_"&amp;$C79,CPAT_Results!$F:$F,0),MATCH(X$5,CPAT_Results!$1:$1,0))</f>
        <v>0</v>
      </c>
      <c r="Y79" s="146">
        <f>INDEX(CPAT_Results!$A:$AD,MATCH($H79&amp;"_"&amp;$C79,CPAT_Results!$F:$F,0),MATCH(Y$5,CPAT_Results!$1:$1,0))</f>
        <v>0</v>
      </c>
      <c r="Z79" s="146">
        <f>INDEX(CPAT_Results!$A:$AD,MATCH($H79&amp;"_"&amp;$C79,CPAT_Results!$F:$F,0),MATCH(Z$5,CPAT_Results!$1:$1,0))</f>
        <v>0</v>
      </c>
      <c r="AA79" s="146">
        <f>INDEX(CPAT_Results!$A:$AD,MATCH($H79&amp;"_"&amp;$C79,CPAT_Results!$F:$F,0),MATCH(AA$5,CPAT_Results!$1:$1,0))</f>
        <v>0</v>
      </c>
      <c r="AB79" s="146">
        <f>INDEX(CPAT_Results!$A:$AD,MATCH($H79&amp;"_"&amp;$C79,CPAT_Results!$F:$F,0),MATCH(AB$5,CPAT_Results!$1:$1,0))</f>
        <v>0</v>
      </c>
      <c r="AC79" s="146">
        <f>INDEX(CPAT_Results!$A:$AD,MATCH($H79&amp;"_"&amp;$C79,CPAT_Results!$F:$F,0),MATCH(AC$5,CPAT_Results!$1:$1,0))</f>
        <v>0</v>
      </c>
      <c r="AD79" s="146">
        <f>INDEX(CPAT_Results!$A:$AD,MATCH($H79&amp;"_"&amp;$C79,CPAT_Results!$F:$F,0),MATCH(AD$5,CPAT_Results!$1:$1,0))</f>
        <v>0</v>
      </c>
      <c r="AE79" s="146">
        <f>INDEX(CPAT_Results!$A:$AD,MATCH($H79&amp;"_"&amp;$C79,CPAT_Results!$F:$F,0),MATCH(AE$5,CPAT_Results!$1:$1,0))</f>
        <v>0</v>
      </c>
    </row>
    <row r="80" spans="2:31" x14ac:dyDescent="0.2">
      <c r="B80" s="112" t="s">
        <v>3372</v>
      </c>
      <c r="C80" s="112" t="s">
        <v>3263</v>
      </c>
      <c r="D80" s="112" t="s">
        <v>3369</v>
      </c>
      <c r="E80" s="112" t="s">
        <v>16</v>
      </c>
      <c r="F80" s="112" t="s">
        <v>11681</v>
      </c>
      <c r="H80" s="116" t="s">
        <v>3370</v>
      </c>
      <c r="L80" s="146">
        <f>INDEX(CPAT_Results!$A:$AD,MATCH($H80&amp;"_"&amp;$C80,CPAT_Results!$F:$F,0),MATCH(L$5,CPAT_Results!$1:$1,0))</f>
        <v>0</v>
      </c>
      <c r="M80" s="146">
        <f>INDEX(CPAT_Results!$A:$AD,MATCH($H80&amp;"_"&amp;$C80,CPAT_Results!$F:$F,0),MATCH(M$5,CPAT_Results!$1:$1,0))</f>
        <v>0</v>
      </c>
      <c r="N80" s="146">
        <f>INDEX(CPAT_Results!$A:$AD,MATCH($H80&amp;"_"&amp;$C80,CPAT_Results!$F:$F,0),MATCH(N$5,CPAT_Results!$1:$1,0))</f>
        <v>0</v>
      </c>
      <c r="O80" s="146">
        <f>INDEX(CPAT_Results!$A:$AD,MATCH($H80&amp;"_"&amp;$C80,CPAT_Results!$F:$F,0),MATCH(O$5,CPAT_Results!$1:$1,0))</f>
        <v>0</v>
      </c>
      <c r="P80" s="146">
        <f>INDEX(CPAT_Results!$A:$AD,MATCH($H80&amp;"_"&amp;$C80,CPAT_Results!$F:$F,0),MATCH(P$5,CPAT_Results!$1:$1,0))</f>
        <v>1.796</v>
      </c>
      <c r="Q80" s="146">
        <f>INDEX(CPAT_Results!$A:$AD,MATCH($H80&amp;"_"&amp;$C80,CPAT_Results!$F:$F,0),MATCH(Q$5,CPAT_Results!$1:$1,0))</f>
        <v>2.4790000000000001</v>
      </c>
      <c r="R80" s="146">
        <f>INDEX(CPAT_Results!$A:$AD,MATCH($H80&amp;"_"&amp;$C80,CPAT_Results!$F:$F,0),MATCH(R$5,CPAT_Results!$1:$1,0))</f>
        <v>3.1190000000000002</v>
      </c>
      <c r="S80" s="146">
        <f>INDEX(CPAT_Results!$A:$AD,MATCH($H80&amp;"_"&amp;$C80,CPAT_Results!$F:$F,0),MATCH(S$5,CPAT_Results!$1:$1,0))</f>
        <v>3.7309999999999999</v>
      </c>
      <c r="T80" s="146">
        <f>INDEX(CPAT_Results!$A:$AD,MATCH($H80&amp;"_"&amp;$C80,CPAT_Results!$F:$F,0),MATCH(T$5,CPAT_Results!$1:$1,0))</f>
        <v>4.3019999999999996</v>
      </c>
      <c r="U80" s="146">
        <f>INDEX(CPAT_Results!$A:$AD,MATCH($H80&amp;"_"&amp;$C80,CPAT_Results!$F:$F,0),MATCH(U$5,CPAT_Results!$1:$1,0))</f>
        <v>4.8330000000000002</v>
      </c>
      <c r="V80" s="146">
        <f>INDEX(CPAT_Results!$A:$AD,MATCH($H80&amp;"_"&amp;$C80,CPAT_Results!$F:$F,0),MATCH(V$5,CPAT_Results!$1:$1,0))</f>
        <v>5.3330000000000002</v>
      </c>
      <c r="W80" s="146">
        <f>INDEX(CPAT_Results!$A:$AD,MATCH($H80&amp;"_"&amp;$C80,CPAT_Results!$F:$F,0),MATCH(W$5,CPAT_Results!$1:$1,0))</f>
        <v>5.7969999999999997</v>
      </c>
      <c r="X80" s="146">
        <f>INDEX(CPAT_Results!$A:$AD,MATCH($H80&amp;"_"&amp;$C80,CPAT_Results!$F:$F,0),MATCH(X$5,CPAT_Results!$1:$1,0))</f>
        <v>6.23</v>
      </c>
      <c r="Y80" s="146">
        <f>INDEX(CPAT_Results!$A:$AD,MATCH($H80&amp;"_"&amp;$C80,CPAT_Results!$F:$F,0),MATCH(Y$5,CPAT_Results!$1:$1,0))</f>
        <v>6.6289999999999996</v>
      </c>
      <c r="Z80" s="146">
        <f>INDEX(CPAT_Results!$A:$AD,MATCH($H80&amp;"_"&amp;$C80,CPAT_Results!$F:$F,0),MATCH(Z$5,CPAT_Results!$1:$1,0))</f>
        <v>6.9989999999999997</v>
      </c>
      <c r="AA80" s="146">
        <f>INDEX(CPAT_Results!$A:$AD,MATCH($H80&amp;"_"&amp;$C80,CPAT_Results!$F:$F,0),MATCH(AA$5,CPAT_Results!$1:$1,0))</f>
        <v>7.3360000000000003</v>
      </c>
      <c r="AB80" s="146">
        <f>INDEX(CPAT_Results!$A:$AD,MATCH($H80&amp;"_"&amp;$C80,CPAT_Results!$F:$F,0),MATCH(AB$5,CPAT_Results!$1:$1,0))</f>
        <v>7.64</v>
      </c>
      <c r="AC80" s="146">
        <f>INDEX(CPAT_Results!$A:$AD,MATCH($H80&amp;"_"&amp;$C80,CPAT_Results!$F:$F,0),MATCH(AC$5,CPAT_Results!$1:$1,0))</f>
        <v>7.9080000000000004</v>
      </c>
      <c r="AD80" s="146">
        <f>INDEX(CPAT_Results!$A:$AD,MATCH($H80&amp;"_"&amp;$C80,CPAT_Results!$F:$F,0),MATCH(AD$5,CPAT_Results!$1:$1,0))</f>
        <v>8.1509999999999998</v>
      </c>
      <c r="AE80" s="146">
        <f>INDEX(CPAT_Results!$A:$AD,MATCH($H80&amp;"_"&amp;$C80,CPAT_Results!$F:$F,0),MATCH(AE$5,CPAT_Results!$1:$1,0))</f>
        <v>8.3849999999999998</v>
      </c>
    </row>
    <row r="81" spans="2:31" x14ac:dyDescent="0.2">
      <c r="B81" s="112" t="s">
        <v>3373</v>
      </c>
      <c r="C81" s="112" t="s">
        <v>3265</v>
      </c>
      <c r="D81" s="112" t="s">
        <v>3369</v>
      </c>
      <c r="E81" s="112" t="s">
        <v>16</v>
      </c>
      <c r="F81" s="112" t="s">
        <v>11682</v>
      </c>
      <c r="H81" s="116" t="s">
        <v>3370</v>
      </c>
      <c r="L81" s="146">
        <f>INDEX(CPAT_Results!$A:$AD,MATCH($H81&amp;"_"&amp;$C81,CPAT_Results!$F:$F,0),MATCH(L$5,CPAT_Results!$1:$1,0))</f>
        <v>0</v>
      </c>
      <c r="M81" s="146">
        <f>INDEX(CPAT_Results!$A:$AD,MATCH($H81&amp;"_"&amp;$C81,CPAT_Results!$F:$F,0),MATCH(M$5,CPAT_Results!$1:$1,0))</f>
        <v>0</v>
      </c>
      <c r="N81" s="146">
        <f>INDEX(CPAT_Results!$A:$AD,MATCH($H81&amp;"_"&amp;$C81,CPAT_Results!$F:$F,0),MATCH(N$5,CPAT_Results!$1:$1,0))</f>
        <v>0</v>
      </c>
      <c r="O81" s="146">
        <f>INDEX(CPAT_Results!$A:$AD,MATCH($H81&amp;"_"&amp;$C81,CPAT_Results!$F:$F,0),MATCH(O$5,CPAT_Results!$1:$1,0))</f>
        <v>0</v>
      </c>
      <c r="P81" s="146">
        <f>INDEX(CPAT_Results!$A:$AD,MATCH($H81&amp;"_"&amp;$C81,CPAT_Results!$F:$F,0),MATCH(P$5,CPAT_Results!$1:$1,0))</f>
        <v>0</v>
      </c>
      <c r="Q81" s="146">
        <f>INDEX(CPAT_Results!$A:$AD,MATCH($H81&amp;"_"&amp;$C81,CPAT_Results!$F:$F,0),MATCH(Q$5,CPAT_Results!$1:$1,0))</f>
        <v>0</v>
      </c>
      <c r="R81" s="146">
        <f>INDEX(CPAT_Results!$A:$AD,MATCH($H81&amp;"_"&amp;$C81,CPAT_Results!$F:$F,0),MATCH(R$5,CPAT_Results!$1:$1,0))</f>
        <v>0</v>
      </c>
      <c r="S81" s="146">
        <f>INDEX(CPAT_Results!$A:$AD,MATCH($H81&amp;"_"&amp;$C81,CPAT_Results!$F:$F,0),MATCH(S$5,CPAT_Results!$1:$1,0))</f>
        <v>0</v>
      </c>
      <c r="T81" s="146">
        <f>INDEX(CPAT_Results!$A:$AD,MATCH($H81&amp;"_"&amp;$C81,CPAT_Results!$F:$F,0),MATCH(T$5,CPAT_Results!$1:$1,0))</f>
        <v>0</v>
      </c>
      <c r="U81" s="146">
        <f>INDEX(CPAT_Results!$A:$AD,MATCH($H81&amp;"_"&amp;$C81,CPAT_Results!$F:$F,0),MATCH(U$5,CPAT_Results!$1:$1,0))</f>
        <v>0</v>
      </c>
      <c r="V81" s="146">
        <f>INDEX(CPAT_Results!$A:$AD,MATCH($H81&amp;"_"&amp;$C81,CPAT_Results!$F:$F,0),MATCH(V$5,CPAT_Results!$1:$1,0))</f>
        <v>0</v>
      </c>
      <c r="W81" s="146">
        <f>INDEX(CPAT_Results!$A:$AD,MATCH($H81&amp;"_"&amp;$C81,CPAT_Results!$F:$F,0),MATCH(W$5,CPAT_Results!$1:$1,0))</f>
        <v>0</v>
      </c>
      <c r="X81" s="146">
        <f>INDEX(CPAT_Results!$A:$AD,MATCH($H81&amp;"_"&amp;$C81,CPAT_Results!$F:$F,0),MATCH(X$5,CPAT_Results!$1:$1,0))</f>
        <v>0</v>
      </c>
      <c r="Y81" s="146">
        <f>INDEX(CPAT_Results!$A:$AD,MATCH($H81&amp;"_"&amp;$C81,CPAT_Results!$F:$F,0),MATCH(Y$5,CPAT_Results!$1:$1,0))</f>
        <v>0</v>
      </c>
      <c r="Z81" s="146">
        <f>INDEX(CPAT_Results!$A:$AD,MATCH($H81&amp;"_"&amp;$C81,CPAT_Results!$F:$F,0),MATCH(Z$5,CPAT_Results!$1:$1,0))</f>
        <v>0</v>
      </c>
      <c r="AA81" s="146">
        <f>INDEX(CPAT_Results!$A:$AD,MATCH($H81&amp;"_"&amp;$C81,CPAT_Results!$F:$F,0),MATCH(AA$5,CPAT_Results!$1:$1,0))</f>
        <v>0</v>
      </c>
      <c r="AB81" s="146">
        <f>INDEX(CPAT_Results!$A:$AD,MATCH($H81&amp;"_"&amp;$C81,CPAT_Results!$F:$F,0),MATCH(AB$5,CPAT_Results!$1:$1,0))</f>
        <v>0</v>
      </c>
      <c r="AC81" s="146">
        <f>INDEX(CPAT_Results!$A:$AD,MATCH($H81&amp;"_"&amp;$C81,CPAT_Results!$F:$F,0),MATCH(AC$5,CPAT_Results!$1:$1,0))</f>
        <v>0</v>
      </c>
      <c r="AD81" s="146">
        <f>INDEX(CPAT_Results!$A:$AD,MATCH($H81&amp;"_"&amp;$C81,CPAT_Results!$F:$F,0),MATCH(AD$5,CPAT_Results!$1:$1,0))</f>
        <v>0</v>
      </c>
      <c r="AE81" s="146">
        <f>INDEX(CPAT_Results!$A:$AD,MATCH($H81&amp;"_"&amp;$C81,CPAT_Results!$F:$F,0),MATCH(AE$5,CPAT_Results!$1:$1,0))</f>
        <v>0</v>
      </c>
    </row>
    <row r="82" spans="2:31" x14ac:dyDescent="0.2">
      <c r="B82" s="112" t="s">
        <v>3374</v>
      </c>
      <c r="C82" s="112" t="s">
        <v>3256</v>
      </c>
      <c r="D82" s="112" t="s">
        <v>3375</v>
      </c>
      <c r="E82" s="112" t="s">
        <v>1852</v>
      </c>
      <c r="F82" s="112" t="s">
        <v>11679</v>
      </c>
      <c r="H82" s="116" t="s">
        <v>3376</v>
      </c>
      <c r="L82" s="146">
        <f>INDEX(CPAT_Results!$A:$AD,MATCH($H82&amp;"_"&amp;$C82,CPAT_Results!$F:$F,0),MATCH(L$5,CPAT_Results!$1:$1,0))</f>
        <v>52.2</v>
      </c>
      <c r="M82" s="146">
        <f>INDEX(CPAT_Results!$A:$AD,MATCH($H82&amp;"_"&amp;$C82,CPAT_Results!$F:$F,0),MATCH(M$5,CPAT_Results!$1:$1,0))</f>
        <v>56.902999999999999</v>
      </c>
      <c r="N82" s="146">
        <f>INDEX(CPAT_Results!$A:$AD,MATCH($H82&amp;"_"&amp;$C82,CPAT_Results!$F:$F,0),MATCH(N$5,CPAT_Results!$1:$1,0))</f>
        <v>67.058999999999997</v>
      </c>
      <c r="O82" s="146">
        <f>INDEX(CPAT_Results!$A:$AD,MATCH($H82&amp;"_"&amp;$C82,CPAT_Results!$F:$F,0),MATCH(O$5,CPAT_Results!$1:$1,0))</f>
        <v>72.5</v>
      </c>
      <c r="P82" s="146">
        <f>INDEX(CPAT_Results!$A:$AD,MATCH($H82&amp;"_"&amp;$C82,CPAT_Results!$F:$F,0),MATCH(P$5,CPAT_Results!$1:$1,0))</f>
        <v>74.569000000000003</v>
      </c>
      <c r="Q82" s="146">
        <f>INDEX(CPAT_Results!$A:$AD,MATCH($H82&amp;"_"&amp;$C82,CPAT_Results!$F:$F,0),MATCH(Q$5,CPAT_Results!$1:$1,0))</f>
        <v>76.989999999999995</v>
      </c>
      <c r="R82" s="146">
        <f>INDEX(CPAT_Results!$A:$AD,MATCH($H82&amp;"_"&amp;$C82,CPAT_Results!$F:$F,0),MATCH(R$5,CPAT_Results!$1:$1,0))</f>
        <v>79.929000000000002</v>
      </c>
      <c r="S82" s="146">
        <f>INDEX(CPAT_Results!$A:$AD,MATCH($H82&amp;"_"&amp;$C82,CPAT_Results!$F:$F,0),MATCH(S$5,CPAT_Results!$1:$1,0))</f>
        <v>82.77</v>
      </c>
      <c r="T82" s="146">
        <f>INDEX(CPAT_Results!$A:$AD,MATCH($H82&amp;"_"&amp;$C82,CPAT_Results!$F:$F,0),MATCH(T$5,CPAT_Results!$1:$1,0))</f>
        <v>85.453999999999994</v>
      </c>
      <c r="U82" s="146">
        <f>INDEX(CPAT_Results!$A:$AD,MATCH($H82&amp;"_"&amp;$C82,CPAT_Results!$F:$F,0),MATCH(U$5,CPAT_Results!$1:$1,0))</f>
        <v>88.177000000000007</v>
      </c>
      <c r="V82" s="146">
        <f>INDEX(CPAT_Results!$A:$AD,MATCH($H82&amp;"_"&amp;$C82,CPAT_Results!$F:$F,0),MATCH(V$5,CPAT_Results!$1:$1,0))</f>
        <v>90.929000000000002</v>
      </c>
      <c r="W82" s="146">
        <f>INDEX(CPAT_Results!$A:$AD,MATCH($H82&amp;"_"&amp;$C82,CPAT_Results!$F:$F,0),MATCH(W$5,CPAT_Results!$1:$1,0))</f>
        <v>93.73</v>
      </c>
      <c r="X82" s="146">
        <f>INDEX(CPAT_Results!$A:$AD,MATCH($H82&amp;"_"&amp;$C82,CPAT_Results!$F:$F,0),MATCH(X$5,CPAT_Results!$1:$1,0))</f>
        <v>96.58</v>
      </c>
      <c r="Y82" s="146">
        <f>INDEX(CPAT_Results!$A:$AD,MATCH($H82&amp;"_"&amp;$C82,CPAT_Results!$F:$F,0),MATCH(Y$5,CPAT_Results!$1:$1,0))</f>
        <v>99.477999999999994</v>
      </c>
      <c r="Z82" s="146">
        <f>INDEX(CPAT_Results!$A:$AD,MATCH($H82&amp;"_"&amp;$C82,CPAT_Results!$F:$F,0),MATCH(Z$5,CPAT_Results!$1:$1,0))</f>
        <v>102.42400000000001</v>
      </c>
      <c r="AA82" s="146">
        <f>INDEX(CPAT_Results!$A:$AD,MATCH($H82&amp;"_"&amp;$C82,CPAT_Results!$F:$F,0),MATCH(AA$5,CPAT_Results!$1:$1,0))</f>
        <v>105.41800000000001</v>
      </c>
      <c r="AB82" s="146">
        <f>INDEX(CPAT_Results!$A:$AD,MATCH($H82&amp;"_"&amp;$C82,CPAT_Results!$F:$F,0),MATCH(AB$5,CPAT_Results!$1:$1,0))</f>
        <v>108.459</v>
      </c>
      <c r="AC82" s="146">
        <f>INDEX(CPAT_Results!$A:$AD,MATCH($H82&amp;"_"&amp;$C82,CPAT_Results!$F:$F,0),MATCH(AC$5,CPAT_Results!$1:$1,0))</f>
        <v>111.547</v>
      </c>
      <c r="AD82" s="146">
        <f>INDEX(CPAT_Results!$A:$AD,MATCH($H82&amp;"_"&amp;$C82,CPAT_Results!$F:$F,0),MATCH(AD$5,CPAT_Results!$1:$1,0))</f>
        <v>114.681</v>
      </c>
      <c r="AE82" s="146">
        <f>INDEX(CPAT_Results!$A:$AD,MATCH($H82&amp;"_"&amp;$C82,CPAT_Results!$F:$F,0),MATCH(AE$5,CPAT_Results!$1:$1,0))</f>
        <v>117.86</v>
      </c>
    </row>
    <row r="83" spans="2:31" x14ac:dyDescent="0.2">
      <c r="B83" s="112" t="s">
        <v>3377</v>
      </c>
      <c r="C83" s="112" t="s">
        <v>3261</v>
      </c>
      <c r="D83" s="112" t="s">
        <v>3375</v>
      </c>
      <c r="E83" s="112" t="s">
        <v>1852</v>
      </c>
      <c r="F83" s="112" t="s">
        <v>11680</v>
      </c>
      <c r="H83" s="116" t="s">
        <v>3376</v>
      </c>
      <c r="L83" s="146">
        <f>INDEX(CPAT_Results!$A:$AD,MATCH($H83&amp;"_"&amp;$C83,CPAT_Results!$F:$F,0),MATCH(L$5,CPAT_Results!$1:$1,0))</f>
        <v>52.2</v>
      </c>
      <c r="M83" s="146">
        <f>INDEX(CPAT_Results!$A:$AD,MATCH($H83&amp;"_"&amp;$C83,CPAT_Results!$F:$F,0),MATCH(M$5,CPAT_Results!$1:$1,0))</f>
        <v>56.902999999999999</v>
      </c>
      <c r="N83" s="146">
        <f>INDEX(CPAT_Results!$A:$AD,MATCH($H83&amp;"_"&amp;$C83,CPAT_Results!$F:$F,0),MATCH(N$5,CPAT_Results!$1:$1,0))</f>
        <v>67.058999999999997</v>
      </c>
      <c r="O83" s="146">
        <f>INDEX(CPAT_Results!$A:$AD,MATCH($H83&amp;"_"&amp;$C83,CPAT_Results!$F:$F,0),MATCH(O$5,CPAT_Results!$1:$1,0))</f>
        <v>72.5</v>
      </c>
      <c r="P83" s="146">
        <f>INDEX(CPAT_Results!$A:$AD,MATCH($H83&amp;"_"&amp;$C83,CPAT_Results!$F:$F,0),MATCH(P$5,CPAT_Results!$1:$1,0))</f>
        <v>74.569000000000003</v>
      </c>
      <c r="Q83" s="146">
        <f>INDEX(CPAT_Results!$A:$AD,MATCH($H83&amp;"_"&amp;$C83,CPAT_Results!$F:$F,0),MATCH(Q$5,CPAT_Results!$1:$1,0))</f>
        <v>76.989999999999995</v>
      </c>
      <c r="R83" s="146">
        <f>INDEX(CPAT_Results!$A:$AD,MATCH($H83&amp;"_"&amp;$C83,CPAT_Results!$F:$F,0),MATCH(R$5,CPAT_Results!$1:$1,0))</f>
        <v>79.929000000000002</v>
      </c>
      <c r="S83" s="146">
        <f>INDEX(CPAT_Results!$A:$AD,MATCH($H83&amp;"_"&amp;$C83,CPAT_Results!$F:$F,0),MATCH(S$5,CPAT_Results!$1:$1,0))</f>
        <v>82.77</v>
      </c>
      <c r="T83" s="146">
        <f>INDEX(CPAT_Results!$A:$AD,MATCH($H83&amp;"_"&amp;$C83,CPAT_Results!$F:$F,0),MATCH(T$5,CPAT_Results!$1:$1,0))</f>
        <v>85.453999999999994</v>
      </c>
      <c r="U83" s="146">
        <f>INDEX(CPAT_Results!$A:$AD,MATCH($H83&amp;"_"&amp;$C83,CPAT_Results!$F:$F,0),MATCH(U$5,CPAT_Results!$1:$1,0))</f>
        <v>88.177000000000007</v>
      </c>
      <c r="V83" s="146">
        <f>INDEX(CPAT_Results!$A:$AD,MATCH($H83&amp;"_"&amp;$C83,CPAT_Results!$F:$F,0),MATCH(V$5,CPAT_Results!$1:$1,0))</f>
        <v>90.929000000000002</v>
      </c>
      <c r="W83" s="146">
        <f>INDEX(CPAT_Results!$A:$AD,MATCH($H83&amp;"_"&amp;$C83,CPAT_Results!$F:$F,0),MATCH(W$5,CPAT_Results!$1:$1,0))</f>
        <v>93.73</v>
      </c>
      <c r="X83" s="146">
        <f>INDEX(CPAT_Results!$A:$AD,MATCH($H83&amp;"_"&amp;$C83,CPAT_Results!$F:$F,0),MATCH(X$5,CPAT_Results!$1:$1,0))</f>
        <v>96.58</v>
      </c>
      <c r="Y83" s="146">
        <f>INDEX(CPAT_Results!$A:$AD,MATCH($H83&amp;"_"&amp;$C83,CPAT_Results!$F:$F,0),MATCH(Y$5,CPAT_Results!$1:$1,0))</f>
        <v>99.477999999999994</v>
      </c>
      <c r="Z83" s="146">
        <f>INDEX(CPAT_Results!$A:$AD,MATCH($H83&amp;"_"&amp;$C83,CPAT_Results!$F:$F,0),MATCH(Z$5,CPAT_Results!$1:$1,0))</f>
        <v>102.42400000000001</v>
      </c>
      <c r="AA83" s="146">
        <f>INDEX(CPAT_Results!$A:$AD,MATCH($H83&amp;"_"&amp;$C83,CPAT_Results!$F:$F,0),MATCH(AA$5,CPAT_Results!$1:$1,0))</f>
        <v>105.41800000000001</v>
      </c>
      <c r="AB83" s="146">
        <f>INDEX(CPAT_Results!$A:$AD,MATCH($H83&amp;"_"&amp;$C83,CPAT_Results!$F:$F,0),MATCH(AB$5,CPAT_Results!$1:$1,0))</f>
        <v>108.459</v>
      </c>
      <c r="AC83" s="146">
        <f>INDEX(CPAT_Results!$A:$AD,MATCH($H83&amp;"_"&amp;$C83,CPAT_Results!$F:$F,0),MATCH(AC$5,CPAT_Results!$1:$1,0))</f>
        <v>111.547</v>
      </c>
      <c r="AD83" s="146">
        <f>INDEX(CPAT_Results!$A:$AD,MATCH($H83&amp;"_"&amp;$C83,CPAT_Results!$F:$F,0),MATCH(AD$5,CPAT_Results!$1:$1,0))</f>
        <v>114.681</v>
      </c>
      <c r="AE83" s="146">
        <f>INDEX(CPAT_Results!$A:$AD,MATCH($H83&amp;"_"&amp;$C83,CPAT_Results!$F:$F,0),MATCH(AE$5,CPAT_Results!$1:$1,0))</f>
        <v>117.86</v>
      </c>
    </row>
    <row r="84" spans="2:31" x14ac:dyDescent="0.2">
      <c r="B84" s="112" t="s">
        <v>3378</v>
      </c>
      <c r="C84" s="112" t="s">
        <v>3263</v>
      </c>
      <c r="D84" s="112" t="s">
        <v>3375</v>
      </c>
      <c r="E84" s="112" t="s">
        <v>1852</v>
      </c>
      <c r="F84" s="112" t="s">
        <v>11681</v>
      </c>
      <c r="H84" s="116" t="s">
        <v>3376</v>
      </c>
      <c r="L84" s="146">
        <f>INDEX(CPAT_Results!$A:$AD,MATCH($H84&amp;"_"&amp;$C84,CPAT_Results!$F:$F,0),MATCH(L$5,CPAT_Results!$1:$1,0))</f>
        <v>52.2</v>
      </c>
      <c r="M84" s="146">
        <f>INDEX(CPAT_Results!$A:$AD,MATCH($H84&amp;"_"&amp;$C84,CPAT_Results!$F:$F,0),MATCH(M$5,CPAT_Results!$1:$1,0))</f>
        <v>56.902999999999999</v>
      </c>
      <c r="N84" s="146">
        <f>INDEX(CPAT_Results!$A:$AD,MATCH($H84&amp;"_"&amp;$C84,CPAT_Results!$F:$F,0),MATCH(N$5,CPAT_Results!$1:$1,0))</f>
        <v>67.058999999999997</v>
      </c>
      <c r="O84" s="146">
        <f>INDEX(CPAT_Results!$A:$AD,MATCH($H84&amp;"_"&amp;$C84,CPAT_Results!$F:$F,0),MATCH(O$5,CPAT_Results!$1:$1,0))</f>
        <v>72.5</v>
      </c>
      <c r="P84" s="146">
        <f>INDEX(CPAT_Results!$A:$AD,MATCH($H84&amp;"_"&amp;$C84,CPAT_Results!$F:$F,0),MATCH(P$5,CPAT_Results!$1:$1,0))</f>
        <v>74.569000000000003</v>
      </c>
      <c r="Q84" s="146">
        <f>INDEX(CPAT_Results!$A:$AD,MATCH($H84&amp;"_"&amp;$C84,CPAT_Results!$F:$F,0),MATCH(Q$5,CPAT_Results!$1:$1,0))</f>
        <v>76.989999999999995</v>
      </c>
      <c r="R84" s="146">
        <f>INDEX(CPAT_Results!$A:$AD,MATCH($H84&amp;"_"&amp;$C84,CPAT_Results!$F:$F,0),MATCH(R$5,CPAT_Results!$1:$1,0))</f>
        <v>79.929000000000002</v>
      </c>
      <c r="S84" s="146">
        <f>INDEX(CPAT_Results!$A:$AD,MATCH($H84&amp;"_"&amp;$C84,CPAT_Results!$F:$F,0),MATCH(S$5,CPAT_Results!$1:$1,0))</f>
        <v>82.77</v>
      </c>
      <c r="T84" s="146">
        <f>INDEX(CPAT_Results!$A:$AD,MATCH($H84&amp;"_"&amp;$C84,CPAT_Results!$F:$F,0),MATCH(T$5,CPAT_Results!$1:$1,0))</f>
        <v>85.453999999999994</v>
      </c>
      <c r="U84" s="146">
        <f>INDEX(CPAT_Results!$A:$AD,MATCH($H84&amp;"_"&amp;$C84,CPAT_Results!$F:$F,0),MATCH(U$5,CPAT_Results!$1:$1,0))</f>
        <v>88.177000000000007</v>
      </c>
      <c r="V84" s="146">
        <f>INDEX(CPAT_Results!$A:$AD,MATCH($H84&amp;"_"&amp;$C84,CPAT_Results!$F:$F,0),MATCH(V$5,CPAT_Results!$1:$1,0))</f>
        <v>90.929000000000002</v>
      </c>
      <c r="W84" s="146">
        <f>INDEX(CPAT_Results!$A:$AD,MATCH($H84&amp;"_"&amp;$C84,CPAT_Results!$F:$F,0),MATCH(W$5,CPAT_Results!$1:$1,0))</f>
        <v>93.73</v>
      </c>
      <c r="X84" s="146">
        <f>INDEX(CPAT_Results!$A:$AD,MATCH($H84&amp;"_"&amp;$C84,CPAT_Results!$F:$F,0),MATCH(X$5,CPAT_Results!$1:$1,0))</f>
        <v>96.58</v>
      </c>
      <c r="Y84" s="146">
        <f>INDEX(CPAT_Results!$A:$AD,MATCH($H84&amp;"_"&amp;$C84,CPAT_Results!$F:$F,0),MATCH(Y$5,CPAT_Results!$1:$1,0))</f>
        <v>99.477999999999994</v>
      </c>
      <c r="Z84" s="146">
        <f>INDEX(CPAT_Results!$A:$AD,MATCH($H84&amp;"_"&amp;$C84,CPAT_Results!$F:$F,0),MATCH(Z$5,CPAT_Results!$1:$1,0))</f>
        <v>102.42400000000001</v>
      </c>
      <c r="AA84" s="146">
        <f>INDEX(CPAT_Results!$A:$AD,MATCH($H84&amp;"_"&amp;$C84,CPAT_Results!$F:$F,0),MATCH(AA$5,CPAT_Results!$1:$1,0))</f>
        <v>105.41800000000001</v>
      </c>
      <c r="AB84" s="146">
        <f>INDEX(CPAT_Results!$A:$AD,MATCH($H84&amp;"_"&amp;$C84,CPAT_Results!$F:$F,0),MATCH(AB$5,CPAT_Results!$1:$1,0))</f>
        <v>108.459</v>
      </c>
      <c r="AC84" s="146">
        <f>INDEX(CPAT_Results!$A:$AD,MATCH($H84&amp;"_"&amp;$C84,CPAT_Results!$F:$F,0),MATCH(AC$5,CPAT_Results!$1:$1,0))</f>
        <v>111.547</v>
      </c>
      <c r="AD84" s="146">
        <f>INDEX(CPAT_Results!$A:$AD,MATCH($H84&amp;"_"&amp;$C84,CPAT_Results!$F:$F,0),MATCH(AD$5,CPAT_Results!$1:$1,0))</f>
        <v>114.681</v>
      </c>
      <c r="AE84" s="146">
        <f>INDEX(CPAT_Results!$A:$AD,MATCH($H84&amp;"_"&amp;$C84,CPAT_Results!$F:$F,0),MATCH(AE$5,CPAT_Results!$1:$1,0))</f>
        <v>117.86</v>
      </c>
    </row>
    <row r="85" spans="2:31" x14ac:dyDescent="0.2">
      <c r="B85" s="112" t="s">
        <v>3379</v>
      </c>
      <c r="C85" s="112" t="s">
        <v>3265</v>
      </c>
      <c r="D85" s="112" t="s">
        <v>3375</v>
      </c>
      <c r="E85" s="112" t="s">
        <v>1852</v>
      </c>
      <c r="F85" s="112" t="s">
        <v>11682</v>
      </c>
      <c r="H85" s="116" t="s">
        <v>3376</v>
      </c>
      <c r="L85" s="146">
        <f>INDEX(CPAT_Results!$A:$AD,MATCH($H85&amp;"_"&amp;$C85,CPAT_Results!$F:$F,0),MATCH(L$5,CPAT_Results!$1:$1,0))</f>
        <v>52.2</v>
      </c>
      <c r="M85" s="146">
        <f>INDEX(CPAT_Results!$A:$AD,MATCH($H85&amp;"_"&amp;$C85,CPAT_Results!$F:$F,0),MATCH(M$5,CPAT_Results!$1:$1,0))</f>
        <v>56.902999999999999</v>
      </c>
      <c r="N85" s="146">
        <f>INDEX(CPAT_Results!$A:$AD,MATCH($H85&amp;"_"&amp;$C85,CPAT_Results!$F:$F,0),MATCH(N$5,CPAT_Results!$1:$1,0))</f>
        <v>67.058999999999997</v>
      </c>
      <c r="O85" s="146">
        <f>INDEX(CPAT_Results!$A:$AD,MATCH($H85&amp;"_"&amp;$C85,CPAT_Results!$F:$F,0),MATCH(O$5,CPAT_Results!$1:$1,0))</f>
        <v>72.5</v>
      </c>
      <c r="P85" s="146">
        <f>INDEX(CPAT_Results!$A:$AD,MATCH($H85&amp;"_"&amp;$C85,CPAT_Results!$F:$F,0),MATCH(P$5,CPAT_Results!$1:$1,0))</f>
        <v>74.569000000000003</v>
      </c>
      <c r="Q85" s="146">
        <f>INDEX(CPAT_Results!$A:$AD,MATCH($H85&amp;"_"&amp;$C85,CPAT_Results!$F:$F,0),MATCH(Q$5,CPAT_Results!$1:$1,0))</f>
        <v>76.989999999999995</v>
      </c>
      <c r="R85" s="146">
        <f>INDEX(CPAT_Results!$A:$AD,MATCH($H85&amp;"_"&amp;$C85,CPAT_Results!$F:$F,0),MATCH(R$5,CPAT_Results!$1:$1,0))</f>
        <v>79.929000000000002</v>
      </c>
      <c r="S85" s="146">
        <f>INDEX(CPAT_Results!$A:$AD,MATCH($H85&amp;"_"&amp;$C85,CPAT_Results!$F:$F,0),MATCH(S$5,CPAT_Results!$1:$1,0))</f>
        <v>82.77</v>
      </c>
      <c r="T85" s="146">
        <f>INDEX(CPAT_Results!$A:$AD,MATCH($H85&amp;"_"&amp;$C85,CPAT_Results!$F:$F,0),MATCH(T$5,CPAT_Results!$1:$1,0))</f>
        <v>85.453999999999994</v>
      </c>
      <c r="U85" s="146">
        <f>INDEX(CPAT_Results!$A:$AD,MATCH($H85&amp;"_"&amp;$C85,CPAT_Results!$F:$F,0),MATCH(U$5,CPAT_Results!$1:$1,0))</f>
        <v>88.177000000000007</v>
      </c>
      <c r="V85" s="146">
        <f>INDEX(CPAT_Results!$A:$AD,MATCH($H85&amp;"_"&amp;$C85,CPAT_Results!$F:$F,0),MATCH(V$5,CPAT_Results!$1:$1,0))</f>
        <v>90.929000000000002</v>
      </c>
      <c r="W85" s="146">
        <f>INDEX(CPAT_Results!$A:$AD,MATCH($H85&amp;"_"&amp;$C85,CPAT_Results!$F:$F,0),MATCH(W$5,CPAT_Results!$1:$1,0))</f>
        <v>93.73</v>
      </c>
      <c r="X85" s="146">
        <f>INDEX(CPAT_Results!$A:$AD,MATCH($H85&amp;"_"&amp;$C85,CPAT_Results!$F:$F,0),MATCH(X$5,CPAT_Results!$1:$1,0))</f>
        <v>96.58</v>
      </c>
      <c r="Y85" s="146">
        <f>INDEX(CPAT_Results!$A:$AD,MATCH($H85&amp;"_"&amp;$C85,CPAT_Results!$F:$F,0),MATCH(Y$5,CPAT_Results!$1:$1,0))</f>
        <v>99.477999999999994</v>
      </c>
      <c r="Z85" s="146">
        <f>INDEX(CPAT_Results!$A:$AD,MATCH($H85&amp;"_"&amp;$C85,CPAT_Results!$F:$F,0),MATCH(Z$5,CPAT_Results!$1:$1,0))</f>
        <v>102.42400000000001</v>
      </c>
      <c r="AA85" s="146">
        <f>INDEX(CPAT_Results!$A:$AD,MATCH($H85&amp;"_"&amp;$C85,CPAT_Results!$F:$F,0),MATCH(AA$5,CPAT_Results!$1:$1,0))</f>
        <v>105.41800000000001</v>
      </c>
      <c r="AB85" s="146">
        <f>INDEX(CPAT_Results!$A:$AD,MATCH($H85&amp;"_"&amp;$C85,CPAT_Results!$F:$F,0),MATCH(AB$5,CPAT_Results!$1:$1,0))</f>
        <v>108.459</v>
      </c>
      <c r="AC85" s="146">
        <f>INDEX(CPAT_Results!$A:$AD,MATCH($H85&amp;"_"&amp;$C85,CPAT_Results!$F:$F,0),MATCH(AC$5,CPAT_Results!$1:$1,0))</f>
        <v>111.547</v>
      </c>
      <c r="AD85" s="146">
        <f>INDEX(CPAT_Results!$A:$AD,MATCH($H85&amp;"_"&amp;$C85,CPAT_Results!$F:$F,0),MATCH(AD$5,CPAT_Results!$1:$1,0))</f>
        <v>114.681</v>
      </c>
      <c r="AE85" s="146">
        <f>INDEX(CPAT_Results!$A:$AD,MATCH($H85&amp;"_"&amp;$C85,CPAT_Results!$F:$F,0),MATCH(AE$5,CPAT_Results!$1:$1,0))</f>
        <v>117.86</v>
      </c>
    </row>
    <row r="86" spans="2:31" x14ac:dyDescent="0.2">
      <c r="B86" s="112" t="s">
        <v>3380</v>
      </c>
      <c r="C86" s="112" t="s">
        <v>3256</v>
      </c>
      <c r="D86" s="112" t="s">
        <v>3381</v>
      </c>
      <c r="E86" s="112" t="s">
        <v>1852</v>
      </c>
      <c r="F86" s="112" t="s">
        <v>11679</v>
      </c>
      <c r="H86" s="116" t="s">
        <v>3382</v>
      </c>
      <c r="L86" s="146">
        <f>INDEX(CPAT_Results!$A:$AD,MATCH($H86&amp;"_"&amp;$C86,CPAT_Results!$F:$F,0),MATCH(L$5,CPAT_Results!$1:$1,0))</f>
        <v>52.2</v>
      </c>
      <c r="M86" s="146">
        <f>INDEX(CPAT_Results!$A:$AD,MATCH($H86&amp;"_"&amp;$C86,CPAT_Results!$F:$F,0),MATCH(M$5,CPAT_Results!$1:$1,0))</f>
        <v>56.902999999999999</v>
      </c>
      <c r="N86" s="146">
        <f>INDEX(CPAT_Results!$A:$AD,MATCH($H86&amp;"_"&amp;$C86,CPAT_Results!$F:$F,0),MATCH(N$5,CPAT_Results!$1:$1,0))</f>
        <v>67.058999999999997</v>
      </c>
      <c r="O86" s="146">
        <f>INDEX(CPAT_Results!$A:$AD,MATCH($H86&amp;"_"&amp;$C86,CPAT_Results!$F:$F,0),MATCH(O$5,CPAT_Results!$1:$1,0))</f>
        <v>72.5</v>
      </c>
      <c r="P86" s="146">
        <f>INDEX(CPAT_Results!$A:$AD,MATCH($H86&amp;"_"&amp;$C86,CPAT_Results!$F:$F,0),MATCH(P$5,CPAT_Results!$1:$1,0))</f>
        <v>61.573</v>
      </c>
      <c r="Q86" s="146">
        <f>INDEX(CPAT_Results!$A:$AD,MATCH($H86&amp;"_"&amp;$C86,CPAT_Results!$F:$F,0),MATCH(Q$5,CPAT_Results!$1:$1,0))</f>
        <v>65.546999999999997</v>
      </c>
      <c r="R86" s="146">
        <f>INDEX(CPAT_Results!$A:$AD,MATCH($H86&amp;"_"&amp;$C86,CPAT_Results!$F:$F,0),MATCH(R$5,CPAT_Results!$1:$1,0))</f>
        <v>68.769000000000005</v>
      </c>
      <c r="S86" s="146">
        <f>INDEX(CPAT_Results!$A:$AD,MATCH($H86&amp;"_"&amp;$C86,CPAT_Results!$F:$F,0),MATCH(S$5,CPAT_Results!$1:$1,0))</f>
        <v>71.64</v>
      </c>
      <c r="T86" s="146">
        <f>INDEX(CPAT_Results!$A:$AD,MATCH($H86&amp;"_"&amp;$C86,CPAT_Results!$F:$F,0),MATCH(T$5,CPAT_Results!$1:$1,0))</f>
        <v>74.034999999999997</v>
      </c>
      <c r="U86" s="146">
        <f>INDEX(CPAT_Results!$A:$AD,MATCH($H86&amp;"_"&amp;$C86,CPAT_Results!$F:$F,0),MATCH(U$5,CPAT_Results!$1:$1,0))</f>
        <v>76.39</v>
      </c>
      <c r="V86" s="146">
        <f>INDEX(CPAT_Results!$A:$AD,MATCH($H86&amp;"_"&amp;$C86,CPAT_Results!$F:$F,0),MATCH(V$5,CPAT_Results!$1:$1,0))</f>
        <v>78.837000000000003</v>
      </c>
      <c r="W86" s="146">
        <f>INDEX(CPAT_Results!$A:$AD,MATCH($H86&amp;"_"&amp;$C86,CPAT_Results!$F:$F,0),MATCH(W$5,CPAT_Results!$1:$1,0))</f>
        <v>81.378</v>
      </c>
      <c r="X86" s="146">
        <f>INDEX(CPAT_Results!$A:$AD,MATCH($H86&amp;"_"&amp;$C86,CPAT_Results!$F:$F,0),MATCH(X$5,CPAT_Results!$1:$1,0))</f>
        <v>84.03</v>
      </c>
      <c r="Y86" s="146">
        <f>INDEX(CPAT_Results!$A:$AD,MATCH($H86&amp;"_"&amp;$C86,CPAT_Results!$F:$F,0),MATCH(Y$5,CPAT_Results!$1:$1,0))</f>
        <v>86.834000000000003</v>
      </c>
      <c r="Z86" s="146">
        <f>INDEX(CPAT_Results!$A:$AD,MATCH($H86&amp;"_"&amp;$C86,CPAT_Results!$F:$F,0),MATCH(Z$5,CPAT_Results!$1:$1,0))</f>
        <v>89.763999999999996</v>
      </c>
      <c r="AA86" s="146">
        <f>INDEX(CPAT_Results!$A:$AD,MATCH($H86&amp;"_"&amp;$C86,CPAT_Results!$F:$F,0),MATCH(AA$5,CPAT_Results!$1:$1,0))</f>
        <v>92.813999999999993</v>
      </c>
      <c r="AB86" s="146">
        <f>INDEX(CPAT_Results!$A:$AD,MATCH($H86&amp;"_"&amp;$C86,CPAT_Results!$F:$F,0),MATCH(AB$5,CPAT_Results!$1:$1,0))</f>
        <v>95.95</v>
      </c>
      <c r="AC86" s="146">
        <f>INDEX(CPAT_Results!$A:$AD,MATCH($H86&amp;"_"&amp;$C86,CPAT_Results!$F:$F,0),MATCH(AC$5,CPAT_Results!$1:$1,0))</f>
        <v>99.168000000000006</v>
      </c>
      <c r="AD86" s="146">
        <f>INDEX(CPAT_Results!$A:$AD,MATCH($H86&amp;"_"&amp;$C86,CPAT_Results!$F:$F,0),MATCH(AD$5,CPAT_Results!$1:$1,0))</f>
        <v>102.476</v>
      </c>
      <c r="AE86" s="146">
        <f>INDEX(CPAT_Results!$A:$AD,MATCH($H86&amp;"_"&amp;$C86,CPAT_Results!$F:$F,0),MATCH(AE$5,CPAT_Results!$1:$1,0))</f>
        <v>105.873</v>
      </c>
    </row>
    <row r="87" spans="2:31" x14ac:dyDescent="0.2">
      <c r="B87" s="112" t="s">
        <v>3383</v>
      </c>
      <c r="C87" s="112" t="s">
        <v>3261</v>
      </c>
      <c r="D87" s="112" t="s">
        <v>3381</v>
      </c>
      <c r="E87" s="112" t="s">
        <v>1852</v>
      </c>
      <c r="F87" s="112" t="s">
        <v>11680</v>
      </c>
      <c r="H87" s="116" t="s">
        <v>3382</v>
      </c>
      <c r="L87" s="146">
        <f>INDEX(CPAT_Results!$A:$AD,MATCH($H87&amp;"_"&amp;$C87,CPAT_Results!$F:$F,0),MATCH(L$5,CPAT_Results!$1:$1,0))</f>
        <v>52.2</v>
      </c>
      <c r="M87" s="146">
        <f>INDEX(CPAT_Results!$A:$AD,MATCH($H87&amp;"_"&amp;$C87,CPAT_Results!$F:$F,0),MATCH(M$5,CPAT_Results!$1:$1,0))</f>
        <v>56.902999999999999</v>
      </c>
      <c r="N87" s="146">
        <f>INDEX(CPAT_Results!$A:$AD,MATCH($H87&amp;"_"&amp;$C87,CPAT_Results!$F:$F,0),MATCH(N$5,CPAT_Results!$1:$1,0))</f>
        <v>67.058999999999997</v>
      </c>
      <c r="O87" s="146">
        <f>INDEX(CPAT_Results!$A:$AD,MATCH($H87&amp;"_"&amp;$C87,CPAT_Results!$F:$F,0),MATCH(O$5,CPAT_Results!$1:$1,0))</f>
        <v>72.5</v>
      </c>
      <c r="P87" s="146">
        <f>INDEX(CPAT_Results!$A:$AD,MATCH($H87&amp;"_"&amp;$C87,CPAT_Results!$F:$F,0),MATCH(P$5,CPAT_Results!$1:$1,0))</f>
        <v>74.569000000000003</v>
      </c>
      <c r="Q87" s="146">
        <f>INDEX(CPAT_Results!$A:$AD,MATCH($H87&amp;"_"&amp;$C87,CPAT_Results!$F:$F,0),MATCH(Q$5,CPAT_Results!$1:$1,0))</f>
        <v>76.989999999999995</v>
      </c>
      <c r="R87" s="146">
        <f>INDEX(CPAT_Results!$A:$AD,MATCH($H87&amp;"_"&amp;$C87,CPAT_Results!$F:$F,0),MATCH(R$5,CPAT_Results!$1:$1,0))</f>
        <v>79.929000000000002</v>
      </c>
      <c r="S87" s="146">
        <f>INDEX(CPAT_Results!$A:$AD,MATCH($H87&amp;"_"&amp;$C87,CPAT_Results!$F:$F,0),MATCH(S$5,CPAT_Results!$1:$1,0))</f>
        <v>82.775999999999996</v>
      </c>
      <c r="T87" s="146">
        <f>INDEX(CPAT_Results!$A:$AD,MATCH($H87&amp;"_"&amp;$C87,CPAT_Results!$F:$F,0),MATCH(T$5,CPAT_Results!$1:$1,0))</f>
        <v>85.460999999999999</v>
      </c>
      <c r="U87" s="146">
        <f>INDEX(CPAT_Results!$A:$AD,MATCH($H87&amp;"_"&amp;$C87,CPAT_Results!$F:$F,0),MATCH(U$5,CPAT_Results!$1:$1,0))</f>
        <v>88.174000000000007</v>
      </c>
      <c r="V87" s="146">
        <f>INDEX(CPAT_Results!$A:$AD,MATCH($H87&amp;"_"&amp;$C87,CPAT_Results!$F:$F,0),MATCH(V$5,CPAT_Results!$1:$1,0))</f>
        <v>90.905000000000001</v>
      </c>
      <c r="W87" s="146">
        <f>INDEX(CPAT_Results!$A:$AD,MATCH($H87&amp;"_"&amp;$C87,CPAT_Results!$F:$F,0),MATCH(W$5,CPAT_Results!$1:$1,0))</f>
        <v>93.676000000000002</v>
      </c>
      <c r="X87" s="146">
        <f>INDEX(CPAT_Results!$A:$AD,MATCH($H87&amp;"_"&amp;$C87,CPAT_Results!$F:$F,0),MATCH(X$5,CPAT_Results!$1:$1,0))</f>
        <v>96.507999999999996</v>
      </c>
      <c r="Y87" s="146">
        <f>INDEX(CPAT_Results!$A:$AD,MATCH($H87&amp;"_"&amp;$C87,CPAT_Results!$F:$F,0),MATCH(Y$5,CPAT_Results!$1:$1,0))</f>
        <v>99.415999999999997</v>
      </c>
      <c r="Z87" s="146">
        <f>INDEX(CPAT_Results!$A:$AD,MATCH($H87&amp;"_"&amp;$C87,CPAT_Results!$F:$F,0),MATCH(Z$5,CPAT_Results!$1:$1,0))</f>
        <v>102.41800000000001</v>
      </c>
      <c r="AA87" s="146">
        <f>INDEX(CPAT_Results!$A:$AD,MATCH($H87&amp;"_"&amp;$C87,CPAT_Results!$F:$F,0),MATCH(AA$5,CPAT_Results!$1:$1,0))</f>
        <v>105.54</v>
      </c>
      <c r="AB87" s="146">
        <f>INDEX(CPAT_Results!$A:$AD,MATCH($H87&amp;"_"&amp;$C87,CPAT_Results!$F:$F,0),MATCH(AB$5,CPAT_Results!$1:$1,0))</f>
        <v>108.80500000000001</v>
      </c>
      <c r="AC87" s="146">
        <f>INDEX(CPAT_Results!$A:$AD,MATCH($H87&amp;"_"&amp;$C87,CPAT_Results!$F:$F,0),MATCH(AC$5,CPAT_Results!$1:$1,0))</f>
        <v>112.229</v>
      </c>
      <c r="AD87" s="146">
        <f>INDEX(CPAT_Results!$A:$AD,MATCH($H87&amp;"_"&amp;$C87,CPAT_Results!$F:$F,0),MATCH(AD$5,CPAT_Results!$1:$1,0))</f>
        <v>115.82</v>
      </c>
      <c r="AE87" s="146">
        <f>INDEX(CPAT_Results!$A:$AD,MATCH($H87&amp;"_"&amp;$C87,CPAT_Results!$F:$F,0),MATCH(AE$5,CPAT_Results!$1:$1,0))</f>
        <v>119.569</v>
      </c>
    </row>
    <row r="88" spans="2:31" x14ac:dyDescent="0.2">
      <c r="B88" s="112" t="s">
        <v>3384</v>
      </c>
      <c r="C88" s="112" t="s">
        <v>3263</v>
      </c>
      <c r="D88" s="112" t="s">
        <v>3381</v>
      </c>
      <c r="E88" s="112" t="s">
        <v>1852</v>
      </c>
      <c r="F88" s="112" t="s">
        <v>11681</v>
      </c>
      <c r="H88" s="116" t="s">
        <v>3382</v>
      </c>
      <c r="L88" s="146">
        <f>INDEX(CPAT_Results!$A:$AD,MATCH($H88&amp;"_"&amp;$C88,CPAT_Results!$F:$F,0),MATCH(L$5,CPAT_Results!$1:$1,0))</f>
        <v>52.2</v>
      </c>
      <c r="M88" s="146">
        <f>INDEX(CPAT_Results!$A:$AD,MATCH($H88&amp;"_"&amp;$C88,CPAT_Results!$F:$F,0),MATCH(M$5,CPAT_Results!$1:$1,0))</f>
        <v>56.902999999999999</v>
      </c>
      <c r="N88" s="146">
        <f>INDEX(CPAT_Results!$A:$AD,MATCH($H88&amp;"_"&amp;$C88,CPAT_Results!$F:$F,0),MATCH(N$5,CPAT_Results!$1:$1,0))</f>
        <v>67.058999999999997</v>
      </c>
      <c r="O88" s="146">
        <f>INDEX(CPAT_Results!$A:$AD,MATCH($H88&amp;"_"&amp;$C88,CPAT_Results!$F:$F,0),MATCH(O$5,CPAT_Results!$1:$1,0))</f>
        <v>72.5</v>
      </c>
      <c r="P88" s="146">
        <f>INDEX(CPAT_Results!$A:$AD,MATCH($H88&amp;"_"&amp;$C88,CPAT_Results!$F:$F,0),MATCH(P$5,CPAT_Results!$1:$1,0))</f>
        <v>69.346000000000004</v>
      </c>
      <c r="Q88" s="146">
        <f>INDEX(CPAT_Results!$A:$AD,MATCH($H88&amp;"_"&amp;$C88,CPAT_Results!$F:$F,0),MATCH(Q$5,CPAT_Results!$1:$1,0))</f>
        <v>71.870999999999995</v>
      </c>
      <c r="R88" s="146">
        <f>INDEX(CPAT_Results!$A:$AD,MATCH($H88&amp;"_"&amp;$C88,CPAT_Results!$F:$F,0),MATCH(R$5,CPAT_Results!$1:$1,0))</f>
        <v>73.316999999999993</v>
      </c>
      <c r="S88" s="146">
        <f>INDEX(CPAT_Results!$A:$AD,MATCH($H88&amp;"_"&amp;$C88,CPAT_Results!$F:$F,0),MATCH(S$5,CPAT_Results!$1:$1,0))</f>
        <v>74.043999999999997</v>
      </c>
      <c r="T88" s="146">
        <f>INDEX(CPAT_Results!$A:$AD,MATCH($H88&amp;"_"&amp;$C88,CPAT_Results!$F:$F,0),MATCH(T$5,CPAT_Results!$1:$1,0))</f>
        <v>74.596999999999994</v>
      </c>
      <c r="U88" s="146">
        <f>INDEX(CPAT_Results!$A:$AD,MATCH($H88&amp;"_"&amp;$C88,CPAT_Results!$F:$F,0),MATCH(U$5,CPAT_Results!$1:$1,0))</f>
        <v>75.245000000000005</v>
      </c>
      <c r="V88" s="146">
        <f>INDEX(CPAT_Results!$A:$AD,MATCH($H88&amp;"_"&amp;$C88,CPAT_Results!$F:$F,0),MATCH(V$5,CPAT_Results!$1:$1,0))</f>
        <v>75.64</v>
      </c>
      <c r="W88" s="146">
        <f>INDEX(CPAT_Results!$A:$AD,MATCH($H88&amp;"_"&amp;$C88,CPAT_Results!$F:$F,0),MATCH(W$5,CPAT_Results!$1:$1,0))</f>
        <v>76.146000000000001</v>
      </c>
      <c r="X88" s="146">
        <f>INDEX(CPAT_Results!$A:$AD,MATCH($H88&amp;"_"&amp;$C88,CPAT_Results!$F:$F,0),MATCH(X$5,CPAT_Results!$1:$1,0))</f>
        <v>76.75</v>
      </c>
      <c r="Y88" s="146">
        <f>INDEX(CPAT_Results!$A:$AD,MATCH($H88&amp;"_"&amp;$C88,CPAT_Results!$F:$F,0),MATCH(Y$5,CPAT_Results!$1:$1,0))</f>
        <v>77.447000000000003</v>
      </c>
      <c r="Z88" s="146">
        <f>INDEX(CPAT_Results!$A:$AD,MATCH($H88&amp;"_"&amp;$C88,CPAT_Results!$F:$F,0),MATCH(Z$5,CPAT_Results!$1:$1,0))</f>
        <v>78.224999999999994</v>
      </c>
      <c r="AA88" s="146">
        <f>INDEX(CPAT_Results!$A:$AD,MATCH($H88&amp;"_"&amp;$C88,CPAT_Results!$F:$F,0),MATCH(AA$5,CPAT_Results!$1:$1,0))</f>
        <v>79.078000000000003</v>
      </c>
      <c r="AB88" s="146">
        <f>INDEX(CPAT_Results!$A:$AD,MATCH($H88&amp;"_"&amp;$C88,CPAT_Results!$F:$F,0),MATCH(AB$5,CPAT_Results!$1:$1,0))</f>
        <v>79.998000000000005</v>
      </c>
      <c r="AC88" s="146">
        <f>INDEX(CPAT_Results!$A:$AD,MATCH($H88&amp;"_"&amp;$C88,CPAT_Results!$F:$F,0),MATCH(AC$5,CPAT_Results!$1:$1,0))</f>
        <v>80.980999999999995</v>
      </c>
      <c r="AD88" s="146">
        <f>INDEX(CPAT_Results!$A:$AD,MATCH($H88&amp;"_"&amp;$C88,CPAT_Results!$F:$F,0),MATCH(AD$5,CPAT_Results!$1:$1,0))</f>
        <v>82.025999999999996</v>
      </c>
      <c r="AE88" s="146">
        <f>INDEX(CPAT_Results!$A:$AD,MATCH($H88&amp;"_"&amp;$C88,CPAT_Results!$F:$F,0),MATCH(AE$5,CPAT_Results!$1:$1,0))</f>
        <v>83.128</v>
      </c>
    </row>
    <row r="89" spans="2:31" x14ac:dyDescent="0.2">
      <c r="B89" s="112" t="s">
        <v>3385</v>
      </c>
      <c r="C89" s="112" t="s">
        <v>3265</v>
      </c>
      <c r="D89" s="112" t="s">
        <v>3381</v>
      </c>
      <c r="E89" s="112" t="s">
        <v>1852</v>
      </c>
      <c r="F89" s="112" t="s">
        <v>11682</v>
      </c>
      <c r="H89" s="116" t="s">
        <v>3382</v>
      </c>
      <c r="L89" s="146">
        <f>INDEX(CPAT_Results!$A:$AD,MATCH($H89&amp;"_"&amp;$C89,CPAT_Results!$F:$F,0),MATCH(L$5,CPAT_Results!$1:$1,0))</f>
        <v>52.2</v>
      </c>
      <c r="M89" s="146">
        <f>INDEX(CPAT_Results!$A:$AD,MATCH($H89&amp;"_"&amp;$C89,CPAT_Results!$F:$F,0),MATCH(M$5,CPAT_Results!$1:$1,0))</f>
        <v>56.902999999999999</v>
      </c>
      <c r="N89" s="146">
        <f>INDEX(CPAT_Results!$A:$AD,MATCH($H89&amp;"_"&amp;$C89,CPAT_Results!$F:$F,0),MATCH(N$5,CPAT_Results!$1:$1,0))</f>
        <v>67.058999999999997</v>
      </c>
      <c r="O89" s="146">
        <f>INDEX(CPAT_Results!$A:$AD,MATCH($H89&amp;"_"&amp;$C89,CPAT_Results!$F:$F,0),MATCH(O$5,CPAT_Results!$1:$1,0))</f>
        <v>72.5</v>
      </c>
      <c r="P89" s="146">
        <f>INDEX(CPAT_Results!$A:$AD,MATCH($H89&amp;"_"&amp;$C89,CPAT_Results!$F:$F,0),MATCH(P$5,CPAT_Results!$1:$1,0))</f>
        <v>74.569000000000003</v>
      </c>
      <c r="Q89" s="146">
        <f>INDEX(CPAT_Results!$A:$AD,MATCH($H89&amp;"_"&amp;$C89,CPAT_Results!$F:$F,0),MATCH(Q$5,CPAT_Results!$1:$1,0))</f>
        <v>76.989999999999995</v>
      </c>
      <c r="R89" s="146">
        <f>INDEX(CPAT_Results!$A:$AD,MATCH($H89&amp;"_"&amp;$C89,CPAT_Results!$F:$F,0),MATCH(R$5,CPAT_Results!$1:$1,0))</f>
        <v>79.58</v>
      </c>
      <c r="S89" s="146">
        <f>INDEX(CPAT_Results!$A:$AD,MATCH($H89&amp;"_"&amp;$C89,CPAT_Results!$F:$F,0),MATCH(S$5,CPAT_Results!$1:$1,0))</f>
        <v>82.227999999999994</v>
      </c>
      <c r="T89" s="146">
        <f>INDEX(CPAT_Results!$A:$AD,MATCH($H89&amp;"_"&amp;$C89,CPAT_Results!$F:$F,0),MATCH(T$5,CPAT_Results!$1:$1,0))</f>
        <v>84.825000000000003</v>
      </c>
      <c r="U89" s="146">
        <f>INDEX(CPAT_Results!$A:$AD,MATCH($H89&amp;"_"&amp;$C89,CPAT_Results!$F:$F,0),MATCH(U$5,CPAT_Results!$1:$1,0))</f>
        <v>87.540999999999997</v>
      </c>
      <c r="V89" s="146">
        <f>INDEX(CPAT_Results!$A:$AD,MATCH($H89&amp;"_"&amp;$C89,CPAT_Results!$F:$F,0),MATCH(V$5,CPAT_Results!$1:$1,0))</f>
        <v>90.353999999999999</v>
      </c>
      <c r="W89" s="146">
        <f>INDEX(CPAT_Results!$A:$AD,MATCH($H89&amp;"_"&amp;$C89,CPAT_Results!$F:$F,0),MATCH(W$5,CPAT_Results!$1:$1,0))</f>
        <v>93.274000000000001</v>
      </c>
      <c r="X89" s="146">
        <f>INDEX(CPAT_Results!$A:$AD,MATCH($H89&amp;"_"&amp;$C89,CPAT_Results!$F:$F,0),MATCH(X$5,CPAT_Results!$1:$1,0))</f>
        <v>96.304000000000002</v>
      </c>
      <c r="Y89" s="146">
        <f>INDEX(CPAT_Results!$A:$AD,MATCH($H89&amp;"_"&amp;$C89,CPAT_Results!$F:$F,0),MATCH(Y$5,CPAT_Results!$1:$1,0))</f>
        <v>99.450999999999993</v>
      </c>
      <c r="Z89" s="146">
        <f>INDEX(CPAT_Results!$A:$AD,MATCH($H89&amp;"_"&amp;$C89,CPAT_Results!$F:$F,0),MATCH(Z$5,CPAT_Results!$1:$1,0))</f>
        <v>102.398</v>
      </c>
      <c r="AA89" s="146">
        <f>INDEX(CPAT_Results!$A:$AD,MATCH($H89&amp;"_"&amp;$C89,CPAT_Results!$F:$F,0),MATCH(AA$5,CPAT_Results!$1:$1,0))</f>
        <v>105.40600000000001</v>
      </c>
      <c r="AB89" s="146">
        <f>INDEX(CPAT_Results!$A:$AD,MATCH($H89&amp;"_"&amp;$C89,CPAT_Results!$F:$F,0),MATCH(AB$5,CPAT_Results!$1:$1,0))</f>
        <v>108.498</v>
      </c>
      <c r="AC89" s="146">
        <f>INDEX(CPAT_Results!$A:$AD,MATCH($H89&amp;"_"&amp;$C89,CPAT_Results!$F:$F,0),MATCH(AC$5,CPAT_Results!$1:$1,0))</f>
        <v>111.685</v>
      </c>
      <c r="AD89" s="146">
        <f>INDEX(CPAT_Results!$A:$AD,MATCH($H89&amp;"_"&amp;$C89,CPAT_Results!$F:$F,0),MATCH(AD$5,CPAT_Results!$1:$1,0))</f>
        <v>114.98399999999999</v>
      </c>
      <c r="AE89" s="146">
        <f>INDEX(CPAT_Results!$A:$AD,MATCH($H89&amp;"_"&amp;$C89,CPAT_Results!$F:$F,0),MATCH(AE$5,CPAT_Results!$1:$1,0))</f>
        <v>118.401</v>
      </c>
    </row>
    <row r="90" spans="2:31" x14ac:dyDescent="0.2">
      <c r="B90" s="112" t="s">
        <v>3386</v>
      </c>
      <c r="C90" s="112" t="s">
        <v>3256</v>
      </c>
      <c r="D90" s="112" t="s">
        <v>3387</v>
      </c>
      <c r="E90" s="112" t="s">
        <v>1852</v>
      </c>
      <c r="F90" s="112" t="s">
        <v>11679</v>
      </c>
      <c r="H90" s="116" t="s">
        <v>3388</v>
      </c>
      <c r="L90" s="146">
        <f>INDEX(CPAT_Results!$A:$AD,MATCH($H90&amp;"_"&amp;$C90,CPAT_Results!$F:$F,0),MATCH(L$5,CPAT_Results!$1:$1,0))</f>
        <v>400.91199999999998</v>
      </c>
      <c r="M90" s="146">
        <f>INDEX(CPAT_Results!$A:$AD,MATCH($H90&amp;"_"&amp;$C90,CPAT_Results!$F:$F,0),MATCH(M$5,CPAT_Results!$1:$1,0))</f>
        <v>412.10500000000002</v>
      </c>
      <c r="N90" s="146">
        <f>INDEX(CPAT_Results!$A:$AD,MATCH($H90&amp;"_"&amp;$C90,CPAT_Results!$F:$F,0),MATCH(N$5,CPAT_Results!$1:$1,0))</f>
        <v>450.92399999999998</v>
      </c>
      <c r="O90" s="146">
        <f>INDEX(CPAT_Results!$A:$AD,MATCH($H90&amp;"_"&amp;$C90,CPAT_Results!$F:$F,0),MATCH(O$5,CPAT_Results!$1:$1,0))</f>
        <v>467.51499999999999</v>
      </c>
      <c r="P90" s="146">
        <f>INDEX(CPAT_Results!$A:$AD,MATCH($H90&amp;"_"&amp;$C90,CPAT_Results!$F:$F,0),MATCH(P$5,CPAT_Results!$1:$1,0))</f>
        <v>473.64800000000002</v>
      </c>
      <c r="Q90" s="146">
        <f>INDEX(CPAT_Results!$A:$AD,MATCH($H90&amp;"_"&amp;$C90,CPAT_Results!$F:$F,0),MATCH(Q$5,CPAT_Results!$1:$1,0))</f>
        <v>484.76299999999998</v>
      </c>
      <c r="R90" s="146">
        <f>INDEX(CPAT_Results!$A:$AD,MATCH($H90&amp;"_"&amp;$C90,CPAT_Results!$F:$F,0),MATCH(R$5,CPAT_Results!$1:$1,0))</f>
        <v>501.10399999999998</v>
      </c>
      <c r="S90" s="146">
        <f>INDEX(CPAT_Results!$A:$AD,MATCH($H90&amp;"_"&amp;$C90,CPAT_Results!$F:$F,0),MATCH(S$5,CPAT_Results!$1:$1,0))</f>
        <v>518.13900000000001</v>
      </c>
      <c r="T90" s="146">
        <f>INDEX(CPAT_Results!$A:$AD,MATCH($H90&amp;"_"&amp;$C90,CPAT_Results!$F:$F,0),MATCH(T$5,CPAT_Results!$1:$1,0))</f>
        <v>535.62300000000005</v>
      </c>
      <c r="U90" s="146">
        <f>INDEX(CPAT_Results!$A:$AD,MATCH($H90&amp;"_"&amp;$C90,CPAT_Results!$F:$F,0),MATCH(U$5,CPAT_Results!$1:$1,0))</f>
        <v>555.04300000000001</v>
      </c>
      <c r="V90" s="146">
        <f>INDEX(CPAT_Results!$A:$AD,MATCH($H90&amp;"_"&amp;$C90,CPAT_Results!$F:$F,0),MATCH(V$5,CPAT_Results!$1:$1,0))</f>
        <v>576.99900000000002</v>
      </c>
      <c r="W90" s="146">
        <f>INDEX(CPAT_Results!$A:$AD,MATCH($H90&amp;"_"&amp;$C90,CPAT_Results!$F:$F,0),MATCH(W$5,CPAT_Results!$1:$1,0))</f>
        <v>601.28700000000003</v>
      </c>
      <c r="X90" s="146">
        <f>INDEX(CPAT_Results!$A:$AD,MATCH($H90&amp;"_"&amp;$C90,CPAT_Results!$F:$F,0),MATCH(X$5,CPAT_Results!$1:$1,0))</f>
        <v>626.83100000000002</v>
      </c>
      <c r="Y90" s="146">
        <f>INDEX(CPAT_Results!$A:$AD,MATCH($H90&amp;"_"&amp;$C90,CPAT_Results!$F:$F,0),MATCH(Y$5,CPAT_Results!$1:$1,0))</f>
        <v>653.74699999999996</v>
      </c>
      <c r="Z90" s="146">
        <f>INDEX(CPAT_Results!$A:$AD,MATCH($H90&amp;"_"&amp;$C90,CPAT_Results!$F:$F,0),MATCH(Z$5,CPAT_Results!$1:$1,0))</f>
        <v>682.01</v>
      </c>
      <c r="AA90" s="146">
        <f>INDEX(CPAT_Results!$A:$AD,MATCH($H90&amp;"_"&amp;$C90,CPAT_Results!$F:$F,0),MATCH(AA$5,CPAT_Results!$1:$1,0))</f>
        <v>711.827</v>
      </c>
      <c r="AB90" s="146">
        <f>INDEX(CPAT_Results!$A:$AD,MATCH($H90&amp;"_"&amp;$C90,CPAT_Results!$F:$F,0),MATCH(AB$5,CPAT_Results!$1:$1,0))</f>
        <v>743.30399999999997</v>
      </c>
      <c r="AC90" s="146">
        <f>INDEX(CPAT_Results!$A:$AD,MATCH($H90&amp;"_"&amp;$C90,CPAT_Results!$F:$F,0),MATCH(AC$5,CPAT_Results!$1:$1,0))</f>
        <v>776.60500000000002</v>
      </c>
      <c r="AD90" s="146">
        <f>INDEX(CPAT_Results!$A:$AD,MATCH($H90&amp;"_"&amp;$C90,CPAT_Results!$F:$F,0),MATCH(AD$5,CPAT_Results!$1:$1,0))</f>
        <v>811.92499999999995</v>
      </c>
      <c r="AE90" s="146">
        <f>INDEX(CPAT_Results!$A:$AD,MATCH($H90&amp;"_"&amp;$C90,CPAT_Results!$F:$F,0),MATCH(AE$5,CPAT_Results!$1:$1,0))</f>
        <v>848.15700000000004</v>
      </c>
    </row>
    <row r="91" spans="2:31" x14ac:dyDescent="0.2">
      <c r="B91" s="112" t="s">
        <v>3389</v>
      </c>
      <c r="C91" s="112" t="s">
        <v>3261</v>
      </c>
      <c r="D91" s="112" t="s">
        <v>3387</v>
      </c>
      <c r="E91" s="112" t="s">
        <v>1852</v>
      </c>
      <c r="F91" s="112" t="s">
        <v>11680</v>
      </c>
      <c r="H91" s="116" t="s">
        <v>3388</v>
      </c>
      <c r="L91" s="146">
        <f>INDEX(CPAT_Results!$A:$AD,MATCH($H91&amp;"_"&amp;$C91,CPAT_Results!$F:$F,0),MATCH(L$5,CPAT_Results!$1:$1,0))</f>
        <v>400.91199999999998</v>
      </c>
      <c r="M91" s="146">
        <f>INDEX(CPAT_Results!$A:$AD,MATCH($H91&amp;"_"&amp;$C91,CPAT_Results!$F:$F,0),MATCH(M$5,CPAT_Results!$1:$1,0))</f>
        <v>412.10500000000002</v>
      </c>
      <c r="N91" s="146">
        <f>INDEX(CPAT_Results!$A:$AD,MATCH($H91&amp;"_"&amp;$C91,CPAT_Results!$F:$F,0),MATCH(N$5,CPAT_Results!$1:$1,0))</f>
        <v>450.92399999999998</v>
      </c>
      <c r="O91" s="146">
        <f>INDEX(CPAT_Results!$A:$AD,MATCH($H91&amp;"_"&amp;$C91,CPAT_Results!$F:$F,0),MATCH(O$5,CPAT_Results!$1:$1,0))</f>
        <v>467.51499999999999</v>
      </c>
      <c r="P91" s="146">
        <f>INDEX(CPAT_Results!$A:$AD,MATCH($H91&amp;"_"&amp;$C91,CPAT_Results!$F:$F,0),MATCH(P$5,CPAT_Results!$1:$1,0))</f>
        <v>473.64800000000002</v>
      </c>
      <c r="Q91" s="146">
        <f>INDEX(CPAT_Results!$A:$AD,MATCH($H91&amp;"_"&amp;$C91,CPAT_Results!$F:$F,0),MATCH(Q$5,CPAT_Results!$1:$1,0))</f>
        <v>484.76299999999998</v>
      </c>
      <c r="R91" s="146">
        <f>INDEX(CPAT_Results!$A:$AD,MATCH($H91&amp;"_"&amp;$C91,CPAT_Results!$F:$F,0),MATCH(R$5,CPAT_Results!$1:$1,0))</f>
        <v>501.10399999999998</v>
      </c>
      <c r="S91" s="146">
        <f>INDEX(CPAT_Results!$A:$AD,MATCH($H91&amp;"_"&amp;$C91,CPAT_Results!$F:$F,0),MATCH(S$5,CPAT_Results!$1:$1,0))</f>
        <v>518.13900000000001</v>
      </c>
      <c r="T91" s="146">
        <f>INDEX(CPAT_Results!$A:$AD,MATCH($H91&amp;"_"&amp;$C91,CPAT_Results!$F:$F,0),MATCH(T$5,CPAT_Results!$1:$1,0))</f>
        <v>535.62300000000005</v>
      </c>
      <c r="U91" s="146">
        <f>INDEX(CPAT_Results!$A:$AD,MATCH($H91&amp;"_"&amp;$C91,CPAT_Results!$F:$F,0),MATCH(U$5,CPAT_Results!$1:$1,0))</f>
        <v>555.04300000000001</v>
      </c>
      <c r="V91" s="146">
        <f>INDEX(CPAT_Results!$A:$AD,MATCH($H91&amp;"_"&amp;$C91,CPAT_Results!$F:$F,0),MATCH(V$5,CPAT_Results!$1:$1,0))</f>
        <v>576.99900000000002</v>
      </c>
      <c r="W91" s="146">
        <f>INDEX(CPAT_Results!$A:$AD,MATCH($H91&amp;"_"&amp;$C91,CPAT_Results!$F:$F,0),MATCH(W$5,CPAT_Results!$1:$1,0))</f>
        <v>601.28700000000003</v>
      </c>
      <c r="X91" s="146">
        <f>INDEX(CPAT_Results!$A:$AD,MATCH($H91&amp;"_"&amp;$C91,CPAT_Results!$F:$F,0),MATCH(X$5,CPAT_Results!$1:$1,0))</f>
        <v>626.83100000000002</v>
      </c>
      <c r="Y91" s="146">
        <f>INDEX(CPAT_Results!$A:$AD,MATCH($H91&amp;"_"&amp;$C91,CPAT_Results!$F:$F,0),MATCH(Y$5,CPAT_Results!$1:$1,0))</f>
        <v>653.74699999999996</v>
      </c>
      <c r="Z91" s="146">
        <f>INDEX(CPAT_Results!$A:$AD,MATCH($H91&amp;"_"&amp;$C91,CPAT_Results!$F:$F,0),MATCH(Z$5,CPAT_Results!$1:$1,0))</f>
        <v>682.01</v>
      </c>
      <c r="AA91" s="146">
        <f>INDEX(CPAT_Results!$A:$AD,MATCH($H91&amp;"_"&amp;$C91,CPAT_Results!$F:$F,0),MATCH(AA$5,CPAT_Results!$1:$1,0))</f>
        <v>711.827</v>
      </c>
      <c r="AB91" s="146">
        <f>INDEX(CPAT_Results!$A:$AD,MATCH($H91&amp;"_"&amp;$C91,CPAT_Results!$F:$F,0),MATCH(AB$5,CPAT_Results!$1:$1,0))</f>
        <v>743.30399999999997</v>
      </c>
      <c r="AC91" s="146">
        <f>INDEX(CPAT_Results!$A:$AD,MATCH($H91&amp;"_"&amp;$C91,CPAT_Results!$F:$F,0),MATCH(AC$5,CPAT_Results!$1:$1,0))</f>
        <v>776.60500000000002</v>
      </c>
      <c r="AD91" s="146">
        <f>INDEX(CPAT_Results!$A:$AD,MATCH($H91&amp;"_"&amp;$C91,CPAT_Results!$F:$F,0),MATCH(AD$5,CPAT_Results!$1:$1,0))</f>
        <v>811.92499999999995</v>
      </c>
      <c r="AE91" s="146">
        <f>INDEX(CPAT_Results!$A:$AD,MATCH($H91&amp;"_"&amp;$C91,CPAT_Results!$F:$F,0),MATCH(AE$5,CPAT_Results!$1:$1,0))</f>
        <v>848.15700000000004</v>
      </c>
    </row>
    <row r="92" spans="2:31" x14ac:dyDescent="0.2">
      <c r="B92" s="112" t="s">
        <v>3390</v>
      </c>
      <c r="C92" s="112" t="s">
        <v>3263</v>
      </c>
      <c r="D92" s="112" t="s">
        <v>3387</v>
      </c>
      <c r="E92" s="112" t="s">
        <v>1852</v>
      </c>
      <c r="F92" s="112" t="s">
        <v>11681</v>
      </c>
      <c r="H92" s="116" t="s">
        <v>3388</v>
      </c>
      <c r="L92" s="146">
        <f>INDEX(CPAT_Results!$A:$AD,MATCH($H92&amp;"_"&amp;$C92,CPAT_Results!$F:$F,0),MATCH(L$5,CPAT_Results!$1:$1,0))</f>
        <v>400.91199999999998</v>
      </c>
      <c r="M92" s="146">
        <f>INDEX(CPAT_Results!$A:$AD,MATCH($H92&amp;"_"&amp;$C92,CPAT_Results!$F:$F,0),MATCH(M$5,CPAT_Results!$1:$1,0))</f>
        <v>412.10500000000002</v>
      </c>
      <c r="N92" s="146">
        <f>INDEX(CPAT_Results!$A:$AD,MATCH($H92&amp;"_"&amp;$C92,CPAT_Results!$F:$F,0),MATCH(N$5,CPAT_Results!$1:$1,0))</f>
        <v>450.92399999999998</v>
      </c>
      <c r="O92" s="146">
        <f>INDEX(CPAT_Results!$A:$AD,MATCH($H92&amp;"_"&amp;$C92,CPAT_Results!$F:$F,0),MATCH(O$5,CPAT_Results!$1:$1,0))</f>
        <v>467.51499999999999</v>
      </c>
      <c r="P92" s="146">
        <f>INDEX(CPAT_Results!$A:$AD,MATCH($H92&amp;"_"&amp;$C92,CPAT_Results!$F:$F,0),MATCH(P$5,CPAT_Results!$1:$1,0))</f>
        <v>473.64800000000002</v>
      </c>
      <c r="Q92" s="146">
        <f>INDEX(CPAT_Results!$A:$AD,MATCH($H92&amp;"_"&amp;$C92,CPAT_Results!$F:$F,0),MATCH(Q$5,CPAT_Results!$1:$1,0))</f>
        <v>484.76299999999998</v>
      </c>
      <c r="R92" s="146">
        <f>INDEX(CPAT_Results!$A:$AD,MATCH($H92&amp;"_"&amp;$C92,CPAT_Results!$F:$F,0),MATCH(R$5,CPAT_Results!$1:$1,0))</f>
        <v>501.10399999999998</v>
      </c>
      <c r="S92" s="146">
        <f>INDEX(CPAT_Results!$A:$AD,MATCH($H92&amp;"_"&amp;$C92,CPAT_Results!$F:$F,0),MATCH(S$5,CPAT_Results!$1:$1,0))</f>
        <v>518.13900000000001</v>
      </c>
      <c r="T92" s="146">
        <f>INDEX(CPAT_Results!$A:$AD,MATCH($H92&amp;"_"&amp;$C92,CPAT_Results!$F:$F,0),MATCH(T$5,CPAT_Results!$1:$1,0))</f>
        <v>535.62300000000005</v>
      </c>
      <c r="U92" s="146">
        <f>INDEX(CPAT_Results!$A:$AD,MATCH($H92&amp;"_"&amp;$C92,CPAT_Results!$F:$F,0),MATCH(U$5,CPAT_Results!$1:$1,0))</f>
        <v>555.04300000000001</v>
      </c>
      <c r="V92" s="146">
        <f>INDEX(CPAT_Results!$A:$AD,MATCH($H92&amp;"_"&amp;$C92,CPAT_Results!$F:$F,0),MATCH(V$5,CPAT_Results!$1:$1,0))</f>
        <v>576.99900000000002</v>
      </c>
      <c r="W92" s="146">
        <f>INDEX(CPAT_Results!$A:$AD,MATCH($H92&amp;"_"&amp;$C92,CPAT_Results!$F:$F,0),MATCH(W$5,CPAT_Results!$1:$1,0))</f>
        <v>601.28700000000003</v>
      </c>
      <c r="X92" s="146">
        <f>INDEX(CPAT_Results!$A:$AD,MATCH($H92&amp;"_"&amp;$C92,CPAT_Results!$F:$F,0),MATCH(X$5,CPAT_Results!$1:$1,0))</f>
        <v>626.83100000000002</v>
      </c>
      <c r="Y92" s="146">
        <f>INDEX(CPAT_Results!$A:$AD,MATCH($H92&amp;"_"&amp;$C92,CPAT_Results!$F:$F,0),MATCH(Y$5,CPAT_Results!$1:$1,0))</f>
        <v>653.74699999999996</v>
      </c>
      <c r="Z92" s="146">
        <f>INDEX(CPAT_Results!$A:$AD,MATCH($H92&amp;"_"&amp;$C92,CPAT_Results!$F:$F,0),MATCH(Z$5,CPAT_Results!$1:$1,0))</f>
        <v>682.01</v>
      </c>
      <c r="AA92" s="146">
        <f>INDEX(CPAT_Results!$A:$AD,MATCH($H92&amp;"_"&amp;$C92,CPAT_Results!$F:$F,0),MATCH(AA$5,CPAT_Results!$1:$1,0))</f>
        <v>711.827</v>
      </c>
      <c r="AB92" s="146">
        <f>INDEX(CPAT_Results!$A:$AD,MATCH($H92&amp;"_"&amp;$C92,CPAT_Results!$F:$F,0),MATCH(AB$5,CPAT_Results!$1:$1,0))</f>
        <v>743.30399999999997</v>
      </c>
      <c r="AC92" s="146">
        <f>INDEX(CPAT_Results!$A:$AD,MATCH($H92&amp;"_"&amp;$C92,CPAT_Results!$F:$F,0),MATCH(AC$5,CPAT_Results!$1:$1,0))</f>
        <v>776.60500000000002</v>
      </c>
      <c r="AD92" s="146">
        <f>INDEX(CPAT_Results!$A:$AD,MATCH($H92&amp;"_"&amp;$C92,CPAT_Results!$F:$F,0),MATCH(AD$5,CPAT_Results!$1:$1,0))</f>
        <v>811.92499999999995</v>
      </c>
      <c r="AE92" s="146">
        <f>INDEX(CPAT_Results!$A:$AD,MATCH($H92&amp;"_"&amp;$C92,CPAT_Results!$F:$F,0),MATCH(AE$5,CPAT_Results!$1:$1,0))</f>
        <v>848.15700000000004</v>
      </c>
    </row>
    <row r="93" spans="2:31" x14ac:dyDescent="0.2">
      <c r="B93" s="112" t="s">
        <v>3391</v>
      </c>
      <c r="C93" s="112" t="s">
        <v>3265</v>
      </c>
      <c r="D93" s="112" t="s">
        <v>3387</v>
      </c>
      <c r="E93" s="112" t="s">
        <v>1852</v>
      </c>
      <c r="F93" s="112" t="s">
        <v>11682</v>
      </c>
      <c r="H93" s="116" t="s">
        <v>3388</v>
      </c>
      <c r="L93" s="146">
        <f>INDEX(CPAT_Results!$A:$AD,MATCH($H93&amp;"_"&amp;$C93,CPAT_Results!$F:$F,0),MATCH(L$5,CPAT_Results!$1:$1,0))</f>
        <v>400.91199999999998</v>
      </c>
      <c r="M93" s="146">
        <f>INDEX(CPAT_Results!$A:$AD,MATCH($H93&amp;"_"&amp;$C93,CPAT_Results!$F:$F,0),MATCH(M$5,CPAT_Results!$1:$1,0))</f>
        <v>412.09300000000002</v>
      </c>
      <c r="N93" s="146">
        <f>INDEX(CPAT_Results!$A:$AD,MATCH($H93&amp;"_"&amp;$C93,CPAT_Results!$F:$F,0),MATCH(N$5,CPAT_Results!$1:$1,0))</f>
        <v>450.91199999999998</v>
      </c>
      <c r="O93" s="146">
        <f>INDEX(CPAT_Results!$A:$AD,MATCH($H93&amp;"_"&amp;$C93,CPAT_Results!$F:$F,0),MATCH(O$5,CPAT_Results!$1:$1,0))</f>
        <v>467.50299999999999</v>
      </c>
      <c r="P93" s="146">
        <f>INDEX(CPAT_Results!$A:$AD,MATCH($H93&amp;"_"&amp;$C93,CPAT_Results!$F:$F,0),MATCH(P$5,CPAT_Results!$1:$1,0))</f>
        <v>473.61099999999999</v>
      </c>
      <c r="Q93" s="146">
        <f>INDEX(CPAT_Results!$A:$AD,MATCH($H93&amp;"_"&amp;$C93,CPAT_Results!$F:$F,0),MATCH(Q$5,CPAT_Results!$1:$1,0))</f>
        <v>484.72199999999998</v>
      </c>
      <c r="R93" s="146">
        <f>INDEX(CPAT_Results!$A:$AD,MATCH($H93&amp;"_"&amp;$C93,CPAT_Results!$F:$F,0),MATCH(R$5,CPAT_Results!$1:$1,0))</f>
        <v>501.07100000000003</v>
      </c>
      <c r="S93" s="146">
        <f>INDEX(CPAT_Results!$A:$AD,MATCH($H93&amp;"_"&amp;$C93,CPAT_Results!$F:$F,0),MATCH(S$5,CPAT_Results!$1:$1,0))</f>
        <v>518.10699999999997</v>
      </c>
      <c r="T93" s="146">
        <f>INDEX(CPAT_Results!$A:$AD,MATCH($H93&amp;"_"&amp;$C93,CPAT_Results!$F:$F,0),MATCH(T$5,CPAT_Results!$1:$1,0))</f>
        <v>535.59100000000001</v>
      </c>
      <c r="U93" s="146">
        <f>INDEX(CPAT_Results!$A:$AD,MATCH($H93&amp;"_"&amp;$C93,CPAT_Results!$F:$F,0),MATCH(U$5,CPAT_Results!$1:$1,0))</f>
        <v>555.01099999999997</v>
      </c>
      <c r="V93" s="146">
        <f>INDEX(CPAT_Results!$A:$AD,MATCH($H93&amp;"_"&amp;$C93,CPAT_Results!$F:$F,0),MATCH(V$5,CPAT_Results!$1:$1,0))</f>
        <v>576.96699999999998</v>
      </c>
      <c r="W93" s="146">
        <f>INDEX(CPAT_Results!$A:$AD,MATCH($H93&amp;"_"&amp;$C93,CPAT_Results!$F:$F,0),MATCH(W$5,CPAT_Results!$1:$1,0))</f>
        <v>601.255</v>
      </c>
      <c r="X93" s="146">
        <f>INDEX(CPAT_Results!$A:$AD,MATCH($H93&amp;"_"&amp;$C93,CPAT_Results!$F:$F,0),MATCH(X$5,CPAT_Results!$1:$1,0))</f>
        <v>626.79999999999995</v>
      </c>
      <c r="Y93" s="146">
        <f>INDEX(CPAT_Results!$A:$AD,MATCH($H93&amp;"_"&amp;$C93,CPAT_Results!$F:$F,0),MATCH(Y$5,CPAT_Results!$1:$1,0))</f>
        <v>653.71699999999998</v>
      </c>
      <c r="Z93" s="146">
        <f>INDEX(CPAT_Results!$A:$AD,MATCH($H93&amp;"_"&amp;$C93,CPAT_Results!$F:$F,0),MATCH(Z$5,CPAT_Results!$1:$1,0))</f>
        <v>681.98</v>
      </c>
      <c r="AA93" s="146">
        <f>INDEX(CPAT_Results!$A:$AD,MATCH($H93&amp;"_"&amp;$C93,CPAT_Results!$F:$F,0),MATCH(AA$5,CPAT_Results!$1:$1,0))</f>
        <v>711.798</v>
      </c>
      <c r="AB93" s="146">
        <f>INDEX(CPAT_Results!$A:$AD,MATCH($H93&amp;"_"&amp;$C93,CPAT_Results!$F:$F,0),MATCH(AB$5,CPAT_Results!$1:$1,0))</f>
        <v>743.27499999999998</v>
      </c>
      <c r="AC93" s="146">
        <f>INDEX(CPAT_Results!$A:$AD,MATCH($H93&amp;"_"&amp;$C93,CPAT_Results!$F:$F,0),MATCH(AC$5,CPAT_Results!$1:$1,0))</f>
        <v>776.57600000000002</v>
      </c>
      <c r="AD93" s="146">
        <f>INDEX(CPAT_Results!$A:$AD,MATCH($H93&amp;"_"&amp;$C93,CPAT_Results!$F:$F,0),MATCH(AD$5,CPAT_Results!$1:$1,0))</f>
        <v>811.89599999999996</v>
      </c>
      <c r="AE93" s="146">
        <f>INDEX(CPAT_Results!$A:$AD,MATCH($H93&amp;"_"&amp;$C93,CPAT_Results!$F:$F,0),MATCH(AE$5,CPAT_Results!$1:$1,0))</f>
        <v>848.12900000000002</v>
      </c>
    </row>
    <row r="94" spans="2:31" x14ac:dyDescent="0.2">
      <c r="B94" s="112" t="s">
        <v>3392</v>
      </c>
      <c r="C94" s="112" t="s">
        <v>3256</v>
      </c>
      <c r="D94" s="112" t="s">
        <v>3393</v>
      </c>
      <c r="E94" s="112" t="s">
        <v>1852</v>
      </c>
      <c r="F94" s="112" t="s">
        <v>11679</v>
      </c>
      <c r="H94" s="116" t="s">
        <v>3394</v>
      </c>
      <c r="L94" s="146">
        <f>INDEX(CPAT_Results!$A:$AD,MATCH($H94&amp;"_"&amp;$C94,CPAT_Results!$F:$F,0),MATCH(L$5,CPAT_Results!$1:$1,0))</f>
        <v>400.91199999999998</v>
      </c>
      <c r="M94" s="146">
        <f>INDEX(CPAT_Results!$A:$AD,MATCH($H94&amp;"_"&amp;$C94,CPAT_Results!$F:$F,0),MATCH(M$5,CPAT_Results!$1:$1,0))</f>
        <v>411.97300000000001</v>
      </c>
      <c r="N94" s="146">
        <f>INDEX(CPAT_Results!$A:$AD,MATCH($H94&amp;"_"&amp;$C94,CPAT_Results!$F:$F,0),MATCH(N$5,CPAT_Results!$1:$1,0))</f>
        <v>450.79599999999999</v>
      </c>
      <c r="O94" s="146">
        <f>INDEX(CPAT_Results!$A:$AD,MATCH($H94&amp;"_"&amp;$C94,CPAT_Results!$F:$F,0),MATCH(O$5,CPAT_Results!$1:$1,0))</f>
        <v>467.39</v>
      </c>
      <c r="P94" s="146">
        <f>INDEX(CPAT_Results!$A:$AD,MATCH($H94&amp;"_"&amp;$C94,CPAT_Results!$F:$F,0),MATCH(P$5,CPAT_Results!$1:$1,0))</f>
        <v>438.85899999999998</v>
      </c>
      <c r="Q94" s="146">
        <f>INDEX(CPAT_Results!$A:$AD,MATCH($H94&amp;"_"&amp;$C94,CPAT_Results!$F:$F,0),MATCH(Q$5,CPAT_Results!$1:$1,0))</f>
        <v>444.81900000000002</v>
      </c>
      <c r="R94" s="146">
        <f>INDEX(CPAT_Results!$A:$AD,MATCH($H94&amp;"_"&amp;$C94,CPAT_Results!$F:$F,0),MATCH(R$5,CPAT_Results!$1:$1,0))</f>
        <v>463.596</v>
      </c>
      <c r="S94" s="146">
        <f>INDEX(CPAT_Results!$A:$AD,MATCH($H94&amp;"_"&amp;$C94,CPAT_Results!$F:$F,0),MATCH(S$5,CPAT_Results!$1:$1,0))</f>
        <v>479.44400000000002</v>
      </c>
      <c r="T94" s="146">
        <f>INDEX(CPAT_Results!$A:$AD,MATCH($H94&amp;"_"&amp;$C94,CPAT_Results!$F:$F,0),MATCH(T$5,CPAT_Results!$1:$1,0))</f>
        <v>496.02800000000002</v>
      </c>
      <c r="U94" s="146">
        <f>INDEX(CPAT_Results!$A:$AD,MATCH($H94&amp;"_"&amp;$C94,CPAT_Results!$F:$F,0),MATCH(U$5,CPAT_Results!$1:$1,0))</f>
        <v>513.03</v>
      </c>
      <c r="V94" s="146">
        <f>INDEX(CPAT_Results!$A:$AD,MATCH($H94&amp;"_"&amp;$C94,CPAT_Results!$F:$F,0),MATCH(V$5,CPAT_Results!$1:$1,0))</f>
        <v>532.99699999999996</v>
      </c>
      <c r="W94" s="146">
        <f>INDEX(CPAT_Results!$A:$AD,MATCH($H94&amp;"_"&amp;$C94,CPAT_Results!$F:$F,0),MATCH(W$5,CPAT_Results!$1:$1,0))</f>
        <v>555.06399999999996</v>
      </c>
      <c r="X94" s="146">
        <f>INDEX(CPAT_Results!$A:$AD,MATCH($H94&amp;"_"&amp;$C94,CPAT_Results!$F:$F,0),MATCH(X$5,CPAT_Results!$1:$1,0))</f>
        <v>578.65800000000002</v>
      </c>
      <c r="Y94" s="146">
        <f>INDEX(CPAT_Results!$A:$AD,MATCH($H94&amp;"_"&amp;$C94,CPAT_Results!$F:$F,0),MATCH(Y$5,CPAT_Results!$1:$1,0))</f>
        <v>603.78800000000001</v>
      </c>
      <c r="Z94" s="146">
        <f>INDEX(CPAT_Results!$A:$AD,MATCH($H94&amp;"_"&amp;$C94,CPAT_Results!$F:$F,0),MATCH(Z$5,CPAT_Results!$1:$1,0))</f>
        <v>630.452</v>
      </c>
      <c r="AA94" s="146">
        <f>INDEX(CPAT_Results!$A:$AD,MATCH($H94&amp;"_"&amp;$C94,CPAT_Results!$F:$F,0),MATCH(AA$5,CPAT_Results!$1:$1,0))</f>
        <v>658.91800000000001</v>
      </c>
      <c r="AB94" s="146">
        <f>INDEX(CPAT_Results!$A:$AD,MATCH($H94&amp;"_"&amp;$C94,CPAT_Results!$F:$F,0),MATCH(AB$5,CPAT_Results!$1:$1,0))</f>
        <v>689.16499999999996</v>
      </c>
      <c r="AC94" s="146">
        <f>INDEX(CPAT_Results!$A:$AD,MATCH($H94&amp;"_"&amp;$C94,CPAT_Results!$F:$F,0),MATCH(AC$5,CPAT_Results!$1:$1,0))</f>
        <v>721.37900000000002</v>
      </c>
      <c r="AD94" s="146">
        <f>INDEX(CPAT_Results!$A:$AD,MATCH($H94&amp;"_"&amp;$C94,CPAT_Results!$F:$F,0),MATCH(AD$5,CPAT_Results!$1:$1,0))</f>
        <v>755.86800000000005</v>
      </c>
      <c r="AE94" s="146">
        <f>INDEX(CPAT_Results!$A:$AD,MATCH($H94&amp;"_"&amp;$C94,CPAT_Results!$F:$F,0),MATCH(AE$5,CPAT_Results!$1:$1,0))</f>
        <v>791.33399999999995</v>
      </c>
    </row>
    <row r="95" spans="2:31" x14ac:dyDescent="0.2">
      <c r="B95" s="112" t="s">
        <v>3395</v>
      </c>
      <c r="C95" s="112" t="s">
        <v>3261</v>
      </c>
      <c r="D95" s="112" t="s">
        <v>3393</v>
      </c>
      <c r="E95" s="112" t="s">
        <v>1852</v>
      </c>
      <c r="F95" s="112" t="s">
        <v>11680</v>
      </c>
      <c r="H95" s="116" t="s">
        <v>3394</v>
      </c>
      <c r="L95" s="146">
        <f>INDEX(CPAT_Results!$A:$AD,MATCH($H95&amp;"_"&amp;$C95,CPAT_Results!$F:$F,0),MATCH(L$5,CPAT_Results!$1:$1,0))</f>
        <v>400.91199999999998</v>
      </c>
      <c r="M95" s="146">
        <f>INDEX(CPAT_Results!$A:$AD,MATCH($H95&amp;"_"&amp;$C95,CPAT_Results!$F:$F,0),MATCH(M$5,CPAT_Results!$1:$1,0))</f>
        <v>412.10500000000002</v>
      </c>
      <c r="N95" s="146">
        <f>INDEX(CPAT_Results!$A:$AD,MATCH($H95&amp;"_"&amp;$C95,CPAT_Results!$F:$F,0),MATCH(N$5,CPAT_Results!$1:$1,0))</f>
        <v>450.92399999999998</v>
      </c>
      <c r="O95" s="146">
        <f>INDEX(CPAT_Results!$A:$AD,MATCH($H95&amp;"_"&amp;$C95,CPAT_Results!$F:$F,0),MATCH(O$5,CPAT_Results!$1:$1,0))</f>
        <v>467.51499999999999</v>
      </c>
      <c r="P95" s="146">
        <f>INDEX(CPAT_Results!$A:$AD,MATCH($H95&amp;"_"&amp;$C95,CPAT_Results!$F:$F,0),MATCH(P$5,CPAT_Results!$1:$1,0))</f>
        <v>473.64800000000002</v>
      </c>
      <c r="Q95" s="146">
        <f>INDEX(CPAT_Results!$A:$AD,MATCH($H95&amp;"_"&amp;$C95,CPAT_Results!$F:$F,0),MATCH(Q$5,CPAT_Results!$1:$1,0))</f>
        <v>484.76299999999998</v>
      </c>
      <c r="R95" s="146">
        <f>INDEX(CPAT_Results!$A:$AD,MATCH($H95&amp;"_"&amp;$C95,CPAT_Results!$F:$F,0),MATCH(R$5,CPAT_Results!$1:$1,0))</f>
        <v>501.10399999999998</v>
      </c>
      <c r="S95" s="146">
        <f>INDEX(CPAT_Results!$A:$AD,MATCH($H95&amp;"_"&amp;$C95,CPAT_Results!$F:$F,0),MATCH(S$5,CPAT_Results!$1:$1,0))</f>
        <v>512.06399999999996</v>
      </c>
      <c r="T95" s="146">
        <f>INDEX(CPAT_Results!$A:$AD,MATCH($H95&amp;"_"&amp;$C95,CPAT_Results!$F:$F,0),MATCH(T$5,CPAT_Results!$1:$1,0))</f>
        <v>526.46299999999997</v>
      </c>
      <c r="U95" s="146">
        <f>INDEX(CPAT_Results!$A:$AD,MATCH($H95&amp;"_"&amp;$C95,CPAT_Results!$F:$F,0),MATCH(U$5,CPAT_Results!$1:$1,0))</f>
        <v>542.39099999999996</v>
      </c>
      <c r="V95" s="146">
        <f>INDEX(CPAT_Results!$A:$AD,MATCH($H95&amp;"_"&amp;$C95,CPAT_Results!$F:$F,0),MATCH(V$5,CPAT_Results!$1:$1,0))</f>
        <v>561.69299999999998</v>
      </c>
      <c r="W95" s="146">
        <f>INDEX(CPAT_Results!$A:$AD,MATCH($H95&amp;"_"&amp;$C95,CPAT_Results!$F:$F,0),MATCH(W$5,CPAT_Results!$1:$1,0))</f>
        <v>583.11500000000001</v>
      </c>
      <c r="X95" s="146">
        <f>INDEX(CPAT_Results!$A:$AD,MATCH($H95&amp;"_"&amp;$C95,CPAT_Results!$F:$F,0),MATCH(X$5,CPAT_Results!$1:$1,0))</f>
        <v>606.00800000000004</v>
      </c>
      <c r="Y95" s="146">
        <f>INDEX(CPAT_Results!$A:$AD,MATCH($H95&amp;"_"&amp;$C95,CPAT_Results!$F:$F,0),MATCH(Y$5,CPAT_Results!$1:$1,0))</f>
        <v>630.32600000000002</v>
      </c>
      <c r="Z95" s="146">
        <f>INDEX(CPAT_Results!$A:$AD,MATCH($H95&amp;"_"&amp;$C95,CPAT_Results!$F:$F,0),MATCH(Z$5,CPAT_Results!$1:$1,0))</f>
        <v>656.15800000000002</v>
      </c>
      <c r="AA95" s="146">
        <f>INDEX(CPAT_Results!$A:$AD,MATCH($H95&amp;"_"&amp;$C95,CPAT_Results!$F:$F,0),MATCH(AA$5,CPAT_Results!$1:$1,0))</f>
        <v>683.70500000000004</v>
      </c>
      <c r="AB95" s="146">
        <f>INDEX(CPAT_Results!$A:$AD,MATCH($H95&amp;"_"&amp;$C95,CPAT_Results!$F:$F,0),MATCH(AB$5,CPAT_Results!$1:$1,0))</f>
        <v>713.10900000000004</v>
      </c>
      <c r="AC95" s="146">
        <f>INDEX(CPAT_Results!$A:$AD,MATCH($H95&amp;"_"&amp;$C95,CPAT_Results!$F:$F,0),MATCH(AC$5,CPAT_Results!$1:$1,0))</f>
        <v>744.50199999999995</v>
      </c>
      <c r="AD95" s="146">
        <f>INDEX(CPAT_Results!$A:$AD,MATCH($H95&amp;"_"&amp;$C95,CPAT_Results!$F:$F,0),MATCH(AD$5,CPAT_Results!$1:$1,0))</f>
        <v>777.90599999999995</v>
      </c>
      <c r="AE95" s="146">
        <f>INDEX(CPAT_Results!$A:$AD,MATCH($H95&amp;"_"&amp;$C95,CPAT_Results!$F:$F,0),MATCH(AE$5,CPAT_Results!$1:$1,0))</f>
        <v>812.73500000000001</v>
      </c>
    </row>
    <row r="96" spans="2:31" x14ac:dyDescent="0.2">
      <c r="B96" s="112" t="s">
        <v>3396</v>
      </c>
      <c r="C96" s="112" t="s">
        <v>3263</v>
      </c>
      <c r="D96" s="112" t="s">
        <v>3393</v>
      </c>
      <c r="E96" s="112" t="s">
        <v>1852</v>
      </c>
      <c r="F96" s="112" t="s">
        <v>11681</v>
      </c>
      <c r="H96" s="116" t="s">
        <v>3394</v>
      </c>
      <c r="L96" s="146">
        <f>INDEX(CPAT_Results!$A:$AD,MATCH($H96&amp;"_"&amp;$C96,CPAT_Results!$F:$F,0),MATCH(L$5,CPAT_Results!$1:$1,0))</f>
        <v>400.91199999999998</v>
      </c>
      <c r="M96" s="146">
        <f>INDEX(CPAT_Results!$A:$AD,MATCH($H96&amp;"_"&amp;$C96,CPAT_Results!$F:$F,0),MATCH(M$5,CPAT_Results!$1:$1,0))</f>
        <v>412.10199999999998</v>
      </c>
      <c r="N96" s="146">
        <f>INDEX(CPAT_Results!$A:$AD,MATCH($H96&amp;"_"&amp;$C96,CPAT_Results!$F:$F,0),MATCH(N$5,CPAT_Results!$1:$1,0))</f>
        <v>450.92099999999999</v>
      </c>
      <c r="O96" s="146">
        <f>INDEX(CPAT_Results!$A:$AD,MATCH($H96&amp;"_"&amp;$C96,CPAT_Results!$F:$F,0),MATCH(O$5,CPAT_Results!$1:$1,0))</f>
        <v>467.512</v>
      </c>
      <c r="P96" s="146">
        <f>INDEX(CPAT_Results!$A:$AD,MATCH($H96&amp;"_"&amp;$C96,CPAT_Results!$F:$F,0),MATCH(P$5,CPAT_Results!$1:$1,0))</f>
        <v>461.35500000000002</v>
      </c>
      <c r="Q96" s="146">
        <f>INDEX(CPAT_Results!$A:$AD,MATCH($H96&amp;"_"&amp;$C96,CPAT_Results!$F:$F,0),MATCH(Q$5,CPAT_Results!$1:$1,0))</f>
        <v>471.52</v>
      </c>
      <c r="R96" s="146">
        <f>INDEX(CPAT_Results!$A:$AD,MATCH($H96&amp;"_"&amp;$C96,CPAT_Results!$F:$F,0),MATCH(R$5,CPAT_Results!$1:$1,0))</f>
        <v>484.11799999999999</v>
      </c>
      <c r="S96" s="146">
        <f>INDEX(CPAT_Results!$A:$AD,MATCH($H96&amp;"_"&amp;$C96,CPAT_Results!$F:$F,0),MATCH(S$5,CPAT_Results!$1:$1,0))</f>
        <v>495.61500000000001</v>
      </c>
      <c r="T96" s="146">
        <f>INDEX(CPAT_Results!$A:$AD,MATCH($H96&amp;"_"&amp;$C96,CPAT_Results!$F:$F,0),MATCH(T$5,CPAT_Results!$1:$1,0))</f>
        <v>507.45400000000001</v>
      </c>
      <c r="U96" s="146">
        <f>INDEX(CPAT_Results!$A:$AD,MATCH($H96&amp;"_"&amp;$C96,CPAT_Results!$F:$F,0),MATCH(U$5,CPAT_Results!$1:$1,0))</f>
        <v>520.98900000000003</v>
      </c>
      <c r="V96" s="146">
        <f>INDEX(CPAT_Results!$A:$AD,MATCH($H96&amp;"_"&amp;$C96,CPAT_Results!$F:$F,0),MATCH(V$5,CPAT_Results!$1:$1,0))</f>
        <v>536.07000000000005</v>
      </c>
      <c r="W96" s="146">
        <f>INDEX(CPAT_Results!$A:$AD,MATCH($H96&amp;"_"&amp;$C96,CPAT_Results!$F:$F,0),MATCH(W$5,CPAT_Results!$1:$1,0))</f>
        <v>553.33699999999999</v>
      </c>
      <c r="X96" s="146">
        <f>INDEX(CPAT_Results!$A:$AD,MATCH($H96&amp;"_"&amp;$C96,CPAT_Results!$F:$F,0),MATCH(X$5,CPAT_Results!$1:$1,0))</f>
        <v>571.69500000000005</v>
      </c>
      <c r="Y96" s="146">
        <f>INDEX(CPAT_Results!$A:$AD,MATCH($H96&amp;"_"&amp;$C96,CPAT_Results!$F:$F,0),MATCH(Y$5,CPAT_Results!$1:$1,0))</f>
        <v>591.26099999999997</v>
      </c>
      <c r="Z96" s="146">
        <f>INDEX(CPAT_Results!$A:$AD,MATCH($H96&amp;"_"&amp;$C96,CPAT_Results!$F:$F,0),MATCH(Z$5,CPAT_Results!$1:$1,0))</f>
        <v>611.98099999999999</v>
      </c>
      <c r="AA96" s="146">
        <f>INDEX(CPAT_Results!$A:$AD,MATCH($H96&amp;"_"&amp;$C96,CPAT_Results!$F:$F,0),MATCH(AA$5,CPAT_Results!$1:$1,0))</f>
        <v>634.06700000000001</v>
      </c>
      <c r="AB96" s="146">
        <f>INDEX(CPAT_Results!$A:$AD,MATCH($H96&amp;"_"&amp;$C96,CPAT_Results!$F:$F,0),MATCH(AB$5,CPAT_Results!$1:$1,0))</f>
        <v>657.59699999999998</v>
      </c>
      <c r="AC96" s="146">
        <f>INDEX(CPAT_Results!$A:$AD,MATCH($H96&amp;"_"&amp;$C96,CPAT_Results!$F:$F,0),MATCH(AC$5,CPAT_Results!$1:$1,0))</f>
        <v>682.83</v>
      </c>
      <c r="AD96" s="146">
        <f>INDEX(CPAT_Results!$A:$AD,MATCH($H96&amp;"_"&amp;$C96,CPAT_Results!$F:$F,0),MATCH(AD$5,CPAT_Results!$1:$1,0))</f>
        <v>709.40700000000004</v>
      </c>
      <c r="AE96" s="146">
        <f>INDEX(CPAT_Results!$A:$AD,MATCH($H96&amp;"_"&amp;$C96,CPAT_Results!$F:$F,0),MATCH(AE$5,CPAT_Results!$1:$1,0))</f>
        <v>736.61300000000006</v>
      </c>
    </row>
    <row r="97" spans="2:31" x14ac:dyDescent="0.2">
      <c r="B97" s="112" t="s">
        <v>3397</v>
      </c>
      <c r="C97" s="112" t="s">
        <v>3265</v>
      </c>
      <c r="D97" s="112" t="s">
        <v>3393</v>
      </c>
      <c r="E97" s="112" t="s">
        <v>1852</v>
      </c>
      <c r="F97" s="112" t="s">
        <v>11682</v>
      </c>
      <c r="H97" s="116" t="s">
        <v>3394</v>
      </c>
      <c r="L97" s="146">
        <f>INDEX(CPAT_Results!$A:$AD,MATCH($H97&amp;"_"&amp;$C97,CPAT_Results!$F:$F,0),MATCH(L$5,CPAT_Results!$1:$1,0))</f>
        <v>400.91199999999998</v>
      </c>
      <c r="M97" s="146">
        <f>INDEX(CPAT_Results!$A:$AD,MATCH($H97&amp;"_"&amp;$C97,CPAT_Results!$F:$F,0),MATCH(M$5,CPAT_Results!$1:$1,0))</f>
        <v>412.09300000000002</v>
      </c>
      <c r="N97" s="146">
        <f>INDEX(CPAT_Results!$A:$AD,MATCH($H97&amp;"_"&amp;$C97,CPAT_Results!$F:$F,0),MATCH(N$5,CPAT_Results!$1:$1,0))</f>
        <v>450.91199999999998</v>
      </c>
      <c r="O97" s="146">
        <f>INDEX(CPAT_Results!$A:$AD,MATCH($H97&amp;"_"&amp;$C97,CPAT_Results!$F:$F,0),MATCH(O$5,CPAT_Results!$1:$1,0))</f>
        <v>467.50299999999999</v>
      </c>
      <c r="P97" s="146">
        <f>INDEX(CPAT_Results!$A:$AD,MATCH($H97&amp;"_"&amp;$C97,CPAT_Results!$F:$F,0),MATCH(P$5,CPAT_Results!$1:$1,0))</f>
        <v>473.61099999999999</v>
      </c>
      <c r="Q97" s="146">
        <f>INDEX(CPAT_Results!$A:$AD,MATCH($H97&amp;"_"&amp;$C97,CPAT_Results!$F:$F,0),MATCH(Q$5,CPAT_Results!$1:$1,0))</f>
        <v>484.72199999999998</v>
      </c>
      <c r="R97" s="146">
        <f>INDEX(CPAT_Results!$A:$AD,MATCH($H97&amp;"_"&amp;$C97,CPAT_Results!$F:$F,0),MATCH(R$5,CPAT_Results!$1:$1,0))</f>
        <v>500.358</v>
      </c>
      <c r="S97" s="146">
        <f>INDEX(CPAT_Results!$A:$AD,MATCH($H97&amp;"_"&amp;$C97,CPAT_Results!$F:$F,0),MATCH(S$5,CPAT_Results!$1:$1,0))</f>
        <v>516.50599999999997</v>
      </c>
      <c r="T97" s="146">
        <f>INDEX(CPAT_Results!$A:$AD,MATCH($H97&amp;"_"&amp;$C97,CPAT_Results!$F:$F,0),MATCH(T$5,CPAT_Results!$1:$1,0))</f>
        <v>532.72500000000002</v>
      </c>
      <c r="U97" s="146">
        <f>INDEX(CPAT_Results!$A:$AD,MATCH($H97&amp;"_"&amp;$C97,CPAT_Results!$F:$F,0),MATCH(U$5,CPAT_Results!$1:$1,0))</f>
        <v>550.70000000000005</v>
      </c>
      <c r="V97" s="146">
        <f>INDEX(CPAT_Results!$A:$AD,MATCH($H97&amp;"_"&amp;$C97,CPAT_Results!$F:$F,0),MATCH(V$5,CPAT_Results!$1:$1,0))</f>
        <v>571.10400000000004</v>
      </c>
      <c r="W97" s="146">
        <f>INDEX(CPAT_Results!$A:$AD,MATCH($H97&amp;"_"&amp;$C97,CPAT_Results!$F:$F,0),MATCH(W$5,CPAT_Results!$1:$1,0))</f>
        <v>593.79</v>
      </c>
      <c r="X97" s="146">
        <f>INDEX(CPAT_Results!$A:$AD,MATCH($H97&amp;"_"&amp;$C97,CPAT_Results!$F:$F,0),MATCH(X$5,CPAT_Results!$1:$1,0))</f>
        <v>617.68700000000001</v>
      </c>
      <c r="Y97" s="146">
        <f>INDEX(CPAT_Results!$A:$AD,MATCH($H97&amp;"_"&amp;$C97,CPAT_Results!$F:$F,0),MATCH(Y$5,CPAT_Results!$1:$1,0))</f>
        <v>642.94799999999998</v>
      </c>
      <c r="Z97" s="146">
        <f>INDEX(CPAT_Results!$A:$AD,MATCH($H97&amp;"_"&amp;$C97,CPAT_Results!$F:$F,0),MATCH(Z$5,CPAT_Results!$1:$1,0))</f>
        <v>668.89800000000002</v>
      </c>
      <c r="AA97" s="146">
        <f>INDEX(CPAT_Results!$A:$AD,MATCH($H97&amp;"_"&amp;$C97,CPAT_Results!$F:$F,0),MATCH(AA$5,CPAT_Results!$1:$1,0))</f>
        <v>698.43399999999997</v>
      </c>
      <c r="AB97" s="146">
        <f>INDEX(CPAT_Results!$A:$AD,MATCH($H97&amp;"_"&amp;$C97,CPAT_Results!$F:$F,0),MATCH(AB$5,CPAT_Results!$1:$1,0))</f>
        <v>728.75</v>
      </c>
      <c r="AC97" s="146">
        <f>INDEX(CPAT_Results!$A:$AD,MATCH($H97&amp;"_"&amp;$C97,CPAT_Results!$F:$F,0),MATCH(AC$5,CPAT_Results!$1:$1,0))</f>
        <v>761.48199999999997</v>
      </c>
      <c r="AD97" s="146">
        <f>INDEX(CPAT_Results!$A:$AD,MATCH($H97&amp;"_"&amp;$C97,CPAT_Results!$F:$F,0),MATCH(AD$5,CPAT_Results!$1:$1,0))</f>
        <v>796.45799999999997</v>
      </c>
      <c r="AE97" s="146">
        <f>INDEX(CPAT_Results!$A:$AD,MATCH($H97&amp;"_"&amp;$C97,CPAT_Results!$F:$F,0),MATCH(AE$5,CPAT_Results!$1:$1,0))</f>
        <v>833.33399999999995</v>
      </c>
    </row>
    <row r="98" spans="2:31" x14ac:dyDescent="0.2">
      <c r="B98" s="112" t="s">
        <v>3398</v>
      </c>
      <c r="C98" s="112" t="s">
        <v>3256</v>
      </c>
      <c r="D98" s="112" t="s">
        <v>3399</v>
      </c>
      <c r="E98" s="112" t="s">
        <v>3400</v>
      </c>
      <c r="F98" s="112" t="s">
        <v>11679</v>
      </c>
      <c r="H98" s="116" t="s">
        <v>3401</v>
      </c>
      <c r="L98" s="146">
        <f>INDEX(CPAT_Results!$A:$AD,MATCH($H98&amp;"_"&amp;$C98,CPAT_Results!$F:$F,0),MATCH(L$5,CPAT_Results!$1:$1,0))</f>
        <v>0</v>
      </c>
      <c r="M98" s="146">
        <f>INDEX(CPAT_Results!$A:$AD,MATCH($H98&amp;"_"&amp;$C98,CPAT_Results!$F:$F,0),MATCH(M$5,CPAT_Results!$1:$1,0))</f>
        <v>0</v>
      </c>
      <c r="N98" s="146">
        <f>INDEX(CPAT_Results!$A:$AD,MATCH($H98&amp;"_"&amp;$C98,CPAT_Results!$F:$F,0),MATCH(N$5,CPAT_Results!$1:$1,0))</f>
        <v>0</v>
      </c>
      <c r="O98" s="146">
        <f>INDEX(CPAT_Results!$A:$AD,MATCH($H98&amp;"_"&amp;$C98,CPAT_Results!$F:$F,0),MATCH(O$5,CPAT_Results!$1:$1,0))</f>
        <v>0</v>
      </c>
      <c r="P98" s="146">
        <f>INDEX(CPAT_Results!$A:$AD,MATCH($H98&amp;"_"&amp;$C98,CPAT_Results!$F:$F,0),MATCH(P$5,CPAT_Results!$1:$1,0))</f>
        <v>0.14000000000000001</v>
      </c>
      <c r="Q98" s="146">
        <f>INDEX(CPAT_Results!$A:$AD,MATCH($H98&amp;"_"&amp;$C98,CPAT_Results!$F:$F,0),MATCH(Q$5,CPAT_Results!$1:$1,0))</f>
        <v>0.15</v>
      </c>
      <c r="R98" s="146">
        <f>INDEX(CPAT_Results!$A:$AD,MATCH($H98&amp;"_"&amp;$C98,CPAT_Results!$F:$F,0),MATCH(R$5,CPAT_Results!$1:$1,0))</f>
        <v>0.15</v>
      </c>
      <c r="S98" s="146">
        <f>INDEX(CPAT_Results!$A:$AD,MATCH($H98&amp;"_"&amp;$C98,CPAT_Results!$F:$F,0),MATCH(S$5,CPAT_Results!$1:$1,0))</f>
        <v>0.15</v>
      </c>
      <c r="T98" s="146">
        <f>INDEX(CPAT_Results!$A:$AD,MATCH($H98&amp;"_"&amp;$C98,CPAT_Results!$F:$F,0),MATCH(T$5,CPAT_Results!$1:$1,0))</f>
        <v>0.16</v>
      </c>
      <c r="U98" s="146">
        <f>INDEX(CPAT_Results!$A:$AD,MATCH($H98&amp;"_"&amp;$C98,CPAT_Results!$F:$F,0),MATCH(U$5,CPAT_Results!$1:$1,0))</f>
        <v>0.16</v>
      </c>
      <c r="V98" s="146">
        <f>INDEX(CPAT_Results!$A:$AD,MATCH($H98&amp;"_"&amp;$C98,CPAT_Results!$F:$F,0),MATCH(V$5,CPAT_Results!$1:$1,0))</f>
        <v>0.16</v>
      </c>
      <c r="W98" s="146">
        <f>INDEX(CPAT_Results!$A:$AD,MATCH($H98&amp;"_"&amp;$C98,CPAT_Results!$F:$F,0),MATCH(W$5,CPAT_Results!$1:$1,0))</f>
        <v>0.16</v>
      </c>
      <c r="X98" s="146">
        <f>INDEX(CPAT_Results!$A:$AD,MATCH($H98&amp;"_"&amp;$C98,CPAT_Results!$F:$F,0),MATCH(X$5,CPAT_Results!$1:$1,0))</f>
        <v>0.17</v>
      </c>
      <c r="Y98" s="146">
        <f>INDEX(CPAT_Results!$A:$AD,MATCH($H98&amp;"_"&amp;$C98,CPAT_Results!$F:$F,0),MATCH(Y$5,CPAT_Results!$1:$1,0))</f>
        <v>0.17</v>
      </c>
      <c r="Z98" s="146">
        <f>INDEX(CPAT_Results!$A:$AD,MATCH($H98&amp;"_"&amp;$C98,CPAT_Results!$F:$F,0),MATCH(Z$5,CPAT_Results!$1:$1,0))</f>
        <v>0.17</v>
      </c>
      <c r="AA98" s="146">
        <f>INDEX(CPAT_Results!$A:$AD,MATCH($H98&amp;"_"&amp;$C98,CPAT_Results!$F:$F,0),MATCH(AA$5,CPAT_Results!$1:$1,0))</f>
        <v>0.18</v>
      </c>
      <c r="AB98" s="146">
        <f>INDEX(CPAT_Results!$A:$AD,MATCH($H98&amp;"_"&amp;$C98,CPAT_Results!$F:$F,0),MATCH(AB$5,CPAT_Results!$1:$1,0))</f>
        <v>0.18</v>
      </c>
      <c r="AC98" s="146">
        <f>INDEX(CPAT_Results!$A:$AD,MATCH($H98&amp;"_"&amp;$C98,CPAT_Results!$F:$F,0),MATCH(AC$5,CPAT_Results!$1:$1,0))</f>
        <v>0.19</v>
      </c>
      <c r="AD98" s="146">
        <f>INDEX(CPAT_Results!$A:$AD,MATCH($H98&amp;"_"&amp;$C98,CPAT_Results!$F:$F,0),MATCH(AD$5,CPAT_Results!$1:$1,0))</f>
        <v>0.19</v>
      </c>
      <c r="AE98" s="146">
        <f>INDEX(CPAT_Results!$A:$AD,MATCH($H98&amp;"_"&amp;$C98,CPAT_Results!$F:$F,0),MATCH(AE$5,CPAT_Results!$1:$1,0))</f>
        <v>0.19</v>
      </c>
    </row>
    <row r="99" spans="2:31" x14ac:dyDescent="0.2">
      <c r="B99" s="112" t="s">
        <v>3402</v>
      </c>
      <c r="C99" s="112" t="s">
        <v>3261</v>
      </c>
      <c r="D99" s="112" t="s">
        <v>3399</v>
      </c>
      <c r="E99" s="112" t="s">
        <v>3400</v>
      </c>
      <c r="F99" s="112" t="s">
        <v>11680</v>
      </c>
      <c r="H99" s="116" t="s">
        <v>3401</v>
      </c>
      <c r="L99" s="146">
        <f>INDEX(CPAT_Results!$A:$AD,MATCH($H99&amp;"_"&amp;$C99,CPAT_Results!$F:$F,0),MATCH(L$5,CPAT_Results!$1:$1,0))</f>
        <v>0</v>
      </c>
      <c r="M99" s="146">
        <f>INDEX(CPAT_Results!$A:$AD,MATCH($H99&amp;"_"&amp;$C99,CPAT_Results!$F:$F,0),MATCH(M$5,CPAT_Results!$1:$1,0))</f>
        <v>0</v>
      </c>
      <c r="N99" s="146">
        <f>INDEX(CPAT_Results!$A:$AD,MATCH($H99&amp;"_"&amp;$C99,CPAT_Results!$F:$F,0),MATCH(N$5,CPAT_Results!$1:$1,0))</f>
        <v>0</v>
      </c>
      <c r="O99" s="146">
        <f>INDEX(CPAT_Results!$A:$AD,MATCH($H99&amp;"_"&amp;$C99,CPAT_Results!$F:$F,0),MATCH(O$5,CPAT_Results!$1:$1,0))</f>
        <v>0</v>
      </c>
      <c r="P99" s="146">
        <f>INDEX(CPAT_Results!$A:$AD,MATCH($H99&amp;"_"&amp;$C99,CPAT_Results!$F:$F,0),MATCH(P$5,CPAT_Results!$1:$1,0))</f>
        <v>0</v>
      </c>
      <c r="Q99" s="146">
        <f>INDEX(CPAT_Results!$A:$AD,MATCH($H99&amp;"_"&amp;$C99,CPAT_Results!$F:$F,0),MATCH(Q$5,CPAT_Results!$1:$1,0))</f>
        <v>0</v>
      </c>
      <c r="R99" s="146">
        <f>INDEX(CPAT_Results!$A:$AD,MATCH($H99&amp;"_"&amp;$C99,CPAT_Results!$F:$F,0),MATCH(R$5,CPAT_Results!$1:$1,0))</f>
        <v>0</v>
      </c>
      <c r="S99" s="146">
        <f>INDEX(CPAT_Results!$A:$AD,MATCH($H99&amp;"_"&amp;$C99,CPAT_Results!$F:$F,0),MATCH(S$5,CPAT_Results!$1:$1,0))</f>
        <v>0</v>
      </c>
      <c r="T99" s="146">
        <f>INDEX(CPAT_Results!$A:$AD,MATCH($H99&amp;"_"&amp;$C99,CPAT_Results!$F:$F,0),MATCH(T$5,CPAT_Results!$1:$1,0))</f>
        <v>0</v>
      </c>
      <c r="U99" s="146">
        <f>INDEX(CPAT_Results!$A:$AD,MATCH($H99&amp;"_"&amp;$C99,CPAT_Results!$F:$F,0),MATCH(U$5,CPAT_Results!$1:$1,0))</f>
        <v>0</v>
      </c>
      <c r="V99" s="146">
        <f>INDEX(CPAT_Results!$A:$AD,MATCH($H99&amp;"_"&amp;$C99,CPAT_Results!$F:$F,0),MATCH(V$5,CPAT_Results!$1:$1,0))</f>
        <v>0</v>
      </c>
      <c r="W99" s="146">
        <f>INDEX(CPAT_Results!$A:$AD,MATCH($H99&amp;"_"&amp;$C99,CPAT_Results!$F:$F,0),MATCH(W$5,CPAT_Results!$1:$1,0))</f>
        <v>0</v>
      </c>
      <c r="X99" s="146">
        <f>INDEX(CPAT_Results!$A:$AD,MATCH($H99&amp;"_"&amp;$C99,CPAT_Results!$F:$F,0),MATCH(X$5,CPAT_Results!$1:$1,0))</f>
        <v>0</v>
      </c>
      <c r="Y99" s="146">
        <f>INDEX(CPAT_Results!$A:$AD,MATCH($H99&amp;"_"&amp;$C99,CPAT_Results!$F:$F,0),MATCH(Y$5,CPAT_Results!$1:$1,0))</f>
        <v>0</v>
      </c>
      <c r="Z99" s="146">
        <f>INDEX(CPAT_Results!$A:$AD,MATCH($H99&amp;"_"&amp;$C99,CPAT_Results!$F:$F,0),MATCH(Z$5,CPAT_Results!$1:$1,0))</f>
        <v>0</v>
      </c>
      <c r="AA99" s="146">
        <f>INDEX(CPAT_Results!$A:$AD,MATCH($H99&amp;"_"&amp;$C99,CPAT_Results!$F:$F,0),MATCH(AA$5,CPAT_Results!$1:$1,0))</f>
        <v>0</v>
      </c>
      <c r="AB99" s="146">
        <f>INDEX(CPAT_Results!$A:$AD,MATCH($H99&amp;"_"&amp;$C99,CPAT_Results!$F:$F,0),MATCH(AB$5,CPAT_Results!$1:$1,0))</f>
        <v>0</v>
      </c>
      <c r="AC99" s="146">
        <f>INDEX(CPAT_Results!$A:$AD,MATCH($H99&amp;"_"&amp;$C99,CPAT_Results!$F:$F,0),MATCH(AC$5,CPAT_Results!$1:$1,0))</f>
        <v>0</v>
      </c>
      <c r="AD99" s="146">
        <f>INDEX(CPAT_Results!$A:$AD,MATCH($H99&amp;"_"&amp;$C99,CPAT_Results!$F:$F,0),MATCH(AD$5,CPAT_Results!$1:$1,0))</f>
        <v>0</v>
      </c>
      <c r="AE99" s="146">
        <f>INDEX(CPAT_Results!$A:$AD,MATCH($H99&amp;"_"&amp;$C99,CPAT_Results!$F:$F,0),MATCH(AE$5,CPAT_Results!$1:$1,0))</f>
        <v>0</v>
      </c>
    </row>
    <row r="100" spans="2:31" x14ac:dyDescent="0.2">
      <c r="B100" s="112" t="s">
        <v>3403</v>
      </c>
      <c r="C100" s="112" t="s">
        <v>3263</v>
      </c>
      <c r="D100" s="112" t="s">
        <v>3399</v>
      </c>
      <c r="E100" s="112" t="s">
        <v>3400</v>
      </c>
      <c r="F100" s="112" t="s">
        <v>11681</v>
      </c>
      <c r="H100" s="116" t="s">
        <v>3401</v>
      </c>
      <c r="L100" s="146">
        <f>INDEX(CPAT_Results!$A:$AD,MATCH($H100&amp;"_"&amp;$C100,CPAT_Results!$F:$F,0),MATCH(L$5,CPAT_Results!$1:$1,0))</f>
        <v>0</v>
      </c>
      <c r="M100" s="146">
        <f>INDEX(CPAT_Results!$A:$AD,MATCH($H100&amp;"_"&amp;$C100,CPAT_Results!$F:$F,0),MATCH(M$5,CPAT_Results!$1:$1,0))</f>
        <v>0</v>
      </c>
      <c r="N100" s="146">
        <f>INDEX(CPAT_Results!$A:$AD,MATCH($H100&amp;"_"&amp;$C100,CPAT_Results!$F:$F,0),MATCH(N$5,CPAT_Results!$1:$1,0))</f>
        <v>0</v>
      </c>
      <c r="O100" s="146">
        <f>INDEX(CPAT_Results!$A:$AD,MATCH($H100&amp;"_"&amp;$C100,CPAT_Results!$F:$F,0),MATCH(O$5,CPAT_Results!$1:$1,0))</f>
        <v>0</v>
      </c>
      <c r="P100" s="146">
        <f>INDEX(CPAT_Results!$A:$AD,MATCH($H100&amp;"_"&amp;$C100,CPAT_Results!$F:$F,0),MATCH(P$5,CPAT_Results!$1:$1,0))</f>
        <v>0.08</v>
      </c>
      <c r="Q100" s="146">
        <f>INDEX(CPAT_Results!$A:$AD,MATCH($H100&amp;"_"&amp;$C100,CPAT_Results!$F:$F,0),MATCH(Q$5,CPAT_Results!$1:$1,0))</f>
        <v>0.11</v>
      </c>
      <c r="R100" s="146">
        <f>INDEX(CPAT_Results!$A:$AD,MATCH($H100&amp;"_"&amp;$C100,CPAT_Results!$F:$F,0),MATCH(R$5,CPAT_Results!$1:$1,0))</f>
        <v>0.14000000000000001</v>
      </c>
      <c r="S100" s="146">
        <f>INDEX(CPAT_Results!$A:$AD,MATCH($H100&amp;"_"&amp;$C100,CPAT_Results!$F:$F,0),MATCH(S$5,CPAT_Results!$1:$1,0))</f>
        <v>0.17</v>
      </c>
      <c r="T100" s="146">
        <f>INDEX(CPAT_Results!$A:$AD,MATCH($H100&amp;"_"&amp;$C100,CPAT_Results!$F:$F,0),MATCH(T$5,CPAT_Results!$1:$1,0))</f>
        <v>0.19</v>
      </c>
      <c r="U100" s="146">
        <f>INDEX(CPAT_Results!$A:$AD,MATCH($H100&amp;"_"&amp;$C100,CPAT_Results!$F:$F,0),MATCH(U$5,CPAT_Results!$1:$1,0))</f>
        <v>0.22</v>
      </c>
      <c r="V100" s="146">
        <f>INDEX(CPAT_Results!$A:$AD,MATCH($H100&amp;"_"&amp;$C100,CPAT_Results!$F:$F,0),MATCH(V$5,CPAT_Results!$1:$1,0))</f>
        <v>0.25</v>
      </c>
      <c r="W100" s="146">
        <f>INDEX(CPAT_Results!$A:$AD,MATCH($H100&amp;"_"&amp;$C100,CPAT_Results!$F:$F,0),MATCH(W$5,CPAT_Results!$1:$1,0))</f>
        <v>0.28000000000000003</v>
      </c>
      <c r="X100" s="146">
        <f>INDEX(CPAT_Results!$A:$AD,MATCH($H100&amp;"_"&amp;$C100,CPAT_Results!$F:$F,0),MATCH(X$5,CPAT_Results!$1:$1,0))</f>
        <v>0.31</v>
      </c>
      <c r="Y100" s="146">
        <f>INDEX(CPAT_Results!$A:$AD,MATCH($H100&amp;"_"&amp;$C100,CPAT_Results!$F:$F,0),MATCH(Y$5,CPAT_Results!$1:$1,0))</f>
        <v>0.34</v>
      </c>
      <c r="Z100" s="146">
        <f>INDEX(CPAT_Results!$A:$AD,MATCH($H100&amp;"_"&amp;$C100,CPAT_Results!$F:$F,0),MATCH(Z$5,CPAT_Results!$1:$1,0))</f>
        <v>0.37</v>
      </c>
      <c r="AA100" s="146">
        <f>INDEX(CPAT_Results!$A:$AD,MATCH($H100&amp;"_"&amp;$C100,CPAT_Results!$F:$F,0),MATCH(AA$5,CPAT_Results!$1:$1,0))</f>
        <v>0.4</v>
      </c>
      <c r="AB100" s="146">
        <f>INDEX(CPAT_Results!$A:$AD,MATCH($H100&amp;"_"&amp;$C100,CPAT_Results!$F:$F,0),MATCH(AB$5,CPAT_Results!$1:$1,0))</f>
        <v>0.43</v>
      </c>
      <c r="AC100" s="146">
        <f>INDEX(CPAT_Results!$A:$AD,MATCH($H100&amp;"_"&amp;$C100,CPAT_Results!$F:$F,0),MATCH(AC$5,CPAT_Results!$1:$1,0))</f>
        <v>0.46</v>
      </c>
      <c r="AD100" s="146">
        <f>INDEX(CPAT_Results!$A:$AD,MATCH($H100&amp;"_"&amp;$C100,CPAT_Results!$F:$F,0),MATCH(AD$5,CPAT_Results!$1:$1,0))</f>
        <v>0.49</v>
      </c>
      <c r="AE100" s="146">
        <f>INDEX(CPAT_Results!$A:$AD,MATCH($H100&amp;"_"&amp;$C100,CPAT_Results!$F:$F,0),MATCH(AE$5,CPAT_Results!$1:$1,0))</f>
        <v>0.51</v>
      </c>
    </row>
    <row r="101" spans="2:31" x14ac:dyDescent="0.2">
      <c r="B101" s="112" t="s">
        <v>3404</v>
      </c>
      <c r="C101" s="112" t="s">
        <v>3265</v>
      </c>
      <c r="D101" s="112" t="s">
        <v>3399</v>
      </c>
      <c r="E101" s="112" t="s">
        <v>3400</v>
      </c>
      <c r="F101" s="112" t="s">
        <v>11682</v>
      </c>
      <c r="H101" s="116" t="s">
        <v>3401</v>
      </c>
      <c r="L101" s="146">
        <f>INDEX(CPAT_Results!$A:$AD,MATCH($H101&amp;"_"&amp;$C101,CPAT_Results!$F:$F,0),MATCH(L$5,CPAT_Results!$1:$1,0))</f>
        <v>0</v>
      </c>
      <c r="M101" s="146">
        <f>INDEX(CPAT_Results!$A:$AD,MATCH($H101&amp;"_"&amp;$C101,CPAT_Results!$F:$F,0),MATCH(M$5,CPAT_Results!$1:$1,0))</f>
        <v>0</v>
      </c>
      <c r="N101" s="146">
        <f>INDEX(CPAT_Results!$A:$AD,MATCH($H101&amp;"_"&amp;$C101,CPAT_Results!$F:$F,0),MATCH(N$5,CPAT_Results!$1:$1,0))</f>
        <v>0</v>
      </c>
      <c r="O101" s="146">
        <f>INDEX(CPAT_Results!$A:$AD,MATCH($H101&amp;"_"&amp;$C101,CPAT_Results!$F:$F,0),MATCH(O$5,CPAT_Results!$1:$1,0))</f>
        <v>0</v>
      </c>
      <c r="P101" s="146">
        <f>INDEX(CPAT_Results!$A:$AD,MATCH($H101&amp;"_"&amp;$C101,CPAT_Results!$F:$F,0),MATCH(P$5,CPAT_Results!$1:$1,0))</f>
        <v>0</v>
      </c>
      <c r="Q101" s="146">
        <f>INDEX(CPAT_Results!$A:$AD,MATCH($H101&amp;"_"&amp;$C101,CPAT_Results!$F:$F,0),MATCH(Q$5,CPAT_Results!$1:$1,0))</f>
        <v>0</v>
      </c>
      <c r="R101" s="146">
        <f>INDEX(CPAT_Results!$A:$AD,MATCH($H101&amp;"_"&amp;$C101,CPAT_Results!$F:$F,0),MATCH(R$5,CPAT_Results!$1:$1,0))</f>
        <v>0</v>
      </c>
      <c r="S101" s="146">
        <f>INDEX(CPAT_Results!$A:$AD,MATCH($H101&amp;"_"&amp;$C101,CPAT_Results!$F:$F,0),MATCH(S$5,CPAT_Results!$1:$1,0))</f>
        <v>0</v>
      </c>
      <c r="T101" s="146">
        <f>INDEX(CPAT_Results!$A:$AD,MATCH($H101&amp;"_"&amp;$C101,CPAT_Results!$F:$F,0),MATCH(T$5,CPAT_Results!$1:$1,0))</f>
        <v>0</v>
      </c>
      <c r="U101" s="146">
        <f>INDEX(CPAT_Results!$A:$AD,MATCH($H101&amp;"_"&amp;$C101,CPAT_Results!$F:$F,0),MATCH(U$5,CPAT_Results!$1:$1,0))</f>
        <v>0</v>
      </c>
      <c r="V101" s="146">
        <f>INDEX(CPAT_Results!$A:$AD,MATCH($H101&amp;"_"&amp;$C101,CPAT_Results!$F:$F,0),MATCH(V$5,CPAT_Results!$1:$1,0))</f>
        <v>0</v>
      </c>
      <c r="W101" s="146">
        <f>INDEX(CPAT_Results!$A:$AD,MATCH($H101&amp;"_"&amp;$C101,CPAT_Results!$F:$F,0),MATCH(W$5,CPAT_Results!$1:$1,0))</f>
        <v>0</v>
      </c>
      <c r="X101" s="146">
        <f>INDEX(CPAT_Results!$A:$AD,MATCH($H101&amp;"_"&amp;$C101,CPAT_Results!$F:$F,0),MATCH(X$5,CPAT_Results!$1:$1,0))</f>
        <v>0</v>
      </c>
      <c r="Y101" s="146">
        <f>INDEX(CPAT_Results!$A:$AD,MATCH($H101&amp;"_"&amp;$C101,CPAT_Results!$F:$F,0),MATCH(Y$5,CPAT_Results!$1:$1,0))</f>
        <v>0</v>
      </c>
      <c r="Z101" s="146">
        <f>INDEX(CPAT_Results!$A:$AD,MATCH($H101&amp;"_"&amp;$C101,CPAT_Results!$F:$F,0),MATCH(Z$5,CPAT_Results!$1:$1,0))</f>
        <v>0</v>
      </c>
      <c r="AA101" s="146">
        <f>INDEX(CPAT_Results!$A:$AD,MATCH($H101&amp;"_"&amp;$C101,CPAT_Results!$F:$F,0),MATCH(AA$5,CPAT_Results!$1:$1,0))</f>
        <v>0</v>
      </c>
      <c r="AB101" s="146">
        <f>INDEX(CPAT_Results!$A:$AD,MATCH($H101&amp;"_"&amp;$C101,CPAT_Results!$F:$F,0),MATCH(AB$5,CPAT_Results!$1:$1,0))</f>
        <v>0</v>
      </c>
      <c r="AC101" s="146">
        <f>INDEX(CPAT_Results!$A:$AD,MATCH($H101&amp;"_"&amp;$C101,CPAT_Results!$F:$F,0),MATCH(AC$5,CPAT_Results!$1:$1,0))</f>
        <v>0</v>
      </c>
      <c r="AD101" s="146">
        <f>INDEX(CPAT_Results!$A:$AD,MATCH($H101&amp;"_"&amp;$C101,CPAT_Results!$F:$F,0),MATCH(AD$5,CPAT_Results!$1:$1,0))</f>
        <v>0</v>
      </c>
      <c r="AE101" s="146">
        <f>INDEX(CPAT_Results!$A:$AD,MATCH($H101&amp;"_"&amp;$C101,CPAT_Results!$F:$F,0),MATCH(AE$5,CPAT_Results!$1:$1,0))</f>
        <v>0</v>
      </c>
    </row>
    <row r="102" spans="2:31" x14ac:dyDescent="0.2">
      <c r="B102" s="112" t="s">
        <v>3405</v>
      </c>
      <c r="C102" s="112" t="s">
        <v>3256</v>
      </c>
      <c r="D102" s="112" t="s">
        <v>3406</v>
      </c>
      <c r="E102" s="112" t="s">
        <v>3400</v>
      </c>
      <c r="F102" s="112" t="s">
        <v>11679</v>
      </c>
      <c r="H102" s="116" t="s">
        <v>3407</v>
      </c>
      <c r="L102" s="146">
        <f>INDEX(CPAT_Results!$A:$AD,MATCH($H102&amp;"_"&amp;$C102,CPAT_Results!$F:$F,0),MATCH(L$5,CPAT_Results!$1:$1,0))</f>
        <v>0</v>
      </c>
      <c r="M102" s="146">
        <f>INDEX(CPAT_Results!$A:$AD,MATCH($H102&amp;"_"&amp;$C102,CPAT_Results!$F:$F,0),MATCH(M$5,CPAT_Results!$1:$1,0))</f>
        <v>0</v>
      </c>
      <c r="N102" s="146">
        <f>INDEX(CPAT_Results!$A:$AD,MATCH($H102&amp;"_"&amp;$C102,CPAT_Results!$F:$F,0),MATCH(N$5,CPAT_Results!$1:$1,0))</f>
        <v>0</v>
      </c>
      <c r="O102" s="146">
        <f>INDEX(CPAT_Results!$A:$AD,MATCH($H102&amp;"_"&amp;$C102,CPAT_Results!$F:$F,0),MATCH(O$5,CPAT_Results!$1:$1,0))</f>
        <v>0</v>
      </c>
      <c r="P102" s="146">
        <f>INDEX(CPAT_Results!$A:$AD,MATCH($H102&amp;"_"&amp;$C102,CPAT_Results!$F:$F,0),MATCH(P$5,CPAT_Results!$1:$1,0))</f>
        <v>0.92</v>
      </c>
      <c r="Q102" s="146">
        <f>INDEX(CPAT_Results!$A:$AD,MATCH($H102&amp;"_"&amp;$C102,CPAT_Results!$F:$F,0),MATCH(Q$5,CPAT_Results!$1:$1,0))</f>
        <v>0.98</v>
      </c>
      <c r="R102" s="146">
        <f>INDEX(CPAT_Results!$A:$AD,MATCH($H102&amp;"_"&amp;$C102,CPAT_Results!$F:$F,0),MATCH(R$5,CPAT_Results!$1:$1,0))</f>
        <v>1.04</v>
      </c>
      <c r="S102" s="146">
        <f>INDEX(CPAT_Results!$A:$AD,MATCH($H102&amp;"_"&amp;$C102,CPAT_Results!$F:$F,0),MATCH(S$5,CPAT_Results!$1:$1,0))</f>
        <v>1.1100000000000001</v>
      </c>
      <c r="T102" s="146">
        <f>INDEX(CPAT_Results!$A:$AD,MATCH($H102&amp;"_"&amp;$C102,CPAT_Results!$F:$F,0),MATCH(T$5,CPAT_Results!$1:$1,0))</f>
        <v>1.19</v>
      </c>
      <c r="U102" s="146">
        <f>INDEX(CPAT_Results!$A:$AD,MATCH($H102&amp;"_"&amp;$C102,CPAT_Results!$F:$F,0),MATCH(U$5,CPAT_Results!$1:$1,0))</f>
        <v>1.28</v>
      </c>
      <c r="V102" s="146">
        <f>INDEX(CPAT_Results!$A:$AD,MATCH($H102&amp;"_"&amp;$C102,CPAT_Results!$F:$F,0),MATCH(V$5,CPAT_Results!$1:$1,0))</f>
        <v>1.38</v>
      </c>
      <c r="W102" s="146">
        <f>INDEX(CPAT_Results!$A:$AD,MATCH($H102&amp;"_"&amp;$C102,CPAT_Results!$F:$F,0),MATCH(W$5,CPAT_Results!$1:$1,0))</f>
        <v>1.48</v>
      </c>
      <c r="X102" s="146">
        <f>INDEX(CPAT_Results!$A:$AD,MATCH($H102&amp;"_"&amp;$C102,CPAT_Results!$F:$F,0),MATCH(X$5,CPAT_Results!$1:$1,0))</f>
        <v>1.59</v>
      </c>
      <c r="Y102" s="146">
        <f>INDEX(CPAT_Results!$A:$AD,MATCH($H102&amp;"_"&amp;$C102,CPAT_Results!$F:$F,0),MATCH(Y$5,CPAT_Results!$1:$1,0))</f>
        <v>1.71</v>
      </c>
      <c r="Z102" s="146">
        <f>INDEX(CPAT_Results!$A:$AD,MATCH($H102&amp;"_"&amp;$C102,CPAT_Results!$F:$F,0),MATCH(Z$5,CPAT_Results!$1:$1,0))</f>
        <v>1.83</v>
      </c>
      <c r="AA102" s="146">
        <f>INDEX(CPAT_Results!$A:$AD,MATCH($H102&amp;"_"&amp;$C102,CPAT_Results!$F:$F,0),MATCH(AA$5,CPAT_Results!$1:$1,0))</f>
        <v>1.96</v>
      </c>
      <c r="AB102" s="146">
        <f>INDEX(CPAT_Results!$A:$AD,MATCH($H102&amp;"_"&amp;$C102,CPAT_Results!$F:$F,0),MATCH(AB$5,CPAT_Results!$1:$1,0))</f>
        <v>2.09</v>
      </c>
      <c r="AC102" s="146">
        <f>INDEX(CPAT_Results!$A:$AD,MATCH($H102&amp;"_"&amp;$C102,CPAT_Results!$F:$F,0),MATCH(AC$5,CPAT_Results!$1:$1,0))</f>
        <v>2.23</v>
      </c>
      <c r="AD102" s="146">
        <f>INDEX(CPAT_Results!$A:$AD,MATCH($H102&amp;"_"&amp;$C102,CPAT_Results!$F:$F,0),MATCH(AD$5,CPAT_Results!$1:$1,0))</f>
        <v>2.38</v>
      </c>
      <c r="AE102" s="146">
        <f>INDEX(CPAT_Results!$A:$AD,MATCH($H102&amp;"_"&amp;$C102,CPAT_Results!$F:$F,0),MATCH(AE$5,CPAT_Results!$1:$1,0))</f>
        <v>2.5299999999999998</v>
      </c>
    </row>
    <row r="103" spans="2:31" x14ac:dyDescent="0.2">
      <c r="B103" s="112" t="s">
        <v>3408</v>
      </c>
      <c r="C103" s="112" t="s">
        <v>3261</v>
      </c>
      <c r="D103" s="112" t="s">
        <v>3406</v>
      </c>
      <c r="E103" s="112" t="s">
        <v>3400</v>
      </c>
      <c r="F103" s="112" t="s">
        <v>11680</v>
      </c>
      <c r="H103" s="116" t="s">
        <v>3407</v>
      </c>
      <c r="L103" s="146">
        <f>INDEX(CPAT_Results!$A:$AD,MATCH($H103&amp;"_"&amp;$C103,CPAT_Results!$F:$F,0),MATCH(L$5,CPAT_Results!$1:$1,0))</f>
        <v>0</v>
      </c>
      <c r="M103" s="146">
        <f>INDEX(CPAT_Results!$A:$AD,MATCH($H103&amp;"_"&amp;$C103,CPAT_Results!$F:$F,0),MATCH(M$5,CPAT_Results!$1:$1,0))</f>
        <v>0</v>
      </c>
      <c r="N103" s="146">
        <f>INDEX(CPAT_Results!$A:$AD,MATCH($H103&amp;"_"&amp;$C103,CPAT_Results!$F:$F,0),MATCH(N$5,CPAT_Results!$1:$1,0))</f>
        <v>0</v>
      </c>
      <c r="O103" s="146">
        <f>INDEX(CPAT_Results!$A:$AD,MATCH($H103&amp;"_"&amp;$C103,CPAT_Results!$F:$F,0),MATCH(O$5,CPAT_Results!$1:$1,0))</f>
        <v>0</v>
      </c>
      <c r="P103" s="146">
        <f>INDEX(CPAT_Results!$A:$AD,MATCH($H103&amp;"_"&amp;$C103,CPAT_Results!$F:$F,0),MATCH(P$5,CPAT_Results!$1:$1,0))</f>
        <v>0</v>
      </c>
      <c r="Q103" s="146">
        <f>INDEX(CPAT_Results!$A:$AD,MATCH($H103&amp;"_"&amp;$C103,CPAT_Results!$F:$F,0),MATCH(Q$5,CPAT_Results!$1:$1,0))</f>
        <v>0</v>
      </c>
      <c r="R103" s="146">
        <f>INDEX(CPAT_Results!$A:$AD,MATCH($H103&amp;"_"&amp;$C103,CPAT_Results!$F:$F,0),MATCH(R$5,CPAT_Results!$1:$1,0))</f>
        <v>0</v>
      </c>
      <c r="S103" s="146">
        <f>INDEX(CPAT_Results!$A:$AD,MATCH($H103&amp;"_"&amp;$C103,CPAT_Results!$F:$F,0),MATCH(S$5,CPAT_Results!$1:$1,0))</f>
        <v>0</v>
      </c>
      <c r="T103" s="146">
        <f>INDEX(CPAT_Results!$A:$AD,MATCH($H103&amp;"_"&amp;$C103,CPAT_Results!$F:$F,0),MATCH(T$5,CPAT_Results!$1:$1,0))</f>
        <v>0</v>
      </c>
      <c r="U103" s="146">
        <f>INDEX(CPAT_Results!$A:$AD,MATCH($H103&amp;"_"&amp;$C103,CPAT_Results!$F:$F,0),MATCH(U$5,CPAT_Results!$1:$1,0))</f>
        <v>0</v>
      </c>
      <c r="V103" s="146">
        <f>INDEX(CPAT_Results!$A:$AD,MATCH($H103&amp;"_"&amp;$C103,CPAT_Results!$F:$F,0),MATCH(V$5,CPAT_Results!$1:$1,0))</f>
        <v>0</v>
      </c>
      <c r="W103" s="146">
        <f>INDEX(CPAT_Results!$A:$AD,MATCH($H103&amp;"_"&amp;$C103,CPAT_Results!$F:$F,0),MATCH(W$5,CPAT_Results!$1:$1,0))</f>
        <v>0</v>
      </c>
      <c r="X103" s="146">
        <f>INDEX(CPAT_Results!$A:$AD,MATCH($H103&amp;"_"&amp;$C103,CPAT_Results!$F:$F,0),MATCH(X$5,CPAT_Results!$1:$1,0))</f>
        <v>0</v>
      </c>
      <c r="Y103" s="146">
        <f>INDEX(CPAT_Results!$A:$AD,MATCH($H103&amp;"_"&amp;$C103,CPAT_Results!$F:$F,0),MATCH(Y$5,CPAT_Results!$1:$1,0))</f>
        <v>0</v>
      </c>
      <c r="Z103" s="146">
        <f>INDEX(CPAT_Results!$A:$AD,MATCH($H103&amp;"_"&amp;$C103,CPAT_Results!$F:$F,0),MATCH(Z$5,CPAT_Results!$1:$1,0))</f>
        <v>0</v>
      </c>
      <c r="AA103" s="146">
        <f>INDEX(CPAT_Results!$A:$AD,MATCH($H103&amp;"_"&amp;$C103,CPAT_Results!$F:$F,0),MATCH(AA$5,CPAT_Results!$1:$1,0))</f>
        <v>0</v>
      </c>
      <c r="AB103" s="146">
        <f>INDEX(CPAT_Results!$A:$AD,MATCH($H103&amp;"_"&amp;$C103,CPAT_Results!$F:$F,0),MATCH(AB$5,CPAT_Results!$1:$1,0))</f>
        <v>0</v>
      </c>
      <c r="AC103" s="146">
        <f>INDEX(CPAT_Results!$A:$AD,MATCH($H103&amp;"_"&amp;$C103,CPAT_Results!$F:$F,0),MATCH(AC$5,CPAT_Results!$1:$1,0))</f>
        <v>0</v>
      </c>
      <c r="AD103" s="146">
        <f>INDEX(CPAT_Results!$A:$AD,MATCH($H103&amp;"_"&amp;$C103,CPAT_Results!$F:$F,0),MATCH(AD$5,CPAT_Results!$1:$1,0))</f>
        <v>0</v>
      </c>
      <c r="AE103" s="146">
        <f>INDEX(CPAT_Results!$A:$AD,MATCH($H103&amp;"_"&amp;$C103,CPAT_Results!$F:$F,0),MATCH(AE$5,CPAT_Results!$1:$1,0))</f>
        <v>0</v>
      </c>
    </row>
    <row r="104" spans="2:31" x14ac:dyDescent="0.2">
      <c r="B104" s="112" t="s">
        <v>3409</v>
      </c>
      <c r="C104" s="112" t="s">
        <v>3263</v>
      </c>
      <c r="D104" s="112" t="s">
        <v>3406</v>
      </c>
      <c r="E104" s="112" t="s">
        <v>3400</v>
      </c>
      <c r="F104" s="112" t="s">
        <v>11681</v>
      </c>
      <c r="H104" s="116" t="s">
        <v>3407</v>
      </c>
      <c r="L104" s="146">
        <f>INDEX(CPAT_Results!$A:$AD,MATCH($H104&amp;"_"&amp;$C104,CPAT_Results!$F:$F,0),MATCH(L$5,CPAT_Results!$1:$1,0))</f>
        <v>0</v>
      </c>
      <c r="M104" s="146">
        <f>INDEX(CPAT_Results!$A:$AD,MATCH($H104&amp;"_"&amp;$C104,CPAT_Results!$F:$F,0),MATCH(M$5,CPAT_Results!$1:$1,0))</f>
        <v>0</v>
      </c>
      <c r="N104" s="146">
        <f>INDEX(CPAT_Results!$A:$AD,MATCH($H104&amp;"_"&amp;$C104,CPAT_Results!$F:$F,0),MATCH(N$5,CPAT_Results!$1:$1,0))</f>
        <v>0</v>
      </c>
      <c r="O104" s="146">
        <f>INDEX(CPAT_Results!$A:$AD,MATCH($H104&amp;"_"&amp;$C104,CPAT_Results!$F:$F,0),MATCH(O$5,CPAT_Results!$1:$1,0))</f>
        <v>0</v>
      </c>
      <c r="P104" s="146">
        <f>INDEX(CPAT_Results!$A:$AD,MATCH($H104&amp;"_"&amp;$C104,CPAT_Results!$F:$F,0),MATCH(P$5,CPAT_Results!$1:$1,0))</f>
        <v>0.03</v>
      </c>
      <c r="Q104" s="146">
        <f>INDEX(CPAT_Results!$A:$AD,MATCH($H104&amp;"_"&amp;$C104,CPAT_Results!$F:$F,0),MATCH(Q$5,CPAT_Results!$1:$1,0))</f>
        <v>0.05</v>
      </c>
      <c r="R104" s="146">
        <f>INDEX(CPAT_Results!$A:$AD,MATCH($H104&amp;"_"&amp;$C104,CPAT_Results!$F:$F,0),MATCH(R$5,CPAT_Results!$1:$1,0))</f>
        <v>0.06</v>
      </c>
      <c r="S104" s="146">
        <f>INDEX(CPAT_Results!$A:$AD,MATCH($H104&amp;"_"&amp;$C104,CPAT_Results!$F:$F,0),MATCH(S$5,CPAT_Results!$1:$1,0))</f>
        <v>7.0000000000000007E-2</v>
      </c>
      <c r="T104" s="146">
        <f>INDEX(CPAT_Results!$A:$AD,MATCH($H104&amp;"_"&amp;$C104,CPAT_Results!$F:$F,0),MATCH(T$5,CPAT_Results!$1:$1,0))</f>
        <v>0.08</v>
      </c>
      <c r="U104" s="146">
        <f>INDEX(CPAT_Results!$A:$AD,MATCH($H104&amp;"_"&amp;$C104,CPAT_Results!$F:$F,0),MATCH(U$5,CPAT_Results!$1:$1,0))</f>
        <v>0.09</v>
      </c>
      <c r="V104" s="146">
        <f>INDEX(CPAT_Results!$A:$AD,MATCH($H104&amp;"_"&amp;$C104,CPAT_Results!$F:$F,0),MATCH(V$5,CPAT_Results!$1:$1,0))</f>
        <v>0.1</v>
      </c>
      <c r="W104" s="146">
        <f>INDEX(CPAT_Results!$A:$AD,MATCH($H104&amp;"_"&amp;$C104,CPAT_Results!$F:$F,0),MATCH(W$5,CPAT_Results!$1:$1,0))</f>
        <v>0.12</v>
      </c>
      <c r="X104" s="146">
        <f>INDEX(CPAT_Results!$A:$AD,MATCH($H104&amp;"_"&amp;$C104,CPAT_Results!$F:$F,0),MATCH(X$5,CPAT_Results!$1:$1,0))</f>
        <v>0.13</v>
      </c>
      <c r="Y104" s="146">
        <f>INDEX(CPAT_Results!$A:$AD,MATCH($H104&amp;"_"&amp;$C104,CPAT_Results!$F:$F,0),MATCH(Y$5,CPAT_Results!$1:$1,0))</f>
        <v>0.14000000000000001</v>
      </c>
      <c r="Z104" s="146">
        <f>INDEX(CPAT_Results!$A:$AD,MATCH($H104&amp;"_"&amp;$C104,CPAT_Results!$F:$F,0),MATCH(Z$5,CPAT_Results!$1:$1,0))</f>
        <v>0.15</v>
      </c>
      <c r="AA104" s="146">
        <f>INDEX(CPAT_Results!$A:$AD,MATCH($H104&amp;"_"&amp;$C104,CPAT_Results!$F:$F,0),MATCH(AA$5,CPAT_Results!$1:$1,0))</f>
        <v>0.16</v>
      </c>
      <c r="AB104" s="146">
        <f>INDEX(CPAT_Results!$A:$AD,MATCH($H104&amp;"_"&amp;$C104,CPAT_Results!$F:$F,0),MATCH(AB$5,CPAT_Results!$1:$1,0))</f>
        <v>0.17</v>
      </c>
      <c r="AC104" s="146">
        <f>INDEX(CPAT_Results!$A:$AD,MATCH($H104&amp;"_"&amp;$C104,CPAT_Results!$F:$F,0),MATCH(AC$5,CPAT_Results!$1:$1,0))</f>
        <v>0.18</v>
      </c>
      <c r="AD104" s="146">
        <f>INDEX(CPAT_Results!$A:$AD,MATCH($H104&amp;"_"&amp;$C104,CPAT_Results!$F:$F,0),MATCH(AD$5,CPAT_Results!$1:$1,0))</f>
        <v>0.19</v>
      </c>
      <c r="AE104" s="146">
        <f>INDEX(CPAT_Results!$A:$AD,MATCH($H104&amp;"_"&amp;$C104,CPAT_Results!$F:$F,0),MATCH(AE$5,CPAT_Results!$1:$1,0))</f>
        <v>0.2</v>
      </c>
    </row>
    <row r="105" spans="2:31" x14ac:dyDescent="0.2">
      <c r="B105" s="112" t="s">
        <v>3410</v>
      </c>
      <c r="C105" s="112" t="s">
        <v>3265</v>
      </c>
      <c r="D105" s="112" t="s">
        <v>3406</v>
      </c>
      <c r="E105" s="112" t="s">
        <v>3400</v>
      </c>
      <c r="F105" s="112" t="s">
        <v>11682</v>
      </c>
      <c r="H105" s="116" t="s">
        <v>3407</v>
      </c>
      <c r="L105" s="146">
        <f>INDEX(CPAT_Results!$A:$AD,MATCH($H105&amp;"_"&amp;$C105,CPAT_Results!$F:$F,0),MATCH(L$5,CPAT_Results!$1:$1,0))</f>
        <v>0</v>
      </c>
      <c r="M105" s="146">
        <f>INDEX(CPAT_Results!$A:$AD,MATCH($H105&amp;"_"&amp;$C105,CPAT_Results!$F:$F,0),MATCH(M$5,CPAT_Results!$1:$1,0))</f>
        <v>0</v>
      </c>
      <c r="N105" s="146">
        <f>INDEX(CPAT_Results!$A:$AD,MATCH($H105&amp;"_"&amp;$C105,CPAT_Results!$F:$F,0),MATCH(N$5,CPAT_Results!$1:$1,0))</f>
        <v>0</v>
      </c>
      <c r="O105" s="146">
        <f>INDEX(CPAT_Results!$A:$AD,MATCH($H105&amp;"_"&amp;$C105,CPAT_Results!$F:$F,0),MATCH(O$5,CPAT_Results!$1:$1,0))</f>
        <v>0</v>
      </c>
      <c r="P105" s="146">
        <f>INDEX(CPAT_Results!$A:$AD,MATCH($H105&amp;"_"&amp;$C105,CPAT_Results!$F:$F,0),MATCH(P$5,CPAT_Results!$1:$1,0))</f>
        <v>0</v>
      </c>
      <c r="Q105" s="146">
        <f>INDEX(CPAT_Results!$A:$AD,MATCH($H105&amp;"_"&amp;$C105,CPAT_Results!$F:$F,0),MATCH(Q$5,CPAT_Results!$1:$1,0))</f>
        <v>0</v>
      </c>
      <c r="R105" s="146">
        <f>INDEX(CPAT_Results!$A:$AD,MATCH($H105&amp;"_"&amp;$C105,CPAT_Results!$F:$F,0),MATCH(R$5,CPAT_Results!$1:$1,0))</f>
        <v>0</v>
      </c>
      <c r="S105" s="146">
        <f>INDEX(CPAT_Results!$A:$AD,MATCH($H105&amp;"_"&amp;$C105,CPAT_Results!$F:$F,0),MATCH(S$5,CPAT_Results!$1:$1,0))</f>
        <v>0</v>
      </c>
      <c r="T105" s="146">
        <f>INDEX(CPAT_Results!$A:$AD,MATCH($H105&amp;"_"&amp;$C105,CPAT_Results!$F:$F,0),MATCH(T$5,CPAT_Results!$1:$1,0))</f>
        <v>0</v>
      </c>
      <c r="U105" s="146">
        <f>INDEX(CPAT_Results!$A:$AD,MATCH($H105&amp;"_"&amp;$C105,CPAT_Results!$F:$F,0),MATCH(U$5,CPAT_Results!$1:$1,0))</f>
        <v>0</v>
      </c>
      <c r="V105" s="146">
        <f>INDEX(CPAT_Results!$A:$AD,MATCH($H105&amp;"_"&amp;$C105,CPAT_Results!$F:$F,0),MATCH(V$5,CPAT_Results!$1:$1,0))</f>
        <v>0</v>
      </c>
      <c r="W105" s="146">
        <f>INDEX(CPAT_Results!$A:$AD,MATCH($H105&amp;"_"&amp;$C105,CPAT_Results!$F:$F,0),MATCH(W$5,CPAT_Results!$1:$1,0))</f>
        <v>0</v>
      </c>
      <c r="X105" s="146">
        <f>INDEX(CPAT_Results!$A:$AD,MATCH($H105&amp;"_"&amp;$C105,CPAT_Results!$F:$F,0),MATCH(X$5,CPAT_Results!$1:$1,0))</f>
        <v>0</v>
      </c>
      <c r="Y105" s="146">
        <f>INDEX(CPAT_Results!$A:$AD,MATCH($H105&amp;"_"&amp;$C105,CPAT_Results!$F:$F,0),MATCH(Y$5,CPAT_Results!$1:$1,0))</f>
        <v>0</v>
      </c>
      <c r="Z105" s="146">
        <f>INDEX(CPAT_Results!$A:$AD,MATCH($H105&amp;"_"&amp;$C105,CPAT_Results!$F:$F,0),MATCH(Z$5,CPAT_Results!$1:$1,0))</f>
        <v>0</v>
      </c>
      <c r="AA105" s="146">
        <f>INDEX(CPAT_Results!$A:$AD,MATCH($H105&amp;"_"&amp;$C105,CPAT_Results!$F:$F,0),MATCH(AA$5,CPAT_Results!$1:$1,0))</f>
        <v>0</v>
      </c>
      <c r="AB105" s="146">
        <f>INDEX(CPAT_Results!$A:$AD,MATCH($H105&amp;"_"&amp;$C105,CPAT_Results!$F:$F,0),MATCH(AB$5,CPAT_Results!$1:$1,0))</f>
        <v>0</v>
      </c>
      <c r="AC105" s="146">
        <f>INDEX(CPAT_Results!$A:$AD,MATCH($H105&amp;"_"&amp;$C105,CPAT_Results!$F:$F,0),MATCH(AC$5,CPAT_Results!$1:$1,0))</f>
        <v>0</v>
      </c>
      <c r="AD105" s="146">
        <f>INDEX(CPAT_Results!$A:$AD,MATCH($H105&amp;"_"&amp;$C105,CPAT_Results!$F:$F,0),MATCH(AD$5,CPAT_Results!$1:$1,0))</f>
        <v>0</v>
      </c>
      <c r="AE105" s="146">
        <f>INDEX(CPAT_Results!$A:$AD,MATCH($H105&amp;"_"&amp;$C105,CPAT_Results!$F:$F,0),MATCH(AE$5,CPAT_Results!$1:$1,0))</f>
        <v>0</v>
      </c>
    </row>
    <row r="106" spans="2:31" x14ac:dyDescent="0.2">
      <c r="B106" s="112" t="s">
        <v>3411</v>
      </c>
      <c r="C106" s="112" t="s">
        <v>3256</v>
      </c>
      <c r="D106" s="112" t="s">
        <v>3412</v>
      </c>
      <c r="E106" s="112" t="s">
        <v>3400</v>
      </c>
      <c r="F106" s="112" t="s">
        <v>11679</v>
      </c>
      <c r="H106" s="116" t="s">
        <v>3413</v>
      </c>
      <c r="L106" s="146">
        <f>INDEX(CPAT_Results!$A:$AD,MATCH($H106&amp;"_"&amp;$C106,CPAT_Results!$F:$F,0),MATCH(L$5,CPAT_Results!$1:$1,0))</f>
        <v>0</v>
      </c>
      <c r="M106" s="146">
        <f>INDEX(CPAT_Results!$A:$AD,MATCH($H106&amp;"_"&amp;$C106,CPAT_Results!$F:$F,0),MATCH(M$5,CPAT_Results!$1:$1,0))</f>
        <v>0</v>
      </c>
      <c r="N106" s="146">
        <f>INDEX(CPAT_Results!$A:$AD,MATCH($H106&amp;"_"&amp;$C106,CPAT_Results!$F:$F,0),MATCH(N$5,CPAT_Results!$1:$1,0))</f>
        <v>0</v>
      </c>
      <c r="O106" s="146">
        <f>INDEX(CPAT_Results!$A:$AD,MATCH($H106&amp;"_"&amp;$C106,CPAT_Results!$F:$F,0),MATCH(O$5,CPAT_Results!$1:$1,0))</f>
        <v>0</v>
      </c>
      <c r="P106" s="146">
        <f>INDEX(CPAT_Results!$A:$AD,MATCH($H106&amp;"_"&amp;$C106,CPAT_Results!$F:$F,0),MATCH(P$5,CPAT_Results!$1:$1,0))</f>
        <v>0.35</v>
      </c>
      <c r="Q106" s="146">
        <f>INDEX(CPAT_Results!$A:$AD,MATCH($H106&amp;"_"&amp;$C106,CPAT_Results!$F:$F,0),MATCH(Q$5,CPAT_Results!$1:$1,0))</f>
        <v>0.39</v>
      </c>
      <c r="R106" s="146">
        <f>INDEX(CPAT_Results!$A:$AD,MATCH($H106&amp;"_"&amp;$C106,CPAT_Results!$F:$F,0),MATCH(R$5,CPAT_Results!$1:$1,0))</f>
        <v>0.42</v>
      </c>
      <c r="S106" s="146">
        <f>INDEX(CPAT_Results!$A:$AD,MATCH($H106&amp;"_"&amp;$C106,CPAT_Results!$F:$F,0),MATCH(S$5,CPAT_Results!$1:$1,0))</f>
        <v>0.46</v>
      </c>
      <c r="T106" s="146">
        <f>INDEX(CPAT_Results!$A:$AD,MATCH($H106&amp;"_"&amp;$C106,CPAT_Results!$F:$F,0),MATCH(T$5,CPAT_Results!$1:$1,0))</f>
        <v>0.51</v>
      </c>
      <c r="U106" s="146">
        <f>INDEX(CPAT_Results!$A:$AD,MATCH($H106&amp;"_"&amp;$C106,CPAT_Results!$F:$F,0),MATCH(U$5,CPAT_Results!$1:$1,0))</f>
        <v>0.56000000000000005</v>
      </c>
      <c r="V106" s="146">
        <f>INDEX(CPAT_Results!$A:$AD,MATCH($H106&amp;"_"&amp;$C106,CPAT_Results!$F:$F,0),MATCH(V$5,CPAT_Results!$1:$1,0))</f>
        <v>0.62</v>
      </c>
      <c r="W106" s="146">
        <f>INDEX(CPAT_Results!$A:$AD,MATCH($H106&amp;"_"&amp;$C106,CPAT_Results!$F:$F,0),MATCH(W$5,CPAT_Results!$1:$1,0))</f>
        <v>0.68</v>
      </c>
      <c r="X106" s="146">
        <f>INDEX(CPAT_Results!$A:$AD,MATCH($H106&amp;"_"&amp;$C106,CPAT_Results!$F:$F,0),MATCH(X$5,CPAT_Results!$1:$1,0))</f>
        <v>0.75</v>
      </c>
      <c r="Y106" s="146">
        <f>INDEX(CPAT_Results!$A:$AD,MATCH($H106&amp;"_"&amp;$C106,CPAT_Results!$F:$F,0),MATCH(Y$5,CPAT_Results!$1:$1,0))</f>
        <v>0.82</v>
      </c>
      <c r="Z106" s="146">
        <f>INDEX(CPAT_Results!$A:$AD,MATCH($H106&amp;"_"&amp;$C106,CPAT_Results!$F:$F,0),MATCH(Z$5,CPAT_Results!$1:$1,0))</f>
        <v>0.89</v>
      </c>
      <c r="AA106" s="146">
        <f>INDEX(CPAT_Results!$A:$AD,MATCH($H106&amp;"_"&amp;$C106,CPAT_Results!$F:$F,0),MATCH(AA$5,CPAT_Results!$1:$1,0))</f>
        <v>0.97</v>
      </c>
      <c r="AB106" s="146">
        <f>INDEX(CPAT_Results!$A:$AD,MATCH($H106&amp;"_"&amp;$C106,CPAT_Results!$F:$F,0),MATCH(AB$5,CPAT_Results!$1:$1,0))</f>
        <v>1.05</v>
      </c>
      <c r="AC106" s="146">
        <f>INDEX(CPAT_Results!$A:$AD,MATCH($H106&amp;"_"&amp;$C106,CPAT_Results!$F:$F,0),MATCH(AC$5,CPAT_Results!$1:$1,0))</f>
        <v>1.1299999999999999</v>
      </c>
      <c r="AD106" s="146">
        <f>INDEX(CPAT_Results!$A:$AD,MATCH($H106&amp;"_"&amp;$C106,CPAT_Results!$F:$F,0),MATCH(AD$5,CPAT_Results!$1:$1,0))</f>
        <v>1.22</v>
      </c>
      <c r="AE106" s="146">
        <f>INDEX(CPAT_Results!$A:$AD,MATCH($H106&amp;"_"&amp;$C106,CPAT_Results!$F:$F,0),MATCH(AE$5,CPAT_Results!$1:$1,0))</f>
        <v>1.3</v>
      </c>
    </row>
    <row r="107" spans="2:31" x14ac:dyDescent="0.2">
      <c r="B107" s="112" t="s">
        <v>3414</v>
      </c>
      <c r="C107" s="112" t="s">
        <v>3261</v>
      </c>
      <c r="D107" s="112" t="s">
        <v>3412</v>
      </c>
      <c r="E107" s="112" t="s">
        <v>3400</v>
      </c>
      <c r="F107" s="112" t="s">
        <v>11680</v>
      </c>
      <c r="H107" s="116" t="s">
        <v>3413</v>
      </c>
      <c r="L107" s="146">
        <f>INDEX(CPAT_Results!$A:$AD,MATCH($H107&amp;"_"&amp;$C107,CPAT_Results!$F:$F,0),MATCH(L$5,CPAT_Results!$1:$1,0))</f>
        <v>0</v>
      </c>
      <c r="M107" s="146">
        <f>INDEX(CPAT_Results!$A:$AD,MATCH($H107&amp;"_"&amp;$C107,CPAT_Results!$F:$F,0),MATCH(M$5,CPAT_Results!$1:$1,0))</f>
        <v>0</v>
      </c>
      <c r="N107" s="146">
        <f>INDEX(CPAT_Results!$A:$AD,MATCH($H107&amp;"_"&amp;$C107,CPAT_Results!$F:$F,0),MATCH(N$5,CPAT_Results!$1:$1,0))</f>
        <v>0</v>
      </c>
      <c r="O107" s="146">
        <f>INDEX(CPAT_Results!$A:$AD,MATCH($H107&amp;"_"&amp;$C107,CPAT_Results!$F:$F,0),MATCH(O$5,CPAT_Results!$1:$1,0))</f>
        <v>0</v>
      </c>
      <c r="P107" s="146">
        <f>INDEX(CPAT_Results!$A:$AD,MATCH($H107&amp;"_"&amp;$C107,CPAT_Results!$F:$F,0),MATCH(P$5,CPAT_Results!$1:$1,0))</f>
        <v>0</v>
      </c>
      <c r="Q107" s="146">
        <f>INDEX(CPAT_Results!$A:$AD,MATCH($H107&amp;"_"&amp;$C107,CPAT_Results!$F:$F,0),MATCH(Q$5,CPAT_Results!$1:$1,0))</f>
        <v>0</v>
      </c>
      <c r="R107" s="146">
        <f>INDEX(CPAT_Results!$A:$AD,MATCH($H107&amp;"_"&amp;$C107,CPAT_Results!$F:$F,0),MATCH(R$5,CPAT_Results!$1:$1,0))</f>
        <v>0</v>
      </c>
      <c r="S107" s="146">
        <f>INDEX(CPAT_Results!$A:$AD,MATCH($H107&amp;"_"&amp;$C107,CPAT_Results!$F:$F,0),MATCH(S$5,CPAT_Results!$1:$1,0))</f>
        <v>0</v>
      </c>
      <c r="T107" s="146">
        <f>INDEX(CPAT_Results!$A:$AD,MATCH($H107&amp;"_"&amp;$C107,CPAT_Results!$F:$F,0),MATCH(T$5,CPAT_Results!$1:$1,0))</f>
        <v>0</v>
      </c>
      <c r="U107" s="146">
        <f>INDEX(CPAT_Results!$A:$AD,MATCH($H107&amp;"_"&amp;$C107,CPAT_Results!$F:$F,0),MATCH(U$5,CPAT_Results!$1:$1,0))</f>
        <v>0</v>
      </c>
      <c r="V107" s="146">
        <f>INDEX(CPAT_Results!$A:$AD,MATCH($H107&amp;"_"&amp;$C107,CPAT_Results!$F:$F,0),MATCH(V$5,CPAT_Results!$1:$1,0))</f>
        <v>0</v>
      </c>
      <c r="W107" s="146">
        <f>INDEX(CPAT_Results!$A:$AD,MATCH($H107&amp;"_"&amp;$C107,CPAT_Results!$F:$F,0),MATCH(W$5,CPAT_Results!$1:$1,0))</f>
        <v>0</v>
      </c>
      <c r="X107" s="146">
        <f>INDEX(CPAT_Results!$A:$AD,MATCH($H107&amp;"_"&amp;$C107,CPAT_Results!$F:$F,0),MATCH(X$5,CPAT_Results!$1:$1,0))</f>
        <v>0</v>
      </c>
      <c r="Y107" s="146">
        <f>INDEX(CPAT_Results!$A:$AD,MATCH($H107&amp;"_"&amp;$C107,CPAT_Results!$F:$F,0),MATCH(Y$5,CPAT_Results!$1:$1,0))</f>
        <v>0</v>
      </c>
      <c r="Z107" s="146">
        <f>INDEX(CPAT_Results!$A:$AD,MATCH($H107&amp;"_"&amp;$C107,CPAT_Results!$F:$F,0),MATCH(Z$5,CPAT_Results!$1:$1,0))</f>
        <v>0</v>
      </c>
      <c r="AA107" s="146">
        <f>INDEX(CPAT_Results!$A:$AD,MATCH($H107&amp;"_"&amp;$C107,CPAT_Results!$F:$F,0),MATCH(AA$5,CPAT_Results!$1:$1,0))</f>
        <v>0</v>
      </c>
      <c r="AB107" s="146">
        <f>INDEX(CPAT_Results!$A:$AD,MATCH($H107&amp;"_"&amp;$C107,CPAT_Results!$F:$F,0),MATCH(AB$5,CPAT_Results!$1:$1,0))</f>
        <v>0</v>
      </c>
      <c r="AC107" s="146">
        <f>INDEX(CPAT_Results!$A:$AD,MATCH($H107&amp;"_"&amp;$C107,CPAT_Results!$F:$F,0),MATCH(AC$5,CPAT_Results!$1:$1,0))</f>
        <v>0</v>
      </c>
      <c r="AD107" s="146">
        <f>INDEX(CPAT_Results!$A:$AD,MATCH($H107&amp;"_"&amp;$C107,CPAT_Results!$F:$F,0),MATCH(AD$5,CPAT_Results!$1:$1,0))</f>
        <v>0</v>
      </c>
      <c r="AE107" s="146">
        <f>INDEX(CPAT_Results!$A:$AD,MATCH($H107&amp;"_"&amp;$C107,CPAT_Results!$F:$F,0),MATCH(AE$5,CPAT_Results!$1:$1,0))</f>
        <v>0</v>
      </c>
    </row>
    <row r="108" spans="2:31" x14ac:dyDescent="0.2">
      <c r="B108" s="112" t="s">
        <v>3415</v>
      </c>
      <c r="C108" s="112" t="s">
        <v>3263</v>
      </c>
      <c r="D108" s="112" t="s">
        <v>3412</v>
      </c>
      <c r="E108" s="112" t="s">
        <v>3400</v>
      </c>
      <c r="F108" s="112" t="s">
        <v>11681</v>
      </c>
      <c r="H108" s="116" t="s">
        <v>3413</v>
      </c>
      <c r="L108" s="146">
        <f>INDEX(CPAT_Results!$A:$AD,MATCH($H108&amp;"_"&amp;$C108,CPAT_Results!$F:$F,0),MATCH(L$5,CPAT_Results!$1:$1,0))</f>
        <v>0</v>
      </c>
      <c r="M108" s="146">
        <f>INDEX(CPAT_Results!$A:$AD,MATCH($H108&amp;"_"&amp;$C108,CPAT_Results!$F:$F,0),MATCH(M$5,CPAT_Results!$1:$1,0))</f>
        <v>0</v>
      </c>
      <c r="N108" s="146">
        <f>INDEX(CPAT_Results!$A:$AD,MATCH($H108&amp;"_"&amp;$C108,CPAT_Results!$F:$F,0),MATCH(N$5,CPAT_Results!$1:$1,0))</f>
        <v>0</v>
      </c>
      <c r="O108" s="146">
        <f>INDEX(CPAT_Results!$A:$AD,MATCH($H108&amp;"_"&amp;$C108,CPAT_Results!$F:$F,0),MATCH(O$5,CPAT_Results!$1:$1,0))</f>
        <v>0</v>
      </c>
      <c r="P108" s="146">
        <f>INDEX(CPAT_Results!$A:$AD,MATCH($H108&amp;"_"&amp;$C108,CPAT_Results!$F:$F,0),MATCH(P$5,CPAT_Results!$1:$1,0))</f>
        <v>0</v>
      </c>
      <c r="Q108" s="146">
        <f>INDEX(CPAT_Results!$A:$AD,MATCH($H108&amp;"_"&amp;$C108,CPAT_Results!$F:$F,0),MATCH(Q$5,CPAT_Results!$1:$1,0))</f>
        <v>0</v>
      </c>
      <c r="R108" s="146">
        <f>INDEX(CPAT_Results!$A:$AD,MATCH($H108&amp;"_"&amp;$C108,CPAT_Results!$F:$F,0),MATCH(R$5,CPAT_Results!$1:$1,0))</f>
        <v>0</v>
      </c>
      <c r="S108" s="146">
        <f>INDEX(CPAT_Results!$A:$AD,MATCH($H108&amp;"_"&amp;$C108,CPAT_Results!$F:$F,0),MATCH(S$5,CPAT_Results!$1:$1,0))</f>
        <v>0</v>
      </c>
      <c r="T108" s="146">
        <f>INDEX(CPAT_Results!$A:$AD,MATCH($H108&amp;"_"&amp;$C108,CPAT_Results!$F:$F,0),MATCH(T$5,CPAT_Results!$1:$1,0))</f>
        <v>0</v>
      </c>
      <c r="U108" s="146">
        <f>INDEX(CPAT_Results!$A:$AD,MATCH($H108&amp;"_"&amp;$C108,CPAT_Results!$F:$F,0),MATCH(U$5,CPAT_Results!$1:$1,0))</f>
        <v>0</v>
      </c>
      <c r="V108" s="146">
        <f>INDEX(CPAT_Results!$A:$AD,MATCH($H108&amp;"_"&amp;$C108,CPAT_Results!$F:$F,0),MATCH(V$5,CPAT_Results!$1:$1,0))</f>
        <v>0</v>
      </c>
      <c r="W108" s="146">
        <f>INDEX(CPAT_Results!$A:$AD,MATCH($H108&amp;"_"&amp;$C108,CPAT_Results!$F:$F,0),MATCH(W$5,CPAT_Results!$1:$1,0))</f>
        <v>0</v>
      </c>
      <c r="X108" s="146">
        <f>INDEX(CPAT_Results!$A:$AD,MATCH($H108&amp;"_"&amp;$C108,CPAT_Results!$F:$F,0),MATCH(X$5,CPAT_Results!$1:$1,0))</f>
        <v>0</v>
      </c>
      <c r="Y108" s="146">
        <f>INDEX(CPAT_Results!$A:$AD,MATCH($H108&amp;"_"&amp;$C108,CPAT_Results!$F:$F,0),MATCH(Y$5,CPAT_Results!$1:$1,0))</f>
        <v>0</v>
      </c>
      <c r="Z108" s="146">
        <f>INDEX(CPAT_Results!$A:$AD,MATCH($H108&amp;"_"&amp;$C108,CPAT_Results!$F:$F,0),MATCH(Z$5,CPAT_Results!$1:$1,0))</f>
        <v>0</v>
      </c>
      <c r="AA108" s="146">
        <f>INDEX(CPAT_Results!$A:$AD,MATCH($H108&amp;"_"&amp;$C108,CPAT_Results!$F:$F,0),MATCH(AA$5,CPAT_Results!$1:$1,0))</f>
        <v>0</v>
      </c>
      <c r="AB108" s="146">
        <f>INDEX(CPAT_Results!$A:$AD,MATCH($H108&amp;"_"&amp;$C108,CPAT_Results!$F:$F,0),MATCH(AB$5,CPAT_Results!$1:$1,0))</f>
        <v>0</v>
      </c>
      <c r="AC108" s="146">
        <f>INDEX(CPAT_Results!$A:$AD,MATCH($H108&amp;"_"&amp;$C108,CPAT_Results!$F:$F,0),MATCH(AC$5,CPAT_Results!$1:$1,0))</f>
        <v>0</v>
      </c>
      <c r="AD108" s="146">
        <f>INDEX(CPAT_Results!$A:$AD,MATCH($H108&amp;"_"&amp;$C108,CPAT_Results!$F:$F,0),MATCH(AD$5,CPAT_Results!$1:$1,0))</f>
        <v>0</v>
      </c>
      <c r="AE108" s="146">
        <f>INDEX(CPAT_Results!$A:$AD,MATCH($H108&amp;"_"&amp;$C108,CPAT_Results!$F:$F,0),MATCH(AE$5,CPAT_Results!$1:$1,0))</f>
        <v>0</v>
      </c>
    </row>
    <row r="109" spans="2:31" x14ac:dyDescent="0.2">
      <c r="B109" s="112" t="s">
        <v>3416</v>
      </c>
      <c r="C109" s="112" t="s">
        <v>3265</v>
      </c>
      <c r="D109" s="112" t="s">
        <v>3412</v>
      </c>
      <c r="E109" s="112" t="s">
        <v>3400</v>
      </c>
      <c r="F109" s="112" t="s">
        <v>11682</v>
      </c>
      <c r="H109" s="116" t="s">
        <v>3413</v>
      </c>
      <c r="L109" s="146">
        <f>INDEX(CPAT_Results!$A:$AD,MATCH($H109&amp;"_"&amp;$C109,CPAT_Results!$F:$F,0),MATCH(L$5,CPAT_Results!$1:$1,0))</f>
        <v>0</v>
      </c>
      <c r="M109" s="146">
        <f>INDEX(CPAT_Results!$A:$AD,MATCH($H109&amp;"_"&amp;$C109,CPAT_Results!$F:$F,0),MATCH(M$5,CPAT_Results!$1:$1,0))</f>
        <v>0</v>
      </c>
      <c r="N109" s="146">
        <f>INDEX(CPAT_Results!$A:$AD,MATCH($H109&amp;"_"&amp;$C109,CPAT_Results!$F:$F,0),MATCH(N$5,CPAT_Results!$1:$1,0))</f>
        <v>0</v>
      </c>
      <c r="O109" s="146">
        <f>INDEX(CPAT_Results!$A:$AD,MATCH($H109&amp;"_"&amp;$C109,CPAT_Results!$F:$F,0),MATCH(O$5,CPAT_Results!$1:$1,0))</f>
        <v>0</v>
      </c>
      <c r="P109" s="146">
        <f>INDEX(CPAT_Results!$A:$AD,MATCH($H109&amp;"_"&amp;$C109,CPAT_Results!$F:$F,0),MATCH(P$5,CPAT_Results!$1:$1,0))</f>
        <v>0</v>
      </c>
      <c r="Q109" s="146">
        <f>INDEX(CPAT_Results!$A:$AD,MATCH($H109&amp;"_"&amp;$C109,CPAT_Results!$F:$F,0),MATCH(Q$5,CPAT_Results!$1:$1,0))</f>
        <v>0</v>
      </c>
      <c r="R109" s="146">
        <f>INDEX(CPAT_Results!$A:$AD,MATCH($H109&amp;"_"&amp;$C109,CPAT_Results!$F:$F,0),MATCH(R$5,CPAT_Results!$1:$1,0))</f>
        <v>0</v>
      </c>
      <c r="S109" s="146">
        <f>INDEX(CPAT_Results!$A:$AD,MATCH($H109&amp;"_"&amp;$C109,CPAT_Results!$F:$F,0),MATCH(S$5,CPAT_Results!$1:$1,0))</f>
        <v>0</v>
      </c>
      <c r="T109" s="146">
        <f>INDEX(CPAT_Results!$A:$AD,MATCH($H109&amp;"_"&amp;$C109,CPAT_Results!$F:$F,0),MATCH(T$5,CPAT_Results!$1:$1,0))</f>
        <v>0</v>
      </c>
      <c r="U109" s="146">
        <f>INDEX(CPAT_Results!$A:$AD,MATCH($H109&amp;"_"&amp;$C109,CPAT_Results!$F:$F,0),MATCH(U$5,CPAT_Results!$1:$1,0))</f>
        <v>0</v>
      </c>
      <c r="V109" s="146">
        <f>INDEX(CPAT_Results!$A:$AD,MATCH($H109&amp;"_"&amp;$C109,CPAT_Results!$F:$F,0),MATCH(V$5,CPAT_Results!$1:$1,0))</f>
        <v>0</v>
      </c>
      <c r="W109" s="146">
        <f>INDEX(CPAT_Results!$A:$AD,MATCH($H109&amp;"_"&amp;$C109,CPAT_Results!$F:$F,0),MATCH(W$5,CPAT_Results!$1:$1,0))</f>
        <v>0</v>
      </c>
      <c r="X109" s="146">
        <f>INDEX(CPAT_Results!$A:$AD,MATCH($H109&amp;"_"&amp;$C109,CPAT_Results!$F:$F,0),MATCH(X$5,CPAT_Results!$1:$1,0))</f>
        <v>0</v>
      </c>
      <c r="Y109" s="146">
        <f>INDEX(CPAT_Results!$A:$AD,MATCH($H109&amp;"_"&amp;$C109,CPAT_Results!$F:$F,0),MATCH(Y$5,CPAT_Results!$1:$1,0))</f>
        <v>0</v>
      </c>
      <c r="Z109" s="146">
        <f>INDEX(CPAT_Results!$A:$AD,MATCH($H109&amp;"_"&amp;$C109,CPAT_Results!$F:$F,0),MATCH(Z$5,CPAT_Results!$1:$1,0))</f>
        <v>0</v>
      </c>
      <c r="AA109" s="146">
        <f>INDEX(CPAT_Results!$A:$AD,MATCH($H109&amp;"_"&amp;$C109,CPAT_Results!$F:$F,0),MATCH(AA$5,CPAT_Results!$1:$1,0))</f>
        <v>0</v>
      </c>
      <c r="AB109" s="146">
        <f>INDEX(CPAT_Results!$A:$AD,MATCH($H109&amp;"_"&amp;$C109,CPAT_Results!$F:$F,0),MATCH(AB$5,CPAT_Results!$1:$1,0))</f>
        <v>0</v>
      </c>
      <c r="AC109" s="146">
        <f>INDEX(CPAT_Results!$A:$AD,MATCH($H109&amp;"_"&amp;$C109,CPAT_Results!$F:$F,0),MATCH(AC$5,CPAT_Results!$1:$1,0))</f>
        <v>0</v>
      </c>
      <c r="AD109" s="146">
        <f>INDEX(CPAT_Results!$A:$AD,MATCH($H109&amp;"_"&amp;$C109,CPAT_Results!$F:$F,0),MATCH(AD$5,CPAT_Results!$1:$1,0))</f>
        <v>0</v>
      </c>
      <c r="AE109" s="146">
        <f>INDEX(CPAT_Results!$A:$AD,MATCH($H109&amp;"_"&amp;$C109,CPAT_Results!$F:$F,0),MATCH(AE$5,CPAT_Results!$1:$1,0))</f>
        <v>0</v>
      </c>
    </row>
    <row r="110" spans="2:31" x14ac:dyDescent="0.2">
      <c r="B110" s="112" t="s">
        <v>3417</v>
      </c>
      <c r="C110" s="112" t="s">
        <v>3256</v>
      </c>
      <c r="D110" s="112" t="s">
        <v>3418</v>
      </c>
      <c r="E110" s="112" t="s">
        <v>3400</v>
      </c>
      <c r="F110" s="112" t="s">
        <v>11679</v>
      </c>
      <c r="H110" s="116" t="s">
        <v>3419</v>
      </c>
      <c r="L110" s="146">
        <f>INDEX(CPAT_Results!$A:$AD,MATCH($H110&amp;"_"&amp;$C110,CPAT_Results!$F:$F,0),MATCH(L$5,CPAT_Results!$1:$1,0))</f>
        <v>0</v>
      </c>
      <c r="M110" s="146">
        <f>INDEX(CPAT_Results!$A:$AD,MATCH($H110&amp;"_"&amp;$C110,CPAT_Results!$F:$F,0),MATCH(M$5,CPAT_Results!$1:$1,0))</f>
        <v>0</v>
      </c>
      <c r="N110" s="146">
        <f>INDEX(CPAT_Results!$A:$AD,MATCH($H110&amp;"_"&amp;$C110,CPAT_Results!$F:$F,0),MATCH(N$5,CPAT_Results!$1:$1,0))</f>
        <v>0</v>
      </c>
      <c r="O110" s="146">
        <f>INDEX(CPAT_Results!$A:$AD,MATCH($H110&amp;"_"&amp;$C110,CPAT_Results!$F:$F,0),MATCH(O$5,CPAT_Results!$1:$1,0))</f>
        <v>0</v>
      </c>
      <c r="P110" s="146">
        <f>INDEX(CPAT_Results!$A:$AD,MATCH($H110&amp;"_"&amp;$C110,CPAT_Results!$F:$F,0),MATCH(P$5,CPAT_Results!$1:$1,0))</f>
        <v>0.35</v>
      </c>
      <c r="Q110" s="146">
        <f>INDEX(CPAT_Results!$A:$AD,MATCH($H110&amp;"_"&amp;$C110,CPAT_Results!$F:$F,0),MATCH(Q$5,CPAT_Results!$1:$1,0))</f>
        <v>0.36</v>
      </c>
      <c r="R110" s="146">
        <f>INDEX(CPAT_Results!$A:$AD,MATCH($H110&amp;"_"&amp;$C110,CPAT_Results!$F:$F,0),MATCH(R$5,CPAT_Results!$1:$1,0))</f>
        <v>0.37</v>
      </c>
      <c r="S110" s="146">
        <f>INDEX(CPAT_Results!$A:$AD,MATCH($H110&amp;"_"&amp;$C110,CPAT_Results!$F:$F,0),MATCH(S$5,CPAT_Results!$1:$1,0))</f>
        <v>0.38</v>
      </c>
      <c r="T110" s="146">
        <f>INDEX(CPAT_Results!$A:$AD,MATCH($H110&amp;"_"&amp;$C110,CPAT_Results!$F:$F,0),MATCH(T$5,CPAT_Results!$1:$1,0))</f>
        <v>0.39</v>
      </c>
      <c r="U110" s="146">
        <f>INDEX(CPAT_Results!$A:$AD,MATCH($H110&amp;"_"&amp;$C110,CPAT_Results!$F:$F,0),MATCH(U$5,CPAT_Results!$1:$1,0))</f>
        <v>0.4</v>
      </c>
      <c r="V110" s="146">
        <f>INDEX(CPAT_Results!$A:$AD,MATCH($H110&amp;"_"&amp;$C110,CPAT_Results!$F:$F,0),MATCH(V$5,CPAT_Results!$1:$1,0))</f>
        <v>0.41</v>
      </c>
      <c r="W110" s="146">
        <f>INDEX(CPAT_Results!$A:$AD,MATCH($H110&amp;"_"&amp;$C110,CPAT_Results!$F:$F,0),MATCH(W$5,CPAT_Results!$1:$1,0))</f>
        <v>0.42</v>
      </c>
      <c r="X110" s="146">
        <f>INDEX(CPAT_Results!$A:$AD,MATCH($H110&amp;"_"&amp;$C110,CPAT_Results!$F:$F,0),MATCH(X$5,CPAT_Results!$1:$1,0))</f>
        <v>0.44</v>
      </c>
      <c r="Y110" s="146">
        <f>INDEX(CPAT_Results!$A:$AD,MATCH($H110&amp;"_"&amp;$C110,CPAT_Results!$F:$F,0),MATCH(Y$5,CPAT_Results!$1:$1,0))</f>
        <v>0.45</v>
      </c>
      <c r="Z110" s="146">
        <f>INDEX(CPAT_Results!$A:$AD,MATCH($H110&amp;"_"&amp;$C110,CPAT_Results!$F:$F,0),MATCH(Z$5,CPAT_Results!$1:$1,0))</f>
        <v>0.46</v>
      </c>
      <c r="AA110" s="146">
        <f>INDEX(CPAT_Results!$A:$AD,MATCH($H110&amp;"_"&amp;$C110,CPAT_Results!$F:$F,0),MATCH(AA$5,CPAT_Results!$1:$1,0))</f>
        <v>0.47</v>
      </c>
      <c r="AB110" s="146">
        <f>INDEX(CPAT_Results!$A:$AD,MATCH($H110&amp;"_"&amp;$C110,CPAT_Results!$F:$F,0),MATCH(AB$5,CPAT_Results!$1:$1,0))</f>
        <v>0.49</v>
      </c>
      <c r="AC110" s="146">
        <f>INDEX(CPAT_Results!$A:$AD,MATCH($H110&amp;"_"&amp;$C110,CPAT_Results!$F:$F,0),MATCH(AC$5,CPAT_Results!$1:$1,0))</f>
        <v>0.5</v>
      </c>
      <c r="AD110" s="146">
        <f>INDEX(CPAT_Results!$A:$AD,MATCH($H110&amp;"_"&amp;$C110,CPAT_Results!$F:$F,0),MATCH(AD$5,CPAT_Results!$1:$1,0))</f>
        <v>0.51</v>
      </c>
      <c r="AE110" s="146">
        <f>INDEX(CPAT_Results!$A:$AD,MATCH($H110&amp;"_"&amp;$C110,CPAT_Results!$F:$F,0),MATCH(AE$5,CPAT_Results!$1:$1,0))</f>
        <v>0.53</v>
      </c>
    </row>
    <row r="111" spans="2:31" x14ac:dyDescent="0.2">
      <c r="B111" s="112" t="s">
        <v>3420</v>
      </c>
      <c r="C111" s="112" t="s">
        <v>3261</v>
      </c>
      <c r="D111" s="112" t="s">
        <v>3418</v>
      </c>
      <c r="E111" s="112" t="s">
        <v>3400</v>
      </c>
      <c r="F111" s="112" t="s">
        <v>11680</v>
      </c>
      <c r="H111" s="116" t="s">
        <v>3419</v>
      </c>
      <c r="L111" s="146">
        <f>INDEX(CPAT_Results!$A:$AD,MATCH($H111&amp;"_"&amp;$C111,CPAT_Results!$F:$F,0),MATCH(L$5,CPAT_Results!$1:$1,0))</f>
        <v>0</v>
      </c>
      <c r="M111" s="146">
        <f>INDEX(CPAT_Results!$A:$AD,MATCH($H111&amp;"_"&amp;$C111,CPAT_Results!$F:$F,0),MATCH(M$5,CPAT_Results!$1:$1,0))</f>
        <v>0</v>
      </c>
      <c r="N111" s="146">
        <f>INDEX(CPAT_Results!$A:$AD,MATCH($H111&amp;"_"&amp;$C111,CPAT_Results!$F:$F,0),MATCH(N$5,CPAT_Results!$1:$1,0))</f>
        <v>0</v>
      </c>
      <c r="O111" s="146">
        <f>INDEX(CPAT_Results!$A:$AD,MATCH($H111&amp;"_"&amp;$C111,CPAT_Results!$F:$F,0),MATCH(O$5,CPAT_Results!$1:$1,0))</f>
        <v>0</v>
      </c>
      <c r="P111" s="146">
        <f>INDEX(CPAT_Results!$A:$AD,MATCH($H111&amp;"_"&amp;$C111,CPAT_Results!$F:$F,0),MATCH(P$5,CPAT_Results!$1:$1,0))</f>
        <v>0</v>
      </c>
      <c r="Q111" s="146">
        <f>INDEX(CPAT_Results!$A:$AD,MATCH($H111&amp;"_"&amp;$C111,CPAT_Results!$F:$F,0),MATCH(Q$5,CPAT_Results!$1:$1,0))</f>
        <v>0</v>
      </c>
      <c r="R111" s="146">
        <f>INDEX(CPAT_Results!$A:$AD,MATCH($H111&amp;"_"&amp;$C111,CPAT_Results!$F:$F,0),MATCH(R$5,CPAT_Results!$1:$1,0))</f>
        <v>0</v>
      </c>
      <c r="S111" s="146">
        <f>INDEX(CPAT_Results!$A:$AD,MATCH($H111&amp;"_"&amp;$C111,CPAT_Results!$F:$F,0),MATCH(S$5,CPAT_Results!$1:$1,0))</f>
        <v>0</v>
      </c>
      <c r="T111" s="146">
        <f>INDEX(CPAT_Results!$A:$AD,MATCH($H111&amp;"_"&amp;$C111,CPAT_Results!$F:$F,0),MATCH(T$5,CPAT_Results!$1:$1,0))</f>
        <v>0</v>
      </c>
      <c r="U111" s="146">
        <f>INDEX(CPAT_Results!$A:$AD,MATCH($H111&amp;"_"&amp;$C111,CPAT_Results!$F:$F,0),MATCH(U$5,CPAT_Results!$1:$1,0))</f>
        <v>0</v>
      </c>
      <c r="V111" s="146">
        <f>INDEX(CPAT_Results!$A:$AD,MATCH($H111&amp;"_"&amp;$C111,CPAT_Results!$F:$F,0),MATCH(V$5,CPAT_Results!$1:$1,0))</f>
        <v>0</v>
      </c>
      <c r="W111" s="146">
        <f>INDEX(CPAT_Results!$A:$AD,MATCH($H111&amp;"_"&amp;$C111,CPAT_Results!$F:$F,0),MATCH(W$5,CPAT_Results!$1:$1,0))</f>
        <v>0</v>
      </c>
      <c r="X111" s="146">
        <f>INDEX(CPAT_Results!$A:$AD,MATCH($H111&amp;"_"&amp;$C111,CPAT_Results!$F:$F,0),MATCH(X$5,CPAT_Results!$1:$1,0))</f>
        <v>0</v>
      </c>
      <c r="Y111" s="146">
        <f>INDEX(CPAT_Results!$A:$AD,MATCH($H111&amp;"_"&amp;$C111,CPAT_Results!$F:$F,0),MATCH(Y$5,CPAT_Results!$1:$1,0))</f>
        <v>0</v>
      </c>
      <c r="Z111" s="146">
        <f>INDEX(CPAT_Results!$A:$AD,MATCH($H111&amp;"_"&amp;$C111,CPAT_Results!$F:$F,0),MATCH(Z$5,CPAT_Results!$1:$1,0))</f>
        <v>0</v>
      </c>
      <c r="AA111" s="146">
        <f>INDEX(CPAT_Results!$A:$AD,MATCH($H111&amp;"_"&amp;$C111,CPAT_Results!$F:$F,0),MATCH(AA$5,CPAT_Results!$1:$1,0))</f>
        <v>0</v>
      </c>
      <c r="AB111" s="146">
        <f>INDEX(CPAT_Results!$A:$AD,MATCH($H111&amp;"_"&amp;$C111,CPAT_Results!$F:$F,0),MATCH(AB$5,CPAT_Results!$1:$1,0))</f>
        <v>0</v>
      </c>
      <c r="AC111" s="146">
        <f>INDEX(CPAT_Results!$A:$AD,MATCH($H111&amp;"_"&amp;$C111,CPAT_Results!$F:$F,0),MATCH(AC$5,CPAT_Results!$1:$1,0))</f>
        <v>0</v>
      </c>
      <c r="AD111" s="146">
        <f>INDEX(CPAT_Results!$A:$AD,MATCH($H111&amp;"_"&amp;$C111,CPAT_Results!$F:$F,0),MATCH(AD$5,CPAT_Results!$1:$1,0))</f>
        <v>0</v>
      </c>
      <c r="AE111" s="146">
        <f>INDEX(CPAT_Results!$A:$AD,MATCH($H111&amp;"_"&amp;$C111,CPAT_Results!$F:$F,0),MATCH(AE$5,CPAT_Results!$1:$1,0))</f>
        <v>0</v>
      </c>
    </row>
    <row r="112" spans="2:31" x14ac:dyDescent="0.2">
      <c r="B112" s="112" t="s">
        <v>3421</v>
      </c>
      <c r="C112" s="112" t="s">
        <v>3263</v>
      </c>
      <c r="D112" s="112" t="s">
        <v>3418</v>
      </c>
      <c r="E112" s="112" t="s">
        <v>3400</v>
      </c>
      <c r="F112" s="112" t="s">
        <v>11681</v>
      </c>
      <c r="H112" s="116" t="s">
        <v>3419</v>
      </c>
      <c r="L112" s="146">
        <f>INDEX(CPAT_Results!$A:$AD,MATCH($H112&amp;"_"&amp;$C112,CPAT_Results!$F:$F,0),MATCH(L$5,CPAT_Results!$1:$1,0))</f>
        <v>0</v>
      </c>
      <c r="M112" s="146">
        <f>INDEX(CPAT_Results!$A:$AD,MATCH($H112&amp;"_"&amp;$C112,CPAT_Results!$F:$F,0),MATCH(M$5,CPAT_Results!$1:$1,0))</f>
        <v>0</v>
      </c>
      <c r="N112" s="146">
        <f>INDEX(CPAT_Results!$A:$AD,MATCH($H112&amp;"_"&amp;$C112,CPAT_Results!$F:$F,0),MATCH(N$5,CPAT_Results!$1:$1,0))</f>
        <v>0</v>
      </c>
      <c r="O112" s="146">
        <f>INDEX(CPAT_Results!$A:$AD,MATCH($H112&amp;"_"&amp;$C112,CPAT_Results!$F:$F,0),MATCH(O$5,CPAT_Results!$1:$1,0))</f>
        <v>0</v>
      </c>
      <c r="P112" s="146">
        <f>INDEX(CPAT_Results!$A:$AD,MATCH($H112&amp;"_"&amp;$C112,CPAT_Results!$F:$F,0),MATCH(P$5,CPAT_Results!$1:$1,0))</f>
        <v>0.08</v>
      </c>
      <c r="Q112" s="146">
        <f>INDEX(CPAT_Results!$A:$AD,MATCH($H112&amp;"_"&amp;$C112,CPAT_Results!$F:$F,0),MATCH(Q$5,CPAT_Results!$1:$1,0))</f>
        <v>0.12</v>
      </c>
      <c r="R112" s="146">
        <f>INDEX(CPAT_Results!$A:$AD,MATCH($H112&amp;"_"&amp;$C112,CPAT_Results!$F:$F,0),MATCH(R$5,CPAT_Results!$1:$1,0))</f>
        <v>0.15</v>
      </c>
      <c r="S112" s="146">
        <f>INDEX(CPAT_Results!$A:$AD,MATCH($H112&amp;"_"&amp;$C112,CPAT_Results!$F:$F,0),MATCH(S$5,CPAT_Results!$1:$1,0))</f>
        <v>0.19</v>
      </c>
      <c r="T112" s="146">
        <f>INDEX(CPAT_Results!$A:$AD,MATCH($H112&amp;"_"&amp;$C112,CPAT_Results!$F:$F,0),MATCH(T$5,CPAT_Results!$1:$1,0))</f>
        <v>0.22</v>
      </c>
      <c r="U112" s="146">
        <f>INDEX(CPAT_Results!$A:$AD,MATCH($H112&amp;"_"&amp;$C112,CPAT_Results!$F:$F,0),MATCH(U$5,CPAT_Results!$1:$1,0))</f>
        <v>0.25</v>
      </c>
      <c r="V112" s="146">
        <f>INDEX(CPAT_Results!$A:$AD,MATCH($H112&amp;"_"&amp;$C112,CPAT_Results!$F:$F,0),MATCH(V$5,CPAT_Results!$1:$1,0))</f>
        <v>0.28999999999999998</v>
      </c>
      <c r="W112" s="146">
        <f>INDEX(CPAT_Results!$A:$AD,MATCH($H112&amp;"_"&amp;$C112,CPAT_Results!$F:$F,0),MATCH(W$5,CPAT_Results!$1:$1,0))</f>
        <v>0.32</v>
      </c>
      <c r="X112" s="146">
        <f>INDEX(CPAT_Results!$A:$AD,MATCH($H112&amp;"_"&amp;$C112,CPAT_Results!$F:$F,0),MATCH(X$5,CPAT_Results!$1:$1,0))</f>
        <v>0.36</v>
      </c>
      <c r="Y112" s="146">
        <f>INDEX(CPAT_Results!$A:$AD,MATCH($H112&amp;"_"&amp;$C112,CPAT_Results!$F:$F,0),MATCH(Y$5,CPAT_Results!$1:$1,0))</f>
        <v>0.39</v>
      </c>
      <c r="Z112" s="146">
        <f>INDEX(CPAT_Results!$A:$AD,MATCH($H112&amp;"_"&amp;$C112,CPAT_Results!$F:$F,0),MATCH(Z$5,CPAT_Results!$1:$1,0))</f>
        <v>0.43</v>
      </c>
      <c r="AA112" s="146">
        <f>INDEX(CPAT_Results!$A:$AD,MATCH($H112&amp;"_"&amp;$C112,CPAT_Results!$F:$F,0),MATCH(AA$5,CPAT_Results!$1:$1,0))</f>
        <v>0.47</v>
      </c>
      <c r="AB112" s="146">
        <f>INDEX(CPAT_Results!$A:$AD,MATCH($H112&amp;"_"&amp;$C112,CPAT_Results!$F:$F,0),MATCH(AB$5,CPAT_Results!$1:$1,0))</f>
        <v>0.5</v>
      </c>
      <c r="AC112" s="146">
        <f>INDEX(CPAT_Results!$A:$AD,MATCH($H112&amp;"_"&amp;$C112,CPAT_Results!$F:$F,0),MATCH(AC$5,CPAT_Results!$1:$1,0))</f>
        <v>0.54</v>
      </c>
      <c r="AD112" s="146">
        <f>INDEX(CPAT_Results!$A:$AD,MATCH($H112&amp;"_"&amp;$C112,CPAT_Results!$F:$F,0),MATCH(AD$5,CPAT_Results!$1:$1,0))</f>
        <v>0.57999999999999996</v>
      </c>
      <c r="AE112" s="146">
        <f>INDEX(CPAT_Results!$A:$AD,MATCH($H112&amp;"_"&amp;$C112,CPAT_Results!$F:$F,0),MATCH(AE$5,CPAT_Results!$1:$1,0))</f>
        <v>0.62</v>
      </c>
    </row>
    <row r="113" spans="2:31" x14ac:dyDescent="0.2">
      <c r="B113" s="112" t="s">
        <v>3422</v>
      </c>
      <c r="C113" s="112" t="s">
        <v>3265</v>
      </c>
      <c r="D113" s="112" t="s">
        <v>3418</v>
      </c>
      <c r="E113" s="112" t="s">
        <v>3400</v>
      </c>
      <c r="F113" s="112" t="s">
        <v>11682</v>
      </c>
      <c r="H113" s="116" t="s">
        <v>3419</v>
      </c>
      <c r="L113" s="146">
        <f>INDEX(CPAT_Results!$A:$AD,MATCH($H113&amp;"_"&amp;$C113,CPAT_Results!$F:$F,0),MATCH(L$5,CPAT_Results!$1:$1,0))</f>
        <v>0</v>
      </c>
      <c r="M113" s="146">
        <f>INDEX(CPAT_Results!$A:$AD,MATCH($H113&amp;"_"&amp;$C113,CPAT_Results!$F:$F,0),MATCH(M$5,CPAT_Results!$1:$1,0))</f>
        <v>0</v>
      </c>
      <c r="N113" s="146">
        <f>INDEX(CPAT_Results!$A:$AD,MATCH($H113&amp;"_"&amp;$C113,CPAT_Results!$F:$F,0),MATCH(N$5,CPAT_Results!$1:$1,0))</f>
        <v>0</v>
      </c>
      <c r="O113" s="146">
        <f>INDEX(CPAT_Results!$A:$AD,MATCH($H113&amp;"_"&amp;$C113,CPAT_Results!$F:$F,0),MATCH(O$5,CPAT_Results!$1:$1,0))</f>
        <v>0</v>
      </c>
      <c r="P113" s="146">
        <f>INDEX(CPAT_Results!$A:$AD,MATCH($H113&amp;"_"&amp;$C113,CPAT_Results!$F:$F,0),MATCH(P$5,CPAT_Results!$1:$1,0))</f>
        <v>0</v>
      </c>
      <c r="Q113" s="146">
        <f>INDEX(CPAT_Results!$A:$AD,MATCH($H113&amp;"_"&amp;$C113,CPAT_Results!$F:$F,0),MATCH(Q$5,CPAT_Results!$1:$1,0))</f>
        <v>0</v>
      </c>
      <c r="R113" s="146">
        <f>INDEX(CPAT_Results!$A:$AD,MATCH($H113&amp;"_"&amp;$C113,CPAT_Results!$F:$F,0),MATCH(R$5,CPAT_Results!$1:$1,0))</f>
        <v>0</v>
      </c>
      <c r="S113" s="146">
        <f>INDEX(CPAT_Results!$A:$AD,MATCH($H113&amp;"_"&amp;$C113,CPAT_Results!$F:$F,0),MATCH(S$5,CPAT_Results!$1:$1,0))</f>
        <v>0</v>
      </c>
      <c r="T113" s="146">
        <f>INDEX(CPAT_Results!$A:$AD,MATCH($H113&amp;"_"&amp;$C113,CPAT_Results!$F:$F,0),MATCH(T$5,CPAT_Results!$1:$1,0))</f>
        <v>0</v>
      </c>
      <c r="U113" s="146">
        <f>INDEX(CPAT_Results!$A:$AD,MATCH($H113&amp;"_"&amp;$C113,CPAT_Results!$F:$F,0),MATCH(U$5,CPAT_Results!$1:$1,0))</f>
        <v>0</v>
      </c>
      <c r="V113" s="146">
        <f>INDEX(CPAT_Results!$A:$AD,MATCH($H113&amp;"_"&amp;$C113,CPAT_Results!$F:$F,0),MATCH(V$5,CPAT_Results!$1:$1,0))</f>
        <v>0</v>
      </c>
      <c r="W113" s="146">
        <f>INDEX(CPAT_Results!$A:$AD,MATCH($H113&amp;"_"&amp;$C113,CPAT_Results!$F:$F,0),MATCH(W$5,CPAT_Results!$1:$1,0))</f>
        <v>0</v>
      </c>
      <c r="X113" s="146">
        <f>INDEX(CPAT_Results!$A:$AD,MATCH($H113&amp;"_"&amp;$C113,CPAT_Results!$F:$F,0),MATCH(X$5,CPAT_Results!$1:$1,0))</f>
        <v>0</v>
      </c>
      <c r="Y113" s="146">
        <f>INDEX(CPAT_Results!$A:$AD,MATCH($H113&amp;"_"&amp;$C113,CPAT_Results!$F:$F,0),MATCH(Y$5,CPAT_Results!$1:$1,0))</f>
        <v>0</v>
      </c>
      <c r="Z113" s="146">
        <f>INDEX(CPAT_Results!$A:$AD,MATCH($H113&amp;"_"&amp;$C113,CPAT_Results!$F:$F,0),MATCH(Z$5,CPAT_Results!$1:$1,0))</f>
        <v>0</v>
      </c>
      <c r="AA113" s="146">
        <f>INDEX(CPAT_Results!$A:$AD,MATCH($H113&amp;"_"&amp;$C113,CPAT_Results!$F:$F,0),MATCH(AA$5,CPAT_Results!$1:$1,0))</f>
        <v>0</v>
      </c>
      <c r="AB113" s="146">
        <f>INDEX(CPAT_Results!$A:$AD,MATCH($H113&amp;"_"&amp;$C113,CPAT_Results!$F:$F,0),MATCH(AB$5,CPAT_Results!$1:$1,0))</f>
        <v>0</v>
      </c>
      <c r="AC113" s="146">
        <f>INDEX(CPAT_Results!$A:$AD,MATCH($H113&amp;"_"&amp;$C113,CPAT_Results!$F:$F,0),MATCH(AC$5,CPAT_Results!$1:$1,0))</f>
        <v>0</v>
      </c>
      <c r="AD113" s="146">
        <f>INDEX(CPAT_Results!$A:$AD,MATCH($H113&amp;"_"&amp;$C113,CPAT_Results!$F:$F,0),MATCH(AD$5,CPAT_Results!$1:$1,0))</f>
        <v>0</v>
      </c>
      <c r="AE113" s="146">
        <f>INDEX(CPAT_Results!$A:$AD,MATCH($H113&amp;"_"&amp;$C113,CPAT_Results!$F:$F,0),MATCH(AE$5,CPAT_Results!$1:$1,0))</f>
        <v>0</v>
      </c>
    </row>
    <row r="114" spans="2:31" x14ac:dyDescent="0.2">
      <c r="B114" s="112" t="s">
        <v>3423</v>
      </c>
      <c r="C114" s="112" t="s">
        <v>3256</v>
      </c>
      <c r="D114" s="112" t="s">
        <v>3424</v>
      </c>
      <c r="E114" s="112" t="s">
        <v>3400</v>
      </c>
      <c r="F114" s="112" t="s">
        <v>11679</v>
      </c>
      <c r="H114" s="116" t="s">
        <v>3425</v>
      </c>
      <c r="L114" s="146">
        <f>INDEX(CPAT_Results!$A:$AD,MATCH($H114&amp;"_"&amp;$C114,CPAT_Results!$F:$F,0),MATCH(L$5,CPAT_Results!$1:$1,0))</f>
        <v>0</v>
      </c>
      <c r="M114" s="146">
        <f>INDEX(CPAT_Results!$A:$AD,MATCH($H114&amp;"_"&amp;$C114,CPAT_Results!$F:$F,0),MATCH(M$5,CPAT_Results!$1:$1,0))</f>
        <v>0</v>
      </c>
      <c r="N114" s="146">
        <f>INDEX(CPAT_Results!$A:$AD,MATCH($H114&amp;"_"&amp;$C114,CPAT_Results!$F:$F,0),MATCH(N$5,CPAT_Results!$1:$1,0))</f>
        <v>0</v>
      </c>
      <c r="O114" s="146">
        <f>INDEX(CPAT_Results!$A:$AD,MATCH($H114&amp;"_"&amp;$C114,CPAT_Results!$F:$F,0),MATCH(O$5,CPAT_Results!$1:$1,0))</f>
        <v>0</v>
      </c>
      <c r="P114" s="146">
        <f>INDEX(CPAT_Results!$A:$AD,MATCH($H114&amp;"_"&amp;$C114,CPAT_Results!$F:$F,0),MATCH(P$5,CPAT_Results!$1:$1,0))</f>
        <v>2.08</v>
      </c>
      <c r="Q114" s="146">
        <f>INDEX(CPAT_Results!$A:$AD,MATCH($H114&amp;"_"&amp;$C114,CPAT_Results!$F:$F,0),MATCH(Q$5,CPAT_Results!$1:$1,0))</f>
        <v>1.92</v>
      </c>
      <c r="R114" s="146">
        <f>INDEX(CPAT_Results!$A:$AD,MATCH($H114&amp;"_"&amp;$C114,CPAT_Results!$F:$F,0),MATCH(R$5,CPAT_Results!$1:$1,0))</f>
        <v>2.0299999999999998</v>
      </c>
      <c r="S114" s="146">
        <f>INDEX(CPAT_Results!$A:$AD,MATCH($H114&amp;"_"&amp;$C114,CPAT_Results!$F:$F,0),MATCH(S$5,CPAT_Results!$1:$1,0))</f>
        <v>2.09</v>
      </c>
      <c r="T114" s="146">
        <f>INDEX(CPAT_Results!$A:$AD,MATCH($H114&amp;"_"&amp;$C114,CPAT_Results!$F:$F,0),MATCH(T$5,CPAT_Results!$1:$1,0))</f>
        <v>2.16</v>
      </c>
      <c r="U114" s="146">
        <f>INDEX(CPAT_Results!$A:$AD,MATCH($H114&amp;"_"&amp;$C114,CPAT_Results!$F:$F,0),MATCH(U$5,CPAT_Results!$1:$1,0))</f>
        <v>2.21</v>
      </c>
      <c r="V114" s="146">
        <f>INDEX(CPAT_Results!$A:$AD,MATCH($H114&amp;"_"&amp;$C114,CPAT_Results!$F:$F,0),MATCH(V$5,CPAT_Results!$1:$1,0))</f>
        <v>2.2599999999999998</v>
      </c>
      <c r="W114" s="146">
        <f>INDEX(CPAT_Results!$A:$AD,MATCH($H114&amp;"_"&amp;$C114,CPAT_Results!$F:$F,0),MATCH(W$5,CPAT_Results!$1:$1,0))</f>
        <v>2.33</v>
      </c>
      <c r="X114" s="146">
        <f>INDEX(CPAT_Results!$A:$AD,MATCH($H114&amp;"_"&amp;$C114,CPAT_Results!$F:$F,0),MATCH(X$5,CPAT_Results!$1:$1,0))</f>
        <v>2.4</v>
      </c>
      <c r="Y114" s="146">
        <f>INDEX(CPAT_Results!$A:$AD,MATCH($H114&amp;"_"&amp;$C114,CPAT_Results!$F:$F,0),MATCH(Y$5,CPAT_Results!$1:$1,0))</f>
        <v>2.4900000000000002</v>
      </c>
      <c r="Z114" s="146">
        <f>INDEX(CPAT_Results!$A:$AD,MATCH($H114&amp;"_"&amp;$C114,CPAT_Results!$F:$F,0),MATCH(Z$5,CPAT_Results!$1:$1,0))</f>
        <v>2.59</v>
      </c>
      <c r="AA114" s="146">
        <f>INDEX(CPAT_Results!$A:$AD,MATCH($H114&amp;"_"&amp;$C114,CPAT_Results!$F:$F,0),MATCH(AA$5,CPAT_Results!$1:$1,0))</f>
        <v>2.7</v>
      </c>
      <c r="AB114" s="146">
        <f>INDEX(CPAT_Results!$A:$AD,MATCH($H114&amp;"_"&amp;$C114,CPAT_Results!$F:$F,0),MATCH(AB$5,CPAT_Results!$1:$1,0))</f>
        <v>2.83</v>
      </c>
      <c r="AC114" s="146">
        <f>INDEX(CPAT_Results!$A:$AD,MATCH($H114&amp;"_"&amp;$C114,CPAT_Results!$F:$F,0),MATCH(AC$5,CPAT_Results!$1:$1,0))</f>
        <v>2.98</v>
      </c>
      <c r="AD114" s="146">
        <f>INDEX(CPAT_Results!$A:$AD,MATCH($H114&amp;"_"&amp;$C114,CPAT_Results!$F:$F,0),MATCH(AD$5,CPAT_Results!$1:$1,0))</f>
        <v>3.16</v>
      </c>
      <c r="AE114" s="146">
        <f>INDEX(CPAT_Results!$A:$AD,MATCH($H114&amp;"_"&amp;$C114,CPAT_Results!$F:$F,0),MATCH(AE$5,CPAT_Results!$1:$1,0))</f>
        <v>3.34</v>
      </c>
    </row>
    <row r="115" spans="2:31" x14ac:dyDescent="0.2">
      <c r="B115" s="112" t="s">
        <v>3426</v>
      </c>
      <c r="C115" s="112" t="s">
        <v>3261</v>
      </c>
      <c r="D115" s="112" t="s">
        <v>3424</v>
      </c>
      <c r="E115" s="112" t="s">
        <v>3400</v>
      </c>
      <c r="F115" s="112" t="s">
        <v>11680</v>
      </c>
      <c r="H115" s="116" t="s">
        <v>3425</v>
      </c>
      <c r="L115" s="146">
        <f>INDEX(CPAT_Results!$A:$AD,MATCH($H115&amp;"_"&amp;$C115,CPAT_Results!$F:$F,0),MATCH(L$5,CPAT_Results!$1:$1,0))</f>
        <v>0</v>
      </c>
      <c r="M115" s="146">
        <f>INDEX(CPAT_Results!$A:$AD,MATCH($H115&amp;"_"&amp;$C115,CPAT_Results!$F:$F,0),MATCH(M$5,CPAT_Results!$1:$1,0))</f>
        <v>0</v>
      </c>
      <c r="N115" s="146">
        <f>INDEX(CPAT_Results!$A:$AD,MATCH($H115&amp;"_"&amp;$C115,CPAT_Results!$F:$F,0),MATCH(N$5,CPAT_Results!$1:$1,0))</f>
        <v>0</v>
      </c>
      <c r="O115" s="146">
        <f>INDEX(CPAT_Results!$A:$AD,MATCH($H115&amp;"_"&amp;$C115,CPAT_Results!$F:$F,0),MATCH(O$5,CPAT_Results!$1:$1,0))</f>
        <v>0</v>
      </c>
      <c r="P115" s="146">
        <f>INDEX(CPAT_Results!$A:$AD,MATCH($H115&amp;"_"&amp;$C115,CPAT_Results!$F:$F,0),MATCH(P$5,CPAT_Results!$1:$1,0))</f>
        <v>0</v>
      </c>
      <c r="Q115" s="146">
        <f>INDEX(CPAT_Results!$A:$AD,MATCH($H115&amp;"_"&amp;$C115,CPAT_Results!$F:$F,0),MATCH(Q$5,CPAT_Results!$1:$1,0))</f>
        <v>0</v>
      </c>
      <c r="R115" s="146">
        <f>INDEX(CPAT_Results!$A:$AD,MATCH($H115&amp;"_"&amp;$C115,CPAT_Results!$F:$F,0),MATCH(R$5,CPAT_Results!$1:$1,0))</f>
        <v>0</v>
      </c>
      <c r="S115" s="146">
        <f>INDEX(CPAT_Results!$A:$AD,MATCH($H115&amp;"_"&amp;$C115,CPAT_Results!$F:$F,0),MATCH(S$5,CPAT_Results!$1:$1,0))</f>
        <v>0</v>
      </c>
      <c r="T115" s="146">
        <f>INDEX(CPAT_Results!$A:$AD,MATCH($H115&amp;"_"&amp;$C115,CPAT_Results!$F:$F,0),MATCH(T$5,CPAT_Results!$1:$1,0))</f>
        <v>0</v>
      </c>
      <c r="U115" s="146">
        <f>INDEX(CPAT_Results!$A:$AD,MATCH($H115&amp;"_"&amp;$C115,CPAT_Results!$F:$F,0),MATCH(U$5,CPAT_Results!$1:$1,0))</f>
        <v>0</v>
      </c>
      <c r="V115" s="146">
        <f>INDEX(CPAT_Results!$A:$AD,MATCH($H115&amp;"_"&amp;$C115,CPAT_Results!$F:$F,0),MATCH(V$5,CPAT_Results!$1:$1,0))</f>
        <v>0</v>
      </c>
      <c r="W115" s="146">
        <f>INDEX(CPAT_Results!$A:$AD,MATCH($H115&amp;"_"&amp;$C115,CPAT_Results!$F:$F,0),MATCH(W$5,CPAT_Results!$1:$1,0))</f>
        <v>0</v>
      </c>
      <c r="X115" s="146">
        <f>INDEX(CPAT_Results!$A:$AD,MATCH($H115&amp;"_"&amp;$C115,CPAT_Results!$F:$F,0),MATCH(X$5,CPAT_Results!$1:$1,0))</f>
        <v>0</v>
      </c>
      <c r="Y115" s="146">
        <f>INDEX(CPAT_Results!$A:$AD,MATCH($H115&amp;"_"&amp;$C115,CPAT_Results!$F:$F,0),MATCH(Y$5,CPAT_Results!$1:$1,0))</f>
        <v>0</v>
      </c>
      <c r="Z115" s="146">
        <f>INDEX(CPAT_Results!$A:$AD,MATCH($H115&amp;"_"&amp;$C115,CPAT_Results!$F:$F,0),MATCH(Z$5,CPAT_Results!$1:$1,0))</f>
        <v>0</v>
      </c>
      <c r="AA115" s="146">
        <f>INDEX(CPAT_Results!$A:$AD,MATCH($H115&amp;"_"&amp;$C115,CPAT_Results!$F:$F,0),MATCH(AA$5,CPAT_Results!$1:$1,0))</f>
        <v>0</v>
      </c>
      <c r="AB115" s="146">
        <f>INDEX(CPAT_Results!$A:$AD,MATCH($H115&amp;"_"&amp;$C115,CPAT_Results!$F:$F,0),MATCH(AB$5,CPAT_Results!$1:$1,0))</f>
        <v>0</v>
      </c>
      <c r="AC115" s="146">
        <f>INDEX(CPAT_Results!$A:$AD,MATCH($H115&amp;"_"&amp;$C115,CPAT_Results!$F:$F,0),MATCH(AC$5,CPAT_Results!$1:$1,0))</f>
        <v>0</v>
      </c>
      <c r="AD115" s="146">
        <f>INDEX(CPAT_Results!$A:$AD,MATCH($H115&amp;"_"&amp;$C115,CPAT_Results!$F:$F,0),MATCH(AD$5,CPAT_Results!$1:$1,0))</f>
        <v>0</v>
      </c>
      <c r="AE115" s="146">
        <f>INDEX(CPAT_Results!$A:$AD,MATCH($H115&amp;"_"&amp;$C115,CPAT_Results!$F:$F,0),MATCH(AE$5,CPAT_Results!$1:$1,0))</f>
        <v>0</v>
      </c>
    </row>
    <row r="116" spans="2:31" x14ac:dyDescent="0.2">
      <c r="B116" s="112" t="s">
        <v>3427</v>
      </c>
      <c r="C116" s="112" t="s">
        <v>3263</v>
      </c>
      <c r="D116" s="112" t="s">
        <v>3424</v>
      </c>
      <c r="E116" s="112" t="s">
        <v>3400</v>
      </c>
      <c r="F116" s="112" t="s">
        <v>11681</v>
      </c>
      <c r="H116" s="116" t="s">
        <v>3425</v>
      </c>
      <c r="L116" s="146">
        <f>INDEX(CPAT_Results!$A:$AD,MATCH($H116&amp;"_"&amp;$C116,CPAT_Results!$F:$F,0),MATCH(L$5,CPAT_Results!$1:$1,0))</f>
        <v>0</v>
      </c>
      <c r="M116" s="146">
        <f>INDEX(CPAT_Results!$A:$AD,MATCH($H116&amp;"_"&amp;$C116,CPAT_Results!$F:$F,0),MATCH(M$5,CPAT_Results!$1:$1,0))</f>
        <v>0</v>
      </c>
      <c r="N116" s="146">
        <f>INDEX(CPAT_Results!$A:$AD,MATCH($H116&amp;"_"&amp;$C116,CPAT_Results!$F:$F,0),MATCH(N$5,CPAT_Results!$1:$1,0))</f>
        <v>0</v>
      </c>
      <c r="O116" s="146">
        <f>INDEX(CPAT_Results!$A:$AD,MATCH($H116&amp;"_"&amp;$C116,CPAT_Results!$F:$F,0),MATCH(O$5,CPAT_Results!$1:$1,0))</f>
        <v>0</v>
      </c>
      <c r="P116" s="146">
        <f>INDEX(CPAT_Results!$A:$AD,MATCH($H116&amp;"_"&amp;$C116,CPAT_Results!$F:$F,0),MATCH(P$5,CPAT_Results!$1:$1,0))</f>
        <v>0.22</v>
      </c>
      <c r="Q116" s="146">
        <f>INDEX(CPAT_Results!$A:$AD,MATCH($H116&amp;"_"&amp;$C116,CPAT_Results!$F:$F,0),MATCH(Q$5,CPAT_Results!$1:$1,0))</f>
        <v>0.31</v>
      </c>
      <c r="R116" s="146">
        <f>INDEX(CPAT_Results!$A:$AD,MATCH($H116&amp;"_"&amp;$C116,CPAT_Results!$F:$F,0),MATCH(R$5,CPAT_Results!$1:$1,0))</f>
        <v>0.41</v>
      </c>
      <c r="S116" s="146">
        <f>INDEX(CPAT_Results!$A:$AD,MATCH($H116&amp;"_"&amp;$C116,CPAT_Results!$F:$F,0),MATCH(S$5,CPAT_Results!$1:$1,0))</f>
        <v>0.51</v>
      </c>
      <c r="T116" s="146">
        <f>INDEX(CPAT_Results!$A:$AD,MATCH($H116&amp;"_"&amp;$C116,CPAT_Results!$F:$F,0),MATCH(T$5,CPAT_Results!$1:$1,0))</f>
        <v>0.61</v>
      </c>
      <c r="U116" s="146">
        <f>INDEX(CPAT_Results!$A:$AD,MATCH($H116&amp;"_"&amp;$C116,CPAT_Results!$F:$F,0),MATCH(U$5,CPAT_Results!$1:$1,0))</f>
        <v>0.71</v>
      </c>
      <c r="V116" s="146">
        <f>INDEX(CPAT_Results!$A:$AD,MATCH($H116&amp;"_"&amp;$C116,CPAT_Results!$F:$F,0),MATCH(V$5,CPAT_Results!$1:$1,0))</f>
        <v>0.82</v>
      </c>
      <c r="W116" s="146">
        <f>INDEX(CPAT_Results!$A:$AD,MATCH($H116&amp;"_"&amp;$C116,CPAT_Results!$F:$F,0),MATCH(W$5,CPAT_Results!$1:$1,0))</f>
        <v>0.93</v>
      </c>
      <c r="X116" s="146">
        <f>INDEX(CPAT_Results!$A:$AD,MATCH($H116&amp;"_"&amp;$C116,CPAT_Results!$F:$F,0),MATCH(X$5,CPAT_Results!$1:$1,0))</f>
        <v>1.04</v>
      </c>
      <c r="Y116" s="146">
        <f>INDEX(CPAT_Results!$A:$AD,MATCH($H116&amp;"_"&amp;$C116,CPAT_Results!$F:$F,0),MATCH(Y$5,CPAT_Results!$1:$1,0))</f>
        <v>1.1599999999999999</v>
      </c>
      <c r="Z116" s="146">
        <f>INDEX(CPAT_Results!$A:$AD,MATCH($H116&amp;"_"&amp;$C116,CPAT_Results!$F:$F,0),MATCH(Z$5,CPAT_Results!$1:$1,0))</f>
        <v>1.29</v>
      </c>
      <c r="AA116" s="146">
        <f>INDEX(CPAT_Results!$A:$AD,MATCH($H116&amp;"_"&amp;$C116,CPAT_Results!$F:$F,0),MATCH(AA$5,CPAT_Results!$1:$1,0))</f>
        <v>1.41</v>
      </c>
      <c r="AB116" s="146">
        <f>INDEX(CPAT_Results!$A:$AD,MATCH($H116&amp;"_"&amp;$C116,CPAT_Results!$F:$F,0),MATCH(AB$5,CPAT_Results!$1:$1,0))</f>
        <v>1.54</v>
      </c>
      <c r="AC116" s="146">
        <f>INDEX(CPAT_Results!$A:$AD,MATCH($H116&amp;"_"&amp;$C116,CPAT_Results!$F:$F,0),MATCH(AC$5,CPAT_Results!$1:$1,0))</f>
        <v>1.68</v>
      </c>
      <c r="AD116" s="146">
        <f>INDEX(CPAT_Results!$A:$AD,MATCH($H116&amp;"_"&amp;$C116,CPAT_Results!$F:$F,0),MATCH(AD$5,CPAT_Results!$1:$1,0))</f>
        <v>1.82</v>
      </c>
      <c r="AE116" s="146">
        <f>INDEX(CPAT_Results!$A:$AD,MATCH($H116&amp;"_"&amp;$C116,CPAT_Results!$F:$F,0),MATCH(AE$5,CPAT_Results!$1:$1,0))</f>
        <v>1.97</v>
      </c>
    </row>
    <row r="117" spans="2:31" x14ac:dyDescent="0.2">
      <c r="B117" s="112" t="s">
        <v>3428</v>
      </c>
      <c r="C117" s="112" t="s">
        <v>3265</v>
      </c>
      <c r="D117" s="112" t="s">
        <v>3424</v>
      </c>
      <c r="E117" s="112" t="s">
        <v>3400</v>
      </c>
      <c r="F117" s="112" t="s">
        <v>11682</v>
      </c>
      <c r="H117" s="116" t="s">
        <v>3425</v>
      </c>
      <c r="L117" s="146">
        <f>INDEX(CPAT_Results!$A:$AD,MATCH($H117&amp;"_"&amp;$C117,CPAT_Results!$F:$F,0),MATCH(L$5,CPAT_Results!$1:$1,0))</f>
        <v>0</v>
      </c>
      <c r="M117" s="146">
        <f>INDEX(CPAT_Results!$A:$AD,MATCH($H117&amp;"_"&amp;$C117,CPAT_Results!$F:$F,0),MATCH(M$5,CPAT_Results!$1:$1,0))</f>
        <v>0</v>
      </c>
      <c r="N117" s="146">
        <f>INDEX(CPAT_Results!$A:$AD,MATCH($H117&amp;"_"&amp;$C117,CPAT_Results!$F:$F,0),MATCH(N$5,CPAT_Results!$1:$1,0))</f>
        <v>0</v>
      </c>
      <c r="O117" s="146">
        <f>INDEX(CPAT_Results!$A:$AD,MATCH($H117&amp;"_"&amp;$C117,CPAT_Results!$F:$F,0),MATCH(O$5,CPAT_Results!$1:$1,0))</f>
        <v>0</v>
      </c>
      <c r="P117" s="146">
        <f>INDEX(CPAT_Results!$A:$AD,MATCH($H117&amp;"_"&amp;$C117,CPAT_Results!$F:$F,0),MATCH(P$5,CPAT_Results!$1:$1,0))</f>
        <v>0</v>
      </c>
      <c r="Q117" s="146">
        <f>INDEX(CPAT_Results!$A:$AD,MATCH($H117&amp;"_"&amp;$C117,CPAT_Results!$F:$F,0),MATCH(Q$5,CPAT_Results!$1:$1,0))</f>
        <v>0</v>
      </c>
      <c r="R117" s="146">
        <f>INDEX(CPAT_Results!$A:$AD,MATCH($H117&amp;"_"&amp;$C117,CPAT_Results!$F:$F,0),MATCH(R$5,CPAT_Results!$1:$1,0))</f>
        <v>0</v>
      </c>
      <c r="S117" s="146">
        <f>INDEX(CPAT_Results!$A:$AD,MATCH($H117&amp;"_"&amp;$C117,CPAT_Results!$F:$F,0),MATCH(S$5,CPAT_Results!$1:$1,0))</f>
        <v>0</v>
      </c>
      <c r="T117" s="146">
        <f>INDEX(CPAT_Results!$A:$AD,MATCH($H117&amp;"_"&amp;$C117,CPAT_Results!$F:$F,0),MATCH(T$5,CPAT_Results!$1:$1,0))</f>
        <v>0</v>
      </c>
      <c r="U117" s="146">
        <f>INDEX(CPAT_Results!$A:$AD,MATCH($H117&amp;"_"&amp;$C117,CPAT_Results!$F:$F,0),MATCH(U$5,CPAT_Results!$1:$1,0))</f>
        <v>0</v>
      </c>
      <c r="V117" s="146">
        <f>INDEX(CPAT_Results!$A:$AD,MATCH($H117&amp;"_"&amp;$C117,CPAT_Results!$F:$F,0),MATCH(V$5,CPAT_Results!$1:$1,0))</f>
        <v>0</v>
      </c>
      <c r="W117" s="146">
        <f>INDEX(CPAT_Results!$A:$AD,MATCH($H117&amp;"_"&amp;$C117,CPAT_Results!$F:$F,0),MATCH(W$5,CPAT_Results!$1:$1,0))</f>
        <v>0</v>
      </c>
      <c r="X117" s="146">
        <f>INDEX(CPAT_Results!$A:$AD,MATCH($H117&amp;"_"&amp;$C117,CPAT_Results!$F:$F,0),MATCH(X$5,CPAT_Results!$1:$1,0))</f>
        <v>0</v>
      </c>
      <c r="Y117" s="146">
        <f>INDEX(CPAT_Results!$A:$AD,MATCH($H117&amp;"_"&amp;$C117,CPAT_Results!$F:$F,0),MATCH(Y$5,CPAT_Results!$1:$1,0))</f>
        <v>0</v>
      </c>
      <c r="Z117" s="146">
        <f>INDEX(CPAT_Results!$A:$AD,MATCH($H117&amp;"_"&amp;$C117,CPAT_Results!$F:$F,0),MATCH(Z$5,CPAT_Results!$1:$1,0))</f>
        <v>0</v>
      </c>
      <c r="AA117" s="146">
        <f>INDEX(CPAT_Results!$A:$AD,MATCH($H117&amp;"_"&amp;$C117,CPAT_Results!$F:$F,0),MATCH(AA$5,CPAT_Results!$1:$1,0))</f>
        <v>0</v>
      </c>
      <c r="AB117" s="146">
        <f>INDEX(CPAT_Results!$A:$AD,MATCH($H117&amp;"_"&amp;$C117,CPAT_Results!$F:$F,0),MATCH(AB$5,CPAT_Results!$1:$1,0))</f>
        <v>0</v>
      </c>
      <c r="AC117" s="146">
        <f>INDEX(CPAT_Results!$A:$AD,MATCH($H117&amp;"_"&amp;$C117,CPAT_Results!$F:$F,0),MATCH(AC$5,CPAT_Results!$1:$1,0))</f>
        <v>0</v>
      </c>
      <c r="AD117" s="146">
        <f>INDEX(CPAT_Results!$A:$AD,MATCH($H117&amp;"_"&amp;$C117,CPAT_Results!$F:$F,0),MATCH(AD$5,CPAT_Results!$1:$1,0))</f>
        <v>0</v>
      </c>
      <c r="AE117" s="146">
        <f>INDEX(CPAT_Results!$A:$AD,MATCH($H117&amp;"_"&amp;$C117,CPAT_Results!$F:$F,0),MATCH(AE$5,CPAT_Results!$1:$1,0))</f>
        <v>0</v>
      </c>
    </row>
    <row r="118" spans="2:31" x14ac:dyDescent="0.2">
      <c r="B118" s="112" t="s">
        <v>3429</v>
      </c>
      <c r="C118" s="112" t="s">
        <v>3256</v>
      </c>
      <c r="D118" s="112" t="s">
        <v>3430</v>
      </c>
      <c r="E118" s="112" t="s">
        <v>3400</v>
      </c>
      <c r="F118" s="112" t="s">
        <v>11679</v>
      </c>
      <c r="H118" s="116" t="s">
        <v>3431</v>
      </c>
      <c r="L118" s="146">
        <f>INDEX(CPAT_Results!$A:$AD,MATCH($H118&amp;"_"&amp;$C118,CPAT_Results!$F:$F,0),MATCH(L$5,CPAT_Results!$1:$1,0))</f>
        <v>0</v>
      </c>
      <c r="M118" s="146">
        <f>INDEX(CPAT_Results!$A:$AD,MATCH($H118&amp;"_"&amp;$C118,CPAT_Results!$F:$F,0),MATCH(M$5,CPAT_Results!$1:$1,0))</f>
        <v>0</v>
      </c>
      <c r="N118" s="146">
        <f>INDEX(CPAT_Results!$A:$AD,MATCH($H118&amp;"_"&amp;$C118,CPAT_Results!$F:$F,0),MATCH(N$5,CPAT_Results!$1:$1,0))</f>
        <v>0</v>
      </c>
      <c r="O118" s="146">
        <f>INDEX(CPAT_Results!$A:$AD,MATCH($H118&amp;"_"&amp;$C118,CPAT_Results!$F:$F,0),MATCH(O$5,CPAT_Results!$1:$1,0))</f>
        <v>0</v>
      </c>
      <c r="P118" s="146">
        <f>INDEX(CPAT_Results!$A:$AD,MATCH($H118&amp;"_"&amp;$C118,CPAT_Results!$F:$F,0),MATCH(P$5,CPAT_Results!$1:$1,0))</f>
        <v>0.55000000000000004</v>
      </c>
      <c r="Q118" s="146">
        <f>INDEX(CPAT_Results!$A:$AD,MATCH($H118&amp;"_"&amp;$C118,CPAT_Results!$F:$F,0),MATCH(Q$5,CPAT_Results!$1:$1,0))</f>
        <v>0.6</v>
      </c>
      <c r="R118" s="146">
        <f>INDEX(CPAT_Results!$A:$AD,MATCH($H118&amp;"_"&amp;$C118,CPAT_Results!$F:$F,0),MATCH(R$5,CPAT_Results!$1:$1,0))</f>
        <v>0.62</v>
      </c>
      <c r="S118" s="146">
        <f>INDEX(CPAT_Results!$A:$AD,MATCH($H118&amp;"_"&amp;$C118,CPAT_Results!$F:$F,0),MATCH(S$5,CPAT_Results!$1:$1,0))</f>
        <v>0.63</v>
      </c>
      <c r="T118" s="146">
        <f>INDEX(CPAT_Results!$A:$AD,MATCH($H118&amp;"_"&amp;$C118,CPAT_Results!$F:$F,0),MATCH(T$5,CPAT_Results!$1:$1,0))</f>
        <v>0.64</v>
      </c>
      <c r="U118" s="146">
        <f>INDEX(CPAT_Results!$A:$AD,MATCH($H118&amp;"_"&amp;$C118,CPAT_Results!$F:$F,0),MATCH(U$5,CPAT_Results!$1:$1,0))</f>
        <v>0.64</v>
      </c>
      <c r="V118" s="146">
        <f>INDEX(CPAT_Results!$A:$AD,MATCH($H118&amp;"_"&amp;$C118,CPAT_Results!$F:$F,0),MATCH(V$5,CPAT_Results!$1:$1,0))</f>
        <v>0.65</v>
      </c>
      <c r="W118" s="146">
        <f>INDEX(CPAT_Results!$A:$AD,MATCH($H118&amp;"_"&amp;$C118,CPAT_Results!$F:$F,0),MATCH(W$5,CPAT_Results!$1:$1,0))</f>
        <v>0.65</v>
      </c>
      <c r="X118" s="146">
        <f>INDEX(CPAT_Results!$A:$AD,MATCH($H118&amp;"_"&amp;$C118,CPAT_Results!$F:$F,0),MATCH(X$5,CPAT_Results!$1:$1,0))</f>
        <v>0.66</v>
      </c>
      <c r="Y118" s="146">
        <f>INDEX(CPAT_Results!$A:$AD,MATCH($H118&amp;"_"&amp;$C118,CPAT_Results!$F:$F,0),MATCH(Y$5,CPAT_Results!$1:$1,0))</f>
        <v>0.67</v>
      </c>
      <c r="Z118" s="146">
        <f>INDEX(CPAT_Results!$A:$AD,MATCH($H118&amp;"_"&amp;$C118,CPAT_Results!$F:$F,0),MATCH(Z$5,CPAT_Results!$1:$1,0))</f>
        <v>0.68</v>
      </c>
      <c r="AA118" s="146">
        <f>INDEX(CPAT_Results!$A:$AD,MATCH($H118&amp;"_"&amp;$C118,CPAT_Results!$F:$F,0),MATCH(AA$5,CPAT_Results!$1:$1,0))</f>
        <v>0.69</v>
      </c>
      <c r="AB118" s="146">
        <f>INDEX(CPAT_Results!$A:$AD,MATCH($H118&amp;"_"&amp;$C118,CPAT_Results!$F:$F,0),MATCH(AB$5,CPAT_Results!$1:$1,0))</f>
        <v>0.7</v>
      </c>
      <c r="AC118" s="146">
        <f>INDEX(CPAT_Results!$A:$AD,MATCH($H118&amp;"_"&amp;$C118,CPAT_Results!$F:$F,0),MATCH(AC$5,CPAT_Results!$1:$1,0))</f>
        <v>0.72</v>
      </c>
      <c r="AD118" s="146">
        <f>INDEX(CPAT_Results!$A:$AD,MATCH($H118&amp;"_"&amp;$C118,CPAT_Results!$F:$F,0),MATCH(AD$5,CPAT_Results!$1:$1,0))</f>
        <v>0.73</v>
      </c>
      <c r="AE118" s="146">
        <f>INDEX(CPAT_Results!$A:$AD,MATCH($H118&amp;"_"&amp;$C118,CPAT_Results!$F:$F,0),MATCH(AE$5,CPAT_Results!$1:$1,0))</f>
        <v>0.75</v>
      </c>
    </row>
    <row r="119" spans="2:31" x14ac:dyDescent="0.2">
      <c r="B119" s="112" t="s">
        <v>3432</v>
      </c>
      <c r="C119" s="112" t="s">
        <v>3261</v>
      </c>
      <c r="D119" s="112" t="s">
        <v>3430</v>
      </c>
      <c r="E119" s="112" t="s">
        <v>3400</v>
      </c>
      <c r="F119" s="112" t="s">
        <v>11680</v>
      </c>
      <c r="H119" s="116" t="s">
        <v>3431</v>
      </c>
      <c r="L119" s="146">
        <f>INDEX(CPAT_Results!$A:$AD,MATCH($H119&amp;"_"&amp;$C119,CPAT_Results!$F:$F,0),MATCH(L$5,CPAT_Results!$1:$1,0))</f>
        <v>0</v>
      </c>
      <c r="M119" s="146">
        <f>INDEX(CPAT_Results!$A:$AD,MATCH($H119&amp;"_"&amp;$C119,CPAT_Results!$F:$F,0),MATCH(M$5,CPAT_Results!$1:$1,0))</f>
        <v>0</v>
      </c>
      <c r="N119" s="146">
        <f>INDEX(CPAT_Results!$A:$AD,MATCH($H119&amp;"_"&amp;$C119,CPAT_Results!$F:$F,0),MATCH(N$5,CPAT_Results!$1:$1,0))</f>
        <v>0</v>
      </c>
      <c r="O119" s="146">
        <f>INDEX(CPAT_Results!$A:$AD,MATCH($H119&amp;"_"&amp;$C119,CPAT_Results!$F:$F,0),MATCH(O$5,CPAT_Results!$1:$1,0))</f>
        <v>0</v>
      </c>
      <c r="P119" s="146">
        <f>INDEX(CPAT_Results!$A:$AD,MATCH($H119&amp;"_"&amp;$C119,CPAT_Results!$F:$F,0),MATCH(P$5,CPAT_Results!$1:$1,0))</f>
        <v>0</v>
      </c>
      <c r="Q119" s="146">
        <f>INDEX(CPAT_Results!$A:$AD,MATCH($H119&amp;"_"&amp;$C119,CPAT_Results!$F:$F,0),MATCH(Q$5,CPAT_Results!$1:$1,0))</f>
        <v>0</v>
      </c>
      <c r="R119" s="146">
        <f>INDEX(CPAT_Results!$A:$AD,MATCH($H119&amp;"_"&amp;$C119,CPAT_Results!$F:$F,0),MATCH(R$5,CPAT_Results!$1:$1,0))</f>
        <v>0</v>
      </c>
      <c r="S119" s="146">
        <f>INDEX(CPAT_Results!$A:$AD,MATCH($H119&amp;"_"&amp;$C119,CPAT_Results!$F:$F,0),MATCH(S$5,CPAT_Results!$1:$1,0))</f>
        <v>0</v>
      </c>
      <c r="T119" s="146">
        <f>INDEX(CPAT_Results!$A:$AD,MATCH($H119&amp;"_"&amp;$C119,CPAT_Results!$F:$F,0),MATCH(T$5,CPAT_Results!$1:$1,0))</f>
        <v>0</v>
      </c>
      <c r="U119" s="146">
        <f>INDEX(CPAT_Results!$A:$AD,MATCH($H119&amp;"_"&amp;$C119,CPAT_Results!$F:$F,0),MATCH(U$5,CPAT_Results!$1:$1,0))</f>
        <v>0</v>
      </c>
      <c r="V119" s="146">
        <f>INDEX(CPAT_Results!$A:$AD,MATCH($H119&amp;"_"&amp;$C119,CPAT_Results!$F:$F,0),MATCH(V$5,CPAT_Results!$1:$1,0))</f>
        <v>0</v>
      </c>
      <c r="W119" s="146">
        <f>INDEX(CPAT_Results!$A:$AD,MATCH($H119&amp;"_"&amp;$C119,CPAT_Results!$F:$F,0),MATCH(W$5,CPAT_Results!$1:$1,0))</f>
        <v>0</v>
      </c>
      <c r="X119" s="146">
        <f>INDEX(CPAT_Results!$A:$AD,MATCH($H119&amp;"_"&amp;$C119,CPAT_Results!$F:$F,0),MATCH(X$5,CPAT_Results!$1:$1,0))</f>
        <v>0</v>
      </c>
      <c r="Y119" s="146">
        <f>INDEX(CPAT_Results!$A:$AD,MATCH($H119&amp;"_"&amp;$C119,CPAT_Results!$F:$F,0),MATCH(Y$5,CPAT_Results!$1:$1,0))</f>
        <v>0</v>
      </c>
      <c r="Z119" s="146">
        <f>INDEX(CPAT_Results!$A:$AD,MATCH($H119&amp;"_"&amp;$C119,CPAT_Results!$F:$F,0),MATCH(Z$5,CPAT_Results!$1:$1,0))</f>
        <v>0</v>
      </c>
      <c r="AA119" s="146">
        <f>INDEX(CPAT_Results!$A:$AD,MATCH($H119&amp;"_"&amp;$C119,CPAT_Results!$F:$F,0),MATCH(AA$5,CPAT_Results!$1:$1,0))</f>
        <v>0</v>
      </c>
      <c r="AB119" s="146">
        <f>INDEX(CPAT_Results!$A:$AD,MATCH($H119&amp;"_"&amp;$C119,CPAT_Results!$F:$F,0),MATCH(AB$5,CPAT_Results!$1:$1,0))</f>
        <v>0</v>
      </c>
      <c r="AC119" s="146">
        <f>INDEX(CPAT_Results!$A:$AD,MATCH($H119&amp;"_"&amp;$C119,CPAT_Results!$F:$F,0),MATCH(AC$5,CPAT_Results!$1:$1,0))</f>
        <v>0</v>
      </c>
      <c r="AD119" s="146">
        <f>INDEX(CPAT_Results!$A:$AD,MATCH($H119&amp;"_"&amp;$C119,CPAT_Results!$F:$F,0),MATCH(AD$5,CPAT_Results!$1:$1,0))</f>
        <v>0</v>
      </c>
      <c r="AE119" s="146">
        <f>INDEX(CPAT_Results!$A:$AD,MATCH($H119&amp;"_"&amp;$C119,CPAT_Results!$F:$F,0),MATCH(AE$5,CPAT_Results!$1:$1,0))</f>
        <v>0</v>
      </c>
    </row>
    <row r="120" spans="2:31" x14ac:dyDescent="0.2">
      <c r="B120" s="112" t="s">
        <v>3433</v>
      </c>
      <c r="C120" s="112" t="s">
        <v>3263</v>
      </c>
      <c r="D120" s="112" t="s">
        <v>3430</v>
      </c>
      <c r="E120" s="112" t="s">
        <v>3400</v>
      </c>
      <c r="F120" s="112" t="s">
        <v>11681</v>
      </c>
      <c r="H120" s="116" t="s">
        <v>3431</v>
      </c>
      <c r="L120" s="146">
        <f>INDEX(CPAT_Results!$A:$AD,MATCH($H120&amp;"_"&amp;$C120,CPAT_Results!$F:$F,0),MATCH(L$5,CPAT_Results!$1:$1,0))</f>
        <v>0</v>
      </c>
      <c r="M120" s="146">
        <f>INDEX(CPAT_Results!$A:$AD,MATCH($H120&amp;"_"&amp;$C120,CPAT_Results!$F:$F,0),MATCH(M$5,CPAT_Results!$1:$1,0))</f>
        <v>0</v>
      </c>
      <c r="N120" s="146">
        <f>INDEX(CPAT_Results!$A:$AD,MATCH($H120&amp;"_"&amp;$C120,CPAT_Results!$F:$F,0),MATCH(N$5,CPAT_Results!$1:$1,0))</f>
        <v>0</v>
      </c>
      <c r="O120" s="146">
        <f>INDEX(CPAT_Results!$A:$AD,MATCH($H120&amp;"_"&amp;$C120,CPAT_Results!$F:$F,0),MATCH(O$5,CPAT_Results!$1:$1,0))</f>
        <v>0</v>
      </c>
      <c r="P120" s="146">
        <f>INDEX(CPAT_Results!$A:$AD,MATCH($H120&amp;"_"&amp;$C120,CPAT_Results!$F:$F,0),MATCH(P$5,CPAT_Results!$1:$1,0))</f>
        <v>0.01</v>
      </c>
      <c r="Q120" s="146">
        <f>INDEX(CPAT_Results!$A:$AD,MATCH($H120&amp;"_"&amp;$C120,CPAT_Results!$F:$F,0),MATCH(Q$5,CPAT_Results!$1:$1,0))</f>
        <v>0.02</v>
      </c>
      <c r="R120" s="146">
        <f>INDEX(CPAT_Results!$A:$AD,MATCH($H120&amp;"_"&amp;$C120,CPAT_Results!$F:$F,0),MATCH(R$5,CPAT_Results!$1:$1,0))</f>
        <v>0.03</v>
      </c>
      <c r="S120" s="146">
        <f>INDEX(CPAT_Results!$A:$AD,MATCH($H120&amp;"_"&amp;$C120,CPAT_Results!$F:$F,0),MATCH(S$5,CPAT_Results!$1:$1,0))</f>
        <v>0.03</v>
      </c>
      <c r="T120" s="146">
        <f>INDEX(CPAT_Results!$A:$AD,MATCH($H120&amp;"_"&amp;$C120,CPAT_Results!$F:$F,0),MATCH(T$5,CPAT_Results!$1:$1,0))</f>
        <v>0.04</v>
      </c>
      <c r="U120" s="146">
        <f>INDEX(CPAT_Results!$A:$AD,MATCH($H120&amp;"_"&amp;$C120,CPAT_Results!$F:$F,0),MATCH(U$5,CPAT_Results!$1:$1,0))</f>
        <v>0.05</v>
      </c>
      <c r="V120" s="146">
        <f>INDEX(CPAT_Results!$A:$AD,MATCH($H120&amp;"_"&amp;$C120,CPAT_Results!$F:$F,0),MATCH(V$5,CPAT_Results!$1:$1,0))</f>
        <v>0.05</v>
      </c>
      <c r="W120" s="146">
        <f>INDEX(CPAT_Results!$A:$AD,MATCH($H120&amp;"_"&amp;$C120,CPAT_Results!$F:$F,0),MATCH(W$5,CPAT_Results!$1:$1,0))</f>
        <v>0.05</v>
      </c>
      <c r="X120" s="146">
        <f>INDEX(CPAT_Results!$A:$AD,MATCH($H120&amp;"_"&amp;$C120,CPAT_Results!$F:$F,0),MATCH(X$5,CPAT_Results!$1:$1,0))</f>
        <v>0.06</v>
      </c>
      <c r="Y120" s="146">
        <f>INDEX(CPAT_Results!$A:$AD,MATCH($H120&amp;"_"&amp;$C120,CPAT_Results!$F:$F,0),MATCH(Y$5,CPAT_Results!$1:$1,0))</f>
        <v>0.06</v>
      </c>
      <c r="Z120" s="146">
        <f>INDEX(CPAT_Results!$A:$AD,MATCH($H120&amp;"_"&amp;$C120,CPAT_Results!$F:$F,0),MATCH(Z$5,CPAT_Results!$1:$1,0))</f>
        <v>7.0000000000000007E-2</v>
      </c>
      <c r="AA120" s="146">
        <f>INDEX(CPAT_Results!$A:$AD,MATCH($H120&amp;"_"&amp;$C120,CPAT_Results!$F:$F,0),MATCH(AA$5,CPAT_Results!$1:$1,0))</f>
        <v>7.0000000000000007E-2</v>
      </c>
      <c r="AB120" s="146">
        <f>INDEX(CPAT_Results!$A:$AD,MATCH($H120&amp;"_"&amp;$C120,CPAT_Results!$F:$F,0),MATCH(AB$5,CPAT_Results!$1:$1,0))</f>
        <v>0.08</v>
      </c>
      <c r="AC120" s="146">
        <f>INDEX(CPAT_Results!$A:$AD,MATCH($H120&amp;"_"&amp;$C120,CPAT_Results!$F:$F,0),MATCH(AC$5,CPAT_Results!$1:$1,0))</f>
        <v>0.08</v>
      </c>
      <c r="AD120" s="146">
        <f>INDEX(CPAT_Results!$A:$AD,MATCH($H120&amp;"_"&amp;$C120,CPAT_Results!$F:$F,0),MATCH(AD$5,CPAT_Results!$1:$1,0))</f>
        <v>0.09</v>
      </c>
      <c r="AE120" s="146">
        <f>INDEX(CPAT_Results!$A:$AD,MATCH($H120&amp;"_"&amp;$C120,CPAT_Results!$F:$F,0),MATCH(AE$5,CPAT_Results!$1:$1,0))</f>
        <v>0.09</v>
      </c>
    </row>
    <row r="121" spans="2:31" x14ac:dyDescent="0.2">
      <c r="B121" s="112" t="s">
        <v>3434</v>
      </c>
      <c r="C121" s="112" t="s">
        <v>3265</v>
      </c>
      <c r="D121" s="112" t="s">
        <v>3430</v>
      </c>
      <c r="E121" s="112" t="s">
        <v>3400</v>
      </c>
      <c r="F121" s="112" t="s">
        <v>11682</v>
      </c>
      <c r="H121" s="116" t="s">
        <v>3431</v>
      </c>
      <c r="L121" s="146">
        <f>INDEX(CPAT_Results!$A:$AD,MATCH($H121&amp;"_"&amp;$C121,CPAT_Results!$F:$F,0),MATCH(L$5,CPAT_Results!$1:$1,0))</f>
        <v>0</v>
      </c>
      <c r="M121" s="146">
        <f>INDEX(CPAT_Results!$A:$AD,MATCH($H121&amp;"_"&amp;$C121,CPAT_Results!$F:$F,0),MATCH(M$5,CPAT_Results!$1:$1,0))</f>
        <v>0</v>
      </c>
      <c r="N121" s="146">
        <f>INDEX(CPAT_Results!$A:$AD,MATCH($H121&amp;"_"&amp;$C121,CPAT_Results!$F:$F,0),MATCH(N$5,CPAT_Results!$1:$1,0))</f>
        <v>0</v>
      </c>
      <c r="O121" s="146">
        <f>INDEX(CPAT_Results!$A:$AD,MATCH($H121&amp;"_"&amp;$C121,CPAT_Results!$F:$F,0),MATCH(O$5,CPAT_Results!$1:$1,0))</f>
        <v>0</v>
      </c>
      <c r="P121" s="146">
        <f>INDEX(CPAT_Results!$A:$AD,MATCH($H121&amp;"_"&amp;$C121,CPAT_Results!$F:$F,0),MATCH(P$5,CPAT_Results!$1:$1,0))</f>
        <v>0</v>
      </c>
      <c r="Q121" s="146">
        <f>INDEX(CPAT_Results!$A:$AD,MATCH($H121&amp;"_"&amp;$C121,CPAT_Results!$F:$F,0),MATCH(Q$5,CPAT_Results!$1:$1,0))</f>
        <v>0</v>
      </c>
      <c r="R121" s="146">
        <f>INDEX(CPAT_Results!$A:$AD,MATCH($H121&amp;"_"&amp;$C121,CPAT_Results!$F:$F,0),MATCH(R$5,CPAT_Results!$1:$1,0))</f>
        <v>0</v>
      </c>
      <c r="S121" s="146">
        <f>INDEX(CPAT_Results!$A:$AD,MATCH($H121&amp;"_"&amp;$C121,CPAT_Results!$F:$F,0),MATCH(S$5,CPAT_Results!$1:$1,0))</f>
        <v>0</v>
      </c>
      <c r="T121" s="146">
        <f>INDEX(CPAT_Results!$A:$AD,MATCH($H121&amp;"_"&amp;$C121,CPAT_Results!$F:$F,0),MATCH(T$5,CPAT_Results!$1:$1,0))</f>
        <v>0</v>
      </c>
      <c r="U121" s="146">
        <f>INDEX(CPAT_Results!$A:$AD,MATCH($H121&amp;"_"&amp;$C121,CPAT_Results!$F:$F,0),MATCH(U$5,CPAT_Results!$1:$1,0))</f>
        <v>0</v>
      </c>
      <c r="V121" s="146">
        <f>INDEX(CPAT_Results!$A:$AD,MATCH($H121&amp;"_"&amp;$C121,CPAT_Results!$F:$F,0),MATCH(V$5,CPAT_Results!$1:$1,0))</f>
        <v>0</v>
      </c>
      <c r="W121" s="146">
        <f>INDEX(CPAT_Results!$A:$AD,MATCH($H121&amp;"_"&amp;$C121,CPAT_Results!$F:$F,0),MATCH(W$5,CPAT_Results!$1:$1,0))</f>
        <v>0</v>
      </c>
      <c r="X121" s="146">
        <f>INDEX(CPAT_Results!$A:$AD,MATCH($H121&amp;"_"&amp;$C121,CPAT_Results!$F:$F,0),MATCH(X$5,CPAT_Results!$1:$1,0))</f>
        <v>0</v>
      </c>
      <c r="Y121" s="146">
        <f>INDEX(CPAT_Results!$A:$AD,MATCH($H121&amp;"_"&amp;$C121,CPAT_Results!$F:$F,0),MATCH(Y$5,CPAT_Results!$1:$1,0))</f>
        <v>0</v>
      </c>
      <c r="Z121" s="146">
        <f>INDEX(CPAT_Results!$A:$AD,MATCH($H121&amp;"_"&amp;$C121,CPAT_Results!$F:$F,0),MATCH(Z$5,CPAT_Results!$1:$1,0))</f>
        <v>0</v>
      </c>
      <c r="AA121" s="146">
        <f>INDEX(CPAT_Results!$A:$AD,MATCH($H121&amp;"_"&amp;$C121,CPAT_Results!$F:$F,0),MATCH(AA$5,CPAT_Results!$1:$1,0))</f>
        <v>0</v>
      </c>
      <c r="AB121" s="146">
        <f>INDEX(CPAT_Results!$A:$AD,MATCH($H121&amp;"_"&amp;$C121,CPAT_Results!$F:$F,0),MATCH(AB$5,CPAT_Results!$1:$1,0))</f>
        <v>0</v>
      </c>
      <c r="AC121" s="146">
        <f>INDEX(CPAT_Results!$A:$AD,MATCH($H121&amp;"_"&amp;$C121,CPAT_Results!$F:$F,0),MATCH(AC$5,CPAT_Results!$1:$1,0))</f>
        <v>0</v>
      </c>
      <c r="AD121" s="146">
        <f>INDEX(CPAT_Results!$A:$AD,MATCH($H121&amp;"_"&amp;$C121,CPAT_Results!$F:$F,0),MATCH(AD$5,CPAT_Results!$1:$1,0))</f>
        <v>0</v>
      </c>
      <c r="AE121" s="146">
        <f>INDEX(CPAT_Results!$A:$AD,MATCH($H121&amp;"_"&amp;$C121,CPAT_Results!$F:$F,0),MATCH(AE$5,CPAT_Results!$1:$1,0))</f>
        <v>0</v>
      </c>
    </row>
    <row r="122" spans="2:31" x14ac:dyDescent="0.2">
      <c r="B122" s="112" t="s">
        <v>3435</v>
      </c>
      <c r="C122" s="112" t="s">
        <v>3256</v>
      </c>
      <c r="D122" s="112" t="s">
        <v>3436</v>
      </c>
      <c r="E122" s="112" t="s">
        <v>3400</v>
      </c>
      <c r="F122" s="112" t="s">
        <v>11679</v>
      </c>
      <c r="H122" s="116" t="s">
        <v>3437</v>
      </c>
      <c r="L122" s="146">
        <f>INDEX(CPAT_Results!$A:$AD,MATCH($H122&amp;"_"&amp;$C122,CPAT_Results!$F:$F,0),MATCH(L$5,CPAT_Results!$1:$1,0))</f>
        <v>-31.97</v>
      </c>
      <c r="M122" s="146">
        <f>INDEX(CPAT_Results!$A:$AD,MATCH($H122&amp;"_"&amp;$C122,CPAT_Results!$F:$F,0),MATCH(M$5,CPAT_Results!$1:$1,0))</f>
        <v>-26.57</v>
      </c>
      <c r="N122" s="146">
        <f>INDEX(CPAT_Results!$A:$AD,MATCH($H122&amp;"_"&amp;$C122,CPAT_Results!$F:$F,0),MATCH(N$5,CPAT_Results!$1:$1,0))</f>
        <v>-38.700000000000003</v>
      </c>
      <c r="O122" s="146">
        <f>INDEX(CPAT_Results!$A:$AD,MATCH($H122&amp;"_"&amp;$C122,CPAT_Results!$F:$F,0),MATCH(O$5,CPAT_Results!$1:$1,0))</f>
        <v>-37.520000000000003</v>
      </c>
      <c r="P122" s="146">
        <f>INDEX(CPAT_Results!$A:$AD,MATCH($H122&amp;"_"&amp;$C122,CPAT_Results!$F:$F,0),MATCH(P$5,CPAT_Results!$1:$1,0))</f>
        <v>-39.340000000000003</v>
      </c>
      <c r="Q122" s="146">
        <f>INDEX(CPAT_Results!$A:$AD,MATCH($H122&amp;"_"&amp;$C122,CPAT_Results!$F:$F,0),MATCH(Q$5,CPAT_Results!$1:$1,0))</f>
        <v>-38.21</v>
      </c>
      <c r="R122" s="146">
        <f>INDEX(CPAT_Results!$A:$AD,MATCH($H122&amp;"_"&amp;$C122,CPAT_Results!$F:$F,0),MATCH(R$5,CPAT_Results!$1:$1,0))</f>
        <v>-38.520000000000003</v>
      </c>
      <c r="S122" s="146">
        <f>INDEX(CPAT_Results!$A:$AD,MATCH($H122&amp;"_"&amp;$C122,CPAT_Results!$F:$F,0),MATCH(S$5,CPAT_Results!$1:$1,0))</f>
        <v>-39.229999999999997</v>
      </c>
      <c r="T122" s="146">
        <f>INDEX(CPAT_Results!$A:$AD,MATCH($H122&amp;"_"&amp;$C122,CPAT_Results!$F:$F,0),MATCH(T$5,CPAT_Results!$1:$1,0))</f>
        <v>-39.94</v>
      </c>
      <c r="U122" s="146">
        <f>INDEX(CPAT_Results!$A:$AD,MATCH($H122&amp;"_"&amp;$C122,CPAT_Results!$F:$F,0),MATCH(U$5,CPAT_Results!$1:$1,0))</f>
        <v>-40.520000000000003</v>
      </c>
      <c r="V122" s="146">
        <f>INDEX(CPAT_Results!$A:$AD,MATCH($H122&amp;"_"&amp;$C122,CPAT_Results!$F:$F,0),MATCH(V$5,CPAT_Results!$1:$1,0))</f>
        <v>-41.25</v>
      </c>
      <c r="W122" s="146">
        <f>INDEX(CPAT_Results!$A:$AD,MATCH($H122&amp;"_"&amp;$C122,CPAT_Results!$F:$F,0),MATCH(W$5,CPAT_Results!$1:$1,0))</f>
        <v>-41.92</v>
      </c>
      <c r="X122" s="146">
        <f>INDEX(CPAT_Results!$A:$AD,MATCH($H122&amp;"_"&amp;$C122,CPAT_Results!$F:$F,0),MATCH(X$5,CPAT_Results!$1:$1,0))</f>
        <v>-42.48</v>
      </c>
      <c r="Y122" s="146">
        <f>INDEX(CPAT_Results!$A:$AD,MATCH($H122&amp;"_"&amp;$C122,CPAT_Results!$F:$F,0),MATCH(Y$5,CPAT_Results!$1:$1,0))</f>
        <v>-42.9</v>
      </c>
      <c r="Z122" s="146">
        <f>INDEX(CPAT_Results!$A:$AD,MATCH($H122&amp;"_"&amp;$C122,CPAT_Results!$F:$F,0),MATCH(Z$5,CPAT_Results!$1:$1,0))</f>
        <v>-43.07</v>
      </c>
      <c r="AA122" s="146">
        <f>INDEX(CPAT_Results!$A:$AD,MATCH($H122&amp;"_"&amp;$C122,CPAT_Results!$F:$F,0),MATCH(AA$5,CPAT_Results!$1:$1,0))</f>
        <v>-43.04</v>
      </c>
      <c r="AB122" s="146">
        <f>INDEX(CPAT_Results!$A:$AD,MATCH($H122&amp;"_"&amp;$C122,CPAT_Results!$F:$F,0),MATCH(AB$5,CPAT_Results!$1:$1,0))</f>
        <v>-42.79</v>
      </c>
      <c r="AC122" s="146">
        <f>INDEX(CPAT_Results!$A:$AD,MATCH($H122&amp;"_"&amp;$C122,CPAT_Results!$F:$F,0),MATCH(AC$5,CPAT_Results!$1:$1,0))</f>
        <v>-42.3</v>
      </c>
      <c r="AD122" s="146">
        <f>INDEX(CPAT_Results!$A:$AD,MATCH($H122&amp;"_"&amp;$C122,CPAT_Results!$F:$F,0),MATCH(AD$5,CPAT_Results!$1:$1,0))</f>
        <v>-41.94</v>
      </c>
      <c r="AE122" s="146">
        <f>INDEX(CPAT_Results!$A:$AD,MATCH($H122&amp;"_"&amp;$C122,CPAT_Results!$F:$F,0),MATCH(AE$5,CPAT_Results!$1:$1,0))</f>
        <v>-43.65</v>
      </c>
    </row>
    <row r="123" spans="2:31" x14ac:dyDescent="0.2">
      <c r="B123" s="112" t="s">
        <v>3438</v>
      </c>
      <c r="C123" s="112" t="s">
        <v>3261</v>
      </c>
      <c r="D123" s="112" t="s">
        <v>3436</v>
      </c>
      <c r="E123" s="112" t="s">
        <v>3400</v>
      </c>
      <c r="F123" s="112" t="s">
        <v>11680</v>
      </c>
      <c r="H123" s="116" t="s">
        <v>3437</v>
      </c>
      <c r="L123" s="146">
        <f>INDEX(CPAT_Results!$A:$AD,MATCH($H123&amp;"_"&amp;$C123,CPAT_Results!$F:$F,0),MATCH(L$5,CPAT_Results!$1:$1,0))</f>
        <v>-31.97</v>
      </c>
      <c r="M123" s="146">
        <f>INDEX(CPAT_Results!$A:$AD,MATCH($H123&amp;"_"&amp;$C123,CPAT_Results!$F:$F,0),MATCH(M$5,CPAT_Results!$1:$1,0))</f>
        <v>-26.57</v>
      </c>
      <c r="N123" s="146">
        <f>INDEX(CPAT_Results!$A:$AD,MATCH($H123&amp;"_"&amp;$C123,CPAT_Results!$F:$F,0),MATCH(N$5,CPAT_Results!$1:$1,0))</f>
        <v>-38.700000000000003</v>
      </c>
      <c r="O123" s="146">
        <f>INDEX(CPAT_Results!$A:$AD,MATCH($H123&amp;"_"&amp;$C123,CPAT_Results!$F:$F,0),MATCH(O$5,CPAT_Results!$1:$1,0))</f>
        <v>-37.520000000000003</v>
      </c>
      <c r="P123" s="146">
        <f>INDEX(CPAT_Results!$A:$AD,MATCH($H123&amp;"_"&amp;$C123,CPAT_Results!$F:$F,0),MATCH(P$5,CPAT_Results!$1:$1,0))</f>
        <v>-39.340000000000003</v>
      </c>
      <c r="Q123" s="146">
        <f>INDEX(CPAT_Results!$A:$AD,MATCH($H123&amp;"_"&amp;$C123,CPAT_Results!$F:$F,0),MATCH(Q$5,CPAT_Results!$1:$1,0))</f>
        <v>-38.21</v>
      </c>
      <c r="R123" s="146">
        <f>INDEX(CPAT_Results!$A:$AD,MATCH($H123&amp;"_"&amp;$C123,CPAT_Results!$F:$F,0),MATCH(R$5,CPAT_Results!$1:$1,0))</f>
        <v>-38.520000000000003</v>
      </c>
      <c r="S123" s="146">
        <f>INDEX(CPAT_Results!$A:$AD,MATCH($H123&amp;"_"&amp;$C123,CPAT_Results!$F:$F,0),MATCH(S$5,CPAT_Results!$1:$1,0))</f>
        <v>-39.229999999999997</v>
      </c>
      <c r="T123" s="146">
        <f>INDEX(CPAT_Results!$A:$AD,MATCH($H123&amp;"_"&amp;$C123,CPAT_Results!$F:$F,0),MATCH(T$5,CPAT_Results!$1:$1,0))</f>
        <v>-39.94</v>
      </c>
      <c r="U123" s="146">
        <f>INDEX(CPAT_Results!$A:$AD,MATCH($H123&amp;"_"&amp;$C123,CPAT_Results!$F:$F,0),MATCH(U$5,CPAT_Results!$1:$1,0))</f>
        <v>-40.520000000000003</v>
      </c>
      <c r="V123" s="146">
        <f>INDEX(CPAT_Results!$A:$AD,MATCH($H123&amp;"_"&amp;$C123,CPAT_Results!$F:$F,0),MATCH(V$5,CPAT_Results!$1:$1,0))</f>
        <v>-41.25</v>
      </c>
      <c r="W123" s="146">
        <f>INDEX(CPAT_Results!$A:$AD,MATCH($H123&amp;"_"&amp;$C123,CPAT_Results!$F:$F,0),MATCH(W$5,CPAT_Results!$1:$1,0))</f>
        <v>-41.92</v>
      </c>
      <c r="X123" s="146">
        <f>INDEX(CPAT_Results!$A:$AD,MATCH($H123&amp;"_"&amp;$C123,CPAT_Results!$F:$F,0),MATCH(X$5,CPAT_Results!$1:$1,0))</f>
        <v>-42.48</v>
      </c>
      <c r="Y123" s="146">
        <f>INDEX(CPAT_Results!$A:$AD,MATCH($H123&amp;"_"&amp;$C123,CPAT_Results!$F:$F,0),MATCH(Y$5,CPAT_Results!$1:$1,0))</f>
        <v>-42.9</v>
      </c>
      <c r="Z123" s="146">
        <f>INDEX(CPAT_Results!$A:$AD,MATCH($H123&amp;"_"&amp;$C123,CPAT_Results!$F:$F,0),MATCH(Z$5,CPAT_Results!$1:$1,0))</f>
        <v>-43.07</v>
      </c>
      <c r="AA123" s="146">
        <f>INDEX(CPAT_Results!$A:$AD,MATCH($H123&amp;"_"&amp;$C123,CPAT_Results!$F:$F,0),MATCH(AA$5,CPAT_Results!$1:$1,0))</f>
        <v>-43.04</v>
      </c>
      <c r="AB123" s="146">
        <f>INDEX(CPAT_Results!$A:$AD,MATCH($H123&amp;"_"&amp;$C123,CPAT_Results!$F:$F,0),MATCH(AB$5,CPAT_Results!$1:$1,0))</f>
        <v>-42.79</v>
      </c>
      <c r="AC123" s="146">
        <f>INDEX(CPAT_Results!$A:$AD,MATCH($H123&amp;"_"&amp;$C123,CPAT_Results!$F:$F,0),MATCH(AC$5,CPAT_Results!$1:$1,0))</f>
        <v>-42.3</v>
      </c>
      <c r="AD123" s="146">
        <f>INDEX(CPAT_Results!$A:$AD,MATCH($H123&amp;"_"&amp;$C123,CPAT_Results!$F:$F,0),MATCH(AD$5,CPAT_Results!$1:$1,0))</f>
        <v>-41.94</v>
      </c>
      <c r="AE123" s="146">
        <f>INDEX(CPAT_Results!$A:$AD,MATCH($H123&amp;"_"&amp;$C123,CPAT_Results!$F:$F,0),MATCH(AE$5,CPAT_Results!$1:$1,0))</f>
        <v>-43.65</v>
      </c>
    </row>
    <row r="124" spans="2:31" x14ac:dyDescent="0.2">
      <c r="B124" s="112" t="s">
        <v>3439</v>
      </c>
      <c r="C124" s="112" t="s">
        <v>3263</v>
      </c>
      <c r="D124" s="112" t="s">
        <v>3436</v>
      </c>
      <c r="E124" s="112" t="s">
        <v>3400</v>
      </c>
      <c r="F124" s="112" t="s">
        <v>11681</v>
      </c>
      <c r="H124" s="116" t="s">
        <v>3437</v>
      </c>
      <c r="L124" s="146">
        <f>INDEX(CPAT_Results!$A:$AD,MATCH($H124&amp;"_"&amp;$C124,CPAT_Results!$F:$F,0),MATCH(L$5,CPAT_Results!$1:$1,0))</f>
        <v>-31.97</v>
      </c>
      <c r="M124" s="146">
        <f>INDEX(CPAT_Results!$A:$AD,MATCH($H124&amp;"_"&amp;$C124,CPAT_Results!$F:$F,0),MATCH(M$5,CPAT_Results!$1:$1,0))</f>
        <v>-26.57</v>
      </c>
      <c r="N124" s="146">
        <f>INDEX(CPAT_Results!$A:$AD,MATCH($H124&amp;"_"&amp;$C124,CPAT_Results!$F:$F,0),MATCH(N$5,CPAT_Results!$1:$1,0))</f>
        <v>-38.700000000000003</v>
      </c>
      <c r="O124" s="146">
        <f>INDEX(CPAT_Results!$A:$AD,MATCH($H124&amp;"_"&amp;$C124,CPAT_Results!$F:$F,0),MATCH(O$5,CPAT_Results!$1:$1,0))</f>
        <v>-37.520000000000003</v>
      </c>
      <c r="P124" s="146">
        <f>INDEX(CPAT_Results!$A:$AD,MATCH($H124&amp;"_"&amp;$C124,CPAT_Results!$F:$F,0),MATCH(P$5,CPAT_Results!$1:$1,0))</f>
        <v>-39.340000000000003</v>
      </c>
      <c r="Q124" s="146">
        <f>INDEX(CPAT_Results!$A:$AD,MATCH($H124&amp;"_"&amp;$C124,CPAT_Results!$F:$F,0),MATCH(Q$5,CPAT_Results!$1:$1,0))</f>
        <v>-38.21</v>
      </c>
      <c r="R124" s="146">
        <f>INDEX(CPAT_Results!$A:$AD,MATCH($H124&amp;"_"&amp;$C124,CPAT_Results!$F:$F,0),MATCH(R$5,CPAT_Results!$1:$1,0))</f>
        <v>-38.520000000000003</v>
      </c>
      <c r="S124" s="146">
        <f>INDEX(CPAT_Results!$A:$AD,MATCH($H124&amp;"_"&amp;$C124,CPAT_Results!$F:$F,0),MATCH(S$5,CPAT_Results!$1:$1,0))</f>
        <v>-39.229999999999997</v>
      </c>
      <c r="T124" s="146">
        <f>INDEX(CPAT_Results!$A:$AD,MATCH($H124&amp;"_"&amp;$C124,CPAT_Results!$F:$F,0),MATCH(T$5,CPAT_Results!$1:$1,0))</f>
        <v>-39.94</v>
      </c>
      <c r="U124" s="146">
        <f>INDEX(CPAT_Results!$A:$AD,MATCH($H124&amp;"_"&amp;$C124,CPAT_Results!$F:$F,0),MATCH(U$5,CPAT_Results!$1:$1,0))</f>
        <v>-40.520000000000003</v>
      </c>
      <c r="V124" s="146">
        <f>INDEX(CPAT_Results!$A:$AD,MATCH($H124&amp;"_"&amp;$C124,CPAT_Results!$F:$F,0),MATCH(V$5,CPAT_Results!$1:$1,0))</f>
        <v>-41.25</v>
      </c>
      <c r="W124" s="146">
        <f>INDEX(CPAT_Results!$A:$AD,MATCH($H124&amp;"_"&amp;$C124,CPAT_Results!$F:$F,0),MATCH(W$5,CPAT_Results!$1:$1,0))</f>
        <v>-41.92</v>
      </c>
      <c r="X124" s="146">
        <f>INDEX(CPAT_Results!$A:$AD,MATCH($H124&amp;"_"&amp;$C124,CPAT_Results!$F:$F,0),MATCH(X$5,CPAT_Results!$1:$1,0))</f>
        <v>-42.48</v>
      </c>
      <c r="Y124" s="146">
        <f>INDEX(CPAT_Results!$A:$AD,MATCH($H124&amp;"_"&amp;$C124,CPAT_Results!$F:$F,0),MATCH(Y$5,CPAT_Results!$1:$1,0))</f>
        <v>-42.9</v>
      </c>
      <c r="Z124" s="146">
        <f>INDEX(CPAT_Results!$A:$AD,MATCH($H124&amp;"_"&amp;$C124,CPAT_Results!$F:$F,0),MATCH(Z$5,CPAT_Results!$1:$1,0))</f>
        <v>-43.07</v>
      </c>
      <c r="AA124" s="146">
        <f>INDEX(CPAT_Results!$A:$AD,MATCH($H124&amp;"_"&amp;$C124,CPAT_Results!$F:$F,0),MATCH(AA$5,CPAT_Results!$1:$1,0))</f>
        <v>-43.04</v>
      </c>
      <c r="AB124" s="146">
        <f>INDEX(CPAT_Results!$A:$AD,MATCH($H124&amp;"_"&amp;$C124,CPAT_Results!$F:$F,0),MATCH(AB$5,CPAT_Results!$1:$1,0))</f>
        <v>-42.79</v>
      </c>
      <c r="AC124" s="146">
        <f>INDEX(CPAT_Results!$A:$AD,MATCH($H124&amp;"_"&amp;$C124,CPAT_Results!$F:$F,0),MATCH(AC$5,CPAT_Results!$1:$1,0))</f>
        <v>-42.3</v>
      </c>
      <c r="AD124" s="146">
        <f>INDEX(CPAT_Results!$A:$AD,MATCH($H124&amp;"_"&amp;$C124,CPAT_Results!$F:$F,0),MATCH(AD$5,CPAT_Results!$1:$1,0))</f>
        <v>-41.94</v>
      </c>
      <c r="AE124" s="146">
        <f>INDEX(CPAT_Results!$A:$AD,MATCH($H124&amp;"_"&amp;$C124,CPAT_Results!$F:$F,0),MATCH(AE$5,CPAT_Results!$1:$1,0))</f>
        <v>-43.65</v>
      </c>
    </row>
    <row r="125" spans="2:31" x14ac:dyDescent="0.2">
      <c r="B125" s="112" t="s">
        <v>3440</v>
      </c>
      <c r="C125" s="112" t="s">
        <v>3265</v>
      </c>
      <c r="D125" s="112" t="s">
        <v>3436</v>
      </c>
      <c r="E125" s="112" t="s">
        <v>3400</v>
      </c>
      <c r="F125" s="112" t="s">
        <v>11682</v>
      </c>
      <c r="H125" s="116" t="s">
        <v>3437</v>
      </c>
      <c r="L125" s="146">
        <f>INDEX(CPAT_Results!$A:$AD,MATCH($H125&amp;"_"&amp;$C125,CPAT_Results!$F:$F,0),MATCH(L$5,CPAT_Results!$1:$1,0))</f>
        <v>-31.97</v>
      </c>
      <c r="M125" s="146">
        <f>INDEX(CPAT_Results!$A:$AD,MATCH($H125&amp;"_"&amp;$C125,CPAT_Results!$F:$F,0),MATCH(M$5,CPAT_Results!$1:$1,0))</f>
        <v>-26.56</v>
      </c>
      <c r="N125" s="146">
        <f>INDEX(CPAT_Results!$A:$AD,MATCH($H125&amp;"_"&amp;$C125,CPAT_Results!$F:$F,0),MATCH(N$5,CPAT_Results!$1:$1,0))</f>
        <v>-38.700000000000003</v>
      </c>
      <c r="O125" s="146">
        <f>INDEX(CPAT_Results!$A:$AD,MATCH($H125&amp;"_"&amp;$C125,CPAT_Results!$F:$F,0),MATCH(O$5,CPAT_Results!$1:$1,0))</f>
        <v>-37.520000000000003</v>
      </c>
      <c r="P125" s="146">
        <f>INDEX(CPAT_Results!$A:$AD,MATCH($H125&amp;"_"&amp;$C125,CPAT_Results!$F:$F,0),MATCH(P$5,CPAT_Results!$1:$1,0))</f>
        <v>-39.33</v>
      </c>
      <c r="Q125" s="146">
        <f>INDEX(CPAT_Results!$A:$AD,MATCH($H125&amp;"_"&amp;$C125,CPAT_Results!$F:$F,0),MATCH(Q$5,CPAT_Results!$1:$1,0))</f>
        <v>-38.21</v>
      </c>
      <c r="R125" s="146">
        <f>INDEX(CPAT_Results!$A:$AD,MATCH($H125&amp;"_"&amp;$C125,CPAT_Results!$F:$F,0),MATCH(R$5,CPAT_Results!$1:$1,0))</f>
        <v>-38.51</v>
      </c>
      <c r="S125" s="146">
        <f>INDEX(CPAT_Results!$A:$AD,MATCH($H125&amp;"_"&amp;$C125,CPAT_Results!$F:$F,0),MATCH(S$5,CPAT_Results!$1:$1,0))</f>
        <v>-39.22</v>
      </c>
      <c r="T125" s="146">
        <f>INDEX(CPAT_Results!$A:$AD,MATCH($H125&amp;"_"&amp;$C125,CPAT_Results!$F:$F,0),MATCH(T$5,CPAT_Results!$1:$1,0))</f>
        <v>-39.93</v>
      </c>
      <c r="U125" s="146">
        <f>INDEX(CPAT_Results!$A:$AD,MATCH($H125&amp;"_"&amp;$C125,CPAT_Results!$F:$F,0),MATCH(U$5,CPAT_Results!$1:$1,0))</f>
        <v>-40.51</v>
      </c>
      <c r="V125" s="146">
        <f>INDEX(CPAT_Results!$A:$AD,MATCH($H125&amp;"_"&amp;$C125,CPAT_Results!$F:$F,0),MATCH(V$5,CPAT_Results!$1:$1,0))</f>
        <v>-41.25</v>
      </c>
      <c r="W125" s="146">
        <f>INDEX(CPAT_Results!$A:$AD,MATCH($H125&amp;"_"&amp;$C125,CPAT_Results!$F:$F,0),MATCH(W$5,CPAT_Results!$1:$1,0))</f>
        <v>-41.92</v>
      </c>
      <c r="X125" s="146">
        <f>INDEX(CPAT_Results!$A:$AD,MATCH($H125&amp;"_"&amp;$C125,CPAT_Results!$F:$F,0),MATCH(X$5,CPAT_Results!$1:$1,0))</f>
        <v>-42.48</v>
      </c>
      <c r="Y125" s="146">
        <f>INDEX(CPAT_Results!$A:$AD,MATCH($H125&amp;"_"&amp;$C125,CPAT_Results!$F:$F,0),MATCH(Y$5,CPAT_Results!$1:$1,0))</f>
        <v>-42.89</v>
      </c>
      <c r="Z125" s="146">
        <f>INDEX(CPAT_Results!$A:$AD,MATCH($H125&amp;"_"&amp;$C125,CPAT_Results!$F:$F,0),MATCH(Z$5,CPAT_Results!$1:$1,0))</f>
        <v>-43.07</v>
      </c>
      <c r="AA125" s="146">
        <f>INDEX(CPAT_Results!$A:$AD,MATCH($H125&amp;"_"&amp;$C125,CPAT_Results!$F:$F,0),MATCH(AA$5,CPAT_Results!$1:$1,0))</f>
        <v>-43.04</v>
      </c>
      <c r="AB125" s="146">
        <f>INDEX(CPAT_Results!$A:$AD,MATCH($H125&amp;"_"&amp;$C125,CPAT_Results!$F:$F,0),MATCH(AB$5,CPAT_Results!$1:$1,0))</f>
        <v>-42.79</v>
      </c>
      <c r="AC125" s="146">
        <f>INDEX(CPAT_Results!$A:$AD,MATCH($H125&amp;"_"&amp;$C125,CPAT_Results!$F:$F,0),MATCH(AC$5,CPAT_Results!$1:$1,0))</f>
        <v>-42.29</v>
      </c>
      <c r="AD125" s="146">
        <f>INDEX(CPAT_Results!$A:$AD,MATCH($H125&amp;"_"&amp;$C125,CPAT_Results!$F:$F,0),MATCH(AD$5,CPAT_Results!$1:$1,0))</f>
        <v>-41.94</v>
      </c>
      <c r="AE125" s="146">
        <f>INDEX(CPAT_Results!$A:$AD,MATCH($H125&amp;"_"&amp;$C125,CPAT_Results!$F:$F,0),MATCH(AE$5,CPAT_Results!$1:$1,0))</f>
        <v>-43.65</v>
      </c>
    </row>
    <row r="126" spans="2:31" x14ac:dyDescent="0.2">
      <c r="B126" s="112" t="s">
        <v>3441</v>
      </c>
      <c r="C126" s="112" t="s">
        <v>3256</v>
      </c>
      <c r="D126" s="112" t="s">
        <v>3442</v>
      </c>
      <c r="E126" s="112" t="s">
        <v>3400</v>
      </c>
      <c r="F126" s="112" t="s">
        <v>11679</v>
      </c>
      <c r="H126" s="116" t="s">
        <v>3443</v>
      </c>
      <c r="L126" s="146">
        <f>INDEX(CPAT_Results!$A:$AD,MATCH($H126&amp;"_"&amp;$C126,CPAT_Results!$F:$F,0),MATCH(L$5,CPAT_Results!$1:$1,0))</f>
        <v>-31.97</v>
      </c>
      <c r="M126" s="146">
        <f>INDEX(CPAT_Results!$A:$AD,MATCH($H126&amp;"_"&amp;$C126,CPAT_Results!$F:$F,0),MATCH(M$5,CPAT_Results!$1:$1,0))</f>
        <v>-26.55</v>
      </c>
      <c r="N126" s="146">
        <f>INDEX(CPAT_Results!$A:$AD,MATCH($H126&amp;"_"&amp;$C126,CPAT_Results!$F:$F,0),MATCH(N$5,CPAT_Results!$1:$1,0))</f>
        <v>-38.69</v>
      </c>
      <c r="O126" s="146">
        <f>INDEX(CPAT_Results!$A:$AD,MATCH($H126&amp;"_"&amp;$C126,CPAT_Results!$F:$F,0),MATCH(O$5,CPAT_Results!$1:$1,0))</f>
        <v>-37.5</v>
      </c>
      <c r="P126" s="146">
        <f>INDEX(CPAT_Results!$A:$AD,MATCH($H126&amp;"_"&amp;$C126,CPAT_Results!$F:$F,0),MATCH(P$5,CPAT_Results!$1:$1,0))</f>
        <v>-31.56</v>
      </c>
      <c r="Q126" s="146">
        <f>INDEX(CPAT_Results!$A:$AD,MATCH($H126&amp;"_"&amp;$C126,CPAT_Results!$F:$F,0),MATCH(Q$5,CPAT_Results!$1:$1,0))</f>
        <v>-29.08</v>
      </c>
      <c r="R126" s="146">
        <f>INDEX(CPAT_Results!$A:$AD,MATCH($H126&amp;"_"&amp;$C126,CPAT_Results!$F:$F,0),MATCH(R$5,CPAT_Results!$1:$1,0))</f>
        <v>-29.49</v>
      </c>
      <c r="S126" s="146">
        <f>INDEX(CPAT_Results!$A:$AD,MATCH($H126&amp;"_"&amp;$C126,CPAT_Results!$F:$F,0),MATCH(S$5,CPAT_Results!$1:$1,0))</f>
        <v>-29.76</v>
      </c>
      <c r="T126" s="146">
        <f>INDEX(CPAT_Results!$A:$AD,MATCH($H126&amp;"_"&amp;$C126,CPAT_Results!$F:$F,0),MATCH(T$5,CPAT_Results!$1:$1,0))</f>
        <v>-30.23</v>
      </c>
      <c r="U126" s="146">
        <f>INDEX(CPAT_Results!$A:$AD,MATCH($H126&amp;"_"&amp;$C126,CPAT_Results!$F:$F,0),MATCH(U$5,CPAT_Results!$1:$1,0))</f>
        <v>-30.37</v>
      </c>
      <c r="V126" s="146">
        <f>INDEX(CPAT_Results!$A:$AD,MATCH($H126&amp;"_"&amp;$C126,CPAT_Results!$F:$F,0),MATCH(V$5,CPAT_Results!$1:$1,0))</f>
        <v>-30.65</v>
      </c>
      <c r="W126" s="146">
        <f>INDEX(CPAT_Results!$A:$AD,MATCH($H126&amp;"_"&amp;$C126,CPAT_Results!$F:$F,0),MATCH(W$5,CPAT_Results!$1:$1,0))</f>
        <v>-30.81</v>
      </c>
      <c r="X126" s="146">
        <f>INDEX(CPAT_Results!$A:$AD,MATCH($H126&amp;"_"&amp;$C126,CPAT_Results!$F:$F,0),MATCH(X$5,CPAT_Results!$1:$1,0))</f>
        <v>-30.87</v>
      </c>
      <c r="Y126" s="146">
        <f>INDEX(CPAT_Results!$A:$AD,MATCH($H126&amp;"_"&amp;$C126,CPAT_Results!$F:$F,0),MATCH(Y$5,CPAT_Results!$1:$1,0))</f>
        <v>-30.78</v>
      </c>
      <c r="Z126" s="146">
        <f>INDEX(CPAT_Results!$A:$AD,MATCH($H126&amp;"_"&amp;$C126,CPAT_Results!$F:$F,0),MATCH(Z$5,CPAT_Results!$1:$1,0))</f>
        <v>-30.45</v>
      </c>
      <c r="AA126" s="146">
        <f>INDEX(CPAT_Results!$A:$AD,MATCH($H126&amp;"_"&amp;$C126,CPAT_Results!$F:$F,0),MATCH(AA$5,CPAT_Results!$1:$1,0))</f>
        <v>-29.93</v>
      </c>
      <c r="AB126" s="146">
        <f>INDEX(CPAT_Results!$A:$AD,MATCH($H126&amp;"_"&amp;$C126,CPAT_Results!$F:$F,0),MATCH(AB$5,CPAT_Results!$1:$1,0))</f>
        <v>-29.16</v>
      </c>
      <c r="AC126" s="146">
        <f>INDEX(CPAT_Results!$A:$AD,MATCH($H126&amp;"_"&amp;$C126,CPAT_Results!$F:$F,0),MATCH(AC$5,CPAT_Results!$1:$1,0))</f>
        <v>-28.14</v>
      </c>
      <c r="AD126" s="146">
        <f>INDEX(CPAT_Results!$A:$AD,MATCH($H126&amp;"_"&amp;$C126,CPAT_Results!$F:$F,0),MATCH(AD$5,CPAT_Results!$1:$1,0))</f>
        <v>-27.26</v>
      </c>
      <c r="AE126" s="146">
        <f>INDEX(CPAT_Results!$A:$AD,MATCH($H126&amp;"_"&amp;$C126,CPAT_Results!$F:$F,0),MATCH(AE$5,CPAT_Results!$1:$1,0))</f>
        <v>-28.42</v>
      </c>
    </row>
    <row r="127" spans="2:31" x14ac:dyDescent="0.2">
      <c r="B127" s="112" t="s">
        <v>3444</v>
      </c>
      <c r="C127" s="112" t="s">
        <v>3261</v>
      </c>
      <c r="D127" s="112" t="s">
        <v>3442</v>
      </c>
      <c r="E127" s="112" t="s">
        <v>3400</v>
      </c>
      <c r="F127" s="112" t="s">
        <v>11680</v>
      </c>
      <c r="H127" s="116" t="s">
        <v>3443</v>
      </c>
      <c r="L127" s="146">
        <f>INDEX(CPAT_Results!$A:$AD,MATCH($H127&amp;"_"&amp;$C127,CPAT_Results!$F:$F,0),MATCH(L$5,CPAT_Results!$1:$1,0))</f>
        <v>-31.97</v>
      </c>
      <c r="M127" s="146">
        <f>INDEX(CPAT_Results!$A:$AD,MATCH($H127&amp;"_"&amp;$C127,CPAT_Results!$F:$F,0),MATCH(M$5,CPAT_Results!$1:$1,0))</f>
        <v>-26.57</v>
      </c>
      <c r="N127" s="146">
        <f>INDEX(CPAT_Results!$A:$AD,MATCH($H127&amp;"_"&amp;$C127,CPAT_Results!$F:$F,0),MATCH(N$5,CPAT_Results!$1:$1,0))</f>
        <v>-38.700000000000003</v>
      </c>
      <c r="O127" s="146">
        <f>INDEX(CPAT_Results!$A:$AD,MATCH($H127&amp;"_"&amp;$C127,CPAT_Results!$F:$F,0),MATCH(O$5,CPAT_Results!$1:$1,0))</f>
        <v>-37.520000000000003</v>
      </c>
      <c r="P127" s="146">
        <f>INDEX(CPAT_Results!$A:$AD,MATCH($H127&amp;"_"&amp;$C127,CPAT_Results!$F:$F,0),MATCH(P$5,CPAT_Results!$1:$1,0))</f>
        <v>-39.340000000000003</v>
      </c>
      <c r="Q127" s="146">
        <f>INDEX(CPAT_Results!$A:$AD,MATCH($H127&amp;"_"&amp;$C127,CPAT_Results!$F:$F,0),MATCH(Q$5,CPAT_Results!$1:$1,0))</f>
        <v>-38.21</v>
      </c>
      <c r="R127" s="146">
        <f>INDEX(CPAT_Results!$A:$AD,MATCH($H127&amp;"_"&amp;$C127,CPAT_Results!$F:$F,0),MATCH(R$5,CPAT_Results!$1:$1,0))</f>
        <v>-37.08</v>
      </c>
      <c r="S127" s="146">
        <f>INDEX(CPAT_Results!$A:$AD,MATCH($H127&amp;"_"&amp;$C127,CPAT_Results!$F:$F,0),MATCH(S$5,CPAT_Results!$1:$1,0))</f>
        <v>-35.1</v>
      </c>
      <c r="T127" s="146">
        <f>INDEX(CPAT_Results!$A:$AD,MATCH($H127&amp;"_"&amp;$C127,CPAT_Results!$F:$F,0),MATCH(T$5,CPAT_Results!$1:$1,0))</f>
        <v>-33.51</v>
      </c>
      <c r="U127" s="146">
        <f>INDEX(CPAT_Results!$A:$AD,MATCH($H127&amp;"_"&amp;$C127,CPAT_Results!$F:$F,0),MATCH(U$5,CPAT_Results!$1:$1,0))</f>
        <v>-31.76</v>
      </c>
      <c r="V127" s="146">
        <f>INDEX(CPAT_Results!$A:$AD,MATCH($H127&amp;"_"&amp;$C127,CPAT_Results!$F:$F,0),MATCH(V$5,CPAT_Results!$1:$1,0))</f>
        <v>-30.31</v>
      </c>
      <c r="W127" s="146">
        <f>INDEX(CPAT_Results!$A:$AD,MATCH($H127&amp;"_"&amp;$C127,CPAT_Results!$F:$F,0),MATCH(W$5,CPAT_Results!$1:$1,0))</f>
        <v>-28.77</v>
      </c>
      <c r="X127" s="146">
        <f>INDEX(CPAT_Results!$A:$AD,MATCH($H127&amp;"_"&amp;$C127,CPAT_Results!$F:$F,0),MATCH(X$5,CPAT_Results!$1:$1,0))</f>
        <v>-27.1</v>
      </c>
      <c r="Y127" s="146">
        <f>INDEX(CPAT_Results!$A:$AD,MATCH($H127&amp;"_"&amp;$C127,CPAT_Results!$F:$F,0),MATCH(Y$5,CPAT_Results!$1:$1,0))</f>
        <v>-25.22</v>
      </c>
      <c r="Z127" s="146">
        <f>INDEX(CPAT_Results!$A:$AD,MATCH($H127&amp;"_"&amp;$C127,CPAT_Results!$F:$F,0),MATCH(Z$5,CPAT_Results!$1:$1,0))</f>
        <v>-23</v>
      </c>
      <c r="AA127" s="146">
        <f>INDEX(CPAT_Results!$A:$AD,MATCH($H127&amp;"_"&amp;$C127,CPAT_Results!$F:$F,0),MATCH(AA$5,CPAT_Results!$1:$1,0))</f>
        <v>-20.440000000000001</v>
      </c>
      <c r="AB127" s="146">
        <f>INDEX(CPAT_Results!$A:$AD,MATCH($H127&amp;"_"&amp;$C127,CPAT_Results!$F:$F,0),MATCH(AB$5,CPAT_Results!$1:$1,0))</f>
        <v>-17.46</v>
      </c>
      <c r="AC127" s="146">
        <f>INDEX(CPAT_Results!$A:$AD,MATCH($H127&amp;"_"&amp;$C127,CPAT_Results!$F:$F,0),MATCH(AC$5,CPAT_Results!$1:$1,0))</f>
        <v>-13.99</v>
      </c>
      <c r="AD127" s="146">
        <f>INDEX(CPAT_Results!$A:$AD,MATCH($H127&amp;"_"&amp;$C127,CPAT_Results!$F:$F,0),MATCH(AD$5,CPAT_Results!$1:$1,0))</f>
        <v>-10.33</v>
      </c>
      <c r="AE127" s="146">
        <f>INDEX(CPAT_Results!$A:$AD,MATCH($H127&amp;"_"&amp;$C127,CPAT_Results!$F:$F,0),MATCH(AE$5,CPAT_Results!$1:$1,0))</f>
        <v>-8.5299999999999994</v>
      </c>
    </row>
    <row r="128" spans="2:31" x14ac:dyDescent="0.2">
      <c r="B128" s="112" t="s">
        <v>3445</v>
      </c>
      <c r="C128" s="112" t="s">
        <v>3263</v>
      </c>
      <c r="D128" s="112" t="s">
        <v>3442</v>
      </c>
      <c r="E128" s="112" t="s">
        <v>3400</v>
      </c>
      <c r="F128" s="112" t="s">
        <v>11681</v>
      </c>
      <c r="H128" s="116" t="s">
        <v>3443</v>
      </c>
      <c r="L128" s="146">
        <f>INDEX(CPAT_Results!$A:$AD,MATCH($H128&amp;"_"&amp;$C128,CPAT_Results!$F:$F,0),MATCH(L$5,CPAT_Results!$1:$1,0))</f>
        <v>-31.97</v>
      </c>
      <c r="M128" s="146">
        <f>INDEX(CPAT_Results!$A:$AD,MATCH($H128&amp;"_"&amp;$C128,CPAT_Results!$F:$F,0),MATCH(M$5,CPAT_Results!$1:$1,0))</f>
        <v>-26.57</v>
      </c>
      <c r="N128" s="146">
        <f>INDEX(CPAT_Results!$A:$AD,MATCH($H128&amp;"_"&amp;$C128,CPAT_Results!$F:$F,0),MATCH(N$5,CPAT_Results!$1:$1,0))</f>
        <v>-38.700000000000003</v>
      </c>
      <c r="O128" s="146">
        <f>INDEX(CPAT_Results!$A:$AD,MATCH($H128&amp;"_"&amp;$C128,CPAT_Results!$F:$F,0),MATCH(O$5,CPAT_Results!$1:$1,0))</f>
        <v>-37.520000000000003</v>
      </c>
      <c r="P128" s="146">
        <f>INDEX(CPAT_Results!$A:$AD,MATCH($H128&amp;"_"&amp;$C128,CPAT_Results!$F:$F,0),MATCH(P$5,CPAT_Results!$1:$1,0))</f>
        <v>-37.950000000000003</v>
      </c>
      <c r="Q128" s="146">
        <f>INDEX(CPAT_Results!$A:$AD,MATCH($H128&amp;"_"&amp;$C128,CPAT_Results!$F:$F,0),MATCH(Q$5,CPAT_Results!$1:$1,0))</f>
        <v>-36.51</v>
      </c>
      <c r="R128" s="146">
        <f>INDEX(CPAT_Results!$A:$AD,MATCH($H128&amp;"_"&amp;$C128,CPAT_Results!$F:$F,0),MATCH(R$5,CPAT_Results!$1:$1,0))</f>
        <v>-36.35</v>
      </c>
      <c r="S128" s="146">
        <f>INDEX(CPAT_Results!$A:$AD,MATCH($H128&amp;"_"&amp;$C128,CPAT_Results!$F:$F,0),MATCH(S$5,CPAT_Results!$1:$1,0))</f>
        <v>-36.43</v>
      </c>
      <c r="T128" s="146">
        <f>INDEX(CPAT_Results!$A:$AD,MATCH($H128&amp;"_"&amp;$C128,CPAT_Results!$F:$F,0),MATCH(T$5,CPAT_Results!$1:$1,0))</f>
        <v>-36.51</v>
      </c>
      <c r="U128" s="146">
        <f>INDEX(CPAT_Results!$A:$AD,MATCH($H128&amp;"_"&amp;$C128,CPAT_Results!$F:$F,0),MATCH(U$5,CPAT_Results!$1:$1,0))</f>
        <v>-36.409999999999997</v>
      </c>
      <c r="V128" s="146">
        <f>INDEX(CPAT_Results!$A:$AD,MATCH($H128&amp;"_"&amp;$C128,CPAT_Results!$F:$F,0),MATCH(V$5,CPAT_Results!$1:$1,0))</f>
        <v>-36.36</v>
      </c>
      <c r="W128" s="146">
        <f>INDEX(CPAT_Results!$A:$AD,MATCH($H128&amp;"_"&amp;$C128,CPAT_Results!$F:$F,0),MATCH(W$5,CPAT_Results!$1:$1,0))</f>
        <v>-36.200000000000003</v>
      </c>
      <c r="X128" s="146">
        <f>INDEX(CPAT_Results!$A:$AD,MATCH($H128&amp;"_"&amp;$C128,CPAT_Results!$F:$F,0),MATCH(X$5,CPAT_Results!$1:$1,0))</f>
        <v>-35.9</v>
      </c>
      <c r="Y128" s="146">
        <f>INDEX(CPAT_Results!$A:$AD,MATCH($H128&amp;"_"&amp;$C128,CPAT_Results!$F:$F,0),MATCH(Y$5,CPAT_Results!$1:$1,0))</f>
        <v>-35.44</v>
      </c>
      <c r="Z128" s="146">
        <f>INDEX(CPAT_Results!$A:$AD,MATCH($H128&amp;"_"&amp;$C128,CPAT_Results!$F:$F,0),MATCH(Z$5,CPAT_Results!$1:$1,0))</f>
        <v>-34.69</v>
      </c>
      <c r="AA128" s="146">
        <f>INDEX(CPAT_Results!$A:$AD,MATCH($H128&amp;"_"&amp;$C128,CPAT_Results!$F:$F,0),MATCH(AA$5,CPAT_Results!$1:$1,0))</f>
        <v>-33.729999999999997</v>
      </c>
      <c r="AB128" s="146">
        <f>INDEX(CPAT_Results!$A:$AD,MATCH($H128&amp;"_"&amp;$C128,CPAT_Results!$F:$F,0),MATCH(AB$5,CPAT_Results!$1:$1,0))</f>
        <v>-32.5</v>
      </c>
      <c r="AC128" s="146">
        <f>INDEX(CPAT_Results!$A:$AD,MATCH($H128&amp;"_"&amp;$C128,CPAT_Results!$F:$F,0),MATCH(AC$5,CPAT_Results!$1:$1,0))</f>
        <v>-31.02</v>
      </c>
      <c r="AD128" s="146">
        <f>INDEX(CPAT_Results!$A:$AD,MATCH($H128&amp;"_"&amp;$C128,CPAT_Results!$F:$F,0),MATCH(AD$5,CPAT_Results!$1:$1,0))</f>
        <v>-29.6</v>
      </c>
      <c r="AE128" s="146">
        <f>INDEX(CPAT_Results!$A:$AD,MATCH($H128&amp;"_"&amp;$C128,CPAT_Results!$F:$F,0),MATCH(AE$5,CPAT_Results!$1:$1,0))</f>
        <v>-30.17</v>
      </c>
    </row>
    <row r="129" spans="2:31" x14ac:dyDescent="0.2">
      <c r="B129" s="112" t="s">
        <v>3446</v>
      </c>
      <c r="C129" s="112" t="s">
        <v>3265</v>
      </c>
      <c r="D129" s="112" t="s">
        <v>3442</v>
      </c>
      <c r="E129" s="112" t="s">
        <v>3400</v>
      </c>
      <c r="F129" s="112" t="s">
        <v>11682</v>
      </c>
      <c r="H129" s="116" t="s">
        <v>3443</v>
      </c>
      <c r="L129" s="146">
        <f>INDEX(CPAT_Results!$A:$AD,MATCH($H129&amp;"_"&amp;$C129,CPAT_Results!$F:$F,0),MATCH(L$5,CPAT_Results!$1:$1,0))</f>
        <v>-31.97</v>
      </c>
      <c r="M129" s="146">
        <f>INDEX(CPAT_Results!$A:$AD,MATCH($H129&amp;"_"&amp;$C129,CPAT_Results!$F:$F,0),MATCH(M$5,CPAT_Results!$1:$1,0))</f>
        <v>-26.56</v>
      </c>
      <c r="N129" s="146">
        <f>INDEX(CPAT_Results!$A:$AD,MATCH($H129&amp;"_"&amp;$C129,CPAT_Results!$F:$F,0),MATCH(N$5,CPAT_Results!$1:$1,0))</f>
        <v>-38.700000000000003</v>
      </c>
      <c r="O129" s="146">
        <f>INDEX(CPAT_Results!$A:$AD,MATCH($H129&amp;"_"&amp;$C129,CPAT_Results!$F:$F,0),MATCH(O$5,CPAT_Results!$1:$1,0))</f>
        <v>-37.520000000000003</v>
      </c>
      <c r="P129" s="146">
        <f>INDEX(CPAT_Results!$A:$AD,MATCH($H129&amp;"_"&amp;$C129,CPAT_Results!$F:$F,0),MATCH(P$5,CPAT_Results!$1:$1,0))</f>
        <v>-39.33</v>
      </c>
      <c r="Q129" s="146">
        <f>INDEX(CPAT_Results!$A:$AD,MATCH($H129&amp;"_"&amp;$C129,CPAT_Results!$F:$F,0),MATCH(Q$5,CPAT_Results!$1:$1,0))</f>
        <v>-38.21</v>
      </c>
      <c r="R129" s="146">
        <f>INDEX(CPAT_Results!$A:$AD,MATCH($H129&amp;"_"&amp;$C129,CPAT_Results!$F:$F,0),MATCH(R$5,CPAT_Results!$1:$1,0))</f>
        <v>-38.33</v>
      </c>
      <c r="S129" s="146">
        <f>INDEX(CPAT_Results!$A:$AD,MATCH($H129&amp;"_"&amp;$C129,CPAT_Results!$F:$F,0),MATCH(S$5,CPAT_Results!$1:$1,0))</f>
        <v>-38.5</v>
      </c>
      <c r="T129" s="146">
        <f>INDEX(CPAT_Results!$A:$AD,MATCH($H129&amp;"_"&amp;$C129,CPAT_Results!$F:$F,0),MATCH(T$5,CPAT_Results!$1:$1,0))</f>
        <v>-38.31</v>
      </c>
      <c r="U129" s="146">
        <f>INDEX(CPAT_Results!$A:$AD,MATCH($H129&amp;"_"&amp;$C129,CPAT_Results!$F:$F,0),MATCH(U$5,CPAT_Results!$1:$1,0))</f>
        <v>-37.729999999999997</v>
      </c>
      <c r="V129" s="146">
        <f>INDEX(CPAT_Results!$A:$AD,MATCH($H129&amp;"_"&amp;$C129,CPAT_Results!$F:$F,0),MATCH(V$5,CPAT_Results!$1:$1,0))</f>
        <v>-37.1</v>
      </c>
      <c r="W129" s="146">
        <f>INDEX(CPAT_Results!$A:$AD,MATCH($H129&amp;"_"&amp;$C129,CPAT_Results!$F:$F,0),MATCH(W$5,CPAT_Results!$1:$1,0))</f>
        <v>-36.22</v>
      </c>
      <c r="X129" s="146">
        <f>INDEX(CPAT_Results!$A:$AD,MATCH($H129&amp;"_"&amp;$C129,CPAT_Results!$F:$F,0),MATCH(X$5,CPAT_Results!$1:$1,0))</f>
        <v>-35.07</v>
      </c>
      <c r="Y129" s="146">
        <f>INDEX(CPAT_Results!$A:$AD,MATCH($H129&amp;"_"&amp;$C129,CPAT_Results!$F:$F,0),MATCH(Y$5,CPAT_Results!$1:$1,0))</f>
        <v>-33.619999999999997</v>
      </c>
      <c r="Z129" s="146">
        <f>INDEX(CPAT_Results!$A:$AD,MATCH($H129&amp;"_"&amp;$C129,CPAT_Results!$F:$F,0),MATCH(Z$5,CPAT_Results!$1:$1,0))</f>
        <v>-33.14</v>
      </c>
      <c r="AA129" s="146">
        <f>INDEX(CPAT_Results!$A:$AD,MATCH($H129&amp;"_"&amp;$C129,CPAT_Results!$F:$F,0),MATCH(AA$5,CPAT_Results!$1:$1,0))</f>
        <v>-32.799999999999997</v>
      </c>
      <c r="AB129" s="146">
        <f>INDEX(CPAT_Results!$A:$AD,MATCH($H129&amp;"_"&amp;$C129,CPAT_Results!$F:$F,0),MATCH(AB$5,CPAT_Results!$1:$1,0))</f>
        <v>-32.130000000000003</v>
      </c>
      <c r="AC129" s="146">
        <f>INDEX(CPAT_Results!$A:$AD,MATCH($H129&amp;"_"&amp;$C129,CPAT_Results!$F:$F,0),MATCH(AC$5,CPAT_Results!$1:$1,0))</f>
        <v>-31.27</v>
      </c>
      <c r="AD129" s="146">
        <f>INDEX(CPAT_Results!$A:$AD,MATCH($H129&amp;"_"&amp;$C129,CPAT_Results!$F:$F,0),MATCH(AD$5,CPAT_Results!$1:$1,0))</f>
        <v>-30.51</v>
      </c>
      <c r="AE129" s="146">
        <f>INDEX(CPAT_Results!$A:$AD,MATCH($H129&amp;"_"&amp;$C129,CPAT_Results!$F:$F,0),MATCH(AE$5,CPAT_Results!$1:$1,0))</f>
        <v>-31.89</v>
      </c>
    </row>
    <row r="130" spans="2:31" x14ac:dyDescent="0.2">
      <c r="B130" s="112" t="s">
        <v>3447</v>
      </c>
      <c r="C130" s="112" t="s">
        <v>3256</v>
      </c>
      <c r="D130" s="112" t="s">
        <v>3448</v>
      </c>
      <c r="E130" s="112" t="s">
        <v>2065</v>
      </c>
      <c r="F130" s="112" t="s">
        <v>11679</v>
      </c>
      <c r="H130" s="116" t="s">
        <v>3449</v>
      </c>
      <c r="L130" s="146">
        <f>INDEX(CPAT_Results!$A:$AD,MATCH($H130&amp;"_"&amp;$C130,CPAT_Results!$F:$F,0),MATCH(L$5,CPAT_Results!$1:$1,0))</f>
        <v>0</v>
      </c>
      <c r="M130" s="146">
        <f>INDEX(CPAT_Results!$A:$AD,MATCH($H130&amp;"_"&amp;$C130,CPAT_Results!$F:$F,0),MATCH(M$5,CPAT_Results!$1:$1,0))</f>
        <v>0</v>
      </c>
      <c r="N130" s="146">
        <f>INDEX(CPAT_Results!$A:$AD,MATCH($H130&amp;"_"&amp;$C130,CPAT_Results!$F:$F,0),MATCH(N$5,CPAT_Results!$1:$1,0))</f>
        <v>0</v>
      </c>
      <c r="O130" s="146">
        <f>INDEX(CPAT_Results!$A:$AD,MATCH($H130&amp;"_"&amp;$C130,CPAT_Results!$F:$F,0),MATCH(O$5,CPAT_Results!$1:$1,0))</f>
        <v>0</v>
      </c>
      <c r="P130" s="146">
        <f>INDEX(CPAT_Results!$A:$AD,MATCH($H130&amp;"_"&amp;$C130,CPAT_Results!$F:$F,0),MATCH(P$5,CPAT_Results!$1:$1,0))</f>
        <v>0</v>
      </c>
      <c r="Q130" s="146">
        <f>INDEX(CPAT_Results!$A:$AD,MATCH($H130&amp;"_"&amp;$C130,CPAT_Results!$F:$F,0),MATCH(Q$5,CPAT_Results!$1:$1,0))</f>
        <v>0</v>
      </c>
      <c r="R130" s="146">
        <f>INDEX(CPAT_Results!$A:$AD,MATCH($H130&amp;"_"&amp;$C130,CPAT_Results!$F:$F,0),MATCH(R$5,CPAT_Results!$1:$1,0))</f>
        <v>0</v>
      </c>
      <c r="S130" s="146">
        <f>INDEX(CPAT_Results!$A:$AD,MATCH($H130&amp;"_"&amp;$C130,CPAT_Results!$F:$F,0),MATCH(S$5,CPAT_Results!$1:$1,0))</f>
        <v>0</v>
      </c>
      <c r="T130" s="146">
        <f>INDEX(CPAT_Results!$A:$AD,MATCH($H130&amp;"_"&amp;$C130,CPAT_Results!$F:$F,0),MATCH(T$5,CPAT_Results!$1:$1,0))</f>
        <v>0</v>
      </c>
      <c r="U130" s="146">
        <f>INDEX(CPAT_Results!$A:$AD,MATCH($H130&amp;"_"&amp;$C130,CPAT_Results!$F:$F,0),MATCH(U$5,CPAT_Results!$1:$1,0))</f>
        <v>0</v>
      </c>
      <c r="V130" s="146">
        <f>INDEX(CPAT_Results!$A:$AD,MATCH($H130&amp;"_"&amp;$C130,CPAT_Results!$F:$F,0),MATCH(V$5,CPAT_Results!$1:$1,0))</f>
        <v>0</v>
      </c>
      <c r="W130" s="146">
        <f>INDEX(CPAT_Results!$A:$AD,MATCH($H130&amp;"_"&amp;$C130,CPAT_Results!$F:$F,0),MATCH(W$5,CPAT_Results!$1:$1,0))</f>
        <v>0</v>
      </c>
      <c r="X130" s="146">
        <f>INDEX(CPAT_Results!$A:$AD,MATCH($H130&amp;"_"&amp;$C130,CPAT_Results!$F:$F,0),MATCH(X$5,CPAT_Results!$1:$1,0))</f>
        <v>0</v>
      </c>
      <c r="Y130" s="146">
        <f>INDEX(CPAT_Results!$A:$AD,MATCH($H130&amp;"_"&amp;$C130,CPAT_Results!$F:$F,0),MATCH(Y$5,CPAT_Results!$1:$1,0))</f>
        <v>0</v>
      </c>
      <c r="Z130" s="146">
        <f>INDEX(CPAT_Results!$A:$AD,MATCH($H130&amp;"_"&amp;$C130,CPAT_Results!$F:$F,0),MATCH(Z$5,CPAT_Results!$1:$1,0))</f>
        <v>0</v>
      </c>
      <c r="AA130" s="146">
        <f>INDEX(CPAT_Results!$A:$AD,MATCH($H130&amp;"_"&amp;$C130,CPAT_Results!$F:$F,0),MATCH(AA$5,CPAT_Results!$1:$1,0))</f>
        <v>0</v>
      </c>
      <c r="AB130" s="146">
        <f>INDEX(CPAT_Results!$A:$AD,MATCH($H130&amp;"_"&amp;$C130,CPAT_Results!$F:$F,0),MATCH(AB$5,CPAT_Results!$1:$1,0))</f>
        <v>0</v>
      </c>
      <c r="AC130" s="146">
        <f>INDEX(CPAT_Results!$A:$AD,MATCH($H130&amp;"_"&amp;$C130,CPAT_Results!$F:$F,0),MATCH(AC$5,CPAT_Results!$1:$1,0))</f>
        <v>0</v>
      </c>
      <c r="AD130" s="146">
        <f>INDEX(CPAT_Results!$A:$AD,MATCH($H130&amp;"_"&amp;$C130,CPAT_Results!$F:$F,0),MATCH(AD$5,CPAT_Results!$1:$1,0))</f>
        <v>0</v>
      </c>
      <c r="AE130" s="146">
        <f>INDEX(CPAT_Results!$A:$AD,MATCH($H130&amp;"_"&amp;$C130,CPAT_Results!$F:$F,0),MATCH(AE$5,CPAT_Results!$1:$1,0))</f>
        <v>0</v>
      </c>
    </row>
    <row r="131" spans="2:31" x14ac:dyDescent="0.2">
      <c r="B131" s="112" t="s">
        <v>3450</v>
      </c>
      <c r="C131" s="112" t="s">
        <v>3261</v>
      </c>
      <c r="D131" s="112" t="s">
        <v>3448</v>
      </c>
      <c r="E131" s="112" t="s">
        <v>2065</v>
      </c>
      <c r="F131" s="112" t="s">
        <v>11680</v>
      </c>
      <c r="H131" s="116" t="s">
        <v>3449</v>
      </c>
      <c r="L131" s="146">
        <f>INDEX(CPAT_Results!$A:$AD,MATCH($H131&amp;"_"&amp;$C131,CPAT_Results!$F:$F,0),MATCH(L$5,CPAT_Results!$1:$1,0))</f>
        <v>0</v>
      </c>
      <c r="M131" s="146">
        <f>INDEX(CPAT_Results!$A:$AD,MATCH($H131&amp;"_"&amp;$C131,CPAT_Results!$F:$F,0),MATCH(M$5,CPAT_Results!$1:$1,0))</f>
        <v>0</v>
      </c>
      <c r="N131" s="146">
        <f>INDEX(CPAT_Results!$A:$AD,MATCH($H131&amp;"_"&amp;$C131,CPAT_Results!$F:$F,0),MATCH(N$5,CPAT_Results!$1:$1,0))</f>
        <v>0</v>
      </c>
      <c r="O131" s="146">
        <f>INDEX(CPAT_Results!$A:$AD,MATCH($H131&amp;"_"&amp;$C131,CPAT_Results!$F:$F,0),MATCH(O$5,CPAT_Results!$1:$1,0))</f>
        <v>0</v>
      </c>
      <c r="P131" s="146">
        <f>INDEX(CPAT_Results!$A:$AD,MATCH($H131&amp;"_"&amp;$C131,CPAT_Results!$F:$F,0),MATCH(P$5,CPAT_Results!$1:$1,0))</f>
        <v>0</v>
      </c>
      <c r="Q131" s="146">
        <f>INDEX(CPAT_Results!$A:$AD,MATCH($H131&amp;"_"&amp;$C131,CPAT_Results!$F:$F,0),MATCH(Q$5,CPAT_Results!$1:$1,0))</f>
        <v>0</v>
      </c>
      <c r="R131" s="146">
        <f>INDEX(CPAT_Results!$A:$AD,MATCH($H131&amp;"_"&amp;$C131,CPAT_Results!$F:$F,0),MATCH(R$5,CPAT_Results!$1:$1,0))</f>
        <v>0</v>
      </c>
      <c r="S131" s="146">
        <f>INDEX(CPAT_Results!$A:$AD,MATCH($H131&amp;"_"&amp;$C131,CPAT_Results!$F:$F,0),MATCH(S$5,CPAT_Results!$1:$1,0))</f>
        <v>0</v>
      </c>
      <c r="T131" s="146">
        <f>INDEX(CPAT_Results!$A:$AD,MATCH($H131&amp;"_"&amp;$C131,CPAT_Results!$F:$F,0),MATCH(T$5,CPAT_Results!$1:$1,0))</f>
        <v>0</v>
      </c>
      <c r="U131" s="146">
        <f>INDEX(CPAT_Results!$A:$AD,MATCH($H131&amp;"_"&amp;$C131,CPAT_Results!$F:$F,0),MATCH(U$5,CPAT_Results!$1:$1,0))</f>
        <v>0</v>
      </c>
      <c r="V131" s="146">
        <f>INDEX(CPAT_Results!$A:$AD,MATCH($H131&amp;"_"&amp;$C131,CPAT_Results!$F:$F,0),MATCH(V$5,CPAT_Results!$1:$1,0))</f>
        <v>0</v>
      </c>
      <c r="W131" s="146">
        <f>INDEX(CPAT_Results!$A:$AD,MATCH($H131&amp;"_"&amp;$C131,CPAT_Results!$F:$F,0),MATCH(W$5,CPAT_Results!$1:$1,0))</f>
        <v>0</v>
      </c>
      <c r="X131" s="146">
        <f>INDEX(CPAT_Results!$A:$AD,MATCH($H131&amp;"_"&amp;$C131,CPAT_Results!$F:$F,0),MATCH(X$5,CPAT_Results!$1:$1,0))</f>
        <v>0</v>
      </c>
      <c r="Y131" s="146">
        <f>INDEX(CPAT_Results!$A:$AD,MATCH($H131&amp;"_"&amp;$C131,CPAT_Results!$F:$F,0),MATCH(Y$5,CPAT_Results!$1:$1,0))</f>
        <v>0</v>
      </c>
      <c r="Z131" s="146">
        <f>INDEX(CPAT_Results!$A:$AD,MATCH($H131&amp;"_"&amp;$C131,CPAT_Results!$F:$F,0),MATCH(Z$5,CPAT_Results!$1:$1,0))</f>
        <v>0</v>
      </c>
      <c r="AA131" s="146">
        <f>INDEX(CPAT_Results!$A:$AD,MATCH($H131&amp;"_"&amp;$C131,CPAT_Results!$F:$F,0),MATCH(AA$5,CPAT_Results!$1:$1,0))</f>
        <v>0</v>
      </c>
      <c r="AB131" s="146">
        <f>INDEX(CPAT_Results!$A:$AD,MATCH($H131&amp;"_"&amp;$C131,CPAT_Results!$F:$F,0),MATCH(AB$5,CPAT_Results!$1:$1,0))</f>
        <v>0</v>
      </c>
      <c r="AC131" s="146">
        <f>INDEX(CPAT_Results!$A:$AD,MATCH($H131&amp;"_"&amp;$C131,CPAT_Results!$F:$F,0),MATCH(AC$5,CPAT_Results!$1:$1,0))</f>
        <v>0</v>
      </c>
      <c r="AD131" s="146">
        <f>INDEX(CPAT_Results!$A:$AD,MATCH($H131&amp;"_"&amp;$C131,CPAT_Results!$F:$F,0),MATCH(AD$5,CPAT_Results!$1:$1,0))</f>
        <v>0</v>
      </c>
      <c r="AE131" s="146">
        <f>INDEX(CPAT_Results!$A:$AD,MATCH($H131&amp;"_"&amp;$C131,CPAT_Results!$F:$F,0),MATCH(AE$5,CPAT_Results!$1:$1,0))</f>
        <v>0</v>
      </c>
    </row>
    <row r="132" spans="2:31" x14ac:dyDescent="0.2">
      <c r="B132" s="112" t="s">
        <v>3451</v>
      </c>
      <c r="C132" s="112" t="s">
        <v>3263</v>
      </c>
      <c r="D132" s="112" t="s">
        <v>3448</v>
      </c>
      <c r="E132" s="112" t="s">
        <v>2065</v>
      </c>
      <c r="F132" s="112" t="s">
        <v>11681</v>
      </c>
      <c r="H132" s="116" t="s">
        <v>3449</v>
      </c>
      <c r="L132" s="146">
        <f>INDEX(CPAT_Results!$A:$AD,MATCH($H132&amp;"_"&amp;$C132,CPAT_Results!$F:$F,0),MATCH(L$5,CPAT_Results!$1:$1,0))</f>
        <v>0</v>
      </c>
      <c r="M132" s="146">
        <f>INDEX(CPAT_Results!$A:$AD,MATCH($H132&amp;"_"&amp;$C132,CPAT_Results!$F:$F,0),MATCH(M$5,CPAT_Results!$1:$1,0))</f>
        <v>0</v>
      </c>
      <c r="N132" s="146">
        <f>INDEX(CPAT_Results!$A:$AD,MATCH($H132&amp;"_"&amp;$C132,CPAT_Results!$F:$F,0),MATCH(N$5,CPAT_Results!$1:$1,0))</f>
        <v>0</v>
      </c>
      <c r="O132" s="146">
        <f>INDEX(CPAT_Results!$A:$AD,MATCH($H132&amp;"_"&amp;$C132,CPAT_Results!$F:$F,0),MATCH(O$5,CPAT_Results!$1:$1,0))</f>
        <v>0</v>
      </c>
      <c r="P132" s="146">
        <f>INDEX(CPAT_Results!$A:$AD,MATCH($H132&amp;"_"&amp;$C132,CPAT_Results!$F:$F,0),MATCH(P$5,CPAT_Results!$1:$1,0))</f>
        <v>0</v>
      </c>
      <c r="Q132" s="146">
        <f>INDEX(CPAT_Results!$A:$AD,MATCH($H132&amp;"_"&amp;$C132,CPAT_Results!$F:$F,0),MATCH(Q$5,CPAT_Results!$1:$1,0))</f>
        <v>0</v>
      </c>
      <c r="R132" s="146">
        <f>INDEX(CPAT_Results!$A:$AD,MATCH($H132&amp;"_"&amp;$C132,CPAT_Results!$F:$F,0),MATCH(R$5,CPAT_Results!$1:$1,0))</f>
        <v>0</v>
      </c>
      <c r="S132" s="146">
        <f>INDEX(CPAT_Results!$A:$AD,MATCH($H132&amp;"_"&amp;$C132,CPAT_Results!$F:$F,0),MATCH(S$5,CPAT_Results!$1:$1,0))</f>
        <v>0</v>
      </c>
      <c r="T132" s="146">
        <f>INDEX(CPAT_Results!$A:$AD,MATCH($H132&amp;"_"&amp;$C132,CPAT_Results!$F:$F,0),MATCH(T$5,CPAT_Results!$1:$1,0))</f>
        <v>0</v>
      </c>
      <c r="U132" s="146">
        <f>INDEX(CPAT_Results!$A:$AD,MATCH($H132&amp;"_"&amp;$C132,CPAT_Results!$F:$F,0),MATCH(U$5,CPAT_Results!$1:$1,0))</f>
        <v>0</v>
      </c>
      <c r="V132" s="146">
        <f>INDEX(CPAT_Results!$A:$AD,MATCH($H132&amp;"_"&amp;$C132,CPAT_Results!$F:$F,0),MATCH(V$5,CPAT_Results!$1:$1,0))</f>
        <v>0</v>
      </c>
      <c r="W132" s="146">
        <f>INDEX(CPAT_Results!$A:$AD,MATCH($H132&amp;"_"&amp;$C132,CPAT_Results!$F:$F,0),MATCH(W$5,CPAT_Results!$1:$1,0))</f>
        <v>0</v>
      </c>
      <c r="X132" s="146">
        <f>INDEX(CPAT_Results!$A:$AD,MATCH($H132&amp;"_"&amp;$C132,CPAT_Results!$F:$F,0),MATCH(X$5,CPAT_Results!$1:$1,0))</f>
        <v>0</v>
      </c>
      <c r="Y132" s="146">
        <f>INDEX(CPAT_Results!$A:$AD,MATCH($H132&amp;"_"&amp;$C132,CPAT_Results!$F:$F,0),MATCH(Y$5,CPAT_Results!$1:$1,0))</f>
        <v>0</v>
      </c>
      <c r="Z132" s="146">
        <f>INDEX(CPAT_Results!$A:$AD,MATCH($H132&amp;"_"&amp;$C132,CPAT_Results!$F:$F,0),MATCH(Z$5,CPAT_Results!$1:$1,0))</f>
        <v>0</v>
      </c>
      <c r="AA132" s="146">
        <f>INDEX(CPAT_Results!$A:$AD,MATCH($H132&amp;"_"&amp;$C132,CPAT_Results!$F:$F,0),MATCH(AA$5,CPAT_Results!$1:$1,0))</f>
        <v>0</v>
      </c>
      <c r="AB132" s="146">
        <f>INDEX(CPAT_Results!$A:$AD,MATCH($H132&amp;"_"&amp;$C132,CPAT_Results!$F:$F,0),MATCH(AB$5,CPAT_Results!$1:$1,0))</f>
        <v>0</v>
      </c>
      <c r="AC132" s="146">
        <f>INDEX(CPAT_Results!$A:$AD,MATCH($H132&amp;"_"&amp;$C132,CPAT_Results!$F:$F,0),MATCH(AC$5,CPAT_Results!$1:$1,0))</f>
        <v>0</v>
      </c>
      <c r="AD132" s="146">
        <f>INDEX(CPAT_Results!$A:$AD,MATCH($H132&amp;"_"&amp;$C132,CPAT_Results!$F:$F,0),MATCH(AD$5,CPAT_Results!$1:$1,0))</f>
        <v>0</v>
      </c>
      <c r="AE132" s="146">
        <f>INDEX(CPAT_Results!$A:$AD,MATCH($H132&amp;"_"&amp;$C132,CPAT_Results!$F:$F,0),MATCH(AE$5,CPAT_Results!$1:$1,0))</f>
        <v>0</v>
      </c>
    </row>
    <row r="133" spans="2:31" x14ac:dyDescent="0.2">
      <c r="B133" s="112" t="s">
        <v>3452</v>
      </c>
      <c r="C133" s="112" t="s">
        <v>3265</v>
      </c>
      <c r="D133" s="112" t="s">
        <v>3448</v>
      </c>
      <c r="E133" s="112" t="s">
        <v>2065</v>
      </c>
      <c r="F133" s="112" t="s">
        <v>11682</v>
      </c>
      <c r="H133" s="116" t="s">
        <v>3449</v>
      </c>
      <c r="L133" s="146">
        <f>INDEX(CPAT_Results!$A:$AD,MATCH($H133&amp;"_"&amp;$C133,CPAT_Results!$F:$F,0),MATCH(L$5,CPAT_Results!$1:$1,0))</f>
        <v>0</v>
      </c>
      <c r="M133" s="146">
        <f>INDEX(CPAT_Results!$A:$AD,MATCH($H133&amp;"_"&amp;$C133,CPAT_Results!$F:$F,0),MATCH(M$5,CPAT_Results!$1:$1,0))</f>
        <v>0</v>
      </c>
      <c r="N133" s="146">
        <f>INDEX(CPAT_Results!$A:$AD,MATCH($H133&amp;"_"&amp;$C133,CPAT_Results!$F:$F,0),MATCH(N$5,CPAT_Results!$1:$1,0))</f>
        <v>0</v>
      </c>
      <c r="O133" s="146">
        <f>INDEX(CPAT_Results!$A:$AD,MATCH($H133&amp;"_"&amp;$C133,CPAT_Results!$F:$F,0),MATCH(O$5,CPAT_Results!$1:$1,0))</f>
        <v>0</v>
      </c>
      <c r="P133" s="146">
        <f>INDEX(CPAT_Results!$A:$AD,MATCH($H133&amp;"_"&amp;$C133,CPAT_Results!$F:$F,0),MATCH(P$5,CPAT_Results!$1:$1,0))</f>
        <v>0</v>
      </c>
      <c r="Q133" s="146">
        <f>INDEX(CPAT_Results!$A:$AD,MATCH($H133&amp;"_"&amp;$C133,CPAT_Results!$F:$F,0),MATCH(Q$5,CPAT_Results!$1:$1,0))</f>
        <v>0</v>
      </c>
      <c r="R133" s="146">
        <f>INDEX(CPAT_Results!$A:$AD,MATCH($H133&amp;"_"&amp;$C133,CPAT_Results!$F:$F,0),MATCH(R$5,CPAT_Results!$1:$1,0))</f>
        <v>0</v>
      </c>
      <c r="S133" s="146">
        <f>INDEX(CPAT_Results!$A:$AD,MATCH($H133&amp;"_"&amp;$C133,CPAT_Results!$F:$F,0),MATCH(S$5,CPAT_Results!$1:$1,0))</f>
        <v>0</v>
      </c>
      <c r="T133" s="146">
        <f>INDEX(CPAT_Results!$A:$AD,MATCH($H133&amp;"_"&amp;$C133,CPAT_Results!$F:$F,0),MATCH(T$5,CPAT_Results!$1:$1,0))</f>
        <v>0</v>
      </c>
      <c r="U133" s="146">
        <f>INDEX(CPAT_Results!$A:$AD,MATCH($H133&amp;"_"&amp;$C133,CPAT_Results!$F:$F,0),MATCH(U$5,CPAT_Results!$1:$1,0))</f>
        <v>0</v>
      </c>
      <c r="V133" s="146">
        <f>INDEX(CPAT_Results!$A:$AD,MATCH($H133&amp;"_"&amp;$C133,CPAT_Results!$F:$F,0),MATCH(V$5,CPAT_Results!$1:$1,0))</f>
        <v>0</v>
      </c>
      <c r="W133" s="146">
        <f>INDEX(CPAT_Results!$A:$AD,MATCH($H133&amp;"_"&amp;$C133,CPAT_Results!$F:$F,0),MATCH(W$5,CPAT_Results!$1:$1,0))</f>
        <v>0</v>
      </c>
      <c r="X133" s="146">
        <f>INDEX(CPAT_Results!$A:$AD,MATCH($H133&amp;"_"&amp;$C133,CPAT_Results!$F:$F,0),MATCH(X$5,CPAT_Results!$1:$1,0))</f>
        <v>0</v>
      </c>
      <c r="Y133" s="146">
        <f>INDEX(CPAT_Results!$A:$AD,MATCH($H133&amp;"_"&amp;$C133,CPAT_Results!$F:$F,0),MATCH(Y$5,CPAT_Results!$1:$1,0))</f>
        <v>0</v>
      </c>
      <c r="Z133" s="146">
        <f>INDEX(CPAT_Results!$A:$AD,MATCH($H133&amp;"_"&amp;$C133,CPAT_Results!$F:$F,0),MATCH(Z$5,CPAT_Results!$1:$1,0))</f>
        <v>0</v>
      </c>
      <c r="AA133" s="146">
        <f>INDEX(CPAT_Results!$A:$AD,MATCH($H133&amp;"_"&amp;$C133,CPAT_Results!$F:$F,0),MATCH(AA$5,CPAT_Results!$1:$1,0))</f>
        <v>0</v>
      </c>
      <c r="AB133" s="146">
        <f>INDEX(CPAT_Results!$A:$AD,MATCH($H133&amp;"_"&amp;$C133,CPAT_Results!$F:$F,0),MATCH(AB$5,CPAT_Results!$1:$1,0))</f>
        <v>0</v>
      </c>
      <c r="AC133" s="146">
        <f>INDEX(CPAT_Results!$A:$AD,MATCH($H133&amp;"_"&amp;$C133,CPAT_Results!$F:$F,0),MATCH(AC$5,CPAT_Results!$1:$1,0))</f>
        <v>0</v>
      </c>
      <c r="AD133" s="146">
        <f>INDEX(CPAT_Results!$A:$AD,MATCH($H133&amp;"_"&amp;$C133,CPAT_Results!$F:$F,0),MATCH(AD$5,CPAT_Results!$1:$1,0))</f>
        <v>0</v>
      </c>
      <c r="AE133" s="146">
        <f>INDEX(CPAT_Results!$A:$AD,MATCH($H133&amp;"_"&amp;$C133,CPAT_Results!$F:$F,0),MATCH(AE$5,CPAT_Results!$1:$1,0))</f>
        <v>0</v>
      </c>
    </row>
    <row r="135" spans="2:31" x14ac:dyDescent="0.2">
      <c r="B135" s="112" t="s">
        <v>3453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1D19-C2FE-44B1-BA1B-47295BDDC7C2}">
  <dimension ref="A1:AD6421"/>
  <sheetViews>
    <sheetView tabSelected="1" topLeftCell="A417" workbookViewId="0">
      <selection activeCell="E432" sqref="E432"/>
    </sheetView>
  </sheetViews>
  <sheetFormatPr defaultRowHeight="15" x14ac:dyDescent="0.25"/>
  <cols>
    <col min="5" max="5" width="31" bestFit="1" customWidth="1"/>
    <col min="6" max="6" width="35.42578125" bestFit="1" customWidth="1"/>
  </cols>
  <sheetData>
    <row r="1" spans="1:30" ht="25.5" x14ac:dyDescent="0.25">
      <c r="A1" s="186" t="s">
        <v>3881</v>
      </c>
      <c r="B1" s="187" t="s">
        <v>132</v>
      </c>
      <c r="C1" s="187" t="s">
        <v>47</v>
      </c>
      <c r="D1" s="187" t="s">
        <v>3882</v>
      </c>
      <c r="E1" s="187" t="s">
        <v>3883</v>
      </c>
      <c r="F1" s="187" t="s">
        <v>3884</v>
      </c>
      <c r="G1" s="188" t="s">
        <v>3885</v>
      </c>
      <c r="H1" s="188" t="s">
        <v>931</v>
      </c>
      <c r="I1" s="188" t="s">
        <v>35</v>
      </c>
      <c r="J1" s="188" t="s">
        <v>3886</v>
      </c>
      <c r="K1" s="189">
        <f>CPATStartYear</f>
        <v>2022</v>
      </c>
      <c r="L1" s="187">
        <f>K1+1</f>
        <v>2023</v>
      </c>
      <c r="M1" s="187">
        <f t="shared" ref="M1:AB1" si="0">L1+1</f>
        <v>2024</v>
      </c>
      <c r="N1" s="187">
        <f t="shared" si="0"/>
        <v>2025</v>
      </c>
      <c r="O1" s="187">
        <f t="shared" si="0"/>
        <v>2026</v>
      </c>
      <c r="P1" s="187">
        <f t="shared" si="0"/>
        <v>2027</v>
      </c>
      <c r="Q1" s="187">
        <f t="shared" si="0"/>
        <v>2028</v>
      </c>
      <c r="R1" s="187">
        <f t="shared" si="0"/>
        <v>2029</v>
      </c>
      <c r="S1" s="187">
        <f t="shared" si="0"/>
        <v>2030</v>
      </c>
      <c r="T1" s="187">
        <f t="shared" si="0"/>
        <v>2031</v>
      </c>
      <c r="U1" s="187">
        <f t="shared" si="0"/>
        <v>2032</v>
      </c>
      <c r="V1" s="187">
        <f t="shared" si="0"/>
        <v>2033</v>
      </c>
      <c r="W1" s="187">
        <f t="shared" si="0"/>
        <v>2034</v>
      </c>
      <c r="X1" s="187">
        <f t="shared" si="0"/>
        <v>2035</v>
      </c>
      <c r="Y1" s="187">
        <f t="shared" si="0"/>
        <v>2036</v>
      </c>
      <c r="Z1" s="187">
        <f t="shared" si="0"/>
        <v>2037</v>
      </c>
      <c r="AA1" s="187">
        <f t="shared" si="0"/>
        <v>2038</v>
      </c>
      <c r="AB1" s="187">
        <f t="shared" si="0"/>
        <v>2039</v>
      </c>
      <c r="AC1" s="187">
        <f>AB1+1</f>
        <v>2040</v>
      </c>
      <c r="AD1" s="187">
        <f>AC1+1</f>
        <v>2041</v>
      </c>
    </row>
    <row r="2" spans="1:30" x14ac:dyDescent="0.25">
      <c r="B2" t="s">
        <v>133</v>
      </c>
      <c r="C2" t="s">
        <v>3256</v>
      </c>
      <c r="D2" t="s">
        <v>3887</v>
      </c>
      <c r="E2" t="s">
        <v>3888</v>
      </c>
      <c r="F2" t="s">
        <v>3889</v>
      </c>
      <c r="G2" t="s">
        <v>3890</v>
      </c>
      <c r="H2" t="s">
        <v>3891</v>
      </c>
      <c r="I2" t="s">
        <v>3892</v>
      </c>
      <c r="J2">
        <v>2</v>
      </c>
      <c r="K2">
        <v>0</v>
      </c>
      <c r="L2">
        <v>0</v>
      </c>
      <c r="M2">
        <v>0</v>
      </c>
      <c r="N2">
        <v>0</v>
      </c>
      <c r="O2">
        <v>0.98816000000000004</v>
      </c>
      <c r="P2">
        <v>0.98743999999999998</v>
      </c>
      <c r="Q2">
        <v>0.98751999999999995</v>
      </c>
      <c r="R2">
        <v>0.98751</v>
      </c>
      <c r="S2">
        <v>0.98760999999999999</v>
      </c>
      <c r="T2">
        <v>0.98770000000000002</v>
      </c>
      <c r="U2">
        <v>0.98780999999999997</v>
      </c>
      <c r="V2">
        <v>0.98792999999999997</v>
      </c>
      <c r="W2">
        <v>0.98804999999999998</v>
      </c>
      <c r="X2">
        <v>0.98819000000000001</v>
      </c>
      <c r="Y2">
        <v>0.98831999999999998</v>
      </c>
      <c r="Z2">
        <v>0.98846999999999996</v>
      </c>
      <c r="AA2">
        <v>0.98863000000000001</v>
      </c>
      <c r="AB2">
        <v>0.98880000000000001</v>
      </c>
      <c r="AC2">
        <v>0.98899999999999999</v>
      </c>
      <c r="AD2">
        <v>0.98916999999999999</v>
      </c>
    </row>
    <row r="3" spans="1:30" x14ac:dyDescent="0.25">
      <c r="B3" t="s">
        <v>133</v>
      </c>
      <c r="C3" t="s">
        <v>3256</v>
      </c>
      <c r="D3" t="s">
        <v>3364</v>
      </c>
      <c r="E3" t="s">
        <v>1403</v>
      </c>
      <c r="F3" t="s">
        <v>3893</v>
      </c>
      <c r="G3" t="s">
        <v>3890</v>
      </c>
      <c r="H3" t="s">
        <v>1397</v>
      </c>
      <c r="I3" t="s">
        <v>3894</v>
      </c>
      <c r="J3">
        <v>2</v>
      </c>
      <c r="K3">
        <v>0</v>
      </c>
      <c r="L3">
        <v>0</v>
      </c>
      <c r="M3">
        <v>0</v>
      </c>
      <c r="N3">
        <v>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</row>
    <row r="4" spans="1:30" x14ac:dyDescent="0.25">
      <c r="B4" t="s">
        <v>133</v>
      </c>
      <c r="C4" t="s">
        <v>3256</v>
      </c>
      <c r="D4" t="s">
        <v>3369</v>
      </c>
      <c r="E4" t="s">
        <v>3370</v>
      </c>
      <c r="F4" t="s">
        <v>3895</v>
      </c>
      <c r="G4" t="s">
        <v>3890</v>
      </c>
      <c r="H4" t="s">
        <v>3896</v>
      </c>
      <c r="I4" t="s">
        <v>3894</v>
      </c>
      <c r="J4">
        <v>2</v>
      </c>
      <c r="K4">
        <v>0</v>
      </c>
      <c r="L4">
        <v>0</v>
      </c>
      <c r="M4">
        <v>0</v>
      </c>
      <c r="N4">
        <v>0</v>
      </c>
      <c r="O4">
        <v>19.763000000000002</v>
      </c>
      <c r="P4">
        <v>19.748999999999999</v>
      </c>
      <c r="Q4">
        <v>19.75</v>
      </c>
      <c r="R4">
        <v>19.75</v>
      </c>
      <c r="S4">
        <v>19.751999999999999</v>
      </c>
      <c r="T4">
        <v>19.754000000000001</v>
      </c>
      <c r="U4">
        <v>19.756</v>
      </c>
      <c r="V4">
        <v>19.759</v>
      </c>
      <c r="W4">
        <v>19.760999999999999</v>
      </c>
      <c r="X4">
        <v>19.763999999999999</v>
      </c>
      <c r="Y4">
        <v>19.765999999999998</v>
      </c>
      <c r="Z4">
        <v>19.768999999999998</v>
      </c>
      <c r="AA4">
        <v>19.773</v>
      </c>
      <c r="AB4">
        <v>19.776</v>
      </c>
      <c r="AC4">
        <v>19.78</v>
      </c>
      <c r="AD4">
        <v>19.783000000000001</v>
      </c>
    </row>
    <row r="5" spans="1:30" x14ac:dyDescent="0.25">
      <c r="B5" t="s">
        <v>133</v>
      </c>
      <c r="C5" t="s">
        <v>3256</v>
      </c>
      <c r="D5" t="s">
        <v>3897</v>
      </c>
      <c r="E5" t="s">
        <v>1404</v>
      </c>
      <c r="F5" t="s">
        <v>3898</v>
      </c>
      <c r="G5" t="s">
        <v>3890</v>
      </c>
      <c r="H5" t="s">
        <v>1401</v>
      </c>
      <c r="I5" t="s">
        <v>3894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B6" t="s">
        <v>133</v>
      </c>
      <c r="C6" t="s">
        <v>3256</v>
      </c>
      <c r="D6" t="s">
        <v>3899</v>
      </c>
      <c r="E6" t="s">
        <v>3900</v>
      </c>
      <c r="F6" t="s">
        <v>3901</v>
      </c>
      <c r="G6" t="s">
        <v>3890</v>
      </c>
      <c r="H6" t="s">
        <v>3891</v>
      </c>
      <c r="I6" t="s">
        <v>3892</v>
      </c>
      <c r="J6">
        <v>2</v>
      </c>
      <c r="K6">
        <v>0</v>
      </c>
      <c r="L6">
        <v>0</v>
      </c>
      <c r="M6">
        <v>0</v>
      </c>
      <c r="N6">
        <v>0</v>
      </c>
      <c r="O6">
        <v>0.41588000000000003</v>
      </c>
      <c r="P6">
        <v>0.37476999999999999</v>
      </c>
      <c r="Q6">
        <v>0.37158999999999998</v>
      </c>
      <c r="R6">
        <v>0.36198000000000002</v>
      </c>
      <c r="S6">
        <v>0.35448000000000002</v>
      </c>
      <c r="T6">
        <v>0.34343000000000001</v>
      </c>
      <c r="U6">
        <v>0.33367999999999998</v>
      </c>
      <c r="V6">
        <v>0.32425999999999999</v>
      </c>
      <c r="W6">
        <v>0.31630999999999998</v>
      </c>
      <c r="X6">
        <v>0.30947999999999998</v>
      </c>
      <c r="Y6">
        <v>0.30392000000000002</v>
      </c>
      <c r="Z6">
        <v>0.29977999999999999</v>
      </c>
      <c r="AA6">
        <v>0.29710999999999999</v>
      </c>
      <c r="AB6">
        <v>0.29604000000000003</v>
      </c>
      <c r="AC6">
        <v>0.29676999999999998</v>
      </c>
      <c r="AD6">
        <v>0.29716999999999999</v>
      </c>
    </row>
    <row r="7" spans="1:30" x14ac:dyDescent="0.25">
      <c r="B7" t="s">
        <v>133</v>
      </c>
      <c r="C7" t="s">
        <v>3256</v>
      </c>
      <c r="D7" t="s">
        <v>3902</v>
      </c>
      <c r="E7" t="s">
        <v>3903</v>
      </c>
      <c r="F7" t="s">
        <v>3904</v>
      </c>
      <c r="G7" t="s">
        <v>3890</v>
      </c>
      <c r="H7" t="s">
        <v>3891</v>
      </c>
      <c r="I7" t="s">
        <v>3892</v>
      </c>
      <c r="J7">
        <v>2</v>
      </c>
      <c r="K7">
        <v>0</v>
      </c>
      <c r="L7">
        <v>0</v>
      </c>
      <c r="M7">
        <v>0</v>
      </c>
      <c r="N7">
        <v>0</v>
      </c>
      <c r="O7">
        <v>0.20507</v>
      </c>
      <c r="P7">
        <v>0.22498000000000001</v>
      </c>
      <c r="Q7">
        <v>0.23286999999999999</v>
      </c>
      <c r="R7">
        <v>0.24404999999999999</v>
      </c>
      <c r="S7">
        <v>0.25690000000000002</v>
      </c>
      <c r="T7">
        <v>0.27288000000000001</v>
      </c>
      <c r="U7">
        <v>0.28845999999999999</v>
      </c>
      <c r="V7">
        <v>0.30381999999999998</v>
      </c>
      <c r="W7">
        <v>0.31817000000000001</v>
      </c>
      <c r="X7">
        <v>0.33152999999999999</v>
      </c>
      <c r="Y7">
        <v>0.34377000000000002</v>
      </c>
      <c r="Z7">
        <v>0.35487999999999997</v>
      </c>
      <c r="AA7">
        <v>0.36487000000000003</v>
      </c>
      <c r="AB7">
        <v>0.37363000000000002</v>
      </c>
      <c r="AC7">
        <v>0.38102999999999998</v>
      </c>
      <c r="AD7">
        <v>0.38808999999999999</v>
      </c>
    </row>
    <row r="8" spans="1:30" x14ac:dyDescent="0.25">
      <c r="B8" t="s">
        <v>133</v>
      </c>
      <c r="C8" t="s">
        <v>3256</v>
      </c>
      <c r="D8" t="s">
        <v>3905</v>
      </c>
      <c r="E8" t="s">
        <v>3906</v>
      </c>
      <c r="F8" t="s">
        <v>3907</v>
      </c>
      <c r="G8" t="s">
        <v>3890</v>
      </c>
      <c r="H8" t="s">
        <v>3891</v>
      </c>
      <c r="I8" t="s">
        <v>3892</v>
      </c>
      <c r="J8">
        <v>2</v>
      </c>
      <c r="K8">
        <v>0</v>
      </c>
      <c r="L8">
        <v>0</v>
      </c>
      <c r="M8">
        <v>0</v>
      </c>
      <c r="N8">
        <v>0</v>
      </c>
      <c r="O8">
        <v>8.1100000000000005E-2</v>
      </c>
      <c r="P8">
        <v>8.2610000000000003E-2</v>
      </c>
      <c r="Q8">
        <v>7.9780000000000004E-2</v>
      </c>
      <c r="R8">
        <v>7.7990000000000004E-2</v>
      </c>
      <c r="S8">
        <v>7.5859999999999997E-2</v>
      </c>
      <c r="T8">
        <v>7.3950000000000002E-2</v>
      </c>
      <c r="U8">
        <v>7.1900000000000006E-2</v>
      </c>
      <c r="V8">
        <v>6.9860000000000005E-2</v>
      </c>
      <c r="W8">
        <v>6.7760000000000001E-2</v>
      </c>
      <c r="X8">
        <v>6.5659999999999996E-2</v>
      </c>
      <c r="Y8">
        <v>6.3560000000000005E-2</v>
      </c>
      <c r="Z8">
        <v>6.1499999999999999E-2</v>
      </c>
      <c r="AA8">
        <v>5.9420000000000001E-2</v>
      </c>
      <c r="AB8">
        <v>5.7320000000000003E-2</v>
      </c>
      <c r="AC8">
        <v>5.5190000000000003E-2</v>
      </c>
      <c r="AD8">
        <v>5.3220000000000003E-2</v>
      </c>
    </row>
    <row r="9" spans="1:30" x14ac:dyDescent="0.25">
      <c r="B9" t="s">
        <v>133</v>
      </c>
      <c r="C9" t="s">
        <v>3256</v>
      </c>
      <c r="D9" t="s">
        <v>3908</v>
      </c>
      <c r="E9" t="s">
        <v>3909</v>
      </c>
      <c r="F9" t="s">
        <v>3910</v>
      </c>
      <c r="G9" t="s">
        <v>3890</v>
      </c>
      <c r="H9" t="s">
        <v>3891</v>
      </c>
      <c r="I9" t="s">
        <v>3892</v>
      </c>
      <c r="J9">
        <v>2</v>
      </c>
      <c r="K9">
        <v>0</v>
      </c>
      <c r="L9">
        <v>0</v>
      </c>
      <c r="M9">
        <v>0</v>
      </c>
      <c r="N9">
        <v>0</v>
      </c>
      <c r="O9">
        <v>0.28621000000000002</v>
      </c>
      <c r="P9">
        <v>0.30519000000000002</v>
      </c>
      <c r="Q9">
        <v>0.3034</v>
      </c>
      <c r="R9">
        <v>0.30359000000000003</v>
      </c>
      <c r="S9">
        <v>0.30046</v>
      </c>
      <c r="T9">
        <v>0.29754000000000003</v>
      </c>
      <c r="U9">
        <v>0.29387000000000002</v>
      </c>
      <c r="V9">
        <v>0.29008</v>
      </c>
      <c r="W9">
        <v>0.28591</v>
      </c>
      <c r="X9">
        <v>0.28161000000000003</v>
      </c>
      <c r="Y9">
        <v>0.27716000000000002</v>
      </c>
      <c r="Z9">
        <v>0.27239000000000002</v>
      </c>
      <c r="AA9">
        <v>0.26730999999999999</v>
      </c>
      <c r="AB9">
        <v>0.26190000000000002</v>
      </c>
      <c r="AC9">
        <v>0.25608999999999998</v>
      </c>
      <c r="AD9">
        <v>0.25076999999999999</v>
      </c>
    </row>
    <row r="10" spans="1:30" x14ac:dyDescent="0.25">
      <c r="B10" t="s">
        <v>133</v>
      </c>
      <c r="C10" t="s">
        <v>3256</v>
      </c>
      <c r="D10" t="s">
        <v>3911</v>
      </c>
      <c r="E10" t="s">
        <v>3912</v>
      </c>
      <c r="F10" t="s">
        <v>3913</v>
      </c>
      <c r="G10" t="s">
        <v>3890</v>
      </c>
      <c r="H10" t="s">
        <v>3891</v>
      </c>
      <c r="I10" t="s">
        <v>3892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B11" t="s">
        <v>133</v>
      </c>
      <c r="C11" t="s">
        <v>3256</v>
      </c>
      <c r="D11" t="s">
        <v>3914</v>
      </c>
      <c r="E11" t="s">
        <v>3915</v>
      </c>
      <c r="F11" t="s">
        <v>3916</v>
      </c>
      <c r="G11" t="s">
        <v>3890</v>
      </c>
      <c r="H11" t="s">
        <v>3917</v>
      </c>
      <c r="I11" t="s">
        <v>3892</v>
      </c>
      <c r="J11">
        <v>2</v>
      </c>
      <c r="K11">
        <v>6.651E-2</v>
      </c>
      <c r="L11">
        <v>3.7600000000000001E-2</v>
      </c>
      <c r="M11">
        <v>2.3990000000000001E-2</v>
      </c>
      <c r="N11">
        <v>4.3920000000000001E-2</v>
      </c>
      <c r="O11">
        <v>4.24E-2</v>
      </c>
      <c r="P11">
        <v>4.829E-2</v>
      </c>
      <c r="Q11">
        <v>5.5350000000000003E-2</v>
      </c>
      <c r="R11">
        <v>5.2269999999999997E-2</v>
      </c>
      <c r="S11">
        <v>4.8419999999999998E-2</v>
      </c>
      <c r="T11">
        <v>4.7890000000000002E-2</v>
      </c>
      <c r="U11">
        <v>4.7359999999999999E-2</v>
      </c>
      <c r="V11">
        <v>4.6820000000000001E-2</v>
      </c>
      <c r="W11">
        <v>4.6289999999999998E-2</v>
      </c>
      <c r="X11">
        <v>4.5760000000000002E-2</v>
      </c>
      <c r="Y11">
        <v>4.5229999999999999E-2</v>
      </c>
      <c r="Z11">
        <v>4.4699999999999997E-2</v>
      </c>
      <c r="AA11">
        <v>4.4170000000000001E-2</v>
      </c>
      <c r="AB11">
        <v>4.3639999999999998E-2</v>
      </c>
      <c r="AC11">
        <v>4.3099999999999999E-2</v>
      </c>
      <c r="AD11">
        <v>4.2569999999999997E-2</v>
      </c>
    </row>
    <row r="12" spans="1:30" x14ac:dyDescent="0.25">
      <c r="B12" t="s">
        <v>133</v>
      </c>
      <c r="C12" t="s">
        <v>3256</v>
      </c>
      <c r="D12" t="s">
        <v>3918</v>
      </c>
      <c r="E12" t="s">
        <v>3919</v>
      </c>
      <c r="F12" t="s">
        <v>3920</v>
      </c>
      <c r="G12" t="s">
        <v>3890</v>
      </c>
      <c r="H12" t="s">
        <v>3917</v>
      </c>
      <c r="I12" t="s">
        <v>3892</v>
      </c>
      <c r="J12">
        <v>2</v>
      </c>
      <c r="K12">
        <v>0</v>
      </c>
      <c r="L12">
        <v>0</v>
      </c>
      <c r="M12">
        <v>0</v>
      </c>
      <c r="N12">
        <v>0</v>
      </c>
      <c r="O12">
        <v>-4.5500000000000002E-3</v>
      </c>
      <c r="P12">
        <v>-7.26E-3</v>
      </c>
      <c r="Q12">
        <v>-6.9199999999999999E-3</v>
      </c>
      <c r="R12">
        <v>-7.0099999999999997E-3</v>
      </c>
      <c r="S12">
        <v>-6.3699999999999998E-3</v>
      </c>
      <c r="T12">
        <v>-5.7200000000000003E-3</v>
      </c>
      <c r="U12">
        <v>-5.4999999999999997E-3</v>
      </c>
      <c r="V12">
        <v>-5.0699999999999999E-3</v>
      </c>
      <c r="W12">
        <v>-4.5599999999999998E-3</v>
      </c>
      <c r="X12">
        <v>-4.15E-3</v>
      </c>
      <c r="Y12">
        <v>-3.96E-3</v>
      </c>
      <c r="Z12">
        <v>-4.0200000000000001E-3</v>
      </c>
      <c r="AA12">
        <v>-4.0899999999999999E-3</v>
      </c>
      <c r="AB12">
        <v>-4.15E-3</v>
      </c>
      <c r="AC12">
        <v>-4.0299999999999997E-3</v>
      </c>
      <c r="AD12">
        <v>-3.8400000000000001E-3</v>
      </c>
    </row>
    <row r="13" spans="1:30" x14ac:dyDescent="0.25">
      <c r="B13" t="s">
        <v>133</v>
      </c>
      <c r="C13" t="s">
        <v>3256</v>
      </c>
      <c r="D13" t="s">
        <v>3921</v>
      </c>
      <c r="E13" t="s">
        <v>3922</v>
      </c>
      <c r="F13" t="s">
        <v>3923</v>
      </c>
      <c r="G13" t="s">
        <v>3890</v>
      </c>
      <c r="H13" t="s">
        <v>3917</v>
      </c>
      <c r="I13" t="s">
        <v>3892</v>
      </c>
      <c r="J13">
        <v>2</v>
      </c>
      <c r="K13">
        <v>0</v>
      </c>
      <c r="L13">
        <v>0</v>
      </c>
      <c r="M13">
        <v>0</v>
      </c>
      <c r="N13">
        <v>0</v>
      </c>
      <c r="O13">
        <v>9.2000000000000003E-4</v>
      </c>
      <c r="P13">
        <v>1.07E-3</v>
      </c>
      <c r="Q13">
        <v>1.0300000000000001E-3</v>
      </c>
      <c r="R13">
        <v>9.2000000000000003E-4</v>
      </c>
      <c r="S13">
        <v>8.8000000000000003E-4</v>
      </c>
      <c r="T13">
        <v>9.1E-4</v>
      </c>
      <c r="U13">
        <v>9.1E-4</v>
      </c>
      <c r="V13">
        <v>9.7999999999999997E-4</v>
      </c>
      <c r="W13">
        <v>9.7999999999999997E-4</v>
      </c>
      <c r="X13">
        <v>9.6000000000000002E-4</v>
      </c>
      <c r="Y13">
        <v>9.5E-4</v>
      </c>
      <c r="Z13">
        <v>9.6000000000000002E-4</v>
      </c>
      <c r="AA13">
        <v>9.8999999999999999E-4</v>
      </c>
      <c r="AB13">
        <v>1.01E-3</v>
      </c>
      <c r="AC13">
        <v>1E-3</v>
      </c>
      <c r="AD13">
        <v>9.7999999999999997E-4</v>
      </c>
    </row>
    <row r="14" spans="1:30" x14ac:dyDescent="0.25">
      <c r="B14" t="s">
        <v>133</v>
      </c>
      <c r="C14" t="s">
        <v>3256</v>
      </c>
      <c r="D14" t="s">
        <v>3924</v>
      </c>
      <c r="E14" t="s">
        <v>3925</v>
      </c>
      <c r="F14" t="s">
        <v>3926</v>
      </c>
      <c r="G14" t="s">
        <v>3890</v>
      </c>
      <c r="H14" t="s">
        <v>3917</v>
      </c>
      <c r="I14" t="s">
        <v>3892</v>
      </c>
      <c r="J14">
        <v>2</v>
      </c>
      <c r="K14">
        <v>0</v>
      </c>
      <c r="L14">
        <v>0</v>
      </c>
      <c r="M14">
        <v>0</v>
      </c>
      <c r="N14">
        <v>0</v>
      </c>
      <c r="O14">
        <v>3.81E-3</v>
      </c>
      <c r="P14">
        <v>4.6899999999999997E-3</v>
      </c>
      <c r="Q14">
        <v>4.5599999999999998E-3</v>
      </c>
      <c r="R14">
        <v>4.2300000000000003E-3</v>
      </c>
      <c r="S14">
        <v>4.3800000000000002E-3</v>
      </c>
      <c r="T14">
        <v>4.8199999999999996E-3</v>
      </c>
      <c r="U14">
        <v>5.4400000000000004E-3</v>
      </c>
      <c r="V14">
        <v>5.9899999999999997E-3</v>
      </c>
      <c r="W14">
        <v>7.0600000000000003E-3</v>
      </c>
      <c r="X14">
        <v>7.8100000000000001E-3</v>
      </c>
      <c r="Y14">
        <v>8.4799999999999997E-3</v>
      </c>
      <c r="Z14">
        <v>8.7600000000000004E-3</v>
      </c>
      <c r="AA14">
        <v>8.9700000000000005E-3</v>
      </c>
      <c r="AB14">
        <v>9.2200000000000008E-3</v>
      </c>
      <c r="AC14">
        <v>9.3200000000000002E-3</v>
      </c>
      <c r="AD14">
        <v>9.4199999999999996E-3</v>
      </c>
    </row>
    <row r="15" spans="1:30" x14ac:dyDescent="0.25">
      <c r="B15" t="s">
        <v>133</v>
      </c>
      <c r="C15" t="s">
        <v>3256</v>
      </c>
      <c r="D15" t="s">
        <v>3927</v>
      </c>
      <c r="E15" t="s">
        <v>3928</v>
      </c>
      <c r="F15" t="s">
        <v>3929</v>
      </c>
      <c r="G15" t="s">
        <v>3890</v>
      </c>
      <c r="H15" t="s">
        <v>3917</v>
      </c>
      <c r="I15" t="s">
        <v>3892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B16" t="s">
        <v>133</v>
      </c>
      <c r="C16" t="s">
        <v>3256</v>
      </c>
      <c r="D16" t="s">
        <v>3930</v>
      </c>
      <c r="E16" t="s">
        <v>3931</v>
      </c>
      <c r="F16" t="s">
        <v>3932</v>
      </c>
      <c r="G16" t="s">
        <v>3890</v>
      </c>
      <c r="H16" t="s">
        <v>3917</v>
      </c>
      <c r="I16" t="s">
        <v>3892</v>
      </c>
      <c r="J16">
        <v>2</v>
      </c>
      <c r="K16">
        <v>0</v>
      </c>
      <c r="L16">
        <v>0</v>
      </c>
      <c r="M16">
        <v>0</v>
      </c>
      <c r="N16">
        <v>0</v>
      </c>
      <c r="O16">
        <v>3.8999999999999999E-4</v>
      </c>
      <c r="P16">
        <v>7.2999999999999996E-4</v>
      </c>
      <c r="Q16">
        <v>8.8999999999999995E-4</v>
      </c>
      <c r="R16">
        <v>8.8000000000000003E-4</v>
      </c>
      <c r="S16">
        <v>8.7000000000000001E-4</v>
      </c>
      <c r="T16">
        <v>8.7000000000000001E-4</v>
      </c>
      <c r="U16">
        <v>8.9999999999999998E-4</v>
      </c>
      <c r="V16">
        <v>8.9999999999999998E-4</v>
      </c>
      <c r="W16">
        <v>9.6000000000000002E-4</v>
      </c>
      <c r="X16">
        <v>8.8999999999999995E-4</v>
      </c>
      <c r="Y16">
        <v>8.9999999999999998E-4</v>
      </c>
      <c r="Z16">
        <v>9.3000000000000005E-4</v>
      </c>
      <c r="AA16">
        <v>9.5E-4</v>
      </c>
      <c r="AB16">
        <v>9.7999999999999997E-4</v>
      </c>
      <c r="AC16">
        <v>9.7999999999999997E-4</v>
      </c>
      <c r="AD16">
        <v>9.7999999999999997E-4</v>
      </c>
    </row>
    <row r="17" spans="2:30" x14ac:dyDescent="0.25">
      <c r="B17" t="s">
        <v>133</v>
      </c>
      <c r="C17" t="s">
        <v>3256</v>
      </c>
      <c r="D17" t="s">
        <v>3933</v>
      </c>
      <c r="E17" t="s">
        <v>3934</v>
      </c>
      <c r="F17" t="s">
        <v>3935</v>
      </c>
      <c r="G17" t="s">
        <v>3890</v>
      </c>
      <c r="H17" t="s">
        <v>3917</v>
      </c>
      <c r="I17" t="s">
        <v>3892</v>
      </c>
      <c r="J17">
        <v>2</v>
      </c>
      <c r="K17">
        <v>6.651E-2</v>
      </c>
      <c r="L17">
        <v>3.7600000000000001E-2</v>
      </c>
      <c r="M17">
        <v>2.3990000000000001E-2</v>
      </c>
      <c r="N17">
        <v>4.3920000000000001E-2</v>
      </c>
      <c r="O17">
        <v>4.2970000000000001E-2</v>
      </c>
      <c r="P17">
        <v>4.752E-2</v>
      </c>
      <c r="Q17">
        <v>5.4910000000000007E-2</v>
      </c>
      <c r="R17">
        <v>5.1289999999999988E-2</v>
      </c>
      <c r="S17">
        <v>4.8180000000000001E-2</v>
      </c>
      <c r="T17">
        <v>4.8770000000000001E-2</v>
      </c>
      <c r="U17">
        <v>4.9110000000000001E-2</v>
      </c>
      <c r="V17">
        <v>4.9620000000000004E-2</v>
      </c>
      <c r="W17" s="130">
        <v>5.0729999999999997E-2</v>
      </c>
      <c r="X17" s="130">
        <v>5.1270000000000003E-2</v>
      </c>
      <c r="Y17" s="130">
        <v>5.16E-2</v>
      </c>
      <c r="Z17" s="130">
        <v>5.1330000000000001E-2</v>
      </c>
      <c r="AA17" s="130">
        <v>5.0990000000000001E-2</v>
      </c>
      <c r="AB17" s="130">
        <v>5.0699999999999995E-2</v>
      </c>
      <c r="AC17" s="130">
        <v>5.0370000000000005E-2</v>
      </c>
      <c r="AD17" s="130">
        <v>5.0109999999999995E-2</v>
      </c>
    </row>
    <row r="18" spans="2:30" x14ac:dyDescent="0.25">
      <c r="B18" t="s">
        <v>133</v>
      </c>
      <c r="C18" t="s">
        <v>3256</v>
      </c>
      <c r="D18" t="s">
        <v>3936</v>
      </c>
      <c r="E18" t="s">
        <v>3437</v>
      </c>
      <c r="F18" t="s">
        <v>3937</v>
      </c>
      <c r="G18" t="s">
        <v>3890</v>
      </c>
      <c r="H18" t="s">
        <v>2308</v>
      </c>
      <c r="I18" t="s">
        <v>3938</v>
      </c>
      <c r="J18">
        <v>1</v>
      </c>
      <c r="K18">
        <v>-31.97</v>
      </c>
      <c r="L18">
        <v>-26.57</v>
      </c>
      <c r="M18">
        <v>-38.700000000000003</v>
      </c>
      <c r="N18">
        <v>-37.520000000000003</v>
      </c>
      <c r="O18">
        <v>-39.340000000000003</v>
      </c>
      <c r="P18">
        <v>-38.21</v>
      </c>
      <c r="Q18">
        <v>-38.520000000000003</v>
      </c>
      <c r="R18">
        <v>-39.229999999999997</v>
      </c>
      <c r="S18">
        <v>-39.94</v>
      </c>
      <c r="T18">
        <v>-40.520000000000003</v>
      </c>
      <c r="U18">
        <v>-41.25</v>
      </c>
      <c r="V18">
        <v>-41.92</v>
      </c>
      <c r="W18" s="130">
        <v>-42.48</v>
      </c>
      <c r="X18" s="130">
        <v>-42.9</v>
      </c>
      <c r="Y18" s="130">
        <v>-43.07</v>
      </c>
      <c r="Z18" s="130">
        <v>-43.04</v>
      </c>
      <c r="AA18" s="130">
        <v>-42.79</v>
      </c>
      <c r="AB18" s="130">
        <v>-42.3</v>
      </c>
      <c r="AC18" s="130">
        <v>-41.94</v>
      </c>
      <c r="AD18" s="130">
        <v>-43.65</v>
      </c>
    </row>
    <row r="19" spans="2:30" x14ac:dyDescent="0.25">
      <c r="B19" t="s">
        <v>133</v>
      </c>
      <c r="C19" t="s">
        <v>3256</v>
      </c>
      <c r="D19" t="s">
        <v>3939</v>
      </c>
      <c r="E19" t="s">
        <v>3443</v>
      </c>
      <c r="F19" t="s">
        <v>3940</v>
      </c>
      <c r="G19" t="s">
        <v>3890</v>
      </c>
      <c r="H19" t="s">
        <v>2308</v>
      </c>
      <c r="I19" t="s">
        <v>3938</v>
      </c>
      <c r="J19">
        <v>2</v>
      </c>
      <c r="K19">
        <v>-31.97</v>
      </c>
      <c r="L19">
        <v>-26.55</v>
      </c>
      <c r="M19">
        <v>-38.69</v>
      </c>
      <c r="N19">
        <v>-37.5</v>
      </c>
      <c r="O19">
        <v>-31.56</v>
      </c>
      <c r="P19">
        <v>-29.08</v>
      </c>
      <c r="Q19">
        <v>-29.49</v>
      </c>
      <c r="R19">
        <v>-29.76</v>
      </c>
      <c r="S19">
        <v>-30.23</v>
      </c>
      <c r="T19">
        <v>-30.37</v>
      </c>
      <c r="U19">
        <v>-30.65</v>
      </c>
      <c r="V19">
        <v>-30.81</v>
      </c>
      <c r="W19">
        <v>-30.87</v>
      </c>
      <c r="X19">
        <v>-30.78</v>
      </c>
      <c r="Y19">
        <v>-30.45</v>
      </c>
      <c r="Z19">
        <v>-29.93</v>
      </c>
      <c r="AA19">
        <v>-29.16</v>
      </c>
      <c r="AB19">
        <v>-28.14</v>
      </c>
      <c r="AC19">
        <v>-27.26</v>
      </c>
      <c r="AD19">
        <v>-28.42</v>
      </c>
    </row>
    <row r="20" spans="2:30" x14ac:dyDescent="0.25">
      <c r="B20" t="s">
        <v>133</v>
      </c>
      <c r="C20" t="s">
        <v>3256</v>
      </c>
      <c r="D20" t="s">
        <v>3941</v>
      </c>
      <c r="E20" t="s">
        <v>3942</v>
      </c>
      <c r="F20" t="s">
        <v>3943</v>
      </c>
      <c r="G20" t="s">
        <v>3890</v>
      </c>
      <c r="H20" t="s">
        <v>2308</v>
      </c>
      <c r="I20" t="s">
        <v>3892</v>
      </c>
      <c r="J20">
        <v>1</v>
      </c>
      <c r="K20">
        <v>-5.8450000000000002E-2</v>
      </c>
      <c r="L20">
        <v>-4.6809999999999997E-2</v>
      </c>
      <c r="M20">
        <v>-6.6600000000000006E-2</v>
      </c>
      <c r="N20">
        <v>-6.1839999999999999E-2</v>
      </c>
      <c r="O20">
        <v>-6.2210000000000001E-2</v>
      </c>
      <c r="P20">
        <v>-5.7639999999999997E-2</v>
      </c>
      <c r="Q20">
        <v>-5.5050000000000002E-2</v>
      </c>
      <c r="R20">
        <v>-5.3289999999999997E-2</v>
      </c>
      <c r="S20">
        <v>-5.1740000000000001E-2</v>
      </c>
      <c r="T20">
        <v>-5.0090000000000003E-2</v>
      </c>
      <c r="U20">
        <v>-4.87E-2</v>
      </c>
      <c r="V20">
        <v>-4.727E-2</v>
      </c>
      <c r="W20">
        <v>-4.5780000000000001E-2</v>
      </c>
      <c r="X20">
        <v>-4.4209999999999999E-2</v>
      </c>
      <c r="Y20">
        <v>-4.2470000000000001E-2</v>
      </c>
      <c r="Z20">
        <v>-4.0629999999999999E-2</v>
      </c>
      <c r="AA20">
        <v>-3.8679999999999999E-2</v>
      </c>
      <c r="AB20">
        <v>-3.6630000000000003E-2</v>
      </c>
      <c r="AC20">
        <v>-3.483E-2</v>
      </c>
      <c r="AD20">
        <v>-3.4759999999999999E-2</v>
      </c>
    </row>
    <row r="21" spans="2:30" x14ac:dyDescent="0.25">
      <c r="B21" t="s">
        <v>133</v>
      </c>
      <c r="C21" t="s">
        <v>3256</v>
      </c>
      <c r="D21" t="s">
        <v>3944</v>
      </c>
      <c r="E21" t="s">
        <v>3945</v>
      </c>
      <c r="F21" t="s">
        <v>3946</v>
      </c>
      <c r="G21" t="s">
        <v>3890</v>
      </c>
      <c r="H21" t="s">
        <v>2308</v>
      </c>
      <c r="I21" t="s">
        <v>3892</v>
      </c>
      <c r="J21">
        <v>2</v>
      </c>
      <c r="K21">
        <v>-5.8450000000000002E-2</v>
      </c>
      <c r="L21">
        <v>-4.6780000000000002E-2</v>
      </c>
      <c r="M21">
        <v>-6.658E-2</v>
      </c>
      <c r="N21">
        <v>-6.182E-2</v>
      </c>
      <c r="O21">
        <v>-4.99E-2</v>
      </c>
      <c r="P21">
        <v>-4.3869999999999999E-2</v>
      </c>
      <c r="Q21">
        <v>-4.215E-2</v>
      </c>
      <c r="R21">
        <v>-4.0430000000000001E-2</v>
      </c>
      <c r="S21">
        <v>-3.916E-2</v>
      </c>
      <c r="T21">
        <v>-3.7539999999999997E-2</v>
      </c>
      <c r="U21">
        <v>-3.619E-2</v>
      </c>
      <c r="V21">
        <v>-3.474E-2</v>
      </c>
      <c r="W21">
        <v>-3.3270000000000001E-2</v>
      </c>
      <c r="X21">
        <v>-3.1719999999999998E-2</v>
      </c>
      <c r="Y21">
        <v>-3.0020000000000002E-2</v>
      </c>
      <c r="Z21">
        <v>-2.8250000000000001E-2</v>
      </c>
      <c r="AA21">
        <v>-2.6360000000000001E-2</v>
      </c>
      <c r="AB21">
        <v>-2.4379999999999999E-2</v>
      </c>
      <c r="AC21">
        <v>-2.2630000000000001E-2</v>
      </c>
      <c r="AD21">
        <v>-2.2630000000000001E-2</v>
      </c>
    </row>
    <row r="22" spans="2:30" x14ac:dyDescent="0.25">
      <c r="B22" t="s">
        <v>133</v>
      </c>
      <c r="C22" t="s">
        <v>3256</v>
      </c>
      <c r="D22" t="s">
        <v>3947</v>
      </c>
      <c r="E22" t="s">
        <v>3948</v>
      </c>
      <c r="F22" t="s">
        <v>3949</v>
      </c>
      <c r="J22">
        <v>2</v>
      </c>
      <c r="K22">
        <v>0</v>
      </c>
      <c r="L22">
        <v>2.8445429769222152E-5</v>
      </c>
      <c r="M22">
        <v>2.4134132366383787E-5</v>
      </c>
      <c r="N22">
        <v>2.2817555195307759E-5</v>
      </c>
      <c r="O22">
        <v>5.363666081226369E-3</v>
      </c>
      <c r="P22">
        <v>5.4115216394212615E-3</v>
      </c>
      <c r="Q22">
        <v>4.7133669310050683E-3</v>
      </c>
      <c r="R22">
        <v>4.5573618746685626E-3</v>
      </c>
      <c r="S22">
        <v>4.4597548071005702E-3</v>
      </c>
      <c r="T22">
        <v>4.5346629619131273E-3</v>
      </c>
      <c r="U22">
        <v>4.5964129437736576E-3</v>
      </c>
      <c r="V22">
        <v>4.6718474668885901E-3</v>
      </c>
      <c r="W22">
        <v>4.7194276497577597E-3</v>
      </c>
      <c r="X22">
        <v>4.7563480686554707E-3</v>
      </c>
      <c r="Y22">
        <v>4.7806517169418361E-3</v>
      </c>
      <c r="Z22">
        <v>4.7817782781890278E-3</v>
      </c>
      <c r="AA22">
        <v>4.7717963715420211E-3</v>
      </c>
      <c r="AB22">
        <v>4.7494630890925968E-3</v>
      </c>
      <c r="AC22">
        <v>4.7072886695613617E-3</v>
      </c>
      <c r="AD22">
        <v>4.6640047868860626E-3</v>
      </c>
    </row>
    <row r="23" spans="2:30" x14ac:dyDescent="0.25">
      <c r="B23" t="s">
        <v>133</v>
      </c>
      <c r="C23" t="s">
        <v>3256</v>
      </c>
      <c r="D23" t="s">
        <v>3950</v>
      </c>
      <c r="E23" t="s">
        <v>3951</v>
      </c>
      <c r="F23" t="s">
        <v>3952</v>
      </c>
      <c r="J23">
        <v>2</v>
      </c>
      <c r="K23">
        <v>0</v>
      </c>
      <c r="L23">
        <v>0</v>
      </c>
      <c r="M23">
        <v>0</v>
      </c>
      <c r="N23">
        <v>0</v>
      </c>
      <c r="O23">
        <v>7.0282371166362689E-3</v>
      </c>
      <c r="P23">
        <v>6.6914375746385361E-3</v>
      </c>
      <c r="Q23">
        <v>6.6914279910152462E-3</v>
      </c>
      <c r="R23">
        <v>6.6205230830134612E-3</v>
      </c>
      <c r="S23">
        <v>6.5941238851448458E-3</v>
      </c>
      <c r="T23">
        <v>6.5572298503718072E-3</v>
      </c>
      <c r="U23">
        <v>6.5423108653278458E-3</v>
      </c>
      <c r="V23">
        <v>6.5358456007241963E-3</v>
      </c>
      <c r="W23">
        <v>6.5449547049465312E-3</v>
      </c>
      <c r="X23">
        <v>6.5665536629346292E-3</v>
      </c>
      <c r="Y23">
        <v>6.5990758764867706E-3</v>
      </c>
      <c r="Z23">
        <v>6.646037399465678E-3</v>
      </c>
      <c r="AA23">
        <v>6.705335297504846E-3</v>
      </c>
      <c r="AB23">
        <v>6.7782859389529651E-3</v>
      </c>
      <c r="AC23">
        <v>6.867613141796681E-3</v>
      </c>
      <c r="AD23">
        <v>6.9502041507199068E-3</v>
      </c>
    </row>
    <row r="24" spans="2:30" x14ac:dyDescent="0.25">
      <c r="B24" t="s">
        <v>133</v>
      </c>
      <c r="C24" t="s">
        <v>3256</v>
      </c>
      <c r="D24" t="s">
        <v>3953</v>
      </c>
      <c r="E24" t="s">
        <v>3954</v>
      </c>
      <c r="F24" t="s">
        <v>3955</v>
      </c>
      <c r="J24">
        <v>2</v>
      </c>
      <c r="K24">
        <v>0</v>
      </c>
      <c r="L24">
        <v>0</v>
      </c>
      <c r="M24">
        <v>0</v>
      </c>
      <c r="N24">
        <v>0</v>
      </c>
      <c r="O24">
        <v>2.9270922322949156E-3</v>
      </c>
      <c r="P24">
        <v>2.5119838491858247E-3</v>
      </c>
      <c r="Q24">
        <v>2.4906595463342115E-3</v>
      </c>
      <c r="R24">
        <v>2.4005137976983977E-3</v>
      </c>
      <c r="S24">
        <v>2.341282015705807E-3</v>
      </c>
      <c r="T24">
        <v>2.2554069400782919E-3</v>
      </c>
      <c r="U24">
        <v>2.1862333384311912E-3</v>
      </c>
      <c r="V24">
        <v>2.122291072426273E-3</v>
      </c>
      <c r="W24">
        <v>2.0730279754104836E-3</v>
      </c>
      <c r="X24">
        <v>2.0347992439866841E-3</v>
      </c>
      <c r="Y24">
        <v>2.0079945548739458E-3</v>
      </c>
      <c r="Z24">
        <v>1.9946306400523027E-3</v>
      </c>
      <c r="AA24">
        <v>1.9943886305133591E-3</v>
      </c>
      <c r="AB24">
        <v>2.0086828651606271E-3</v>
      </c>
      <c r="AC24">
        <v>2.0400658123602288E-3</v>
      </c>
      <c r="AD24">
        <v>2.0672587138663933E-3</v>
      </c>
    </row>
    <row r="25" spans="2:30" x14ac:dyDescent="0.25">
      <c r="B25" t="s">
        <v>133</v>
      </c>
      <c r="C25" t="s">
        <v>3256</v>
      </c>
      <c r="D25" t="s">
        <v>3956</v>
      </c>
      <c r="E25" t="s">
        <v>3957</v>
      </c>
      <c r="F25" t="s">
        <v>3958</v>
      </c>
      <c r="J25">
        <v>2</v>
      </c>
      <c r="K25">
        <v>0</v>
      </c>
      <c r="L25">
        <v>0</v>
      </c>
      <c r="M25">
        <v>0</v>
      </c>
      <c r="N25">
        <v>0</v>
      </c>
      <c r="O25">
        <v>1.515944219527579E-3</v>
      </c>
      <c r="P25">
        <v>1.580137252942416E-3</v>
      </c>
      <c r="Q25">
        <v>1.632443175022275E-3</v>
      </c>
      <c r="R25">
        <v>1.6895291898444205E-3</v>
      </c>
      <c r="S25">
        <v>1.7672912403759453E-3</v>
      </c>
      <c r="T25">
        <v>1.8621026225273999E-3</v>
      </c>
      <c r="U25">
        <v>1.9595347997964237E-3</v>
      </c>
      <c r="V25">
        <v>2.0577283085032611E-3</v>
      </c>
      <c r="W25">
        <v>2.1541125009100367E-3</v>
      </c>
      <c r="X25">
        <v>2.2485124754650526E-3</v>
      </c>
      <c r="Y25">
        <v>2.33991169734138E-3</v>
      </c>
      <c r="Z25">
        <v>2.4298037325462696E-3</v>
      </c>
      <c r="AA25">
        <v>2.5177045701315838E-3</v>
      </c>
      <c r="AB25">
        <v>2.6036397306914132E-3</v>
      </c>
      <c r="AC25">
        <v>2.6877358135607579E-3</v>
      </c>
      <c r="AD25">
        <v>2.7682158879171652E-3</v>
      </c>
    </row>
    <row r="26" spans="2:30" x14ac:dyDescent="0.25">
      <c r="B26" t="s">
        <v>133</v>
      </c>
      <c r="C26" t="s">
        <v>3256</v>
      </c>
      <c r="D26" t="s">
        <v>3959</v>
      </c>
      <c r="E26" t="s">
        <v>3960</v>
      </c>
      <c r="F26" t="s">
        <v>3961</v>
      </c>
      <c r="J26">
        <v>2</v>
      </c>
      <c r="K26">
        <v>0</v>
      </c>
      <c r="L26">
        <v>0</v>
      </c>
      <c r="M26">
        <v>0</v>
      </c>
      <c r="N26">
        <v>0</v>
      </c>
      <c r="O26">
        <v>5.7080737078806594E-4</v>
      </c>
      <c r="P26">
        <v>5.5370628070084706E-4</v>
      </c>
      <c r="Q26">
        <v>5.3472521235168019E-4</v>
      </c>
      <c r="R26">
        <v>5.1719762678432307E-4</v>
      </c>
      <c r="S26">
        <v>5.0105953091485027E-4</v>
      </c>
      <c r="T26">
        <v>4.8566665352439529E-4</v>
      </c>
      <c r="U26">
        <v>4.7108620867846785E-4</v>
      </c>
      <c r="V26">
        <v>4.5721944178680817E-4</v>
      </c>
      <c r="W26">
        <v>4.4407029396775446E-4</v>
      </c>
      <c r="X26">
        <v>4.31700542204821E-4</v>
      </c>
      <c r="Y26">
        <v>4.1997014001231774E-4</v>
      </c>
      <c r="Z26">
        <v>4.0920310679695064E-4</v>
      </c>
      <c r="AA26">
        <v>3.9886654116722209E-4</v>
      </c>
      <c r="AB26">
        <v>3.8893228007584011E-4</v>
      </c>
      <c r="AC26">
        <v>3.7939210148068311E-4</v>
      </c>
      <c r="AD26">
        <v>3.7022679250911148E-4</v>
      </c>
    </row>
    <row r="27" spans="2:30" x14ac:dyDescent="0.25">
      <c r="B27" t="s">
        <v>133</v>
      </c>
      <c r="C27" t="s">
        <v>3256</v>
      </c>
      <c r="D27" t="s">
        <v>3962</v>
      </c>
      <c r="E27" t="s">
        <v>3963</v>
      </c>
      <c r="F27" t="s">
        <v>3964</v>
      </c>
      <c r="J27">
        <v>2</v>
      </c>
      <c r="K27">
        <v>0</v>
      </c>
      <c r="L27">
        <v>0</v>
      </c>
      <c r="M27">
        <v>0</v>
      </c>
      <c r="N27">
        <v>0</v>
      </c>
      <c r="O27">
        <v>2.0143932940257076E-3</v>
      </c>
      <c r="P27">
        <v>2.0456101918094475E-3</v>
      </c>
      <c r="Q27">
        <v>2.0336000573070783E-3</v>
      </c>
      <c r="R27">
        <v>2.0132824686863188E-3</v>
      </c>
      <c r="S27">
        <v>1.9844910981482431E-3</v>
      </c>
      <c r="T27">
        <v>1.9540536342417206E-3</v>
      </c>
      <c r="U27">
        <v>1.9254565184217631E-3</v>
      </c>
      <c r="V27">
        <v>1.8986067780078543E-3</v>
      </c>
      <c r="W27">
        <v>1.8737439346582562E-3</v>
      </c>
      <c r="X27">
        <v>1.8515414012780713E-3</v>
      </c>
      <c r="Y27">
        <v>1.8311994842591267E-3</v>
      </c>
      <c r="Z27">
        <v>1.8123999200701565E-3</v>
      </c>
      <c r="AA27">
        <v>1.7943755556926806E-3</v>
      </c>
      <c r="AB27">
        <v>1.7770310630250839E-3</v>
      </c>
      <c r="AC27">
        <v>1.7604194143950112E-3</v>
      </c>
      <c r="AD27">
        <v>1.7445027564272359E-3</v>
      </c>
    </row>
    <row r="28" spans="2:30" x14ac:dyDescent="0.25">
      <c r="B28" t="s">
        <v>133</v>
      </c>
      <c r="C28" t="s">
        <v>3256</v>
      </c>
      <c r="D28" t="s">
        <v>3965</v>
      </c>
      <c r="E28" t="s">
        <v>3966</v>
      </c>
      <c r="F28" t="s">
        <v>3967</v>
      </c>
      <c r="G28" t="s">
        <v>3890</v>
      </c>
      <c r="H28" t="s">
        <v>3968</v>
      </c>
      <c r="I28" t="s">
        <v>3969</v>
      </c>
      <c r="J28">
        <v>1</v>
      </c>
      <c r="K28">
        <v>6.3</v>
      </c>
      <c r="L28">
        <v>6.34</v>
      </c>
      <c r="M28">
        <v>6.37</v>
      </c>
      <c r="N28">
        <v>6.41</v>
      </c>
      <c r="O28">
        <v>6.45</v>
      </c>
      <c r="P28">
        <v>6.5</v>
      </c>
      <c r="Q28">
        <v>6.55</v>
      </c>
      <c r="R28">
        <v>6.6</v>
      </c>
      <c r="S28">
        <v>6.65</v>
      </c>
      <c r="T28">
        <v>6.7</v>
      </c>
      <c r="U28">
        <v>6.74</v>
      </c>
      <c r="V28">
        <v>6.79</v>
      </c>
      <c r="W28">
        <v>6.83</v>
      </c>
      <c r="X28">
        <v>6.88</v>
      </c>
      <c r="Y28">
        <v>6.92</v>
      </c>
      <c r="Z28">
        <v>6.97</v>
      </c>
      <c r="AA28">
        <v>7.01</v>
      </c>
      <c r="AB28">
        <v>7.05</v>
      </c>
      <c r="AC28">
        <v>7.09</v>
      </c>
      <c r="AD28">
        <v>7.14</v>
      </c>
    </row>
    <row r="29" spans="2:30" x14ac:dyDescent="0.25">
      <c r="B29" t="s">
        <v>133</v>
      </c>
      <c r="C29" t="s">
        <v>3256</v>
      </c>
      <c r="D29" t="s">
        <v>3970</v>
      </c>
      <c r="E29" t="s">
        <v>3971</v>
      </c>
      <c r="F29" t="s">
        <v>3972</v>
      </c>
      <c r="G29" t="s">
        <v>3890</v>
      </c>
      <c r="H29" t="s">
        <v>3917</v>
      </c>
      <c r="I29" t="s">
        <v>3938</v>
      </c>
      <c r="J29">
        <v>1</v>
      </c>
      <c r="K29">
        <v>546.97091999999998</v>
      </c>
      <c r="L29">
        <v>567.53857000000005</v>
      </c>
      <c r="M29">
        <v>581.15269000000001</v>
      </c>
      <c r="N29">
        <v>606.67916000000002</v>
      </c>
      <c r="O29">
        <v>632.40057999999999</v>
      </c>
      <c r="P29">
        <v>662.94057999999995</v>
      </c>
      <c r="Q29">
        <v>699.63643999999999</v>
      </c>
      <c r="R29">
        <v>736.20367999999996</v>
      </c>
      <c r="S29">
        <v>771.84974999999997</v>
      </c>
      <c r="T29">
        <v>808.8116</v>
      </c>
      <c r="U29">
        <v>847.11364000000003</v>
      </c>
      <c r="V29">
        <v>886.77935000000002</v>
      </c>
      <c r="W29">
        <v>927.83114</v>
      </c>
      <c r="X29">
        <v>970.29029000000003</v>
      </c>
      <c r="Y29">
        <v>1014.17682</v>
      </c>
      <c r="Z29">
        <v>1059.5094099999999</v>
      </c>
      <c r="AA29">
        <v>1106.30528</v>
      </c>
      <c r="AB29">
        <v>1154.5800999999999</v>
      </c>
      <c r="AC29">
        <v>1204.3479</v>
      </c>
      <c r="AD29">
        <v>1255.6209100000001</v>
      </c>
    </row>
    <row r="30" spans="2:30" x14ac:dyDescent="0.25">
      <c r="B30" t="s">
        <v>133</v>
      </c>
      <c r="C30" t="s">
        <v>3256</v>
      </c>
      <c r="D30" t="s">
        <v>3973</v>
      </c>
      <c r="E30" t="s">
        <v>3974</v>
      </c>
      <c r="F30" t="s">
        <v>3975</v>
      </c>
      <c r="G30" t="s">
        <v>3890</v>
      </c>
      <c r="H30" t="s">
        <v>3917</v>
      </c>
      <c r="I30" t="s">
        <v>3938</v>
      </c>
      <c r="J30">
        <v>2</v>
      </c>
      <c r="K30">
        <v>546.97091999999998</v>
      </c>
      <c r="L30">
        <v>567.53857000000005</v>
      </c>
      <c r="M30">
        <v>581.15269000000001</v>
      </c>
      <c r="N30">
        <v>606.67916000000002</v>
      </c>
      <c r="O30">
        <v>632.40063999999995</v>
      </c>
      <c r="P30">
        <v>663.30583000000001</v>
      </c>
      <c r="Q30">
        <v>699.12176999999997</v>
      </c>
      <c r="R30">
        <v>735.89129000000003</v>
      </c>
      <c r="S30">
        <v>771.11883</v>
      </c>
      <c r="T30">
        <v>808.62014999999997</v>
      </c>
      <c r="U30">
        <v>847.83186999999998</v>
      </c>
      <c r="V30">
        <v>888.25230999999997</v>
      </c>
      <c r="W30">
        <v>930.31798000000003</v>
      </c>
      <c r="X30">
        <v>974.40350000000001</v>
      </c>
      <c r="Y30">
        <v>1019.52414</v>
      </c>
      <c r="Z30">
        <v>1065.96389</v>
      </c>
      <c r="AA30">
        <v>1113.3314700000001</v>
      </c>
      <c r="AB30">
        <v>1162.1247100000001</v>
      </c>
      <c r="AC30">
        <v>1212.49272</v>
      </c>
      <c r="AD30">
        <v>1264.37114</v>
      </c>
    </row>
    <row r="31" spans="2:30" x14ac:dyDescent="0.25">
      <c r="B31" t="s">
        <v>133</v>
      </c>
      <c r="C31" t="s">
        <v>3256</v>
      </c>
      <c r="D31" t="s">
        <v>3976</v>
      </c>
      <c r="E31" t="s">
        <v>3977</v>
      </c>
      <c r="F31" t="s">
        <v>3978</v>
      </c>
      <c r="G31" t="s">
        <v>3890</v>
      </c>
      <c r="H31" t="s">
        <v>3979</v>
      </c>
      <c r="I31" t="s">
        <v>3980</v>
      </c>
      <c r="J31">
        <v>1</v>
      </c>
      <c r="K31">
        <v>103.6</v>
      </c>
      <c r="L31">
        <v>105.2</v>
      </c>
      <c r="M31">
        <v>106.6</v>
      </c>
      <c r="N31">
        <v>107.9</v>
      </c>
      <c r="O31">
        <v>110.05800000000001</v>
      </c>
      <c r="P31">
        <v>112.25915999999999</v>
      </c>
      <c r="Q31">
        <v>114.50434300000001</v>
      </c>
      <c r="R31">
        <v>116.79443000000001</v>
      </c>
      <c r="S31">
        <v>120.29826300000001</v>
      </c>
      <c r="T31">
        <v>125.110193</v>
      </c>
      <c r="U31">
        <v>130.11460017919998</v>
      </c>
      <c r="V31">
        <v>135.31918362393597</v>
      </c>
      <c r="W31">
        <v>140.73195038396412</v>
      </c>
      <c r="X31">
        <v>146.36122779099622</v>
      </c>
      <c r="Y31">
        <v>152.21567626997654</v>
      </c>
      <c r="Z31">
        <v>158.3043026628097</v>
      </c>
      <c r="AA31">
        <v>164.63647408503755</v>
      </c>
      <c r="AB31">
        <v>171.22193233678314</v>
      </c>
      <c r="AC31">
        <v>178.07080889013233</v>
      </c>
      <c r="AD31">
        <v>185.19364047601059</v>
      </c>
    </row>
    <row r="32" spans="2:30" x14ac:dyDescent="0.25">
      <c r="B32" t="s">
        <v>133</v>
      </c>
      <c r="C32" t="s">
        <v>3256</v>
      </c>
      <c r="D32" t="s">
        <v>3981</v>
      </c>
      <c r="E32" t="s">
        <v>3982</v>
      </c>
      <c r="F32" t="s">
        <v>3983</v>
      </c>
      <c r="G32" t="s">
        <v>3890</v>
      </c>
      <c r="H32" t="s">
        <v>3984</v>
      </c>
      <c r="I32" t="s">
        <v>3985</v>
      </c>
      <c r="J32">
        <v>1</v>
      </c>
      <c r="K32">
        <v>400.91199999999998</v>
      </c>
      <c r="L32">
        <v>412.10500000000002</v>
      </c>
      <c r="M32">
        <v>450.92399999999998</v>
      </c>
      <c r="N32">
        <v>467.51499999999999</v>
      </c>
      <c r="O32">
        <v>473.64800000000002</v>
      </c>
      <c r="P32">
        <v>484.76299999999998</v>
      </c>
      <c r="Q32">
        <v>501.10399999999998</v>
      </c>
      <c r="R32">
        <v>518.13900000000001</v>
      </c>
      <c r="S32">
        <v>535.62300000000005</v>
      </c>
      <c r="T32">
        <v>555.04300000000001</v>
      </c>
      <c r="U32">
        <v>576.99900000000002</v>
      </c>
      <c r="V32">
        <v>601.28700000000003</v>
      </c>
      <c r="W32">
        <v>626.83100000000002</v>
      </c>
      <c r="X32">
        <v>653.74699999999996</v>
      </c>
      <c r="Y32">
        <v>682.01</v>
      </c>
      <c r="Z32">
        <v>711.827</v>
      </c>
      <c r="AA32">
        <v>743.30399999999997</v>
      </c>
      <c r="AB32">
        <v>776.60500000000002</v>
      </c>
      <c r="AC32">
        <v>811.92499999999995</v>
      </c>
      <c r="AD32">
        <v>848.15700000000004</v>
      </c>
    </row>
    <row r="33" spans="2:30" x14ac:dyDescent="0.25">
      <c r="B33" t="s">
        <v>133</v>
      </c>
      <c r="C33" t="s">
        <v>3256</v>
      </c>
      <c r="D33" t="s">
        <v>3387</v>
      </c>
      <c r="E33" t="s">
        <v>3388</v>
      </c>
      <c r="F33" t="s">
        <v>3986</v>
      </c>
      <c r="G33" t="s">
        <v>3890</v>
      </c>
      <c r="H33" t="s">
        <v>3984</v>
      </c>
      <c r="I33" t="s">
        <v>3985</v>
      </c>
      <c r="J33">
        <v>1</v>
      </c>
      <c r="K33">
        <v>400.91199999999998</v>
      </c>
      <c r="L33">
        <v>412.10500000000002</v>
      </c>
      <c r="M33">
        <v>450.92399999999998</v>
      </c>
      <c r="N33">
        <v>467.51499999999999</v>
      </c>
      <c r="O33">
        <v>473.64800000000002</v>
      </c>
      <c r="P33">
        <v>484.76299999999998</v>
      </c>
      <c r="Q33">
        <v>501.10399999999998</v>
      </c>
      <c r="R33">
        <v>518.13900000000001</v>
      </c>
      <c r="S33">
        <v>535.62300000000005</v>
      </c>
      <c r="T33">
        <v>555.04300000000001</v>
      </c>
      <c r="U33">
        <v>576.99900000000002</v>
      </c>
      <c r="V33">
        <v>601.28700000000003</v>
      </c>
      <c r="W33">
        <v>626.83100000000002</v>
      </c>
      <c r="X33" s="169">
        <v>653.74699999999996</v>
      </c>
      <c r="Y33" s="169">
        <v>682.01</v>
      </c>
      <c r="Z33" s="169">
        <v>711.827</v>
      </c>
      <c r="AA33" s="169">
        <v>743.30399999999997</v>
      </c>
      <c r="AB33" s="169">
        <v>776.60500000000002</v>
      </c>
      <c r="AC33" s="169">
        <v>811.92499999999995</v>
      </c>
      <c r="AD33" s="169">
        <v>848.15700000000004</v>
      </c>
    </row>
    <row r="34" spans="2:30" x14ac:dyDescent="0.25">
      <c r="B34" t="s">
        <v>133</v>
      </c>
      <c r="C34" t="s">
        <v>3256</v>
      </c>
      <c r="D34" t="s">
        <v>3987</v>
      </c>
      <c r="E34" t="s">
        <v>3988</v>
      </c>
      <c r="F34" t="s">
        <v>3989</v>
      </c>
      <c r="G34" t="s">
        <v>3890</v>
      </c>
      <c r="H34" t="s">
        <v>3984</v>
      </c>
      <c r="I34" t="s">
        <v>3985</v>
      </c>
      <c r="J34">
        <v>1</v>
      </c>
      <c r="K34">
        <v>213.93899999999999</v>
      </c>
      <c r="L34">
        <v>210.13300000000001</v>
      </c>
      <c r="M34">
        <v>236.548</v>
      </c>
      <c r="N34">
        <v>245.53200000000001</v>
      </c>
      <c r="O34">
        <v>247.51599999999999</v>
      </c>
      <c r="P34">
        <v>253.84700000000001</v>
      </c>
      <c r="Q34">
        <v>264.06900000000002</v>
      </c>
      <c r="R34">
        <v>274.96899999999999</v>
      </c>
      <c r="S34">
        <v>286.428</v>
      </c>
      <c r="T34">
        <v>299.23</v>
      </c>
      <c r="U34">
        <v>312.89699999999999</v>
      </c>
      <c r="V34">
        <v>327.613</v>
      </c>
      <c r="W34">
        <v>343.27600000000001</v>
      </c>
      <c r="X34" s="169">
        <v>359.99200000000002</v>
      </c>
      <c r="Y34" s="169">
        <v>377.72500000000002</v>
      </c>
      <c r="Z34" s="169">
        <v>396.67399999999998</v>
      </c>
      <c r="AA34" s="169">
        <v>416.93299999999999</v>
      </c>
      <c r="AB34" s="169">
        <v>438.654</v>
      </c>
      <c r="AC34" s="169">
        <v>462.02199999999999</v>
      </c>
      <c r="AD34" s="169">
        <v>485.91800000000001</v>
      </c>
    </row>
    <row r="35" spans="2:30" x14ac:dyDescent="0.25">
      <c r="B35" t="s">
        <v>133</v>
      </c>
      <c r="C35" t="s">
        <v>3256</v>
      </c>
      <c r="D35" t="s">
        <v>3375</v>
      </c>
      <c r="E35" t="s">
        <v>3376</v>
      </c>
      <c r="F35" t="s">
        <v>3990</v>
      </c>
      <c r="G35" t="s">
        <v>3890</v>
      </c>
      <c r="H35" t="s">
        <v>3984</v>
      </c>
      <c r="I35" t="s">
        <v>3985</v>
      </c>
      <c r="J35">
        <v>1</v>
      </c>
      <c r="K35">
        <v>52.2</v>
      </c>
      <c r="L35">
        <v>56.902999999999999</v>
      </c>
      <c r="M35">
        <v>67.058999999999997</v>
      </c>
      <c r="N35">
        <v>72.5</v>
      </c>
      <c r="O35">
        <v>74.569000000000003</v>
      </c>
      <c r="P35">
        <v>76.989999999999995</v>
      </c>
      <c r="Q35">
        <v>79.929000000000002</v>
      </c>
      <c r="R35">
        <v>82.77</v>
      </c>
      <c r="S35">
        <v>85.453999999999994</v>
      </c>
      <c r="T35">
        <v>88.177000000000007</v>
      </c>
      <c r="U35">
        <v>90.929000000000002</v>
      </c>
      <c r="V35">
        <v>93.73</v>
      </c>
      <c r="W35">
        <v>96.58</v>
      </c>
      <c r="X35">
        <v>99.477999999999994</v>
      </c>
      <c r="Y35">
        <v>102.42400000000001</v>
      </c>
      <c r="Z35">
        <v>105.41800000000001</v>
      </c>
      <c r="AA35">
        <v>108.459</v>
      </c>
      <c r="AB35">
        <v>111.547</v>
      </c>
      <c r="AC35">
        <v>114.681</v>
      </c>
      <c r="AD35">
        <v>117.86</v>
      </c>
    </row>
    <row r="36" spans="2:30" x14ac:dyDescent="0.25">
      <c r="B36" t="s">
        <v>133</v>
      </c>
      <c r="C36" t="s">
        <v>3256</v>
      </c>
      <c r="D36" t="s">
        <v>3991</v>
      </c>
      <c r="E36" t="s">
        <v>3992</v>
      </c>
      <c r="F36" t="s">
        <v>3993</v>
      </c>
      <c r="G36" t="s">
        <v>3890</v>
      </c>
      <c r="H36" t="s">
        <v>3984</v>
      </c>
      <c r="I36" t="s">
        <v>3985</v>
      </c>
      <c r="J36">
        <v>1</v>
      </c>
      <c r="K36">
        <v>41.563000000000002</v>
      </c>
      <c r="L36">
        <v>43.505000000000003</v>
      </c>
      <c r="M36">
        <v>44.234000000000002</v>
      </c>
      <c r="N36">
        <v>44.884999999999998</v>
      </c>
      <c r="O36">
        <v>45.613999999999997</v>
      </c>
      <c r="P36">
        <v>46.396000000000001</v>
      </c>
      <c r="Q36">
        <v>47.423999999999999</v>
      </c>
      <c r="R36">
        <v>48.524000000000001</v>
      </c>
      <c r="S36">
        <v>49.628</v>
      </c>
      <c r="T36">
        <v>50.838000000000001</v>
      </c>
      <c r="U36">
        <v>52.454999999999998</v>
      </c>
      <c r="V36">
        <v>54.396999999999998</v>
      </c>
      <c r="W36">
        <v>56.406999999999996</v>
      </c>
      <c r="X36">
        <v>58.485999999999997</v>
      </c>
      <c r="Y36">
        <v>60.637999999999998</v>
      </c>
      <c r="Z36">
        <v>62.863999999999997</v>
      </c>
      <c r="AA36">
        <v>65.165999999999997</v>
      </c>
      <c r="AB36">
        <v>67.548000000000002</v>
      </c>
      <c r="AC36">
        <v>70.012</v>
      </c>
      <c r="AD36">
        <v>72.56</v>
      </c>
    </row>
    <row r="37" spans="2:30" x14ac:dyDescent="0.25">
      <c r="B37" t="s">
        <v>133</v>
      </c>
      <c r="C37" t="s">
        <v>3256</v>
      </c>
      <c r="D37" t="s">
        <v>3994</v>
      </c>
      <c r="E37" t="s">
        <v>3995</v>
      </c>
      <c r="F37" t="s">
        <v>3996</v>
      </c>
      <c r="G37" t="s">
        <v>3890</v>
      </c>
      <c r="H37" t="s">
        <v>3984</v>
      </c>
      <c r="I37" t="s">
        <v>3985</v>
      </c>
      <c r="J37">
        <v>1</v>
      </c>
      <c r="K37">
        <v>93.209000000000003</v>
      </c>
      <c r="L37">
        <v>101.56399999999999</v>
      </c>
      <c r="M37">
        <v>103.083</v>
      </c>
      <c r="N37">
        <v>104.59699999999999</v>
      </c>
      <c r="O37">
        <v>105.94799999999999</v>
      </c>
      <c r="P37">
        <v>107.53100000000001</v>
      </c>
      <c r="Q37">
        <v>109.682</v>
      </c>
      <c r="R37">
        <v>111.875</v>
      </c>
      <c r="S37">
        <v>114.113</v>
      </c>
      <c r="T37">
        <v>116.798</v>
      </c>
      <c r="U37">
        <v>120.718</v>
      </c>
      <c r="V37">
        <v>125.54600000000001</v>
      </c>
      <c r="W37">
        <v>130.56800000000001</v>
      </c>
      <c r="X37">
        <v>135.791</v>
      </c>
      <c r="Y37">
        <v>141.22300000000001</v>
      </c>
      <c r="Z37">
        <v>146.87200000000001</v>
      </c>
      <c r="AA37">
        <v>152.74600000000001</v>
      </c>
      <c r="AB37">
        <v>158.85599999999999</v>
      </c>
      <c r="AC37">
        <v>165.21</v>
      </c>
      <c r="AD37">
        <v>171.81899999999999</v>
      </c>
    </row>
    <row r="38" spans="2:30" x14ac:dyDescent="0.25">
      <c r="B38" t="s">
        <v>133</v>
      </c>
      <c r="C38" t="s">
        <v>3256</v>
      </c>
      <c r="D38" t="s">
        <v>3997</v>
      </c>
      <c r="E38" t="s">
        <v>3998</v>
      </c>
      <c r="F38" t="s">
        <v>3999</v>
      </c>
      <c r="G38" t="s">
        <v>3890</v>
      </c>
      <c r="H38" t="s">
        <v>3984</v>
      </c>
      <c r="I38" t="s">
        <v>3985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2:30" x14ac:dyDescent="0.25">
      <c r="B39" t="s">
        <v>133</v>
      </c>
      <c r="C39" t="s">
        <v>3256</v>
      </c>
      <c r="D39" t="s">
        <v>4000</v>
      </c>
      <c r="E39" t="s">
        <v>3341</v>
      </c>
      <c r="F39" t="s">
        <v>4001</v>
      </c>
      <c r="G39" t="s">
        <v>3890</v>
      </c>
      <c r="H39" t="s">
        <v>3984</v>
      </c>
      <c r="I39" t="s">
        <v>4002</v>
      </c>
      <c r="J39">
        <v>1</v>
      </c>
      <c r="K39">
        <v>307.637</v>
      </c>
      <c r="L39">
        <v>315.625</v>
      </c>
      <c r="M39">
        <v>350.60500000000002</v>
      </c>
      <c r="N39">
        <v>364.72300000000001</v>
      </c>
      <c r="O39">
        <v>369.17599999999999</v>
      </c>
      <c r="P39">
        <v>378.15499999999997</v>
      </c>
      <c r="Q39">
        <v>391.94499999999999</v>
      </c>
      <c r="R39">
        <v>406.36399999999998</v>
      </c>
      <c r="S39">
        <v>421.24599999999998</v>
      </c>
      <c r="T39">
        <v>437.51900000000001</v>
      </c>
      <c r="U39">
        <v>455.45699999999999</v>
      </c>
      <c r="V39">
        <v>475.30500000000001</v>
      </c>
      <c r="W39">
        <v>496.25400000000002</v>
      </c>
      <c r="X39">
        <v>518.41399999999999</v>
      </c>
      <c r="Y39">
        <v>541.75400000000002</v>
      </c>
      <c r="Z39">
        <v>566.47799999999995</v>
      </c>
      <c r="AA39">
        <v>592.68200000000002</v>
      </c>
      <c r="AB39">
        <v>620.52499999999998</v>
      </c>
      <c r="AC39">
        <v>650.19399999999996</v>
      </c>
      <c r="AD39">
        <v>680.58399999999995</v>
      </c>
    </row>
    <row r="40" spans="2:30" x14ac:dyDescent="0.25">
      <c r="B40" t="s">
        <v>133</v>
      </c>
      <c r="C40" t="s">
        <v>3256</v>
      </c>
      <c r="D40" t="s">
        <v>3292</v>
      </c>
      <c r="E40" t="s">
        <v>3293</v>
      </c>
      <c r="F40" t="s">
        <v>4003</v>
      </c>
      <c r="G40" t="s">
        <v>3890</v>
      </c>
      <c r="H40" t="s">
        <v>3984</v>
      </c>
      <c r="I40" t="s">
        <v>4002</v>
      </c>
      <c r="J40">
        <v>1</v>
      </c>
      <c r="K40">
        <v>210.916</v>
      </c>
      <c r="L40">
        <v>207.072</v>
      </c>
      <c r="M40">
        <v>233.316</v>
      </c>
      <c r="N40">
        <v>242.24799999999999</v>
      </c>
      <c r="O40">
        <v>244.22</v>
      </c>
      <c r="P40">
        <v>250.51400000000001</v>
      </c>
      <c r="Q40">
        <v>260.67700000000002</v>
      </c>
      <c r="R40">
        <v>271.51400000000001</v>
      </c>
      <c r="S40">
        <v>282.90699999999998</v>
      </c>
      <c r="T40">
        <v>295.63499999999999</v>
      </c>
      <c r="U40">
        <v>309.23700000000002</v>
      </c>
      <c r="V40">
        <v>323.88299999999998</v>
      </c>
      <c r="W40">
        <v>339.46899999999999</v>
      </c>
      <c r="X40">
        <v>356.10300000000001</v>
      </c>
      <c r="Y40">
        <v>373.74799999999999</v>
      </c>
      <c r="Z40">
        <v>392.60300000000001</v>
      </c>
      <c r="AA40">
        <v>412.76</v>
      </c>
      <c r="AB40">
        <v>434.37099999999998</v>
      </c>
      <c r="AC40">
        <v>457.61900000000003</v>
      </c>
      <c r="AD40">
        <v>481.39299999999997</v>
      </c>
    </row>
    <row r="41" spans="2:30" x14ac:dyDescent="0.25">
      <c r="B41" t="s">
        <v>133</v>
      </c>
      <c r="C41" t="s">
        <v>3256</v>
      </c>
      <c r="D41" t="s">
        <v>4004</v>
      </c>
      <c r="E41" t="s">
        <v>4005</v>
      </c>
      <c r="F41" t="s">
        <v>4006</v>
      </c>
      <c r="G41" t="s">
        <v>3890</v>
      </c>
      <c r="H41" t="s">
        <v>3984</v>
      </c>
      <c r="I41" t="s">
        <v>4002</v>
      </c>
      <c r="J41">
        <v>1</v>
      </c>
      <c r="K41">
        <v>6.7770000000000001</v>
      </c>
      <c r="L41">
        <v>6.3419999999999996</v>
      </c>
      <c r="M41">
        <v>7.54</v>
      </c>
      <c r="N41">
        <v>8.1080000000000005</v>
      </c>
      <c r="O41">
        <v>8.2379999999999995</v>
      </c>
      <c r="P41">
        <v>8.3670000000000009</v>
      </c>
      <c r="Q41">
        <v>8.5820000000000007</v>
      </c>
      <c r="R41">
        <v>8.7880000000000003</v>
      </c>
      <c r="S41">
        <v>8.9830000000000005</v>
      </c>
      <c r="T41">
        <v>9.1769999999999996</v>
      </c>
      <c r="U41">
        <v>9.3510000000000009</v>
      </c>
      <c r="V41">
        <v>9.5250000000000004</v>
      </c>
      <c r="W41">
        <v>9.6999999999999993</v>
      </c>
      <c r="X41">
        <v>9.875</v>
      </c>
      <c r="Y41">
        <v>10.050000000000001</v>
      </c>
      <c r="Z41">
        <v>10.225</v>
      </c>
      <c r="AA41">
        <v>10.401</v>
      </c>
      <c r="AB41">
        <v>10.576000000000001</v>
      </c>
      <c r="AC41">
        <v>10.752000000000001</v>
      </c>
      <c r="AD41">
        <v>10.928000000000001</v>
      </c>
    </row>
    <row r="42" spans="2:30" x14ac:dyDescent="0.25">
      <c r="B42" t="s">
        <v>133</v>
      </c>
      <c r="C42" t="s">
        <v>3256</v>
      </c>
      <c r="D42" t="s">
        <v>4007</v>
      </c>
      <c r="E42" t="s">
        <v>4008</v>
      </c>
      <c r="F42" t="s">
        <v>4009</v>
      </c>
      <c r="G42" t="s">
        <v>3890</v>
      </c>
      <c r="H42" t="s">
        <v>3984</v>
      </c>
      <c r="I42" t="s">
        <v>4002</v>
      </c>
      <c r="J42">
        <v>1</v>
      </c>
      <c r="K42">
        <v>98.35</v>
      </c>
      <c r="L42">
        <v>91.561000000000007</v>
      </c>
      <c r="M42">
        <v>108.026</v>
      </c>
      <c r="N42">
        <v>110.483</v>
      </c>
      <c r="O42">
        <v>109.17700000000001</v>
      </c>
      <c r="P42">
        <v>109.47</v>
      </c>
      <c r="Q42">
        <v>112.87</v>
      </c>
      <c r="R42">
        <v>116.583</v>
      </c>
      <c r="S42">
        <v>119.92400000000001</v>
      </c>
      <c r="T42">
        <v>123.384</v>
      </c>
      <c r="U42">
        <v>127.047</v>
      </c>
      <c r="V42">
        <v>131.107</v>
      </c>
      <c r="W42">
        <v>135.553</v>
      </c>
      <c r="X42">
        <v>140.499</v>
      </c>
      <c r="Y42">
        <v>145.958</v>
      </c>
      <c r="Z42">
        <v>152.05799999999999</v>
      </c>
      <c r="AA42">
        <v>158.898</v>
      </c>
      <c r="AB42">
        <v>166.62200000000001</v>
      </c>
      <c r="AC42">
        <v>175.40100000000001</v>
      </c>
      <c r="AD42">
        <v>184.23699999999999</v>
      </c>
    </row>
    <row r="43" spans="2:30" x14ac:dyDescent="0.25">
      <c r="B43" t="s">
        <v>133</v>
      </c>
      <c r="C43" t="s">
        <v>3256</v>
      </c>
      <c r="D43" t="s">
        <v>4010</v>
      </c>
      <c r="E43" t="s">
        <v>4011</v>
      </c>
      <c r="F43" t="s">
        <v>4012</v>
      </c>
      <c r="G43" t="s">
        <v>3890</v>
      </c>
      <c r="H43" t="s">
        <v>3984</v>
      </c>
      <c r="I43" t="s">
        <v>4002</v>
      </c>
      <c r="J43">
        <v>1</v>
      </c>
      <c r="K43">
        <v>24.14</v>
      </c>
      <c r="L43">
        <v>23.181999999999999</v>
      </c>
      <c r="M43">
        <v>24.550999999999998</v>
      </c>
      <c r="N43">
        <v>31.274000000000001</v>
      </c>
      <c r="O43">
        <v>31.376000000000001</v>
      </c>
      <c r="P43">
        <v>31.510999999999999</v>
      </c>
      <c r="Q43">
        <v>31.709</v>
      </c>
      <c r="R43">
        <v>31.913</v>
      </c>
      <c r="S43">
        <v>32.106999999999999</v>
      </c>
      <c r="T43">
        <v>32.320999999999998</v>
      </c>
      <c r="U43">
        <v>32.558</v>
      </c>
      <c r="V43">
        <v>32.817999999999998</v>
      </c>
      <c r="W43">
        <v>33.103000000000002</v>
      </c>
      <c r="X43">
        <v>33.414000000000001</v>
      </c>
      <c r="Y43">
        <v>33.753</v>
      </c>
      <c r="Z43">
        <v>34.119</v>
      </c>
      <c r="AA43">
        <v>34.515000000000001</v>
      </c>
      <c r="AB43">
        <v>34.942</v>
      </c>
      <c r="AC43">
        <v>35.401000000000003</v>
      </c>
      <c r="AD43">
        <v>35.893000000000001</v>
      </c>
    </row>
    <row r="44" spans="2:30" x14ac:dyDescent="0.25">
      <c r="B44" t="s">
        <v>133</v>
      </c>
      <c r="C44" t="s">
        <v>3256</v>
      </c>
      <c r="D44" t="s">
        <v>4013</v>
      </c>
      <c r="E44" t="s">
        <v>4014</v>
      </c>
      <c r="F44" t="s">
        <v>4015</v>
      </c>
      <c r="G44" t="s">
        <v>3890</v>
      </c>
      <c r="H44" t="s">
        <v>3984</v>
      </c>
      <c r="I44" t="s">
        <v>4002</v>
      </c>
      <c r="J44">
        <v>1</v>
      </c>
      <c r="K44">
        <v>20.114000000000001</v>
      </c>
      <c r="L44">
        <v>19.417999999999999</v>
      </c>
      <c r="M44">
        <v>19.018999999999998</v>
      </c>
      <c r="N44">
        <v>18.347000000000001</v>
      </c>
      <c r="O44">
        <v>18.707999999999998</v>
      </c>
      <c r="P44">
        <v>20.507000000000001</v>
      </c>
      <c r="Q44">
        <v>22.451000000000001</v>
      </c>
      <c r="R44">
        <v>24.555</v>
      </c>
      <c r="S44">
        <v>27.065000000000001</v>
      </c>
      <c r="T44">
        <v>30.032</v>
      </c>
      <c r="U44">
        <v>33.237000000000002</v>
      </c>
      <c r="V44">
        <v>36.664000000000001</v>
      </c>
      <c r="W44">
        <v>40.293999999999997</v>
      </c>
      <c r="X44">
        <v>44.106999999999999</v>
      </c>
      <c r="Y44">
        <v>48.079000000000001</v>
      </c>
      <c r="Z44">
        <v>52.244</v>
      </c>
      <c r="AA44">
        <v>56.597000000000001</v>
      </c>
      <c r="AB44">
        <v>61.13</v>
      </c>
      <c r="AC44">
        <v>65.838999999999999</v>
      </c>
      <c r="AD44">
        <v>70.632999999999996</v>
      </c>
    </row>
    <row r="45" spans="2:30" x14ac:dyDescent="0.25">
      <c r="B45" t="s">
        <v>133</v>
      </c>
      <c r="C45" t="s">
        <v>3256</v>
      </c>
      <c r="D45" t="s">
        <v>4016</v>
      </c>
      <c r="E45" t="s">
        <v>4017</v>
      </c>
      <c r="F45" t="s">
        <v>4018</v>
      </c>
      <c r="G45" t="s">
        <v>3890</v>
      </c>
      <c r="H45" t="s">
        <v>3984</v>
      </c>
      <c r="I45" t="s">
        <v>4002</v>
      </c>
      <c r="J45">
        <v>1</v>
      </c>
      <c r="K45">
        <v>44.502000000000002</v>
      </c>
      <c r="L45">
        <v>47.332999999999998</v>
      </c>
      <c r="M45">
        <v>51.197000000000003</v>
      </c>
      <c r="N45">
        <v>50.457000000000001</v>
      </c>
      <c r="O45">
        <v>52.56</v>
      </c>
      <c r="P45">
        <v>55.807000000000002</v>
      </c>
      <c r="Q45">
        <v>59.393999999999998</v>
      </c>
      <c r="R45">
        <v>63.215000000000003</v>
      </c>
      <c r="S45">
        <v>67.629000000000005</v>
      </c>
      <c r="T45">
        <v>72.774000000000001</v>
      </c>
      <c r="U45">
        <v>78.337999999999994</v>
      </c>
      <c r="V45">
        <v>84.293000000000006</v>
      </c>
      <c r="W45">
        <v>90.563000000000002</v>
      </c>
      <c r="X45">
        <v>97.16</v>
      </c>
      <c r="Y45">
        <v>104.06</v>
      </c>
      <c r="Z45">
        <v>111.29600000000001</v>
      </c>
      <c r="AA45">
        <v>118.867</v>
      </c>
      <c r="AB45">
        <v>126.78700000000001</v>
      </c>
      <c r="AC45">
        <v>135.071</v>
      </c>
      <c r="AD45">
        <v>143.696</v>
      </c>
    </row>
    <row r="46" spans="2:30" x14ac:dyDescent="0.25">
      <c r="B46" t="s">
        <v>133</v>
      </c>
      <c r="C46" t="s">
        <v>3256</v>
      </c>
      <c r="D46" t="s">
        <v>4019</v>
      </c>
      <c r="E46" t="s">
        <v>4020</v>
      </c>
      <c r="F46" t="s">
        <v>4021</v>
      </c>
      <c r="G46" t="s">
        <v>3890</v>
      </c>
      <c r="H46" t="s">
        <v>3984</v>
      </c>
      <c r="I46" t="s">
        <v>4002</v>
      </c>
      <c r="J46">
        <v>1</v>
      </c>
      <c r="K46">
        <v>15.176</v>
      </c>
      <c r="L46">
        <v>17.062999999999999</v>
      </c>
      <c r="M46">
        <v>20.57</v>
      </c>
      <c r="N46">
        <v>21.077999999999999</v>
      </c>
      <c r="O46">
        <v>21.573</v>
      </c>
      <c r="P46">
        <v>22.155999999999999</v>
      </c>
      <c r="Q46">
        <v>22.846</v>
      </c>
      <c r="R46">
        <v>23.507000000000001</v>
      </c>
      <c r="S46">
        <v>24.126000000000001</v>
      </c>
      <c r="T46">
        <v>24.75</v>
      </c>
      <c r="U46">
        <v>25.381</v>
      </c>
      <c r="V46">
        <v>26.02</v>
      </c>
      <c r="W46">
        <v>26.666</v>
      </c>
      <c r="X46">
        <v>27.32</v>
      </c>
      <c r="Y46">
        <v>27.98</v>
      </c>
      <c r="Z46">
        <v>28.646999999999998</v>
      </c>
      <c r="AA46">
        <v>29.321000000000002</v>
      </c>
      <c r="AB46">
        <v>30.001000000000001</v>
      </c>
      <c r="AC46">
        <v>30.687999999999999</v>
      </c>
      <c r="AD46">
        <v>31.381</v>
      </c>
    </row>
    <row r="47" spans="2:30" x14ac:dyDescent="0.25">
      <c r="B47" t="s">
        <v>133</v>
      </c>
      <c r="C47" t="s">
        <v>3256</v>
      </c>
      <c r="D47" t="s">
        <v>4022</v>
      </c>
      <c r="E47" t="s">
        <v>4023</v>
      </c>
      <c r="F47" t="s">
        <v>4024</v>
      </c>
      <c r="G47" t="s">
        <v>3890</v>
      </c>
      <c r="H47" t="s">
        <v>3984</v>
      </c>
      <c r="I47" t="s">
        <v>4002</v>
      </c>
      <c r="J47">
        <v>1</v>
      </c>
      <c r="K47">
        <v>1.855</v>
      </c>
      <c r="L47">
        <v>2.1720000000000002</v>
      </c>
      <c r="M47">
        <v>2.4140000000000001</v>
      </c>
      <c r="N47">
        <v>2.5019999999999998</v>
      </c>
      <c r="O47">
        <v>2.59</v>
      </c>
      <c r="P47">
        <v>2.6960000000000002</v>
      </c>
      <c r="Q47">
        <v>2.8250000000000002</v>
      </c>
      <c r="R47">
        <v>2.9510000000000001</v>
      </c>
      <c r="S47">
        <v>3.0720000000000001</v>
      </c>
      <c r="T47">
        <v>3.1970000000000001</v>
      </c>
      <c r="U47">
        <v>3.3250000000000002</v>
      </c>
      <c r="V47">
        <v>3.456</v>
      </c>
      <c r="W47">
        <v>3.59</v>
      </c>
      <c r="X47">
        <v>3.7280000000000002</v>
      </c>
      <c r="Y47">
        <v>3.8690000000000002</v>
      </c>
      <c r="Z47">
        <v>4.0140000000000002</v>
      </c>
      <c r="AA47">
        <v>4.1619999999999999</v>
      </c>
      <c r="AB47">
        <v>4.3129999999999997</v>
      </c>
      <c r="AC47">
        <v>4.4669999999999996</v>
      </c>
      <c r="AD47">
        <v>4.625</v>
      </c>
    </row>
    <row r="48" spans="2:30" x14ac:dyDescent="0.25">
      <c r="B48" t="s">
        <v>133</v>
      </c>
      <c r="C48" t="s">
        <v>3256</v>
      </c>
      <c r="D48" t="s">
        <v>3316</v>
      </c>
      <c r="E48" t="s">
        <v>3317</v>
      </c>
      <c r="F48" t="s">
        <v>4025</v>
      </c>
      <c r="G48" t="s">
        <v>3890</v>
      </c>
      <c r="H48" t="s">
        <v>3984</v>
      </c>
      <c r="I48" t="s">
        <v>4002</v>
      </c>
      <c r="J48">
        <v>1</v>
      </c>
      <c r="K48">
        <v>82.215000000000003</v>
      </c>
      <c r="L48">
        <v>78.528000000000006</v>
      </c>
      <c r="M48">
        <v>90.745999999999995</v>
      </c>
      <c r="N48">
        <v>95.173000000000002</v>
      </c>
      <c r="O48">
        <v>92.543999999999997</v>
      </c>
      <c r="P48">
        <v>91.198999999999998</v>
      </c>
      <c r="Q48">
        <v>92.68</v>
      </c>
      <c r="R48">
        <v>94.536000000000001</v>
      </c>
      <c r="S48">
        <v>96.091999999999999</v>
      </c>
      <c r="T48">
        <v>97.725999999999999</v>
      </c>
      <c r="U48">
        <v>99.531000000000006</v>
      </c>
      <c r="V48">
        <v>101.702</v>
      </c>
      <c r="W48">
        <v>104.23099999999999</v>
      </c>
      <c r="X48">
        <v>107.23399999999999</v>
      </c>
      <c r="Y48">
        <v>110.72499999999999</v>
      </c>
      <c r="Z48">
        <v>114.83499999999999</v>
      </c>
      <c r="AA48">
        <v>119.66200000000001</v>
      </c>
      <c r="AB48">
        <v>125.354</v>
      </c>
      <c r="AC48">
        <v>132.08099999999999</v>
      </c>
      <c r="AD48">
        <v>138.85300000000001</v>
      </c>
    </row>
    <row r="49" spans="2:30" x14ac:dyDescent="0.25">
      <c r="B49" t="s">
        <v>133</v>
      </c>
      <c r="C49" t="s">
        <v>3256</v>
      </c>
      <c r="D49" t="s">
        <v>3352</v>
      </c>
      <c r="E49" t="s">
        <v>3353</v>
      </c>
      <c r="F49" t="s">
        <v>4026</v>
      </c>
      <c r="G49" t="s">
        <v>3890</v>
      </c>
      <c r="H49" t="s">
        <v>3984</v>
      </c>
      <c r="I49" t="s">
        <v>4002</v>
      </c>
      <c r="J49">
        <v>1</v>
      </c>
      <c r="K49">
        <v>52.970999999999997</v>
      </c>
      <c r="L49">
        <v>52.003</v>
      </c>
      <c r="M49">
        <v>51.097000000000001</v>
      </c>
      <c r="N49">
        <v>49.530999999999999</v>
      </c>
      <c r="O49">
        <v>51.664000000000001</v>
      </c>
      <c r="P49">
        <v>56.411999999999999</v>
      </c>
      <c r="Q49">
        <v>61.591999999999999</v>
      </c>
      <c r="R49">
        <v>67.200999999999993</v>
      </c>
      <c r="S49">
        <v>73.864999999999995</v>
      </c>
      <c r="T49">
        <v>81.745000000000005</v>
      </c>
      <c r="U49">
        <v>90.299000000000007</v>
      </c>
      <c r="V49">
        <v>99.477999999999994</v>
      </c>
      <c r="W49">
        <v>109.19</v>
      </c>
      <c r="X49">
        <v>119.425</v>
      </c>
      <c r="Y49">
        <v>130.13200000000001</v>
      </c>
      <c r="Z49">
        <v>141.38200000000001</v>
      </c>
      <c r="AA49">
        <v>153.16800000000001</v>
      </c>
      <c r="AB49">
        <v>165.49600000000001</v>
      </c>
      <c r="AC49">
        <v>178.37700000000001</v>
      </c>
      <c r="AD49">
        <v>191.69200000000001</v>
      </c>
    </row>
    <row r="50" spans="2:30" x14ac:dyDescent="0.25">
      <c r="B50" t="s">
        <v>133</v>
      </c>
      <c r="C50" t="s">
        <v>3256</v>
      </c>
      <c r="D50" t="s">
        <v>3328</v>
      </c>
      <c r="E50" t="s">
        <v>3329</v>
      </c>
      <c r="F50" t="s">
        <v>4027</v>
      </c>
      <c r="G50" t="s">
        <v>3890</v>
      </c>
      <c r="H50" t="s">
        <v>3984</v>
      </c>
      <c r="I50" t="s">
        <v>4002</v>
      </c>
      <c r="J50">
        <v>1</v>
      </c>
      <c r="K50">
        <v>15.803000000000001</v>
      </c>
      <c r="L50">
        <v>17.407</v>
      </c>
      <c r="M50">
        <v>21.786000000000001</v>
      </c>
      <c r="N50">
        <v>22.128</v>
      </c>
      <c r="O50">
        <v>22.457000000000001</v>
      </c>
      <c r="P50">
        <v>22.846</v>
      </c>
      <c r="Q50">
        <v>23.306999999999999</v>
      </c>
      <c r="R50">
        <v>23.741</v>
      </c>
      <c r="S50">
        <v>24.14</v>
      </c>
      <c r="T50">
        <v>24.538</v>
      </c>
      <c r="U50">
        <v>24.936</v>
      </c>
      <c r="V50">
        <v>25.335000000000001</v>
      </c>
      <c r="W50">
        <v>25.734000000000002</v>
      </c>
      <c r="X50">
        <v>26.132999999999999</v>
      </c>
      <c r="Y50">
        <v>26.533000000000001</v>
      </c>
      <c r="Z50">
        <v>26.931999999999999</v>
      </c>
      <c r="AA50">
        <v>27.331</v>
      </c>
      <c r="AB50">
        <v>27.731000000000002</v>
      </c>
      <c r="AC50">
        <v>28.129000000000001</v>
      </c>
      <c r="AD50">
        <v>28.527999999999999</v>
      </c>
    </row>
    <row r="51" spans="2:30" x14ac:dyDescent="0.25">
      <c r="B51" t="s">
        <v>133</v>
      </c>
      <c r="C51" t="s">
        <v>3256</v>
      </c>
      <c r="D51" t="s">
        <v>3304</v>
      </c>
      <c r="E51" t="s">
        <v>3305</v>
      </c>
      <c r="F51" t="s">
        <v>4028</v>
      </c>
      <c r="G51" t="s">
        <v>3890</v>
      </c>
      <c r="H51" t="s">
        <v>3984</v>
      </c>
      <c r="I51" t="s">
        <v>4002</v>
      </c>
      <c r="J51">
        <v>1</v>
      </c>
      <c r="K51">
        <v>59.633000000000003</v>
      </c>
      <c r="L51">
        <v>58.865000000000002</v>
      </c>
      <c r="M51">
        <v>69.37</v>
      </c>
      <c r="N51">
        <v>74.998999999999995</v>
      </c>
      <c r="O51">
        <v>77.138999999999996</v>
      </c>
      <c r="P51">
        <v>79.643000000000001</v>
      </c>
      <c r="Q51">
        <v>82.683999999999997</v>
      </c>
      <c r="R51">
        <v>85.623000000000005</v>
      </c>
      <c r="S51">
        <v>88.399000000000001</v>
      </c>
      <c r="T51">
        <v>91.215999999999994</v>
      </c>
      <c r="U51">
        <v>94.063000000000002</v>
      </c>
      <c r="V51">
        <v>96.96</v>
      </c>
      <c r="W51">
        <v>99.908000000000001</v>
      </c>
      <c r="X51">
        <v>102.907</v>
      </c>
      <c r="Y51">
        <v>105.95399999999999</v>
      </c>
      <c r="Z51">
        <v>109.051</v>
      </c>
      <c r="AA51">
        <v>112.197</v>
      </c>
      <c r="AB51">
        <v>115.39100000000001</v>
      </c>
      <c r="AC51">
        <v>118.633</v>
      </c>
      <c r="AD51">
        <v>121.922</v>
      </c>
    </row>
    <row r="52" spans="2:30" x14ac:dyDescent="0.25">
      <c r="B52" t="s">
        <v>133</v>
      </c>
      <c r="C52" t="s">
        <v>3256</v>
      </c>
      <c r="D52" t="s">
        <v>4029</v>
      </c>
      <c r="E52" t="s">
        <v>4030</v>
      </c>
      <c r="F52" t="s">
        <v>4031</v>
      </c>
      <c r="G52" t="s">
        <v>3890</v>
      </c>
      <c r="H52" t="s">
        <v>3984</v>
      </c>
      <c r="I52" t="s">
        <v>4002</v>
      </c>
      <c r="J52">
        <v>1</v>
      </c>
      <c r="K52">
        <v>0.29399999999999998</v>
      </c>
      <c r="L52">
        <v>0.26800000000000002</v>
      </c>
      <c r="M52">
        <v>0.317</v>
      </c>
      <c r="N52">
        <v>0.41699999999999998</v>
      </c>
      <c r="O52">
        <v>0.41599999999999998</v>
      </c>
      <c r="P52">
        <v>0.41499999999999998</v>
      </c>
      <c r="Q52">
        <v>0.41399999999999998</v>
      </c>
      <c r="R52">
        <v>0.41199999999999998</v>
      </c>
      <c r="S52">
        <v>0.41099999999999998</v>
      </c>
      <c r="T52">
        <v>0.41</v>
      </c>
      <c r="U52">
        <v>0.40899999999999997</v>
      </c>
      <c r="V52">
        <v>0.40799999999999997</v>
      </c>
      <c r="W52">
        <v>0.40600000000000003</v>
      </c>
      <c r="X52">
        <v>0.40500000000000003</v>
      </c>
      <c r="Y52">
        <v>0.40400000000000003</v>
      </c>
      <c r="Z52">
        <v>0.40300000000000002</v>
      </c>
      <c r="AA52">
        <v>0.40100000000000002</v>
      </c>
      <c r="AB52">
        <v>0.4</v>
      </c>
      <c r="AC52">
        <v>0.39900000000000002</v>
      </c>
      <c r="AD52">
        <v>0.39800000000000002</v>
      </c>
    </row>
    <row r="53" spans="2:30" x14ac:dyDescent="0.25">
      <c r="B53" t="s">
        <v>133</v>
      </c>
      <c r="C53" t="s">
        <v>3256</v>
      </c>
      <c r="D53" t="s">
        <v>4032</v>
      </c>
      <c r="E53" t="s">
        <v>4033</v>
      </c>
      <c r="F53" t="s">
        <v>4034</v>
      </c>
      <c r="G53" t="s">
        <v>3890</v>
      </c>
      <c r="H53" t="s">
        <v>3984</v>
      </c>
      <c r="I53" t="s">
        <v>3985</v>
      </c>
      <c r="J53">
        <v>2</v>
      </c>
      <c r="K53">
        <v>400.91199999999998</v>
      </c>
      <c r="L53">
        <v>411.97300000000001</v>
      </c>
      <c r="M53">
        <v>450.79599999999999</v>
      </c>
      <c r="N53">
        <v>467.39</v>
      </c>
      <c r="O53">
        <v>438.85899999999998</v>
      </c>
      <c r="P53">
        <v>444.81900000000002</v>
      </c>
      <c r="Q53">
        <v>463.596</v>
      </c>
      <c r="R53">
        <v>479.44400000000002</v>
      </c>
      <c r="S53">
        <v>496.02800000000002</v>
      </c>
      <c r="T53">
        <v>513.03</v>
      </c>
      <c r="U53">
        <v>532.99699999999996</v>
      </c>
      <c r="V53">
        <v>555.06399999999996</v>
      </c>
      <c r="W53">
        <v>578.65800000000002</v>
      </c>
      <c r="X53">
        <v>603.78800000000001</v>
      </c>
      <c r="Y53">
        <v>630.452</v>
      </c>
      <c r="Z53">
        <v>658.91800000000001</v>
      </c>
      <c r="AA53">
        <v>689.16499999999996</v>
      </c>
      <c r="AB53">
        <v>721.37900000000002</v>
      </c>
      <c r="AC53">
        <v>755.86800000000005</v>
      </c>
      <c r="AD53">
        <v>791.33399999999995</v>
      </c>
    </row>
    <row r="54" spans="2:30" x14ac:dyDescent="0.25">
      <c r="B54" t="s">
        <v>133</v>
      </c>
      <c r="C54" t="s">
        <v>3256</v>
      </c>
      <c r="D54" t="s">
        <v>3393</v>
      </c>
      <c r="E54" t="s">
        <v>3394</v>
      </c>
      <c r="F54" t="s">
        <v>4035</v>
      </c>
      <c r="G54" t="s">
        <v>3890</v>
      </c>
      <c r="H54" t="s">
        <v>3984</v>
      </c>
      <c r="I54" t="s">
        <v>3985</v>
      </c>
      <c r="J54">
        <v>2</v>
      </c>
      <c r="K54">
        <v>400.91199999999998</v>
      </c>
      <c r="L54">
        <v>411.97300000000001</v>
      </c>
      <c r="M54">
        <v>450.79599999999999</v>
      </c>
      <c r="N54">
        <v>467.39</v>
      </c>
      <c r="O54">
        <v>438.85899999999998</v>
      </c>
      <c r="P54">
        <v>444.81900000000002</v>
      </c>
      <c r="Q54">
        <v>463.596</v>
      </c>
      <c r="R54">
        <v>479.44400000000002</v>
      </c>
      <c r="S54">
        <v>496.02800000000002</v>
      </c>
      <c r="T54">
        <v>513.03</v>
      </c>
      <c r="U54">
        <v>532.99699999999996</v>
      </c>
      <c r="V54">
        <v>555.06399999999996</v>
      </c>
      <c r="W54">
        <v>578.65800000000002</v>
      </c>
      <c r="X54">
        <v>603.78800000000001</v>
      </c>
      <c r="Y54">
        <v>630.452</v>
      </c>
      <c r="Z54">
        <v>658.91800000000001</v>
      </c>
      <c r="AA54">
        <v>689.16499999999996</v>
      </c>
      <c r="AB54">
        <v>721.37900000000002</v>
      </c>
      <c r="AC54">
        <v>755.86800000000005</v>
      </c>
      <c r="AD54">
        <v>791.33399999999995</v>
      </c>
    </row>
    <row r="55" spans="2:30" x14ac:dyDescent="0.25">
      <c r="B55" t="s">
        <v>133</v>
      </c>
      <c r="C55" t="s">
        <v>3256</v>
      </c>
      <c r="D55" t="s">
        <v>4036</v>
      </c>
      <c r="E55" t="s">
        <v>4037</v>
      </c>
      <c r="F55" t="s">
        <v>4038</v>
      </c>
      <c r="G55" t="s">
        <v>3890</v>
      </c>
      <c r="H55" t="s">
        <v>3984</v>
      </c>
      <c r="I55" t="s">
        <v>3985</v>
      </c>
      <c r="J55">
        <v>2</v>
      </c>
      <c r="K55">
        <v>213.93899999999999</v>
      </c>
      <c r="L55">
        <v>210.001</v>
      </c>
      <c r="M55">
        <v>236.42</v>
      </c>
      <c r="N55">
        <v>245.40799999999999</v>
      </c>
      <c r="O55">
        <v>225.72300000000001</v>
      </c>
      <c r="P55">
        <v>225.345</v>
      </c>
      <c r="Q55">
        <v>237.71700000000001</v>
      </c>
      <c r="R55">
        <v>247.40899999999999</v>
      </c>
      <c r="S55">
        <v>258.255</v>
      </c>
      <c r="T55">
        <v>269.01100000000002</v>
      </c>
      <c r="U55">
        <v>280.99</v>
      </c>
      <c r="V55">
        <v>293.73700000000002</v>
      </c>
      <c r="W55">
        <v>307.63900000000001</v>
      </c>
      <c r="X55">
        <v>322.65300000000002</v>
      </c>
      <c r="Y55">
        <v>338.78899999999999</v>
      </c>
      <c r="Z55">
        <v>356.32</v>
      </c>
      <c r="AA55">
        <v>375.24299999999999</v>
      </c>
      <c r="AB55">
        <v>395.74200000000002</v>
      </c>
      <c r="AC55">
        <v>418.101</v>
      </c>
      <c r="AD55">
        <v>441.00900000000001</v>
      </c>
    </row>
    <row r="56" spans="2:30" x14ac:dyDescent="0.25">
      <c r="B56" t="s">
        <v>133</v>
      </c>
      <c r="C56" t="s">
        <v>3256</v>
      </c>
      <c r="D56" t="s">
        <v>3381</v>
      </c>
      <c r="E56" t="s">
        <v>3382</v>
      </c>
      <c r="F56" t="s">
        <v>4039</v>
      </c>
      <c r="G56" t="s">
        <v>3890</v>
      </c>
      <c r="H56" t="s">
        <v>3984</v>
      </c>
      <c r="I56" t="s">
        <v>3985</v>
      </c>
      <c r="J56">
        <v>2</v>
      </c>
      <c r="K56">
        <v>52.2</v>
      </c>
      <c r="L56">
        <v>56.902999999999999</v>
      </c>
      <c r="M56">
        <v>67.058999999999997</v>
      </c>
      <c r="N56">
        <v>72.5</v>
      </c>
      <c r="O56">
        <v>61.573</v>
      </c>
      <c r="P56">
        <v>65.546999999999997</v>
      </c>
      <c r="Q56">
        <v>68.769000000000005</v>
      </c>
      <c r="R56">
        <v>71.64</v>
      </c>
      <c r="S56">
        <v>74.034999999999997</v>
      </c>
      <c r="T56">
        <v>76.39</v>
      </c>
      <c r="U56">
        <v>78.837000000000003</v>
      </c>
      <c r="V56">
        <v>81.378</v>
      </c>
      <c r="W56">
        <v>84.03</v>
      </c>
      <c r="X56">
        <v>86.834000000000003</v>
      </c>
      <c r="Y56">
        <v>89.763999999999996</v>
      </c>
      <c r="Z56">
        <v>92.813999999999993</v>
      </c>
      <c r="AA56">
        <v>95.95</v>
      </c>
      <c r="AB56">
        <v>99.168000000000006</v>
      </c>
      <c r="AC56">
        <v>102.476</v>
      </c>
      <c r="AD56">
        <v>105.873</v>
      </c>
    </row>
    <row r="57" spans="2:30" x14ac:dyDescent="0.25">
      <c r="B57" t="s">
        <v>133</v>
      </c>
      <c r="C57" t="s">
        <v>3256</v>
      </c>
      <c r="D57" t="s">
        <v>4040</v>
      </c>
      <c r="E57" t="s">
        <v>4041</v>
      </c>
      <c r="F57" t="s">
        <v>4042</v>
      </c>
      <c r="G57" t="s">
        <v>3890</v>
      </c>
      <c r="H57" t="s">
        <v>3984</v>
      </c>
      <c r="I57" t="s">
        <v>3985</v>
      </c>
      <c r="J57">
        <v>2</v>
      </c>
      <c r="K57">
        <v>41.563000000000002</v>
      </c>
      <c r="L57">
        <v>43.505000000000003</v>
      </c>
      <c r="M57">
        <v>44.234000000000002</v>
      </c>
      <c r="N57">
        <v>44.884999999999998</v>
      </c>
      <c r="O57">
        <v>45.613999999999997</v>
      </c>
      <c r="P57">
        <v>46.396000000000001</v>
      </c>
      <c r="Q57">
        <v>47.427999999999997</v>
      </c>
      <c r="R57">
        <v>48.518999999999998</v>
      </c>
      <c r="S57">
        <v>49.625</v>
      </c>
      <c r="T57">
        <v>50.83</v>
      </c>
      <c r="U57">
        <v>52.453000000000003</v>
      </c>
      <c r="V57">
        <v>54.404000000000003</v>
      </c>
      <c r="W57">
        <v>56.420999999999999</v>
      </c>
      <c r="X57">
        <v>58.51</v>
      </c>
      <c r="Y57">
        <v>60.676000000000002</v>
      </c>
      <c r="Z57">
        <v>62.912999999999997</v>
      </c>
      <c r="AA57">
        <v>65.225999999999999</v>
      </c>
      <c r="AB57">
        <v>67.611999999999995</v>
      </c>
      <c r="AC57">
        <v>70.08</v>
      </c>
      <c r="AD57">
        <v>72.632999999999996</v>
      </c>
    </row>
    <row r="58" spans="2:30" x14ac:dyDescent="0.25">
      <c r="B58" t="s">
        <v>133</v>
      </c>
      <c r="C58" t="s">
        <v>3256</v>
      </c>
      <c r="D58" t="s">
        <v>4043</v>
      </c>
      <c r="E58" t="s">
        <v>4044</v>
      </c>
      <c r="F58" t="s">
        <v>4045</v>
      </c>
      <c r="G58" t="s">
        <v>3890</v>
      </c>
      <c r="H58" t="s">
        <v>3984</v>
      </c>
      <c r="I58" t="s">
        <v>3985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2:30" x14ac:dyDescent="0.25">
      <c r="B59" t="s">
        <v>133</v>
      </c>
      <c r="C59" t="s">
        <v>3256</v>
      </c>
      <c r="D59" t="s">
        <v>4046</v>
      </c>
      <c r="E59" t="s">
        <v>4047</v>
      </c>
      <c r="F59" t="s">
        <v>4048</v>
      </c>
      <c r="G59" t="s">
        <v>3890</v>
      </c>
      <c r="H59" t="s">
        <v>3984</v>
      </c>
      <c r="I59" t="s">
        <v>3985</v>
      </c>
      <c r="J59">
        <v>2</v>
      </c>
      <c r="K59">
        <v>93.209000000000003</v>
      </c>
      <c r="L59">
        <v>101.56399999999999</v>
      </c>
      <c r="M59">
        <v>103.083</v>
      </c>
      <c r="N59">
        <v>104.59699999999999</v>
      </c>
      <c r="O59">
        <v>105.94799999999999</v>
      </c>
      <c r="P59">
        <v>107.53100000000001</v>
      </c>
      <c r="Q59">
        <v>109.682</v>
      </c>
      <c r="R59">
        <v>111.875</v>
      </c>
      <c r="S59">
        <v>114.113</v>
      </c>
      <c r="T59">
        <v>116.798</v>
      </c>
      <c r="U59">
        <v>120.718</v>
      </c>
      <c r="V59">
        <v>125.54600000000001</v>
      </c>
      <c r="W59">
        <v>130.56800000000001</v>
      </c>
      <c r="X59">
        <v>135.791</v>
      </c>
      <c r="Y59">
        <v>141.22300000000001</v>
      </c>
      <c r="Z59">
        <v>146.87200000000001</v>
      </c>
      <c r="AA59">
        <v>152.74600000000001</v>
      </c>
      <c r="AB59">
        <v>158.85599999999999</v>
      </c>
      <c r="AC59">
        <v>165.21</v>
      </c>
      <c r="AD59">
        <v>171.81899999999999</v>
      </c>
    </row>
    <row r="60" spans="2:30" x14ac:dyDescent="0.25">
      <c r="B60" t="s">
        <v>133</v>
      </c>
      <c r="C60" t="s">
        <v>3256</v>
      </c>
      <c r="D60" t="s">
        <v>4049</v>
      </c>
      <c r="E60" t="s">
        <v>3347</v>
      </c>
      <c r="F60" t="s">
        <v>4050</v>
      </c>
      <c r="G60" t="s">
        <v>3890</v>
      </c>
      <c r="H60" t="s">
        <v>3984</v>
      </c>
      <c r="I60" t="s">
        <v>4002</v>
      </c>
      <c r="J60">
        <v>2</v>
      </c>
      <c r="K60">
        <v>307.637</v>
      </c>
      <c r="L60">
        <v>315.49299999999999</v>
      </c>
      <c r="M60">
        <v>350.47699999999998</v>
      </c>
      <c r="N60">
        <v>364.59800000000001</v>
      </c>
      <c r="O60">
        <v>337.55099999999999</v>
      </c>
      <c r="P60">
        <v>341.053</v>
      </c>
      <c r="Q60">
        <v>357.197</v>
      </c>
      <c r="R60">
        <v>370.43700000000001</v>
      </c>
      <c r="S60">
        <v>384.488</v>
      </c>
      <c r="T60">
        <v>398.44400000000002</v>
      </c>
      <c r="U60">
        <v>414.47</v>
      </c>
      <c r="V60">
        <v>432.16199999999998</v>
      </c>
      <c r="W60">
        <v>451.21</v>
      </c>
      <c r="X60">
        <v>471.60599999999999</v>
      </c>
      <c r="Y60">
        <v>493.346</v>
      </c>
      <c r="Z60">
        <v>516.702</v>
      </c>
      <c r="AA60">
        <v>541.65099999999995</v>
      </c>
      <c r="AB60">
        <v>568.37800000000004</v>
      </c>
      <c r="AC60">
        <v>597.17700000000002</v>
      </c>
      <c r="AD60">
        <v>626.75</v>
      </c>
    </row>
    <row r="61" spans="2:30" x14ac:dyDescent="0.25">
      <c r="B61" t="s">
        <v>133</v>
      </c>
      <c r="C61" t="s">
        <v>3256</v>
      </c>
      <c r="D61" t="s">
        <v>3298</v>
      </c>
      <c r="E61" t="s">
        <v>3299</v>
      </c>
      <c r="F61" t="s">
        <v>4051</v>
      </c>
      <c r="G61" t="s">
        <v>3890</v>
      </c>
      <c r="H61" t="s">
        <v>3984</v>
      </c>
      <c r="I61" t="s">
        <v>4002</v>
      </c>
      <c r="J61">
        <v>2</v>
      </c>
      <c r="K61">
        <v>210.916</v>
      </c>
      <c r="L61">
        <v>206.94</v>
      </c>
      <c r="M61">
        <v>233.18799999999999</v>
      </c>
      <c r="N61">
        <v>242.12299999999999</v>
      </c>
      <c r="O61">
        <v>222.54900000000001</v>
      </c>
      <c r="P61">
        <v>222.178</v>
      </c>
      <c r="Q61">
        <v>234.476</v>
      </c>
      <c r="R61">
        <v>244.11199999999999</v>
      </c>
      <c r="S61">
        <v>254.89500000000001</v>
      </c>
      <c r="T61">
        <v>265.58800000000002</v>
      </c>
      <c r="U61">
        <v>277.51299999999998</v>
      </c>
      <c r="V61">
        <v>290.2</v>
      </c>
      <c r="W61">
        <v>304.03699999999998</v>
      </c>
      <c r="X61">
        <v>318.97800000000001</v>
      </c>
      <c r="Y61">
        <v>335.03500000000003</v>
      </c>
      <c r="Z61">
        <v>352.48</v>
      </c>
      <c r="AA61">
        <v>371.30900000000003</v>
      </c>
      <c r="AB61">
        <v>391.70400000000001</v>
      </c>
      <c r="AC61">
        <v>413.94900000000001</v>
      </c>
      <c r="AD61">
        <v>436.73899999999998</v>
      </c>
    </row>
    <row r="62" spans="2:30" x14ac:dyDescent="0.25">
      <c r="B62" t="s">
        <v>133</v>
      </c>
      <c r="C62" t="s">
        <v>3256</v>
      </c>
      <c r="D62" t="s">
        <v>4052</v>
      </c>
      <c r="E62" t="s">
        <v>4053</v>
      </c>
      <c r="F62" t="s">
        <v>4054</v>
      </c>
      <c r="G62" t="s">
        <v>3890</v>
      </c>
      <c r="H62" t="s">
        <v>3984</v>
      </c>
      <c r="I62" t="s">
        <v>4002</v>
      </c>
      <c r="J62">
        <v>2</v>
      </c>
      <c r="K62">
        <v>6.7770000000000001</v>
      </c>
      <c r="L62">
        <v>6.3419999999999996</v>
      </c>
      <c r="M62">
        <v>7.54</v>
      </c>
      <c r="N62">
        <v>8.1080000000000005</v>
      </c>
      <c r="O62">
        <v>7.13</v>
      </c>
      <c r="P62">
        <v>7.2510000000000003</v>
      </c>
      <c r="Q62">
        <v>7.431</v>
      </c>
      <c r="R62">
        <v>7.6050000000000004</v>
      </c>
      <c r="S62">
        <v>7.7649999999999997</v>
      </c>
      <c r="T62">
        <v>7.9279999999999999</v>
      </c>
      <c r="U62">
        <v>8.0820000000000007</v>
      </c>
      <c r="V62">
        <v>8.2390000000000008</v>
      </c>
      <c r="W62">
        <v>8.4</v>
      </c>
      <c r="X62">
        <v>8.5690000000000008</v>
      </c>
      <c r="Y62">
        <v>8.7420000000000009</v>
      </c>
      <c r="Z62">
        <v>8.92</v>
      </c>
      <c r="AA62">
        <v>9.1</v>
      </c>
      <c r="AB62">
        <v>9.282</v>
      </c>
      <c r="AC62">
        <v>9.4659999999999993</v>
      </c>
      <c r="AD62">
        <v>9.6519999999999992</v>
      </c>
    </row>
    <row r="63" spans="2:30" x14ac:dyDescent="0.25">
      <c r="B63" t="s">
        <v>133</v>
      </c>
      <c r="C63" t="s">
        <v>3256</v>
      </c>
      <c r="D63" t="s">
        <v>4055</v>
      </c>
      <c r="E63" t="s">
        <v>4056</v>
      </c>
      <c r="F63" t="s">
        <v>4057</v>
      </c>
      <c r="G63" t="s">
        <v>3890</v>
      </c>
      <c r="H63" t="s">
        <v>3984</v>
      </c>
      <c r="I63" t="s">
        <v>4002</v>
      </c>
      <c r="J63">
        <v>2</v>
      </c>
      <c r="K63">
        <v>98.35</v>
      </c>
      <c r="L63">
        <v>91.418000000000006</v>
      </c>
      <c r="M63">
        <v>107.887</v>
      </c>
      <c r="N63">
        <v>110.348</v>
      </c>
      <c r="O63">
        <v>103.855</v>
      </c>
      <c r="P63">
        <v>95.954999999999998</v>
      </c>
      <c r="Q63">
        <v>101.54600000000001</v>
      </c>
      <c r="R63">
        <v>104.393</v>
      </c>
      <c r="S63">
        <v>107.886</v>
      </c>
      <c r="T63">
        <v>110.259</v>
      </c>
      <c r="U63">
        <v>113.227</v>
      </c>
      <c r="V63">
        <v>116.351</v>
      </c>
      <c r="W63">
        <v>120.1</v>
      </c>
      <c r="X63">
        <v>124.392</v>
      </c>
      <c r="Y63">
        <v>129.29499999999999</v>
      </c>
      <c r="Z63">
        <v>135.011</v>
      </c>
      <c r="AA63">
        <v>141.56899999999999</v>
      </c>
      <c r="AB63">
        <v>149.143</v>
      </c>
      <c r="AC63">
        <v>157.995</v>
      </c>
      <c r="AD63">
        <v>166.922</v>
      </c>
    </row>
    <row r="64" spans="2:30" x14ac:dyDescent="0.25">
      <c r="B64" t="s">
        <v>133</v>
      </c>
      <c r="C64" t="s">
        <v>3256</v>
      </c>
      <c r="D64" t="s">
        <v>4058</v>
      </c>
      <c r="E64" t="s">
        <v>4059</v>
      </c>
      <c r="F64" t="s">
        <v>4060</v>
      </c>
      <c r="G64" t="s">
        <v>3890</v>
      </c>
      <c r="H64" t="s">
        <v>3984</v>
      </c>
      <c r="I64" t="s">
        <v>4002</v>
      </c>
      <c r="J64">
        <v>2</v>
      </c>
      <c r="K64">
        <v>24.14</v>
      </c>
      <c r="L64">
        <v>23.193000000000001</v>
      </c>
      <c r="M64">
        <v>24.561</v>
      </c>
      <c r="N64">
        <v>31.283999999999999</v>
      </c>
      <c r="O64">
        <v>27.943999999999999</v>
      </c>
      <c r="P64">
        <v>30.256</v>
      </c>
      <c r="Q64">
        <v>31.184000000000001</v>
      </c>
      <c r="R64">
        <v>31.867000000000001</v>
      </c>
      <c r="S64">
        <v>32.206000000000003</v>
      </c>
      <c r="T64">
        <v>32.478000000000002</v>
      </c>
      <c r="U64">
        <v>32.781999999999996</v>
      </c>
      <c r="V64">
        <v>33.125</v>
      </c>
      <c r="W64">
        <v>33.509</v>
      </c>
      <c r="X64">
        <v>33.951999999999998</v>
      </c>
      <c r="Y64">
        <v>34.448</v>
      </c>
      <c r="Z64">
        <v>34.999000000000002</v>
      </c>
      <c r="AA64">
        <v>35.597999999999999</v>
      </c>
      <c r="AB64">
        <v>36.247</v>
      </c>
      <c r="AC64">
        <v>36.948999999999998</v>
      </c>
      <c r="AD64">
        <v>37.704999999999998</v>
      </c>
    </row>
    <row r="65" spans="2:30" x14ac:dyDescent="0.25">
      <c r="B65" t="s">
        <v>133</v>
      </c>
      <c r="C65" t="s">
        <v>3256</v>
      </c>
      <c r="D65" t="s">
        <v>4061</v>
      </c>
      <c r="E65" t="s">
        <v>4062</v>
      </c>
      <c r="F65" t="s">
        <v>4063</v>
      </c>
      <c r="G65" t="s">
        <v>3890</v>
      </c>
      <c r="H65" t="s">
        <v>3984</v>
      </c>
      <c r="I65" t="s">
        <v>4002</v>
      </c>
      <c r="J65">
        <v>2</v>
      </c>
      <c r="K65">
        <v>20.114000000000001</v>
      </c>
      <c r="L65">
        <v>19.417999999999999</v>
      </c>
      <c r="M65">
        <v>19.018999999999998</v>
      </c>
      <c r="N65">
        <v>18.347000000000001</v>
      </c>
      <c r="O65">
        <v>17.690000000000001</v>
      </c>
      <c r="P65">
        <v>19.347000000000001</v>
      </c>
      <c r="Q65">
        <v>21.135999999999999</v>
      </c>
      <c r="R65">
        <v>23.068000000000001</v>
      </c>
      <c r="S65">
        <v>25.372</v>
      </c>
      <c r="T65">
        <v>28.094999999999999</v>
      </c>
      <c r="U65">
        <v>31.032</v>
      </c>
      <c r="V65">
        <v>34.17</v>
      </c>
      <c r="W65">
        <v>37.491999999999997</v>
      </c>
      <c r="X65">
        <v>40.98</v>
      </c>
      <c r="Y65">
        <v>44.610999999999997</v>
      </c>
      <c r="Z65">
        <v>48.42</v>
      </c>
      <c r="AA65">
        <v>52.4</v>
      </c>
      <c r="AB65">
        <v>56.545000000000002</v>
      </c>
      <c r="AC65">
        <v>60.853000000000002</v>
      </c>
      <c r="AD65">
        <v>65.239000000000004</v>
      </c>
    </row>
    <row r="66" spans="2:30" x14ac:dyDescent="0.25">
      <c r="B66" t="s">
        <v>133</v>
      </c>
      <c r="C66" t="s">
        <v>3256</v>
      </c>
      <c r="D66" t="s">
        <v>4064</v>
      </c>
      <c r="E66" t="s">
        <v>4065</v>
      </c>
      <c r="F66" t="s">
        <v>4066</v>
      </c>
      <c r="G66" t="s">
        <v>3890</v>
      </c>
      <c r="H66" t="s">
        <v>3984</v>
      </c>
      <c r="I66" t="s">
        <v>4002</v>
      </c>
      <c r="J66">
        <v>2</v>
      </c>
      <c r="K66">
        <v>44.502000000000002</v>
      </c>
      <c r="L66">
        <v>47.332999999999998</v>
      </c>
      <c r="M66">
        <v>51.197000000000003</v>
      </c>
      <c r="N66">
        <v>50.457000000000001</v>
      </c>
      <c r="O66">
        <v>46.034999999999997</v>
      </c>
      <c r="P66">
        <v>48.896999999999998</v>
      </c>
      <c r="Q66">
        <v>52.042000000000002</v>
      </c>
      <c r="R66">
        <v>55.398000000000003</v>
      </c>
      <c r="S66">
        <v>59.286999999999999</v>
      </c>
      <c r="T66">
        <v>63.835000000000001</v>
      </c>
      <c r="U66">
        <v>68.757999999999996</v>
      </c>
      <c r="V66">
        <v>74.021000000000001</v>
      </c>
      <c r="W66">
        <v>79.552000000000007</v>
      </c>
      <c r="X66">
        <v>85.376000000000005</v>
      </c>
      <c r="Y66">
        <v>91.471000000000004</v>
      </c>
      <c r="Z66">
        <v>97.876999999999995</v>
      </c>
      <c r="AA66">
        <v>104.583</v>
      </c>
      <c r="AB66">
        <v>111.60599999999999</v>
      </c>
      <c r="AC66">
        <v>118.962</v>
      </c>
      <c r="AD66">
        <v>126.634</v>
      </c>
    </row>
    <row r="67" spans="2:30" x14ac:dyDescent="0.25">
      <c r="B67" t="s">
        <v>133</v>
      </c>
      <c r="C67" t="s">
        <v>3256</v>
      </c>
      <c r="D67" t="s">
        <v>4067</v>
      </c>
      <c r="E67" t="s">
        <v>4068</v>
      </c>
      <c r="F67" t="s">
        <v>4069</v>
      </c>
      <c r="G67" t="s">
        <v>3890</v>
      </c>
      <c r="H67" t="s">
        <v>3984</v>
      </c>
      <c r="I67" t="s">
        <v>4002</v>
      </c>
      <c r="J67">
        <v>2</v>
      </c>
      <c r="K67">
        <v>15.176</v>
      </c>
      <c r="L67">
        <v>17.062999999999999</v>
      </c>
      <c r="M67">
        <v>20.57</v>
      </c>
      <c r="N67">
        <v>21.077999999999999</v>
      </c>
      <c r="O67">
        <v>17.576000000000001</v>
      </c>
      <c r="P67">
        <v>18.056000000000001</v>
      </c>
      <c r="Q67">
        <v>18.608000000000001</v>
      </c>
      <c r="R67">
        <v>19.14</v>
      </c>
      <c r="S67">
        <v>19.631</v>
      </c>
      <c r="T67">
        <v>20.135000000000002</v>
      </c>
      <c r="U67">
        <v>20.658000000000001</v>
      </c>
      <c r="V67">
        <v>21.198</v>
      </c>
      <c r="W67">
        <v>21.757999999999999</v>
      </c>
      <c r="X67">
        <v>22.347000000000001</v>
      </c>
      <c r="Y67">
        <v>22.959</v>
      </c>
      <c r="Z67">
        <v>23.591000000000001</v>
      </c>
      <c r="AA67">
        <v>24.236999999999998</v>
      </c>
      <c r="AB67">
        <v>24.895</v>
      </c>
      <c r="AC67">
        <v>25.568000000000001</v>
      </c>
      <c r="AD67">
        <v>26.254000000000001</v>
      </c>
    </row>
    <row r="68" spans="2:30" x14ac:dyDescent="0.25">
      <c r="B68" t="s">
        <v>133</v>
      </c>
      <c r="C68" t="s">
        <v>3256</v>
      </c>
      <c r="D68" t="s">
        <v>4070</v>
      </c>
      <c r="E68" t="s">
        <v>4071</v>
      </c>
      <c r="F68" t="s">
        <v>4072</v>
      </c>
      <c r="G68" t="s">
        <v>3890</v>
      </c>
      <c r="H68" t="s">
        <v>3984</v>
      </c>
      <c r="I68" t="s">
        <v>4002</v>
      </c>
      <c r="J68">
        <v>2</v>
      </c>
      <c r="K68">
        <v>1.855</v>
      </c>
      <c r="L68">
        <v>2.1720000000000002</v>
      </c>
      <c r="M68">
        <v>2.4140000000000001</v>
      </c>
      <c r="N68">
        <v>2.5019999999999998</v>
      </c>
      <c r="O68">
        <v>2.319</v>
      </c>
      <c r="P68">
        <v>2.415</v>
      </c>
      <c r="Q68">
        <v>2.5289999999999999</v>
      </c>
      <c r="R68">
        <v>2.641</v>
      </c>
      <c r="S68">
        <v>2.7469999999999999</v>
      </c>
      <c r="T68">
        <v>2.8570000000000002</v>
      </c>
      <c r="U68">
        <v>2.9740000000000002</v>
      </c>
      <c r="V68">
        <v>3.0960000000000001</v>
      </c>
      <c r="W68">
        <v>3.2250000000000001</v>
      </c>
      <c r="X68">
        <v>3.3639999999999999</v>
      </c>
      <c r="Y68">
        <v>3.5089999999999999</v>
      </c>
      <c r="Z68">
        <v>3.6619999999999999</v>
      </c>
      <c r="AA68">
        <v>3.8210000000000002</v>
      </c>
      <c r="AB68">
        <v>3.9860000000000002</v>
      </c>
      <c r="AC68">
        <v>4.1559999999999997</v>
      </c>
      <c r="AD68">
        <v>4.3330000000000002</v>
      </c>
    </row>
    <row r="69" spans="2:30" x14ac:dyDescent="0.25">
      <c r="B69" t="s">
        <v>133</v>
      </c>
      <c r="C69" t="s">
        <v>3256</v>
      </c>
      <c r="D69" t="s">
        <v>3322</v>
      </c>
      <c r="E69" t="s">
        <v>3323</v>
      </c>
      <c r="F69" t="s">
        <v>4073</v>
      </c>
      <c r="G69" t="s">
        <v>3890</v>
      </c>
      <c r="H69" t="s">
        <v>3984</v>
      </c>
      <c r="I69" t="s">
        <v>4002</v>
      </c>
      <c r="J69">
        <v>2</v>
      </c>
      <c r="K69">
        <v>82.215000000000003</v>
      </c>
      <c r="L69">
        <v>78.396000000000001</v>
      </c>
      <c r="M69">
        <v>90.617000000000004</v>
      </c>
      <c r="N69">
        <v>95.048000000000002</v>
      </c>
      <c r="O69">
        <v>92.555000000000007</v>
      </c>
      <c r="P69">
        <v>83.265000000000001</v>
      </c>
      <c r="Q69">
        <v>87.128</v>
      </c>
      <c r="R69">
        <v>88.363</v>
      </c>
      <c r="S69">
        <v>90.355999999999995</v>
      </c>
      <c r="T69">
        <v>91.21</v>
      </c>
      <c r="U69">
        <v>92.599000000000004</v>
      </c>
      <c r="V69">
        <v>94.1</v>
      </c>
      <c r="W69">
        <v>96.171000000000006</v>
      </c>
      <c r="X69">
        <v>98.716999999999999</v>
      </c>
      <c r="Y69">
        <v>101.82299999999999</v>
      </c>
      <c r="Z69">
        <v>105.666</v>
      </c>
      <c r="AA69">
        <v>110.32</v>
      </c>
      <c r="AB69">
        <v>115.959</v>
      </c>
      <c r="AC69">
        <v>122.84699999999999</v>
      </c>
      <c r="AD69">
        <v>129.785</v>
      </c>
    </row>
    <row r="70" spans="2:30" x14ac:dyDescent="0.25">
      <c r="B70" t="s">
        <v>133</v>
      </c>
      <c r="C70" t="s">
        <v>3256</v>
      </c>
      <c r="D70" t="s">
        <v>3358</v>
      </c>
      <c r="E70" t="s">
        <v>3359</v>
      </c>
      <c r="F70" t="s">
        <v>4074</v>
      </c>
      <c r="G70" t="s">
        <v>3890</v>
      </c>
      <c r="H70" t="s">
        <v>3984</v>
      </c>
      <c r="I70" t="s">
        <v>4002</v>
      </c>
      <c r="J70">
        <v>2</v>
      </c>
      <c r="K70">
        <v>52.970999999999997</v>
      </c>
      <c r="L70">
        <v>52.003</v>
      </c>
      <c r="M70">
        <v>51.097000000000001</v>
      </c>
      <c r="N70">
        <v>49.530999999999999</v>
      </c>
      <c r="O70">
        <v>47.933999999999997</v>
      </c>
      <c r="P70">
        <v>52.377000000000002</v>
      </c>
      <c r="Q70">
        <v>57.106000000000002</v>
      </c>
      <c r="R70">
        <v>62.192</v>
      </c>
      <c r="S70">
        <v>68.203999999999994</v>
      </c>
      <c r="T70">
        <v>75.305000000000007</v>
      </c>
      <c r="U70">
        <v>82.997</v>
      </c>
      <c r="V70">
        <v>91.238</v>
      </c>
      <c r="W70">
        <v>99.933000000000007</v>
      </c>
      <c r="X70">
        <v>109.08499999999999</v>
      </c>
      <c r="Y70">
        <v>118.654</v>
      </c>
      <c r="Z70">
        <v>128.72</v>
      </c>
      <c r="AA70">
        <v>139.267</v>
      </c>
      <c r="AB70">
        <v>150.30600000000001</v>
      </c>
      <c r="AC70">
        <v>161.84800000000001</v>
      </c>
      <c r="AD70">
        <v>173.791</v>
      </c>
    </row>
    <row r="71" spans="2:30" x14ac:dyDescent="0.25">
      <c r="B71" t="s">
        <v>133</v>
      </c>
      <c r="C71" t="s">
        <v>3256</v>
      </c>
      <c r="D71" t="s">
        <v>3334</v>
      </c>
      <c r="E71" t="s">
        <v>3335</v>
      </c>
      <c r="F71" t="s">
        <v>4075</v>
      </c>
      <c r="G71" t="s">
        <v>3890</v>
      </c>
      <c r="H71" t="s">
        <v>3984</v>
      </c>
      <c r="I71" t="s">
        <v>4002</v>
      </c>
      <c r="J71">
        <v>2</v>
      </c>
      <c r="K71">
        <v>15.803000000000001</v>
      </c>
      <c r="L71">
        <v>17.407</v>
      </c>
      <c r="M71">
        <v>21.786000000000001</v>
      </c>
      <c r="N71">
        <v>22.128</v>
      </c>
      <c r="O71">
        <v>18.048999999999999</v>
      </c>
      <c r="P71">
        <v>18.353999999999999</v>
      </c>
      <c r="Q71">
        <v>18.706</v>
      </c>
      <c r="R71">
        <v>19.038</v>
      </c>
      <c r="S71">
        <v>19.337</v>
      </c>
      <c r="T71">
        <v>19.640999999999998</v>
      </c>
      <c r="U71">
        <v>19.952999999999999</v>
      </c>
      <c r="V71">
        <v>20.273</v>
      </c>
      <c r="W71">
        <v>20.600999999999999</v>
      </c>
      <c r="X71">
        <v>20.943999999999999</v>
      </c>
      <c r="Y71">
        <v>21.295999999999999</v>
      </c>
      <c r="Z71">
        <v>21.678000000000001</v>
      </c>
      <c r="AA71">
        <v>22.062999999999999</v>
      </c>
      <c r="AB71">
        <v>22.452999999999999</v>
      </c>
      <c r="AC71">
        <v>22.846</v>
      </c>
      <c r="AD71">
        <v>23.242999999999999</v>
      </c>
    </row>
    <row r="72" spans="2:30" x14ac:dyDescent="0.25">
      <c r="B72" t="s">
        <v>133</v>
      </c>
      <c r="C72" t="s">
        <v>3256</v>
      </c>
      <c r="D72" t="s">
        <v>3310</v>
      </c>
      <c r="E72" t="s">
        <v>3311</v>
      </c>
      <c r="F72" t="s">
        <v>4076</v>
      </c>
      <c r="G72" t="s">
        <v>3890</v>
      </c>
      <c r="H72" t="s">
        <v>3984</v>
      </c>
      <c r="I72" t="s">
        <v>4002</v>
      </c>
      <c r="J72">
        <v>2</v>
      </c>
      <c r="K72">
        <v>59.633000000000003</v>
      </c>
      <c r="L72">
        <v>58.865000000000002</v>
      </c>
      <c r="M72">
        <v>69.37</v>
      </c>
      <c r="N72">
        <v>74.998999999999995</v>
      </c>
      <c r="O72">
        <v>63.695</v>
      </c>
      <c r="P72">
        <v>67.805999999999997</v>
      </c>
      <c r="Q72">
        <v>71.138999999999996</v>
      </c>
      <c r="R72">
        <v>74.108999999999995</v>
      </c>
      <c r="S72">
        <v>76.585999999999999</v>
      </c>
      <c r="T72">
        <v>79.022999999999996</v>
      </c>
      <c r="U72">
        <v>81.554000000000002</v>
      </c>
      <c r="V72">
        <v>84.182000000000002</v>
      </c>
      <c r="W72">
        <v>86.926000000000002</v>
      </c>
      <c r="X72">
        <v>89.826999999999998</v>
      </c>
      <c r="Y72">
        <v>92.858000000000004</v>
      </c>
      <c r="Z72">
        <v>96.013000000000005</v>
      </c>
      <c r="AA72">
        <v>99.256</v>
      </c>
      <c r="AB72">
        <v>102.586</v>
      </c>
      <c r="AC72">
        <v>106.008</v>
      </c>
      <c r="AD72">
        <v>109.52200000000001</v>
      </c>
    </row>
    <row r="73" spans="2:30" x14ac:dyDescent="0.25">
      <c r="B73" t="s">
        <v>133</v>
      </c>
      <c r="C73" t="s">
        <v>3256</v>
      </c>
      <c r="D73" t="s">
        <v>4077</v>
      </c>
      <c r="E73" t="s">
        <v>4078</v>
      </c>
      <c r="F73" t="s">
        <v>4079</v>
      </c>
      <c r="G73" t="s">
        <v>3890</v>
      </c>
      <c r="H73" t="s">
        <v>3984</v>
      </c>
      <c r="I73" t="s">
        <v>4002</v>
      </c>
      <c r="J73">
        <v>2</v>
      </c>
      <c r="K73">
        <v>0.29399999999999998</v>
      </c>
      <c r="L73">
        <v>0.26800000000000002</v>
      </c>
      <c r="M73">
        <v>0.317</v>
      </c>
      <c r="N73">
        <v>0.41699999999999998</v>
      </c>
      <c r="O73">
        <v>0.316</v>
      </c>
      <c r="P73">
        <v>0.376</v>
      </c>
      <c r="Q73">
        <v>0.39800000000000002</v>
      </c>
      <c r="R73">
        <v>0.40899999999999997</v>
      </c>
      <c r="S73">
        <v>0.41099999999999998</v>
      </c>
      <c r="T73">
        <v>0.41</v>
      </c>
      <c r="U73">
        <v>0.40899999999999997</v>
      </c>
      <c r="V73">
        <v>0.40799999999999997</v>
      </c>
      <c r="W73">
        <v>0.40600000000000003</v>
      </c>
      <c r="X73">
        <v>0.40500000000000003</v>
      </c>
      <c r="Y73">
        <v>0.40400000000000003</v>
      </c>
      <c r="Z73">
        <v>0.40300000000000002</v>
      </c>
      <c r="AA73">
        <v>0.40100000000000002</v>
      </c>
      <c r="AB73">
        <v>0.4</v>
      </c>
      <c r="AC73">
        <v>0.39900000000000002</v>
      </c>
      <c r="AD73">
        <v>0.39800000000000002</v>
      </c>
    </row>
    <row r="74" spans="2:30" x14ac:dyDescent="0.25">
      <c r="B74" t="s">
        <v>133</v>
      </c>
      <c r="C74" t="s">
        <v>3256</v>
      </c>
      <c r="D74" t="s">
        <v>4080</v>
      </c>
      <c r="E74" t="s">
        <v>4081</v>
      </c>
      <c r="F74" t="s">
        <v>4082</v>
      </c>
      <c r="G74" t="s">
        <v>3890</v>
      </c>
      <c r="H74" t="s">
        <v>4083</v>
      </c>
      <c r="I74" t="s">
        <v>4002</v>
      </c>
      <c r="J74" t="s">
        <v>4084</v>
      </c>
      <c r="K74">
        <v>0</v>
      </c>
      <c r="L74">
        <v>0</v>
      </c>
      <c r="M74">
        <v>0</v>
      </c>
      <c r="N74">
        <v>0</v>
      </c>
      <c r="O74">
        <v>-8.5999999999999993E-2</v>
      </c>
      <c r="P74">
        <v>-9.8000000000000004E-2</v>
      </c>
      <c r="Q74">
        <v>-8.8999999999999996E-2</v>
      </c>
      <c r="R74">
        <v>-8.7999999999999995E-2</v>
      </c>
      <c r="S74">
        <v>-8.6999999999999994E-2</v>
      </c>
      <c r="T74">
        <v>-8.8999999999999996E-2</v>
      </c>
      <c r="U74">
        <v>-0.09</v>
      </c>
      <c r="V74">
        <v>-9.0999999999999998E-2</v>
      </c>
      <c r="W74">
        <v>-9.0999999999999998E-2</v>
      </c>
      <c r="X74">
        <v>-0.09</v>
      </c>
      <c r="Y74">
        <v>-8.8999999999999996E-2</v>
      </c>
      <c r="Z74">
        <v>-8.7999999999999995E-2</v>
      </c>
      <c r="AA74">
        <v>-8.5999999999999993E-2</v>
      </c>
      <c r="AB74">
        <v>-8.4000000000000005E-2</v>
      </c>
      <c r="AC74">
        <v>-8.2000000000000003E-2</v>
      </c>
      <c r="AD74">
        <v>-7.9000000000000001E-2</v>
      </c>
    </row>
    <row r="75" spans="2:30" x14ac:dyDescent="0.25">
      <c r="B75" t="s">
        <v>133</v>
      </c>
      <c r="C75" t="s">
        <v>3256</v>
      </c>
      <c r="D75" t="s">
        <v>4085</v>
      </c>
      <c r="E75" t="s">
        <v>4086</v>
      </c>
      <c r="F75" t="s">
        <v>4087</v>
      </c>
      <c r="G75" t="s">
        <v>3890</v>
      </c>
      <c r="H75" t="s">
        <v>3984</v>
      </c>
      <c r="I75" t="s">
        <v>3985</v>
      </c>
      <c r="J75">
        <v>1</v>
      </c>
      <c r="K75">
        <v>400.91199999999998</v>
      </c>
      <c r="L75">
        <v>412.10500000000002</v>
      </c>
      <c r="M75">
        <v>450.92399999999998</v>
      </c>
      <c r="N75">
        <v>467.51499999999999</v>
      </c>
      <c r="O75">
        <v>473.64800000000002</v>
      </c>
      <c r="P75">
        <v>484.76299999999998</v>
      </c>
      <c r="Q75">
        <v>501.10399999999998</v>
      </c>
      <c r="R75">
        <v>518.13900000000001</v>
      </c>
      <c r="S75">
        <v>535.62300000000005</v>
      </c>
      <c r="T75">
        <v>555.04300000000001</v>
      </c>
      <c r="U75">
        <v>576.99900000000002</v>
      </c>
      <c r="V75">
        <v>601.28700000000003</v>
      </c>
      <c r="W75">
        <v>626.83100000000002</v>
      </c>
      <c r="X75">
        <v>653.74699999999996</v>
      </c>
      <c r="Y75">
        <v>682.01</v>
      </c>
      <c r="Z75">
        <v>711.827</v>
      </c>
      <c r="AA75">
        <v>743.30399999999997</v>
      </c>
      <c r="AB75">
        <v>776.60500000000002</v>
      </c>
      <c r="AC75">
        <v>811.92499999999995</v>
      </c>
      <c r="AD75">
        <v>848.15700000000004</v>
      </c>
    </row>
    <row r="76" spans="2:30" x14ac:dyDescent="0.25">
      <c r="B76" t="s">
        <v>133</v>
      </c>
      <c r="C76" t="s">
        <v>3256</v>
      </c>
      <c r="D76" t="s">
        <v>3340</v>
      </c>
      <c r="E76" t="s">
        <v>3341</v>
      </c>
      <c r="F76" t="s">
        <v>4001</v>
      </c>
      <c r="G76" t="s">
        <v>3890</v>
      </c>
      <c r="H76" t="s">
        <v>3984</v>
      </c>
      <c r="I76" t="s">
        <v>4002</v>
      </c>
      <c r="J76">
        <v>1</v>
      </c>
      <c r="K76">
        <v>307.637</v>
      </c>
      <c r="L76">
        <v>315.625</v>
      </c>
      <c r="M76">
        <v>350.60500000000002</v>
      </c>
      <c r="N76">
        <v>364.72300000000001</v>
      </c>
      <c r="O76">
        <v>369.17599999999999</v>
      </c>
      <c r="P76">
        <v>378.15499999999997</v>
      </c>
      <c r="Q76">
        <v>391.94499999999999</v>
      </c>
      <c r="R76">
        <v>406.36399999999998</v>
      </c>
      <c r="S76">
        <v>421.24599999999998</v>
      </c>
      <c r="T76">
        <v>437.51900000000001</v>
      </c>
      <c r="U76">
        <v>455.45699999999999</v>
      </c>
      <c r="V76">
        <v>475.30500000000001</v>
      </c>
      <c r="W76">
        <v>496.25400000000002</v>
      </c>
      <c r="X76">
        <v>518.41399999999999</v>
      </c>
      <c r="Y76">
        <v>541.75400000000002</v>
      </c>
      <c r="Z76">
        <v>566.47799999999995</v>
      </c>
      <c r="AA76">
        <v>592.68200000000002</v>
      </c>
      <c r="AB76">
        <v>620.52499999999998</v>
      </c>
      <c r="AC76">
        <v>650.19399999999996</v>
      </c>
      <c r="AD76">
        <v>680.58399999999995</v>
      </c>
    </row>
    <row r="77" spans="2:30" x14ac:dyDescent="0.25">
      <c r="B77" t="s">
        <v>133</v>
      </c>
      <c r="C77" t="s">
        <v>3256</v>
      </c>
      <c r="D77" t="s">
        <v>4088</v>
      </c>
      <c r="E77" t="s">
        <v>4089</v>
      </c>
      <c r="F77" t="s">
        <v>4090</v>
      </c>
      <c r="G77" t="s">
        <v>3890</v>
      </c>
      <c r="H77" t="s">
        <v>3984</v>
      </c>
      <c r="I77" t="s">
        <v>3985</v>
      </c>
      <c r="J77">
        <v>1</v>
      </c>
      <c r="K77">
        <v>53.088000000000001</v>
      </c>
      <c r="L77">
        <v>55.677999999999997</v>
      </c>
      <c r="M77">
        <v>56.591999999999999</v>
      </c>
      <c r="N77">
        <v>57.34</v>
      </c>
      <c r="O77">
        <v>58.082999999999998</v>
      </c>
      <c r="P77">
        <v>59.234000000000002</v>
      </c>
      <c r="Q77">
        <v>60.427999999999997</v>
      </c>
      <c r="R77">
        <v>61.667000000000002</v>
      </c>
      <c r="S77">
        <v>62.921999999999997</v>
      </c>
      <c r="T77">
        <v>64.748000000000005</v>
      </c>
      <c r="U77">
        <v>67.185000000000002</v>
      </c>
      <c r="V77">
        <v>69.716999999999999</v>
      </c>
      <c r="W77">
        <v>72.346999999999994</v>
      </c>
      <c r="X77">
        <v>75.078000000000003</v>
      </c>
      <c r="Y77">
        <v>77.915000000000006</v>
      </c>
      <c r="Z77">
        <v>80.858999999999995</v>
      </c>
      <c r="AA77">
        <v>83.917000000000002</v>
      </c>
      <c r="AB77">
        <v>87.093000000000004</v>
      </c>
      <c r="AC77">
        <v>90.39</v>
      </c>
      <c r="AD77">
        <v>93.814999999999998</v>
      </c>
    </row>
    <row r="78" spans="2:30" x14ac:dyDescent="0.25">
      <c r="B78" t="s">
        <v>133</v>
      </c>
      <c r="C78" t="s">
        <v>3256</v>
      </c>
      <c r="D78" t="s">
        <v>4091</v>
      </c>
      <c r="E78" t="s">
        <v>4092</v>
      </c>
      <c r="F78" t="s">
        <v>4093</v>
      </c>
      <c r="G78" t="s">
        <v>3890</v>
      </c>
      <c r="H78" t="s">
        <v>3984</v>
      </c>
      <c r="I78" t="s">
        <v>3985</v>
      </c>
      <c r="J78">
        <v>1</v>
      </c>
      <c r="K78">
        <v>28.488</v>
      </c>
      <c r="L78">
        <v>28.577000000000002</v>
      </c>
      <c r="M78">
        <v>29.32</v>
      </c>
      <c r="N78">
        <v>29.875</v>
      </c>
      <c r="O78">
        <v>30.367999999999999</v>
      </c>
      <c r="P78">
        <v>30.834</v>
      </c>
      <c r="Q78">
        <v>31.558</v>
      </c>
      <c r="R78">
        <v>32.325000000000003</v>
      </c>
      <c r="S78">
        <v>33.095999999999997</v>
      </c>
      <c r="T78">
        <v>33.832000000000001</v>
      </c>
      <c r="U78">
        <v>34.822000000000003</v>
      </c>
      <c r="V78">
        <v>36.127000000000002</v>
      </c>
      <c r="W78">
        <v>37.479999999999997</v>
      </c>
      <c r="X78">
        <v>38.883000000000003</v>
      </c>
      <c r="Y78">
        <v>40.335999999999999</v>
      </c>
      <c r="Z78">
        <v>41.841999999999999</v>
      </c>
      <c r="AA78">
        <v>43.404000000000003</v>
      </c>
      <c r="AB78">
        <v>45.023000000000003</v>
      </c>
      <c r="AC78">
        <v>46.703000000000003</v>
      </c>
      <c r="AD78">
        <v>48.438000000000002</v>
      </c>
    </row>
    <row r="79" spans="2:30" x14ac:dyDescent="0.25">
      <c r="B79" t="s">
        <v>133</v>
      </c>
      <c r="C79" t="s">
        <v>3256</v>
      </c>
      <c r="D79" t="s">
        <v>4094</v>
      </c>
      <c r="E79" t="s">
        <v>4095</v>
      </c>
      <c r="F79" t="s">
        <v>4096</v>
      </c>
      <c r="G79" t="s">
        <v>3890</v>
      </c>
      <c r="H79" t="s">
        <v>3984</v>
      </c>
      <c r="I79" t="s">
        <v>3985</v>
      </c>
      <c r="J79">
        <v>1</v>
      </c>
      <c r="K79">
        <v>11.699</v>
      </c>
      <c r="L79">
        <v>12.225</v>
      </c>
      <c r="M79">
        <v>14.407</v>
      </c>
      <c r="N79">
        <v>15.576000000000001</v>
      </c>
      <c r="O79">
        <v>16.02</v>
      </c>
      <c r="P79">
        <v>16.54</v>
      </c>
      <c r="Q79">
        <v>17.172000000000001</v>
      </c>
      <c r="R79">
        <v>17.782</v>
      </c>
      <c r="S79">
        <v>18.359000000000002</v>
      </c>
      <c r="T79">
        <v>18.943999999999999</v>
      </c>
      <c r="U79">
        <v>19.535</v>
      </c>
      <c r="V79">
        <v>20.137</v>
      </c>
      <c r="W79">
        <v>20.748999999999999</v>
      </c>
      <c r="X79">
        <v>21.372</v>
      </c>
      <c r="Y79">
        <v>22.004999999999999</v>
      </c>
      <c r="Z79">
        <v>22.648</v>
      </c>
      <c r="AA79">
        <v>23.300999999999998</v>
      </c>
      <c r="AB79">
        <v>23.965</v>
      </c>
      <c r="AC79">
        <v>24.638000000000002</v>
      </c>
      <c r="AD79">
        <v>25.321000000000002</v>
      </c>
    </row>
    <row r="80" spans="2:30" x14ac:dyDescent="0.25">
      <c r="B80" t="s">
        <v>133</v>
      </c>
      <c r="C80" t="s">
        <v>3256</v>
      </c>
      <c r="D80" t="s">
        <v>4097</v>
      </c>
      <c r="E80" t="s">
        <v>4098</v>
      </c>
      <c r="F80" t="s">
        <v>4099</v>
      </c>
      <c r="G80" t="s">
        <v>3890</v>
      </c>
      <c r="H80" t="s">
        <v>3984</v>
      </c>
      <c r="I80" t="s">
        <v>3985</v>
      </c>
      <c r="J80">
        <v>2</v>
      </c>
      <c r="K80">
        <v>400.91199999999998</v>
      </c>
      <c r="L80">
        <v>411.97300000000001</v>
      </c>
      <c r="M80">
        <v>450.79599999999999</v>
      </c>
      <c r="N80">
        <v>467.39</v>
      </c>
      <c r="O80">
        <v>438.85899999999998</v>
      </c>
      <c r="P80">
        <v>444.81900000000002</v>
      </c>
      <c r="Q80">
        <v>463.596</v>
      </c>
      <c r="R80">
        <v>479.44400000000002</v>
      </c>
      <c r="S80">
        <v>496.02800000000002</v>
      </c>
      <c r="T80">
        <v>513.03</v>
      </c>
      <c r="U80">
        <v>532.99699999999996</v>
      </c>
      <c r="V80">
        <v>555.06399999999996</v>
      </c>
      <c r="W80">
        <v>578.65800000000002</v>
      </c>
      <c r="X80">
        <v>603.78800000000001</v>
      </c>
      <c r="Y80">
        <v>630.452</v>
      </c>
      <c r="Z80">
        <v>658.91800000000001</v>
      </c>
      <c r="AA80">
        <v>689.16499999999996</v>
      </c>
      <c r="AB80">
        <v>721.37900000000002</v>
      </c>
      <c r="AC80">
        <v>755.86800000000005</v>
      </c>
      <c r="AD80">
        <v>791.33399999999995</v>
      </c>
    </row>
    <row r="81" spans="2:30" x14ac:dyDescent="0.25">
      <c r="B81" t="s">
        <v>133</v>
      </c>
      <c r="C81" t="s">
        <v>3256</v>
      </c>
      <c r="D81" t="s">
        <v>3346</v>
      </c>
      <c r="E81" t="s">
        <v>3347</v>
      </c>
      <c r="F81" t="s">
        <v>4050</v>
      </c>
      <c r="G81" t="s">
        <v>3890</v>
      </c>
      <c r="H81" t="s">
        <v>3984</v>
      </c>
      <c r="I81" t="s">
        <v>4002</v>
      </c>
      <c r="J81">
        <v>2</v>
      </c>
      <c r="K81">
        <v>307.637</v>
      </c>
      <c r="L81">
        <v>315.49299999999999</v>
      </c>
      <c r="M81">
        <v>350.47699999999998</v>
      </c>
      <c r="N81">
        <v>364.59800000000001</v>
      </c>
      <c r="O81">
        <v>337.55099999999999</v>
      </c>
      <c r="P81">
        <v>341.053</v>
      </c>
      <c r="Q81">
        <v>357.197</v>
      </c>
      <c r="R81">
        <v>370.43700000000001</v>
      </c>
      <c r="S81">
        <v>384.488</v>
      </c>
      <c r="T81">
        <v>398.44400000000002</v>
      </c>
      <c r="U81">
        <v>414.47</v>
      </c>
      <c r="V81">
        <v>432.16199999999998</v>
      </c>
      <c r="W81">
        <v>451.21</v>
      </c>
      <c r="X81">
        <v>471.60599999999999</v>
      </c>
      <c r="Y81">
        <v>493.346</v>
      </c>
      <c r="Z81">
        <v>516.702</v>
      </c>
      <c r="AA81">
        <v>541.65099999999995</v>
      </c>
      <c r="AB81">
        <v>568.37800000000004</v>
      </c>
      <c r="AC81">
        <v>597.17700000000002</v>
      </c>
      <c r="AD81">
        <v>626.75</v>
      </c>
    </row>
    <row r="82" spans="2:30" x14ac:dyDescent="0.25">
      <c r="B82" t="s">
        <v>133</v>
      </c>
      <c r="C82" t="s">
        <v>3256</v>
      </c>
      <c r="D82" t="s">
        <v>4100</v>
      </c>
      <c r="E82" t="s">
        <v>4101</v>
      </c>
      <c r="F82" t="s">
        <v>4102</v>
      </c>
      <c r="G82" t="s">
        <v>3890</v>
      </c>
      <c r="H82" t="s">
        <v>3984</v>
      </c>
      <c r="I82" t="s">
        <v>3985</v>
      </c>
      <c r="J82">
        <v>2</v>
      </c>
      <c r="K82">
        <v>53.088000000000001</v>
      </c>
      <c r="L82">
        <v>55.677999999999997</v>
      </c>
      <c r="M82">
        <v>56.591999999999999</v>
      </c>
      <c r="N82">
        <v>57.34</v>
      </c>
      <c r="O82">
        <v>58.042000000000002</v>
      </c>
      <c r="P82">
        <v>59.191000000000003</v>
      </c>
      <c r="Q82">
        <v>60.39</v>
      </c>
      <c r="R82">
        <v>61.624000000000002</v>
      </c>
      <c r="S82">
        <v>62.88</v>
      </c>
      <c r="T82">
        <v>64.701999999999998</v>
      </c>
      <c r="U82">
        <v>67.138999999999996</v>
      </c>
      <c r="V82">
        <v>69.674000000000007</v>
      </c>
      <c r="W82">
        <v>72.305999999999997</v>
      </c>
      <c r="X82">
        <v>75.040000000000006</v>
      </c>
      <c r="Y82">
        <v>77.882000000000005</v>
      </c>
      <c r="Z82">
        <v>80.831000000000003</v>
      </c>
      <c r="AA82">
        <v>83.893000000000001</v>
      </c>
      <c r="AB82">
        <v>87.070999999999998</v>
      </c>
      <c r="AC82">
        <v>90.370999999999995</v>
      </c>
      <c r="AD82">
        <v>93.798000000000002</v>
      </c>
    </row>
    <row r="83" spans="2:30" x14ac:dyDescent="0.25">
      <c r="B83" t="s">
        <v>133</v>
      </c>
      <c r="C83" t="s">
        <v>3256</v>
      </c>
      <c r="D83" t="s">
        <v>4103</v>
      </c>
      <c r="E83" t="s">
        <v>4104</v>
      </c>
      <c r="F83" t="s">
        <v>4105</v>
      </c>
      <c r="G83" t="s">
        <v>3890</v>
      </c>
      <c r="H83" t="s">
        <v>3984</v>
      </c>
      <c r="I83" t="s">
        <v>3985</v>
      </c>
      <c r="J83">
        <v>2</v>
      </c>
      <c r="K83">
        <v>28.488</v>
      </c>
      <c r="L83">
        <v>28.577000000000002</v>
      </c>
      <c r="M83">
        <v>29.321000000000002</v>
      </c>
      <c r="N83">
        <v>29.876000000000001</v>
      </c>
      <c r="O83">
        <v>30.038</v>
      </c>
      <c r="P83">
        <v>30.492999999999999</v>
      </c>
      <c r="Q83">
        <v>31.234999999999999</v>
      </c>
      <c r="R83">
        <v>31.991</v>
      </c>
      <c r="S83">
        <v>32.755000000000003</v>
      </c>
      <c r="T83">
        <v>33.472000000000001</v>
      </c>
      <c r="U83">
        <v>34.450000000000003</v>
      </c>
      <c r="V83">
        <v>35.746000000000002</v>
      </c>
      <c r="W83">
        <v>37.090000000000003</v>
      </c>
      <c r="X83">
        <v>38.487000000000002</v>
      </c>
      <c r="Y83">
        <v>39.939</v>
      </c>
      <c r="Z83">
        <v>41.445</v>
      </c>
      <c r="AA83">
        <v>43.006</v>
      </c>
      <c r="AB83">
        <v>44.624000000000002</v>
      </c>
      <c r="AC83">
        <v>46.302999999999997</v>
      </c>
      <c r="AD83">
        <v>48.039000000000001</v>
      </c>
    </row>
    <row r="84" spans="2:30" x14ac:dyDescent="0.25">
      <c r="B84" t="s">
        <v>133</v>
      </c>
      <c r="C84" t="s">
        <v>3256</v>
      </c>
      <c r="D84" t="s">
        <v>4106</v>
      </c>
      <c r="E84" t="s">
        <v>4107</v>
      </c>
      <c r="F84" t="s">
        <v>4108</v>
      </c>
      <c r="G84" t="s">
        <v>3890</v>
      </c>
      <c r="H84" t="s">
        <v>3984</v>
      </c>
      <c r="I84" t="s">
        <v>3985</v>
      </c>
      <c r="J84">
        <v>2</v>
      </c>
      <c r="K84">
        <v>11.699</v>
      </c>
      <c r="L84">
        <v>12.225</v>
      </c>
      <c r="M84">
        <v>14.407</v>
      </c>
      <c r="N84">
        <v>15.576000000000001</v>
      </c>
      <c r="O84">
        <v>13.228</v>
      </c>
      <c r="P84">
        <v>14.082000000000001</v>
      </c>
      <c r="Q84">
        <v>14.773999999999999</v>
      </c>
      <c r="R84">
        <v>15.391</v>
      </c>
      <c r="S84">
        <v>15.906000000000001</v>
      </c>
      <c r="T84">
        <v>16.411999999999999</v>
      </c>
      <c r="U84">
        <v>16.937000000000001</v>
      </c>
      <c r="V84">
        <v>17.483000000000001</v>
      </c>
      <c r="W84">
        <v>18.053000000000001</v>
      </c>
      <c r="X84">
        <v>18.655000000000001</v>
      </c>
      <c r="Y84">
        <v>19.285</v>
      </c>
      <c r="Z84">
        <v>19.940000000000001</v>
      </c>
      <c r="AA84">
        <v>20.614000000000001</v>
      </c>
      <c r="AB84">
        <v>21.305</v>
      </c>
      <c r="AC84">
        <v>22.015999999999998</v>
      </c>
      <c r="AD84">
        <v>22.745999999999999</v>
      </c>
    </row>
    <row r="85" spans="2:30" x14ac:dyDescent="0.25">
      <c r="B85" t="s">
        <v>133</v>
      </c>
      <c r="C85" t="s">
        <v>3256</v>
      </c>
      <c r="D85" t="s">
        <v>4109</v>
      </c>
      <c r="E85" t="s">
        <v>4110</v>
      </c>
      <c r="F85" t="s">
        <v>4111</v>
      </c>
      <c r="G85" t="s">
        <v>3890</v>
      </c>
      <c r="H85" t="s">
        <v>3984</v>
      </c>
      <c r="I85" t="s">
        <v>3985</v>
      </c>
      <c r="J85">
        <v>1</v>
      </c>
      <c r="K85">
        <v>53.088000000000001</v>
      </c>
      <c r="L85">
        <v>55.677999999999997</v>
      </c>
      <c r="M85">
        <v>56.591999999999999</v>
      </c>
      <c r="N85">
        <v>57.34</v>
      </c>
      <c r="O85">
        <v>58.082999999999998</v>
      </c>
      <c r="P85">
        <v>59.234000000000002</v>
      </c>
      <c r="Q85">
        <v>60.427999999999997</v>
      </c>
      <c r="R85">
        <v>61.667000000000002</v>
      </c>
      <c r="S85">
        <v>62.921999999999997</v>
      </c>
      <c r="T85">
        <v>64.748000000000005</v>
      </c>
      <c r="U85">
        <v>67.185000000000002</v>
      </c>
      <c r="V85">
        <v>69.716999999999999</v>
      </c>
      <c r="W85">
        <v>72.346999999999994</v>
      </c>
      <c r="X85">
        <v>75.078000000000003</v>
      </c>
      <c r="Y85">
        <v>77.915000000000006</v>
      </c>
      <c r="Z85">
        <v>80.858999999999995</v>
      </c>
      <c r="AA85">
        <v>83.917000000000002</v>
      </c>
      <c r="AB85">
        <v>87.093000000000004</v>
      </c>
      <c r="AC85">
        <v>90.39</v>
      </c>
      <c r="AD85">
        <v>93.814999999999998</v>
      </c>
    </row>
    <row r="86" spans="2:30" x14ac:dyDescent="0.25">
      <c r="B86" t="s">
        <v>133</v>
      </c>
      <c r="C86" t="s">
        <v>3256</v>
      </c>
      <c r="D86" t="s">
        <v>4112</v>
      </c>
      <c r="E86" t="s">
        <v>4113</v>
      </c>
      <c r="F86" t="s">
        <v>4114</v>
      </c>
      <c r="G86" t="s">
        <v>3890</v>
      </c>
      <c r="H86" t="s">
        <v>3984</v>
      </c>
      <c r="I86" t="s">
        <v>3985</v>
      </c>
      <c r="J86">
        <v>1</v>
      </c>
      <c r="K86">
        <v>53.088000000000001</v>
      </c>
      <c r="L86">
        <v>55.677999999999997</v>
      </c>
      <c r="M86">
        <v>56.591999999999999</v>
      </c>
      <c r="N86">
        <v>57.34</v>
      </c>
      <c r="O86">
        <v>58.082999999999998</v>
      </c>
      <c r="P86">
        <v>59.234000000000002</v>
      </c>
      <c r="Q86">
        <v>60.427999999999997</v>
      </c>
      <c r="R86">
        <v>61.667000000000002</v>
      </c>
      <c r="S86">
        <v>62.921999999999997</v>
      </c>
      <c r="T86">
        <v>64.748000000000005</v>
      </c>
      <c r="U86">
        <v>67.185000000000002</v>
      </c>
      <c r="V86">
        <v>69.716999999999999</v>
      </c>
      <c r="W86">
        <v>72.346999999999994</v>
      </c>
      <c r="X86">
        <v>75.078000000000003</v>
      </c>
      <c r="Y86">
        <v>77.915000000000006</v>
      </c>
      <c r="Z86">
        <v>80.858999999999995</v>
      </c>
      <c r="AA86">
        <v>83.917000000000002</v>
      </c>
      <c r="AB86">
        <v>87.093000000000004</v>
      </c>
      <c r="AC86">
        <v>90.39</v>
      </c>
      <c r="AD86">
        <v>93.814999999999998</v>
      </c>
    </row>
    <row r="87" spans="2:30" x14ac:dyDescent="0.25">
      <c r="B87" t="s">
        <v>133</v>
      </c>
      <c r="C87" t="s">
        <v>3256</v>
      </c>
      <c r="D87" t="s">
        <v>4115</v>
      </c>
      <c r="E87" t="s">
        <v>4116</v>
      </c>
      <c r="F87" t="s">
        <v>4117</v>
      </c>
      <c r="G87" t="s">
        <v>3890</v>
      </c>
      <c r="H87" t="s">
        <v>3984</v>
      </c>
      <c r="I87" t="s">
        <v>3985</v>
      </c>
      <c r="J87">
        <v>1</v>
      </c>
      <c r="K87">
        <v>1.9179999999999999</v>
      </c>
      <c r="L87">
        <v>1.9239999999999999</v>
      </c>
      <c r="M87">
        <v>1.95</v>
      </c>
      <c r="N87">
        <v>1.9530000000000001</v>
      </c>
      <c r="O87">
        <v>1.9530000000000001</v>
      </c>
      <c r="P87">
        <v>1.9550000000000001</v>
      </c>
      <c r="Q87">
        <v>1.9590000000000001</v>
      </c>
      <c r="R87">
        <v>1.9630000000000001</v>
      </c>
      <c r="S87">
        <v>1.9670000000000001</v>
      </c>
      <c r="T87">
        <v>1.9710000000000001</v>
      </c>
      <c r="U87">
        <v>1.96</v>
      </c>
      <c r="V87">
        <v>1.95</v>
      </c>
      <c r="W87">
        <v>1.9410000000000001</v>
      </c>
      <c r="X87">
        <v>1.931</v>
      </c>
      <c r="Y87">
        <v>1.9219999999999999</v>
      </c>
      <c r="Z87">
        <v>1.913</v>
      </c>
      <c r="AA87">
        <v>1.903</v>
      </c>
      <c r="AB87">
        <v>1.895</v>
      </c>
      <c r="AC87">
        <v>1.887</v>
      </c>
      <c r="AD87">
        <v>1.879</v>
      </c>
    </row>
    <row r="88" spans="2:30" x14ac:dyDescent="0.25">
      <c r="B88" t="s">
        <v>133</v>
      </c>
      <c r="C88" t="s">
        <v>3256</v>
      </c>
      <c r="D88" t="s">
        <v>4118</v>
      </c>
      <c r="E88" t="s">
        <v>4119</v>
      </c>
      <c r="F88" t="s">
        <v>4120</v>
      </c>
      <c r="G88" t="s">
        <v>3890</v>
      </c>
      <c r="H88" t="s">
        <v>3984</v>
      </c>
      <c r="I88" t="s">
        <v>3985</v>
      </c>
      <c r="J88">
        <v>1</v>
      </c>
      <c r="K88">
        <v>0.16600000000000001</v>
      </c>
      <c r="L88">
        <v>0.16600000000000001</v>
      </c>
      <c r="M88">
        <v>0.19500000000000001</v>
      </c>
      <c r="N88">
        <v>0.21099999999999999</v>
      </c>
      <c r="O88">
        <v>0.217</v>
      </c>
      <c r="P88">
        <v>0.224</v>
      </c>
      <c r="Q88">
        <v>0.23300000000000001</v>
      </c>
      <c r="R88">
        <v>0.24099999999999999</v>
      </c>
      <c r="S88">
        <v>0.249</v>
      </c>
      <c r="T88">
        <v>0.25700000000000001</v>
      </c>
      <c r="U88">
        <v>0.26500000000000001</v>
      </c>
      <c r="V88">
        <v>0.27300000000000002</v>
      </c>
      <c r="W88">
        <v>0.28199999999999997</v>
      </c>
      <c r="X88">
        <v>0.28999999999999998</v>
      </c>
      <c r="Y88">
        <v>0.29899999999999999</v>
      </c>
      <c r="Z88">
        <v>0.307</v>
      </c>
      <c r="AA88">
        <v>0.316</v>
      </c>
      <c r="AB88">
        <v>0.32500000000000001</v>
      </c>
      <c r="AC88">
        <v>0.33400000000000002</v>
      </c>
      <c r="AD88">
        <v>0.34399999999999997</v>
      </c>
    </row>
    <row r="89" spans="2:30" x14ac:dyDescent="0.25">
      <c r="B89" t="s">
        <v>133</v>
      </c>
      <c r="C89" t="s">
        <v>3256</v>
      </c>
      <c r="D89" t="s">
        <v>4121</v>
      </c>
      <c r="E89" t="s">
        <v>4122</v>
      </c>
      <c r="F89" t="s">
        <v>4123</v>
      </c>
      <c r="G89" t="s">
        <v>3890</v>
      </c>
      <c r="H89" t="s">
        <v>3984</v>
      </c>
      <c r="I89" t="s">
        <v>3985</v>
      </c>
      <c r="J89">
        <v>1</v>
      </c>
      <c r="K89">
        <v>15.788</v>
      </c>
      <c r="L89">
        <v>17.709</v>
      </c>
      <c r="M89">
        <v>18.013999999999999</v>
      </c>
      <c r="N89">
        <v>18.257999999999999</v>
      </c>
      <c r="O89">
        <v>18.544</v>
      </c>
      <c r="P89">
        <v>18.939</v>
      </c>
      <c r="Q89">
        <v>19.359000000000002</v>
      </c>
      <c r="R89">
        <v>19.808</v>
      </c>
      <c r="S89">
        <v>20.257999999999999</v>
      </c>
      <c r="T89">
        <v>20.86</v>
      </c>
      <c r="U89">
        <v>21.634</v>
      </c>
      <c r="V89">
        <v>22.434999999999999</v>
      </c>
      <c r="W89">
        <v>23.263999999999999</v>
      </c>
      <c r="X89">
        <v>24.122</v>
      </c>
      <c r="Y89">
        <v>25.009</v>
      </c>
      <c r="Z89">
        <v>25.927</v>
      </c>
      <c r="AA89">
        <v>26.876999999999999</v>
      </c>
      <c r="AB89">
        <v>27.859000000000002</v>
      </c>
      <c r="AC89">
        <v>28.875</v>
      </c>
      <c r="AD89">
        <v>29.925999999999998</v>
      </c>
    </row>
    <row r="90" spans="2:30" x14ac:dyDescent="0.25">
      <c r="B90" t="s">
        <v>133</v>
      </c>
      <c r="C90" t="s">
        <v>3256</v>
      </c>
      <c r="D90" t="s">
        <v>4124</v>
      </c>
      <c r="E90" t="s">
        <v>4125</v>
      </c>
      <c r="F90" t="s">
        <v>4126</v>
      </c>
      <c r="G90" t="s">
        <v>3890</v>
      </c>
      <c r="H90" t="s">
        <v>3984</v>
      </c>
      <c r="I90" t="s">
        <v>3985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2:30" x14ac:dyDescent="0.25">
      <c r="B91" t="s">
        <v>133</v>
      </c>
      <c r="C91" t="s">
        <v>3256</v>
      </c>
      <c r="D91" t="s">
        <v>4127</v>
      </c>
      <c r="E91" t="s">
        <v>4128</v>
      </c>
      <c r="F91" t="s">
        <v>4129</v>
      </c>
      <c r="G91" t="s">
        <v>3890</v>
      </c>
      <c r="H91" t="s">
        <v>3984</v>
      </c>
      <c r="I91" t="s">
        <v>3985</v>
      </c>
      <c r="J91">
        <v>1</v>
      </c>
      <c r="K91">
        <v>35.125999999999998</v>
      </c>
      <c r="L91">
        <v>35.771999999999998</v>
      </c>
      <c r="M91">
        <v>36.325000000000003</v>
      </c>
      <c r="N91">
        <v>36.808</v>
      </c>
      <c r="O91">
        <v>37.256999999999998</v>
      </c>
      <c r="P91">
        <v>38.002000000000002</v>
      </c>
      <c r="Q91">
        <v>38.762</v>
      </c>
      <c r="R91">
        <v>39.537999999999997</v>
      </c>
      <c r="S91">
        <v>40.328000000000003</v>
      </c>
      <c r="T91">
        <v>41.537999999999997</v>
      </c>
      <c r="U91">
        <v>43.2</v>
      </c>
      <c r="V91">
        <v>44.927999999999997</v>
      </c>
      <c r="W91">
        <v>46.725000000000001</v>
      </c>
      <c r="X91">
        <v>48.594000000000001</v>
      </c>
      <c r="Y91">
        <v>50.536999999999999</v>
      </c>
      <c r="Z91">
        <v>52.558999999999997</v>
      </c>
      <c r="AA91">
        <v>54.661000000000001</v>
      </c>
      <c r="AB91">
        <v>56.847999999999999</v>
      </c>
      <c r="AC91">
        <v>59.122</v>
      </c>
      <c r="AD91">
        <v>61.487000000000002</v>
      </c>
    </row>
    <row r="92" spans="2:30" x14ac:dyDescent="0.25">
      <c r="B92" t="s">
        <v>133</v>
      </c>
      <c r="C92" t="s">
        <v>3256</v>
      </c>
      <c r="D92" t="s">
        <v>4130</v>
      </c>
      <c r="E92" t="s">
        <v>4131</v>
      </c>
      <c r="F92" t="s">
        <v>4132</v>
      </c>
      <c r="G92" t="s">
        <v>3890</v>
      </c>
      <c r="H92" t="s">
        <v>3984</v>
      </c>
      <c r="I92" t="s">
        <v>3985</v>
      </c>
      <c r="J92">
        <v>1</v>
      </c>
      <c r="K92">
        <v>8.8999999999999996E-2</v>
      </c>
      <c r="L92">
        <v>0.107</v>
      </c>
      <c r="M92">
        <v>0.108</v>
      </c>
      <c r="N92">
        <v>0.11</v>
      </c>
      <c r="O92">
        <v>0.112</v>
      </c>
      <c r="P92">
        <v>0.113</v>
      </c>
      <c r="Q92">
        <v>0.115</v>
      </c>
      <c r="R92">
        <v>0.11700000000000001</v>
      </c>
      <c r="S92">
        <v>0.12</v>
      </c>
      <c r="T92">
        <v>0.122</v>
      </c>
      <c r="U92">
        <v>0.126</v>
      </c>
      <c r="V92">
        <v>0.13100000000000001</v>
      </c>
      <c r="W92">
        <v>0.13600000000000001</v>
      </c>
      <c r="X92">
        <v>0.14199999999999999</v>
      </c>
      <c r="Y92">
        <v>0.14699999999999999</v>
      </c>
      <c r="Z92">
        <v>0.153</v>
      </c>
      <c r="AA92">
        <v>0.159</v>
      </c>
      <c r="AB92">
        <v>0.16600000000000001</v>
      </c>
      <c r="AC92">
        <v>0.17199999999999999</v>
      </c>
      <c r="AD92">
        <v>0.17899999999999999</v>
      </c>
    </row>
    <row r="93" spans="2:30" x14ac:dyDescent="0.25">
      <c r="B93" t="s">
        <v>133</v>
      </c>
      <c r="C93" t="s">
        <v>3256</v>
      </c>
      <c r="D93" t="s">
        <v>4133</v>
      </c>
      <c r="E93" t="s">
        <v>4134</v>
      </c>
      <c r="F93" t="s">
        <v>4135</v>
      </c>
      <c r="G93" t="s">
        <v>3890</v>
      </c>
      <c r="H93" t="s">
        <v>3984</v>
      </c>
      <c r="I93" t="s">
        <v>3985</v>
      </c>
      <c r="J93">
        <v>1</v>
      </c>
      <c r="K93">
        <v>20.780999999999999</v>
      </c>
      <c r="L93">
        <v>20.295000000000002</v>
      </c>
      <c r="M93">
        <v>22.867000000000001</v>
      </c>
      <c r="N93">
        <v>23.742999999999999</v>
      </c>
      <c r="O93">
        <v>23.936</v>
      </c>
      <c r="P93">
        <v>24.553000000000001</v>
      </c>
      <c r="Q93">
        <v>25.548999999999999</v>
      </c>
      <c r="R93">
        <v>26.611000000000001</v>
      </c>
      <c r="S93">
        <v>27.728000000000002</v>
      </c>
      <c r="T93">
        <v>28.975000000000001</v>
      </c>
      <c r="U93">
        <v>30.308</v>
      </c>
      <c r="V93">
        <v>31.744</v>
      </c>
      <c r="W93">
        <v>33.271000000000001</v>
      </c>
      <c r="X93">
        <v>34.902000000000001</v>
      </c>
      <c r="Y93">
        <v>36.631</v>
      </c>
      <c r="Z93">
        <v>38.478999999999999</v>
      </c>
      <c r="AA93">
        <v>40.454999999999998</v>
      </c>
      <c r="AB93">
        <v>42.573</v>
      </c>
      <c r="AC93">
        <v>44.850999999999999</v>
      </c>
      <c r="AD93">
        <v>47.180999999999997</v>
      </c>
    </row>
    <row r="94" spans="2:30" x14ac:dyDescent="0.25">
      <c r="B94" t="s">
        <v>133</v>
      </c>
      <c r="C94" t="s">
        <v>3256</v>
      </c>
      <c r="D94" t="s">
        <v>4136</v>
      </c>
      <c r="E94" t="s">
        <v>4137</v>
      </c>
      <c r="F94" t="s">
        <v>4138</v>
      </c>
      <c r="G94" t="s">
        <v>3890</v>
      </c>
      <c r="H94" t="s">
        <v>3984</v>
      </c>
      <c r="I94" t="s">
        <v>3985</v>
      </c>
      <c r="J94">
        <v>2</v>
      </c>
      <c r="K94">
        <v>53.088000000000001</v>
      </c>
      <c r="L94">
        <v>55.677999999999997</v>
      </c>
      <c r="M94">
        <v>56.591999999999999</v>
      </c>
      <c r="N94">
        <v>57.34</v>
      </c>
      <c r="O94">
        <v>58.042000000000002</v>
      </c>
      <c r="P94">
        <v>59.191000000000003</v>
      </c>
      <c r="Q94">
        <v>60.39</v>
      </c>
      <c r="R94">
        <v>61.624000000000002</v>
      </c>
      <c r="S94">
        <v>62.88</v>
      </c>
      <c r="T94">
        <v>64.701999999999998</v>
      </c>
      <c r="U94">
        <v>67.138999999999996</v>
      </c>
      <c r="V94">
        <v>69.674000000000007</v>
      </c>
      <c r="W94">
        <v>72.305999999999997</v>
      </c>
      <c r="X94">
        <v>75.040000000000006</v>
      </c>
      <c r="Y94">
        <v>77.882000000000005</v>
      </c>
      <c r="Z94">
        <v>80.831000000000003</v>
      </c>
      <c r="AA94">
        <v>83.893000000000001</v>
      </c>
      <c r="AB94">
        <v>87.070999999999998</v>
      </c>
      <c r="AC94">
        <v>90.370999999999995</v>
      </c>
      <c r="AD94">
        <v>93.798000000000002</v>
      </c>
    </row>
    <row r="95" spans="2:30" x14ac:dyDescent="0.25">
      <c r="B95" t="s">
        <v>133</v>
      </c>
      <c r="C95" t="s">
        <v>3256</v>
      </c>
      <c r="D95" t="s">
        <v>4139</v>
      </c>
      <c r="E95" t="s">
        <v>4140</v>
      </c>
      <c r="F95" t="s">
        <v>4141</v>
      </c>
      <c r="G95" t="s">
        <v>3890</v>
      </c>
      <c r="H95" t="s">
        <v>3984</v>
      </c>
      <c r="I95" t="s">
        <v>3985</v>
      </c>
      <c r="J95">
        <v>2</v>
      </c>
      <c r="K95">
        <v>53.088000000000001</v>
      </c>
      <c r="L95">
        <v>55.677999999999997</v>
      </c>
      <c r="M95">
        <v>56.591999999999999</v>
      </c>
      <c r="N95">
        <v>57.34</v>
      </c>
      <c r="O95">
        <v>58.042000000000002</v>
      </c>
      <c r="P95">
        <v>59.191000000000003</v>
      </c>
      <c r="Q95">
        <v>60.39</v>
      </c>
      <c r="R95">
        <v>61.624000000000002</v>
      </c>
      <c r="S95">
        <v>62.88</v>
      </c>
      <c r="T95">
        <v>64.701999999999998</v>
      </c>
      <c r="U95">
        <v>67.138999999999996</v>
      </c>
      <c r="V95">
        <v>69.674000000000007</v>
      </c>
      <c r="W95">
        <v>72.305999999999997</v>
      </c>
      <c r="X95">
        <v>75.040000000000006</v>
      </c>
      <c r="Y95">
        <v>77.882000000000005</v>
      </c>
      <c r="Z95">
        <v>80.831000000000003</v>
      </c>
      <c r="AA95">
        <v>83.893000000000001</v>
      </c>
      <c r="AB95">
        <v>87.070999999999998</v>
      </c>
      <c r="AC95">
        <v>90.370999999999995</v>
      </c>
      <c r="AD95">
        <v>93.798000000000002</v>
      </c>
    </row>
    <row r="96" spans="2:30" x14ac:dyDescent="0.25">
      <c r="B96" t="s">
        <v>133</v>
      </c>
      <c r="C96" t="s">
        <v>3256</v>
      </c>
      <c r="D96" t="s">
        <v>4142</v>
      </c>
      <c r="E96" t="s">
        <v>4143</v>
      </c>
      <c r="F96" t="s">
        <v>4144</v>
      </c>
      <c r="G96" t="s">
        <v>3890</v>
      </c>
      <c r="H96" t="s">
        <v>3984</v>
      </c>
      <c r="I96" t="s">
        <v>3985</v>
      </c>
      <c r="J96">
        <v>2</v>
      </c>
      <c r="K96">
        <v>1.9179999999999999</v>
      </c>
      <c r="L96">
        <v>1.9239999999999999</v>
      </c>
      <c r="M96">
        <v>1.95</v>
      </c>
      <c r="N96">
        <v>1.9530000000000001</v>
      </c>
      <c r="O96">
        <v>1.95</v>
      </c>
      <c r="P96">
        <v>1.946</v>
      </c>
      <c r="Q96">
        <v>1.9510000000000001</v>
      </c>
      <c r="R96">
        <v>1.9550000000000001</v>
      </c>
      <c r="S96">
        <v>1.9590000000000001</v>
      </c>
      <c r="T96">
        <v>1.962</v>
      </c>
      <c r="U96">
        <v>1.9510000000000001</v>
      </c>
      <c r="V96">
        <v>1.94</v>
      </c>
      <c r="W96">
        <v>1.93</v>
      </c>
      <c r="X96">
        <v>1.92</v>
      </c>
      <c r="Y96">
        <v>1.911</v>
      </c>
      <c r="Z96">
        <v>1.901</v>
      </c>
      <c r="AA96">
        <v>1.8919999999999999</v>
      </c>
      <c r="AB96">
        <v>1.883</v>
      </c>
      <c r="AC96">
        <v>1.875</v>
      </c>
      <c r="AD96">
        <v>1.8680000000000001</v>
      </c>
    </row>
    <row r="97" spans="2:30" x14ac:dyDescent="0.25">
      <c r="B97" t="s">
        <v>133</v>
      </c>
      <c r="C97" t="s">
        <v>3256</v>
      </c>
      <c r="D97" t="s">
        <v>4145</v>
      </c>
      <c r="E97" t="s">
        <v>4146</v>
      </c>
      <c r="F97" t="s">
        <v>4147</v>
      </c>
      <c r="G97" t="s">
        <v>3890</v>
      </c>
      <c r="H97" t="s">
        <v>3984</v>
      </c>
      <c r="I97" t="s">
        <v>3985</v>
      </c>
      <c r="J97">
        <v>2</v>
      </c>
      <c r="K97">
        <v>0.16600000000000001</v>
      </c>
      <c r="L97">
        <v>0.16600000000000001</v>
      </c>
      <c r="M97">
        <v>0.19500000000000001</v>
      </c>
      <c r="N97">
        <v>0.21099999999999999</v>
      </c>
      <c r="O97">
        <v>0.18</v>
      </c>
      <c r="P97">
        <v>0.191</v>
      </c>
      <c r="Q97">
        <v>0.2</v>
      </c>
      <c r="R97">
        <v>0.20899999999999999</v>
      </c>
      <c r="S97">
        <v>0.216</v>
      </c>
      <c r="T97">
        <v>0.223</v>
      </c>
      <c r="U97">
        <v>0.23</v>
      </c>
      <c r="V97">
        <v>0.23699999999999999</v>
      </c>
      <c r="W97">
        <v>0.245</v>
      </c>
      <c r="X97">
        <v>0.253</v>
      </c>
      <c r="Y97">
        <v>0.26200000000000001</v>
      </c>
      <c r="Z97">
        <v>0.27100000000000002</v>
      </c>
      <c r="AA97">
        <v>0.28000000000000003</v>
      </c>
      <c r="AB97">
        <v>0.28899999999999998</v>
      </c>
      <c r="AC97">
        <v>0.29899999999999999</v>
      </c>
      <c r="AD97">
        <v>0.309</v>
      </c>
    </row>
    <row r="98" spans="2:30" x14ac:dyDescent="0.25">
      <c r="B98" t="s">
        <v>133</v>
      </c>
      <c r="C98" t="s">
        <v>3256</v>
      </c>
      <c r="D98" t="s">
        <v>4121</v>
      </c>
      <c r="E98" t="s">
        <v>4148</v>
      </c>
      <c r="F98" t="s">
        <v>4149</v>
      </c>
      <c r="G98" t="s">
        <v>3890</v>
      </c>
      <c r="H98" t="s">
        <v>3984</v>
      </c>
      <c r="I98" t="s">
        <v>3985</v>
      </c>
      <c r="J98">
        <v>2</v>
      </c>
      <c r="K98">
        <v>15.788</v>
      </c>
      <c r="L98">
        <v>17.709</v>
      </c>
      <c r="M98">
        <v>18.013999999999999</v>
      </c>
      <c r="N98">
        <v>18.257999999999999</v>
      </c>
      <c r="O98">
        <v>18.544</v>
      </c>
      <c r="P98">
        <v>18.939</v>
      </c>
      <c r="Q98">
        <v>19.36</v>
      </c>
      <c r="R98">
        <v>19.806000000000001</v>
      </c>
      <c r="S98">
        <v>20.257000000000001</v>
      </c>
      <c r="T98">
        <v>20.856999999999999</v>
      </c>
      <c r="U98">
        <v>21.632999999999999</v>
      </c>
      <c r="V98">
        <v>22.437999999999999</v>
      </c>
      <c r="W98">
        <v>23.27</v>
      </c>
      <c r="X98">
        <v>24.131</v>
      </c>
      <c r="Y98">
        <v>25.024999999999999</v>
      </c>
      <c r="Z98">
        <v>25.946999999999999</v>
      </c>
      <c r="AA98">
        <v>26.901</v>
      </c>
      <c r="AB98">
        <v>27.885999999999999</v>
      </c>
      <c r="AC98">
        <v>28.902999999999999</v>
      </c>
      <c r="AD98">
        <v>29.956</v>
      </c>
    </row>
    <row r="99" spans="2:30" x14ac:dyDescent="0.25">
      <c r="B99" t="s">
        <v>133</v>
      </c>
      <c r="C99" t="s">
        <v>3256</v>
      </c>
      <c r="D99" t="s">
        <v>4150</v>
      </c>
      <c r="E99" t="s">
        <v>4151</v>
      </c>
      <c r="F99" t="s">
        <v>4152</v>
      </c>
      <c r="G99" t="s">
        <v>3890</v>
      </c>
      <c r="H99" t="s">
        <v>3984</v>
      </c>
      <c r="I99" t="s">
        <v>3985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2:30" x14ac:dyDescent="0.25">
      <c r="B100" t="s">
        <v>133</v>
      </c>
      <c r="C100" t="s">
        <v>3256</v>
      </c>
      <c r="D100" t="s">
        <v>4153</v>
      </c>
      <c r="E100" t="s">
        <v>4154</v>
      </c>
      <c r="F100" t="s">
        <v>4155</v>
      </c>
      <c r="G100" t="s">
        <v>3890</v>
      </c>
      <c r="H100" t="s">
        <v>3984</v>
      </c>
      <c r="I100" t="s">
        <v>3985</v>
      </c>
      <c r="J100">
        <v>2</v>
      </c>
      <c r="K100">
        <v>35.125999999999998</v>
      </c>
      <c r="L100">
        <v>35.771999999999998</v>
      </c>
      <c r="M100">
        <v>36.325000000000003</v>
      </c>
      <c r="N100">
        <v>36.808</v>
      </c>
      <c r="O100">
        <v>37.256999999999998</v>
      </c>
      <c r="P100">
        <v>38.002000000000002</v>
      </c>
      <c r="Q100">
        <v>38.762</v>
      </c>
      <c r="R100">
        <v>39.537999999999997</v>
      </c>
      <c r="S100">
        <v>40.328000000000003</v>
      </c>
      <c r="T100">
        <v>41.537999999999997</v>
      </c>
      <c r="U100">
        <v>43.2</v>
      </c>
      <c r="V100">
        <v>44.927999999999997</v>
      </c>
      <c r="W100">
        <v>46.725000000000001</v>
      </c>
      <c r="X100">
        <v>48.594000000000001</v>
      </c>
      <c r="Y100">
        <v>50.536999999999999</v>
      </c>
      <c r="Z100">
        <v>52.558999999999997</v>
      </c>
      <c r="AA100">
        <v>54.661000000000001</v>
      </c>
      <c r="AB100">
        <v>56.847999999999999</v>
      </c>
      <c r="AC100">
        <v>59.122</v>
      </c>
      <c r="AD100">
        <v>61.487000000000002</v>
      </c>
    </row>
    <row r="101" spans="2:30" x14ac:dyDescent="0.25">
      <c r="B101" t="s">
        <v>133</v>
      </c>
      <c r="C101" t="s">
        <v>3256</v>
      </c>
      <c r="D101" t="s">
        <v>4156</v>
      </c>
      <c r="E101" t="s">
        <v>4157</v>
      </c>
      <c r="F101" t="s">
        <v>4158</v>
      </c>
      <c r="G101" t="s">
        <v>3890</v>
      </c>
      <c r="H101" t="s">
        <v>3984</v>
      </c>
      <c r="I101" t="s">
        <v>3985</v>
      </c>
      <c r="J101">
        <v>2</v>
      </c>
      <c r="K101">
        <v>8.8999999999999996E-2</v>
      </c>
      <c r="L101">
        <v>0.107</v>
      </c>
      <c r="M101">
        <v>0.108</v>
      </c>
      <c r="N101">
        <v>0.11</v>
      </c>
      <c r="O101">
        <v>0.112</v>
      </c>
      <c r="P101">
        <v>0.113</v>
      </c>
      <c r="Q101">
        <v>0.115</v>
      </c>
      <c r="R101">
        <v>0.11700000000000001</v>
      </c>
      <c r="S101">
        <v>0.12</v>
      </c>
      <c r="T101">
        <v>0.122</v>
      </c>
      <c r="U101">
        <v>0.126</v>
      </c>
      <c r="V101">
        <v>0.13100000000000001</v>
      </c>
      <c r="W101">
        <v>0.13600000000000001</v>
      </c>
      <c r="X101">
        <v>0.14199999999999999</v>
      </c>
      <c r="Y101">
        <v>0.14699999999999999</v>
      </c>
      <c r="Z101">
        <v>0.153</v>
      </c>
      <c r="AA101">
        <v>0.159</v>
      </c>
      <c r="AB101">
        <v>0.16600000000000001</v>
      </c>
      <c r="AC101">
        <v>0.17199999999999999</v>
      </c>
      <c r="AD101">
        <v>0.17899999999999999</v>
      </c>
    </row>
    <row r="102" spans="2:30" x14ac:dyDescent="0.25">
      <c r="B102" t="s">
        <v>133</v>
      </c>
      <c r="C102" t="s">
        <v>3256</v>
      </c>
      <c r="D102" t="s">
        <v>4159</v>
      </c>
      <c r="E102" t="s">
        <v>4160</v>
      </c>
      <c r="F102" t="s">
        <v>4161</v>
      </c>
      <c r="G102" t="s">
        <v>3890</v>
      </c>
      <c r="H102" t="s">
        <v>3984</v>
      </c>
      <c r="I102" t="s">
        <v>3985</v>
      </c>
      <c r="J102">
        <v>2</v>
      </c>
      <c r="K102">
        <v>20.780999999999999</v>
      </c>
      <c r="L102">
        <v>20.295000000000002</v>
      </c>
      <c r="M102">
        <v>22.867000000000001</v>
      </c>
      <c r="N102">
        <v>23.742999999999999</v>
      </c>
      <c r="O102">
        <v>23.936</v>
      </c>
      <c r="P102">
        <v>24.553000000000001</v>
      </c>
      <c r="Q102">
        <v>25.548999999999999</v>
      </c>
      <c r="R102">
        <v>26.611000000000001</v>
      </c>
      <c r="S102">
        <v>27.728000000000002</v>
      </c>
      <c r="T102">
        <v>28.975000000000001</v>
      </c>
      <c r="U102">
        <v>30.308</v>
      </c>
      <c r="V102">
        <v>31.744</v>
      </c>
      <c r="W102">
        <v>33.271000000000001</v>
      </c>
      <c r="X102">
        <v>34.902000000000001</v>
      </c>
      <c r="Y102">
        <v>36.631</v>
      </c>
      <c r="Z102">
        <v>38.478999999999999</v>
      </c>
      <c r="AA102">
        <v>40.454999999999998</v>
      </c>
      <c r="AB102">
        <v>42.573</v>
      </c>
      <c r="AC102">
        <v>44.850999999999999</v>
      </c>
      <c r="AD102">
        <v>47.180999999999997</v>
      </c>
    </row>
    <row r="103" spans="2:30" x14ac:dyDescent="0.25">
      <c r="B103" t="s">
        <v>133</v>
      </c>
      <c r="C103" t="s">
        <v>3256</v>
      </c>
      <c r="D103" t="s">
        <v>4162</v>
      </c>
      <c r="E103" t="s">
        <v>4163</v>
      </c>
      <c r="F103" t="s">
        <v>4164</v>
      </c>
      <c r="G103" t="s">
        <v>3890</v>
      </c>
      <c r="H103" t="s">
        <v>3984</v>
      </c>
      <c r="I103" t="s">
        <v>4165</v>
      </c>
      <c r="J103">
        <v>1</v>
      </c>
      <c r="K103">
        <v>100</v>
      </c>
      <c r="L103">
        <v>102.79199</v>
      </c>
      <c r="M103">
        <v>112.47463999999999</v>
      </c>
      <c r="N103">
        <v>116.61282</v>
      </c>
      <c r="O103">
        <v>118.14263</v>
      </c>
      <c r="P103">
        <v>120.9152</v>
      </c>
      <c r="Q103">
        <v>124.99099</v>
      </c>
      <c r="R103">
        <v>129.24015</v>
      </c>
      <c r="S103">
        <v>133.60122999999999</v>
      </c>
      <c r="T103">
        <v>138.44519</v>
      </c>
      <c r="U103">
        <v>143.92158000000001</v>
      </c>
      <c r="V103">
        <v>149.97976</v>
      </c>
      <c r="W103">
        <v>156.35128</v>
      </c>
      <c r="X103">
        <v>163.06502</v>
      </c>
      <c r="Y103">
        <v>170.11463000000001</v>
      </c>
      <c r="Z103">
        <v>177.55208999999999</v>
      </c>
      <c r="AA103">
        <v>185.40349000000001</v>
      </c>
      <c r="AB103">
        <v>193.70976999999999</v>
      </c>
      <c r="AC103">
        <v>202.51954000000001</v>
      </c>
      <c r="AD103">
        <v>211.55708000000001</v>
      </c>
    </row>
    <row r="104" spans="2:30" x14ac:dyDescent="0.25">
      <c r="B104" t="s">
        <v>133</v>
      </c>
      <c r="C104" t="s">
        <v>3256</v>
      </c>
      <c r="D104" t="s">
        <v>4166</v>
      </c>
      <c r="E104" t="s">
        <v>4167</v>
      </c>
      <c r="F104" t="s">
        <v>4168</v>
      </c>
      <c r="G104" t="s">
        <v>3890</v>
      </c>
      <c r="H104" t="s">
        <v>3984</v>
      </c>
      <c r="I104" t="s">
        <v>4165</v>
      </c>
      <c r="J104">
        <v>2</v>
      </c>
      <c r="K104">
        <v>100</v>
      </c>
      <c r="L104">
        <v>102.75908</v>
      </c>
      <c r="M104">
        <v>112.44266</v>
      </c>
      <c r="N104">
        <v>116.5817</v>
      </c>
      <c r="O104">
        <v>109.46526</v>
      </c>
      <c r="P104">
        <v>110.95186</v>
      </c>
      <c r="Q104">
        <v>115.63535</v>
      </c>
      <c r="R104">
        <v>119.58837</v>
      </c>
      <c r="S104">
        <v>123.72503</v>
      </c>
      <c r="T104">
        <v>127.96571</v>
      </c>
      <c r="U104">
        <v>132.94632999999999</v>
      </c>
      <c r="V104">
        <v>138.45050000000001</v>
      </c>
      <c r="W104">
        <v>144.33551</v>
      </c>
      <c r="X104">
        <v>150.60362000000001</v>
      </c>
      <c r="Y104">
        <v>157.25465</v>
      </c>
      <c r="Z104">
        <v>164.35491999999999</v>
      </c>
      <c r="AA104">
        <v>171.89930000000001</v>
      </c>
      <c r="AB104">
        <v>179.93450000000001</v>
      </c>
      <c r="AC104">
        <v>188.53719000000001</v>
      </c>
      <c r="AD104">
        <v>197.38347999999999</v>
      </c>
    </row>
    <row r="105" spans="2:30" x14ac:dyDescent="0.25">
      <c r="B105" t="s">
        <v>133</v>
      </c>
      <c r="C105" t="s">
        <v>3256</v>
      </c>
      <c r="D105" t="s">
        <v>4169</v>
      </c>
      <c r="E105" t="s">
        <v>4170</v>
      </c>
      <c r="F105" t="s">
        <v>4171</v>
      </c>
      <c r="G105" t="s">
        <v>3890</v>
      </c>
      <c r="H105" t="s">
        <v>4172</v>
      </c>
      <c r="I105" t="s">
        <v>3892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-7.2999999999999995E-2</v>
      </c>
      <c r="P105">
        <v>-8.2000000000000003E-2</v>
      </c>
      <c r="Q105">
        <v>-7.4999999999999997E-2</v>
      </c>
      <c r="R105">
        <v>-7.4999999999999997E-2</v>
      </c>
      <c r="S105">
        <v>-7.3999999999999996E-2</v>
      </c>
      <c r="T105">
        <v>-7.5999999999999998E-2</v>
      </c>
      <c r="U105">
        <v>-7.5999999999999998E-2</v>
      </c>
      <c r="V105">
        <v>-7.6999999999999999E-2</v>
      </c>
      <c r="W105">
        <v>-7.6999999999999999E-2</v>
      </c>
      <c r="X105">
        <v>-7.5999999999999998E-2</v>
      </c>
      <c r="Y105">
        <v>-7.5999999999999998E-2</v>
      </c>
      <c r="Z105">
        <v>-7.3999999999999996E-2</v>
      </c>
      <c r="AA105">
        <v>-7.2999999999999995E-2</v>
      </c>
      <c r="AB105">
        <v>-7.0999999999999994E-2</v>
      </c>
      <c r="AC105">
        <v>-6.9000000000000006E-2</v>
      </c>
      <c r="AD105">
        <v>-6.7000000000000004E-2</v>
      </c>
    </row>
    <row r="106" spans="2:30" x14ac:dyDescent="0.25">
      <c r="B106" t="s">
        <v>133</v>
      </c>
      <c r="C106" t="s">
        <v>3256</v>
      </c>
      <c r="D106" t="s">
        <v>4173</v>
      </c>
      <c r="E106" t="s">
        <v>4174</v>
      </c>
      <c r="F106" t="s">
        <v>4175</v>
      </c>
      <c r="G106" t="s">
        <v>3890</v>
      </c>
      <c r="H106" t="s">
        <v>4176</v>
      </c>
      <c r="I106" t="s">
        <v>2538</v>
      </c>
      <c r="J106">
        <v>1</v>
      </c>
      <c r="K106" s="190" t="s">
        <v>475</v>
      </c>
      <c r="W106" s="190"/>
    </row>
    <row r="107" spans="2:30" x14ac:dyDescent="0.25">
      <c r="B107" t="s">
        <v>133</v>
      </c>
      <c r="D107" t="s">
        <v>477</v>
      </c>
      <c r="E107" t="s">
        <v>4177</v>
      </c>
      <c r="F107" t="s">
        <v>4178</v>
      </c>
      <c r="G107" t="s">
        <v>3890</v>
      </c>
      <c r="H107" t="s">
        <v>4179</v>
      </c>
      <c r="I107" t="s">
        <v>2538</v>
      </c>
      <c r="J107">
        <v>1</v>
      </c>
      <c r="K107">
        <v>1</v>
      </c>
    </row>
    <row r="108" spans="2:30" x14ac:dyDescent="0.25">
      <c r="B108" t="s">
        <v>133</v>
      </c>
      <c r="C108" t="s">
        <v>3256</v>
      </c>
      <c r="D108" t="s">
        <v>4180</v>
      </c>
      <c r="E108" t="s">
        <v>4181</v>
      </c>
      <c r="F108" t="s">
        <v>4182</v>
      </c>
      <c r="G108" t="s">
        <v>3890</v>
      </c>
      <c r="H108" t="s">
        <v>4183</v>
      </c>
      <c r="I108" t="s">
        <v>2538</v>
      </c>
      <c r="J108">
        <v>1</v>
      </c>
      <c r="K108" t="e">
        <v>#VALUE!</v>
      </c>
    </row>
    <row r="109" spans="2:30" x14ac:dyDescent="0.25">
      <c r="B109" t="s">
        <v>133</v>
      </c>
      <c r="C109" t="s">
        <v>3256</v>
      </c>
      <c r="D109" t="s">
        <v>4184</v>
      </c>
      <c r="E109" t="s">
        <v>4185</v>
      </c>
      <c r="F109" t="s">
        <v>4186</v>
      </c>
      <c r="G109" t="s">
        <v>3890</v>
      </c>
      <c r="H109" t="s">
        <v>4187</v>
      </c>
      <c r="I109" t="s">
        <v>2538</v>
      </c>
      <c r="J109">
        <v>1</v>
      </c>
      <c r="K109" t="e">
        <v>#VALUE!</v>
      </c>
    </row>
    <row r="110" spans="2:30" x14ac:dyDescent="0.25">
      <c r="B110" t="s">
        <v>133</v>
      </c>
      <c r="C110" t="s">
        <v>3256</v>
      </c>
      <c r="D110" t="s">
        <v>4188</v>
      </c>
      <c r="E110" t="s">
        <v>4189</v>
      </c>
      <c r="F110" t="s">
        <v>4190</v>
      </c>
      <c r="G110" t="s">
        <v>3890</v>
      </c>
      <c r="H110" t="s">
        <v>4191</v>
      </c>
      <c r="I110" t="s">
        <v>4165</v>
      </c>
      <c r="J110">
        <v>1</v>
      </c>
      <c r="K110" t="e">
        <v>#VALUE!</v>
      </c>
      <c r="L110" t="e">
        <v>#VALUE!</v>
      </c>
      <c r="M110" t="e">
        <v>#VALUE!</v>
      </c>
      <c r="N110" t="e">
        <v>#VALUE!</v>
      </c>
      <c r="O110" t="e">
        <v>#VALUE!</v>
      </c>
      <c r="P110" t="e">
        <v>#VALUE!</v>
      </c>
      <c r="Q110" t="e">
        <v>#VALUE!</v>
      </c>
      <c r="R110" t="e">
        <v>#VALUE!</v>
      </c>
      <c r="S110" t="e">
        <v>#VALUE!</v>
      </c>
      <c r="T110" t="e">
        <v>#VALUE!</v>
      </c>
      <c r="U110" t="e">
        <v>#VALUE!</v>
      </c>
      <c r="V110" t="e">
        <v>#VALUE!</v>
      </c>
      <c r="W110" t="e">
        <v>#VALUE!</v>
      </c>
      <c r="X110" t="e">
        <v>#VALUE!</v>
      </c>
      <c r="Y110" t="e">
        <v>#VALUE!</v>
      </c>
      <c r="Z110" t="e">
        <v>#VALUE!</v>
      </c>
      <c r="AA110" t="e">
        <v>#VALUE!</v>
      </c>
      <c r="AB110" t="e">
        <v>#VALUE!</v>
      </c>
      <c r="AC110" t="e">
        <v>#VALUE!</v>
      </c>
      <c r="AD110" t="e">
        <v>#VALUE!</v>
      </c>
    </row>
    <row r="111" spans="2:30" x14ac:dyDescent="0.25">
      <c r="B111" t="s">
        <v>133</v>
      </c>
      <c r="C111" t="s">
        <v>3256</v>
      </c>
      <c r="D111" t="s">
        <v>4192</v>
      </c>
      <c r="E111" t="s">
        <v>4193</v>
      </c>
      <c r="F111" t="s">
        <v>4194</v>
      </c>
      <c r="G111" t="s">
        <v>3890</v>
      </c>
      <c r="H111" t="s">
        <v>4195</v>
      </c>
      <c r="I111" t="s">
        <v>4165</v>
      </c>
      <c r="J111">
        <v>1</v>
      </c>
      <c r="K111" t="s">
        <v>138</v>
      </c>
      <c r="L111" t="s">
        <v>138</v>
      </c>
      <c r="M111" t="s">
        <v>138</v>
      </c>
      <c r="N111" t="s">
        <v>138</v>
      </c>
      <c r="O111" t="s">
        <v>138</v>
      </c>
      <c r="P111" t="s">
        <v>138</v>
      </c>
      <c r="Q111" t="s">
        <v>138</v>
      </c>
      <c r="R111" t="s">
        <v>138</v>
      </c>
      <c r="S111" t="s">
        <v>138</v>
      </c>
      <c r="T111" t="s">
        <v>138</v>
      </c>
      <c r="U111" t="s">
        <v>138</v>
      </c>
      <c r="V111" t="s">
        <v>138</v>
      </c>
      <c r="W111" t="s">
        <v>138</v>
      </c>
      <c r="X111" t="s">
        <v>138</v>
      </c>
      <c r="Y111" t="s">
        <v>138</v>
      </c>
      <c r="Z111" t="s">
        <v>138</v>
      </c>
      <c r="AA111" t="s">
        <v>138</v>
      </c>
      <c r="AB111" t="s">
        <v>138</v>
      </c>
      <c r="AC111" t="s">
        <v>138</v>
      </c>
      <c r="AD111" t="s">
        <v>138</v>
      </c>
    </row>
    <row r="112" spans="2:30" x14ac:dyDescent="0.25">
      <c r="B112" t="s">
        <v>133</v>
      </c>
      <c r="C112" t="s">
        <v>3256</v>
      </c>
      <c r="D112" t="s">
        <v>4196</v>
      </c>
      <c r="E112" t="s">
        <v>4197</v>
      </c>
      <c r="F112" t="s">
        <v>4198</v>
      </c>
      <c r="G112" t="s">
        <v>3890</v>
      </c>
      <c r="H112" t="s">
        <v>4199</v>
      </c>
      <c r="I112" t="s">
        <v>4200</v>
      </c>
      <c r="J112">
        <v>1</v>
      </c>
      <c r="K112" t="e">
        <v>#VALUE!</v>
      </c>
      <c r="L112" t="e">
        <v>#VALUE!</v>
      </c>
      <c r="M112" t="e">
        <v>#VALUE!</v>
      </c>
      <c r="N112" t="e">
        <v>#VALUE!</v>
      </c>
      <c r="O112" t="e">
        <v>#VALUE!</v>
      </c>
      <c r="P112" t="e">
        <v>#VALUE!</v>
      </c>
      <c r="Q112" t="e">
        <v>#VALUE!</v>
      </c>
      <c r="R112" t="e">
        <v>#VALUE!</v>
      </c>
      <c r="S112" t="e">
        <v>#VALUE!</v>
      </c>
      <c r="T112" t="e">
        <v>#VALUE!</v>
      </c>
      <c r="U112" t="e">
        <v>#VALUE!</v>
      </c>
      <c r="V112" t="e">
        <v>#VALUE!</v>
      </c>
      <c r="W112" t="e">
        <v>#VALUE!</v>
      </c>
      <c r="X112" t="e">
        <v>#VALUE!</v>
      </c>
      <c r="Y112" t="e">
        <v>#VALUE!</v>
      </c>
      <c r="Z112" t="e">
        <v>#VALUE!</v>
      </c>
      <c r="AA112" t="e">
        <v>#VALUE!</v>
      </c>
      <c r="AB112" t="e">
        <v>#VALUE!</v>
      </c>
      <c r="AC112" t="e">
        <v>#VALUE!</v>
      </c>
      <c r="AD112" t="e">
        <v>#VALUE!</v>
      </c>
    </row>
    <row r="113" spans="2:30" x14ac:dyDescent="0.25">
      <c r="B113" t="s">
        <v>133</v>
      </c>
      <c r="C113" t="s">
        <v>3256</v>
      </c>
      <c r="D113" t="s">
        <v>4201</v>
      </c>
      <c r="E113" t="s">
        <v>4202</v>
      </c>
      <c r="F113" t="s">
        <v>4203</v>
      </c>
      <c r="G113" t="s">
        <v>3890</v>
      </c>
      <c r="H113" t="s">
        <v>4204</v>
      </c>
      <c r="I113" t="s">
        <v>4200</v>
      </c>
      <c r="J113">
        <v>1</v>
      </c>
      <c r="K113" t="s">
        <v>138</v>
      </c>
      <c r="L113" t="s">
        <v>138</v>
      </c>
      <c r="M113" t="s">
        <v>138</v>
      </c>
      <c r="N113" t="s">
        <v>138</v>
      </c>
      <c r="O113" t="s">
        <v>138</v>
      </c>
      <c r="P113" t="s">
        <v>138</v>
      </c>
      <c r="Q113" t="s">
        <v>138</v>
      </c>
      <c r="R113" t="s">
        <v>138</v>
      </c>
      <c r="S113" t="s">
        <v>138</v>
      </c>
      <c r="T113" t="s">
        <v>138</v>
      </c>
      <c r="U113" t="s">
        <v>138</v>
      </c>
      <c r="V113" t="s">
        <v>138</v>
      </c>
      <c r="W113" t="s">
        <v>138</v>
      </c>
      <c r="X113" t="s">
        <v>138</v>
      </c>
      <c r="Y113" t="s">
        <v>138</v>
      </c>
      <c r="Z113" t="s">
        <v>138</v>
      </c>
      <c r="AA113" t="s">
        <v>138</v>
      </c>
      <c r="AB113" t="s">
        <v>138</v>
      </c>
      <c r="AC113" t="s">
        <v>138</v>
      </c>
      <c r="AD113" t="s">
        <v>138</v>
      </c>
    </row>
    <row r="114" spans="2:30" x14ac:dyDescent="0.25">
      <c r="B114" t="s">
        <v>133</v>
      </c>
      <c r="C114" t="s">
        <v>3256</v>
      </c>
      <c r="D114" t="s">
        <v>4205</v>
      </c>
      <c r="E114" t="s">
        <v>4206</v>
      </c>
      <c r="F114" t="s">
        <v>4207</v>
      </c>
      <c r="G114" t="s">
        <v>3890</v>
      </c>
      <c r="H114" t="s">
        <v>4208</v>
      </c>
      <c r="I114" t="s">
        <v>4209</v>
      </c>
      <c r="J114">
        <v>1</v>
      </c>
      <c r="K114" t="e">
        <v>#VALUE!</v>
      </c>
    </row>
    <row r="115" spans="2:30" x14ac:dyDescent="0.25">
      <c r="B115" t="s">
        <v>133</v>
      </c>
      <c r="C115" t="s">
        <v>3256</v>
      </c>
      <c r="D115" t="s">
        <v>4210</v>
      </c>
      <c r="E115" t="s">
        <v>4211</v>
      </c>
      <c r="F115" t="s">
        <v>4212</v>
      </c>
      <c r="G115" t="s">
        <v>3890</v>
      </c>
      <c r="H115" t="s">
        <v>4213</v>
      </c>
      <c r="I115" t="s">
        <v>4209</v>
      </c>
      <c r="J115">
        <v>1</v>
      </c>
      <c r="K115" t="e">
        <v>#VALUE!</v>
      </c>
    </row>
    <row r="116" spans="2:30" x14ac:dyDescent="0.25">
      <c r="B116" t="s">
        <v>133</v>
      </c>
      <c r="C116" t="s">
        <v>3256</v>
      </c>
      <c r="D116" t="s">
        <v>4214</v>
      </c>
      <c r="E116" t="s">
        <v>4215</v>
      </c>
      <c r="F116" t="s">
        <v>4216</v>
      </c>
      <c r="G116" t="s">
        <v>3890</v>
      </c>
      <c r="H116" t="s">
        <v>4217</v>
      </c>
      <c r="I116" t="s">
        <v>4209</v>
      </c>
      <c r="J116">
        <v>1</v>
      </c>
      <c r="K116" t="e">
        <v>#VALUE!</v>
      </c>
    </row>
    <row r="117" spans="2:30" x14ac:dyDescent="0.25">
      <c r="B117" t="s">
        <v>133</v>
      </c>
      <c r="C117" t="s">
        <v>3256</v>
      </c>
      <c r="D117" t="s">
        <v>4218</v>
      </c>
      <c r="E117" t="s">
        <v>4219</v>
      </c>
      <c r="F117" t="s">
        <v>4220</v>
      </c>
      <c r="G117" t="s">
        <v>3890</v>
      </c>
      <c r="K117">
        <v>377.96</v>
      </c>
      <c r="L117">
        <v>205.55</v>
      </c>
      <c r="M117">
        <v>583.5</v>
      </c>
      <c r="N117">
        <v>0.03</v>
      </c>
    </row>
    <row r="118" spans="2:30" x14ac:dyDescent="0.25">
      <c r="B118" t="s">
        <v>133</v>
      </c>
      <c r="C118" t="s">
        <v>3256</v>
      </c>
      <c r="D118" t="s">
        <v>4221</v>
      </c>
      <c r="E118" t="s">
        <v>4222</v>
      </c>
      <c r="F118" t="s">
        <v>4223</v>
      </c>
      <c r="G118" t="s">
        <v>3890</v>
      </c>
      <c r="K118">
        <v>635.9</v>
      </c>
      <c r="L118">
        <v>492.6</v>
      </c>
      <c r="M118">
        <v>1128.51</v>
      </c>
      <c r="N118">
        <v>0.01</v>
      </c>
    </row>
    <row r="119" spans="2:30" x14ac:dyDescent="0.25">
      <c r="B119" t="s">
        <v>133</v>
      </c>
      <c r="C119" t="s">
        <v>3256</v>
      </c>
      <c r="D119" t="s">
        <v>4224</v>
      </c>
      <c r="E119" t="s">
        <v>4225</v>
      </c>
      <c r="F119" t="s">
        <v>4226</v>
      </c>
      <c r="G119" t="s">
        <v>3890</v>
      </c>
      <c r="K119">
        <v>0</v>
      </c>
      <c r="L119">
        <v>54.95</v>
      </c>
      <c r="M119">
        <v>54.95</v>
      </c>
      <c r="N119">
        <v>0.03</v>
      </c>
    </row>
    <row r="120" spans="2:30" x14ac:dyDescent="0.25">
      <c r="B120" t="s">
        <v>133</v>
      </c>
      <c r="C120" t="s">
        <v>3256</v>
      </c>
      <c r="D120" t="s">
        <v>4227</v>
      </c>
      <c r="E120" t="s">
        <v>4228</v>
      </c>
      <c r="F120" t="s">
        <v>4229</v>
      </c>
      <c r="G120" t="s">
        <v>3890</v>
      </c>
      <c r="K120">
        <v>159.22</v>
      </c>
      <c r="L120">
        <v>26.04</v>
      </c>
      <c r="M120">
        <v>185.25</v>
      </c>
      <c r="N120">
        <v>0.12</v>
      </c>
    </row>
    <row r="121" spans="2:30" x14ac:dyDescent="0.25">
      <c r="B121" t="s">
        <v>133</v>
      </c>
      <c r="C121" t="s">
        <v>3256</v>
      </c>
      <c r="D121" t="s">
        <v>4230</v>
      </c>
      <c r="E121" t="s">
        <v>4231</v>
      </c>
      <c r="F121" t="s">
        <v>4232</v>
      </c>
      <c r="G121" t="s">
        <v>3890</v>
      </c>
      <c r="K121">
        <v>0</v>
      </c>
      <c r="L121">
        <v>2.34</v>
      </c>
      <c r="M121">
        <v>2.34</v>
      </c>
      <c r="N121">
        <v>0.01</v>
      </c>
    </row>
    <row r="122" spans="2:30" x14ac:dyDescent="0.25">
      <c r="B122" t="s">
        <v>133</v>
      </c>
      <c r="C122" t="s">
        <v>3256</v>
      </c>
      <c r="D122" t="s">
        <v>4233</v>
      </c>
      <c r="E122" t="s">
        <v>4234</v>
      </c>
      <c r="F122" t="s">
        <v>4235</v>
      </c>
      <c r="G122" t="s">
        <v>3890</v>
      </c>
      <c r="K122">
        <v>9.7799999999999994</v>
      </c>
      <c r="L122">
        <v>21.23</v>
      </c>
      <c r="M122">
        <v>31.01</v>
      </c>
      <c r="N122">
        <v>0.26</v>
      </c>
    </row>
    <row r="123" spans="2:30" x14ac:dyDescent="0.25">
      <c r="B123" t="s">
        <v>133</v>
      </c>
      <c r="C123" t="s">
        <v>3256</v>
      </c>
      <c r="D123" t="s">
        <v>4236</v>
      </c>
      <c r="E123" t="s">
        <v>4237</v>
      </c>
      <c r="F123" t="s">
        <v>4238</v>
      </c>
      <c r="G123" t="s">
        <v>3890</v>
      </c>
      <c r="K123">
        <v>0</v>
      </c>
      <c r="L123">
        <v>46.09</v>
      </c>
      <c r="M123">
        <v>46.09</v>
      </c>
      <c r="N123">
        <v>0.36</v>
      </c>
    </row>
    <row r="124" spans="2:30" x14ac:dyDescent="0.25">
      <c r="B124" t="s">
        <v>133</v>
      </c>
      <c r="C124" t="s">
        <v>3256</v>
      </c>
      <c r="D124" t="s">
        <v>4239</v>
      </c>
      <c r="E124" t="s">
        <v>4240</v>
      </c>
      <c r="F124" t="s">
        <v>4241</v>
      </c>
      <c r="G124" t="s">
        <v>3890</v>
      </c>
      <c r="K124">
        <v>0</v>
      </c>
      <c r="L124">
        <v>48.78</v>
      </c>
      <c r="M124">
        <v>48.78</v>
      </c>
      <c r="N124">
        <v>0.05</v>
      </c>
    </row>
    <row r="125" spans="2:30" x14ac:dyDescent="0.25">
      <c r="B125" t="s">
        <v>133</v>
      </c>
      <c r="C125" t="s">
        <v>3256</v>
      </c>
      <c r="D125" t="s">
        <v>4242</v>
      </c>
      <c r="E125" t="s">
        <v>4243</v>
      </c>
      <c r="F125" t="s">
        <v>4244</v>
      </c>
      <c r="G125" t="s">
        <v>3890</v>
      </c>
      <c r="K125">
        <v>0</v>
      </c>
      <c r="L125">
        <v>0</v>
      </c>
      <c r="M125">
        <v>0</v>
      </c>
      <c r="N125">
        <v>0.06</v>
      </c>
    </row>
    <row r="126" spans="2:30" x14ac:dyDescent="0.25">
      <c r="B126" t="s">
        <v>133</v>
      </c>
      <c r="C126" t="s">
        <v>3256</v>
      </c>
      <c r="D126" t="s">
        <v>4245</v>
      </c>
      <c r="E126" t="s">
        <v>4246</v>
      </c>
      <c r="F126" t="s">
        <v>4247</v>
      </c>
      <c r="G126" t="s">
        <v>3890</v>
      </c>
      <c r="K126">
        <v>7.0000000000000007E-2</v>
      </c>
      <c r="L126">
        <v>0.41</v>
      </c>
      <c r="M126">
        <v>820.06</v>
      </c>
      <c r="N126">
        <v>7.0000000000000007E-2</v>
      </c>
      <c r="O126">
        <v>0.41</v>
      </c>
    </row>
    <row r="127" spans="2:30" x14ac:dyDescent="0.25">
      <c r="B127" t="s">
        <v>133</v>
      </c>
      <c r="C127" t="s">
        <v>3256</v>
      </c>
      <c r="D127" t="s">
        <v>4248</v>
      </c>
      <c r="E127" t="s">
        <v>4234</v>
      </c>
      <c r="F127" t="s">
        <v>4235</v>
      </c>
      <c r="G127" t="s">
        <v>3890</v>
      </c>
      <c r="K127">
        <v>0.26</v>
      </c>
      <c r="L127">
        <v>0</v>
      </c>
      <c r="M127">
        <v>31.01</v>
      </c>
      <c r="N127">
        <v>0.33</v>
      </c>
      <c r="O127">
        <v>0.41</v>
      </c>
    </row>
    <row r="128" spans="2:30" x14ac:dyDescent="0.25">
      <c r="B128" t="s">
        <v>133</v>
      </c>
      <c r="C128" t="s">
        <v>3256</v>
      </c>
      <c r="D128" t="s">
        <v>4249</v>
      </c>
      <c r="E128" t="s">
        <v>4225</v>
      </c>
      <c r="F128" t="s">
        <v>4226</v>
      </c>
      <c r="G128" t="s">
        <v>3890</v>
      </c>
      <c r="K128">
        <v>0.03</v>
      </c>
      <c r="L128">
        <v>0</v>
      </c>
      <c r="M128">
        <v>54.95</v>
      </c>
      <c r="N128">
        <v>0.36</v>
      </c>
      <c r="O128">
        <v>0.41</v>
      </c>
    </row>
    <row r="129" spans="2:30" x14ac:dyDescent="0.25">
      <c r="B129" t="s">
        <v>133</v>
      </c>
      <c r="C129" t="s">
        <v>3256</v>
      </c>
      <c r="D129" t="s">
        <v>4250</v>
      </c>
      <c r="E129" t="s">
        <v>4228</v>
      </c>
      <c r="F129" t="s">
        <v>4229</v>
      </c>
      <c r="G129" t="s">
        <v>3890</v>
      </c>
      <c r="K129">
        <v>0.12</v>
      </c>
      <c r="L129">
        <v>0.32</v>
      </c>
      <c r="M129">
        <v>185.25</v>
      </c>
      <c r="N129">
        <v>0.48</v>
      </c>
      <c r="O129">
        <v>0.73</v>
      </c>
    </row>
    <row r="130" spans="2:30" x14ac:dyDescent="0.25">
      <c r="B130" t="s">
        <v>133</v>
      </c>
      <c r="C130" t="s">
        <v>3256</v>
      </c>
      <c r="D130" t="s">
        <v>4251</v>
      </c>
      <c r="E130" t="s">
        <v>4219</v>
      </c>
      <c r="F130" t="s">
        <v>4220</v>
      </c>
      <c r="G130" t="s">
        <v>3890</v>
      </c>
      <c r="K130">
        <v>0.03</v>
      </c>
      <c r="L130">
        <v>0.16</v>
      </c>
      <c r="M130">
        <v>583.5</v>
      </c>
      <c r="N130">
        <v>0.51</v>
      </c>
      <c r="O130">
        <v>0.89</v>
      </c>
    </row>
    <row r="131" spans="2:30" x14ac:dyDescent="0.25">
      <c r="B131" t="s">
        <v>133</v>
      </c>
      <c r="C131" t="s">
        <v>3256</v>
      </c>
      <c r="D131" t="s">
        <v>4252</v>
      </c>
      <c r="E131" t="s">
        <v>4222</v>
      </c>
      <c r="F131" t="s">
        <v>4223</v>
      </c>
      <c r="G131" t="s">
        <v>3890</v>
      </c>
      <c r="K131">
        <v>0.01</v>
      </c>
      <c r="L131">
        <v>7.0000000000000007E-2</v>
      </c>
      <c r="M131">
        <v>1128.51</v>
      </c>
      <c r="N131">
        <v>0.52</v>
      </c>
      <c r="O131">
        <v>0.96</v>
      </c>
    </row>
    <row r="132" spans="2:30" x14ac:dyDescent="0.25">
      <c r="B132" t="s">
        <v>133</v>
      </c>
      <c r="C132" t="s">
        <v>3256</v>
      </c>
      <c r="D132" t="s">
        <v>4253</v>
      </c>
      <c r="E132" t="s">
        <v>4254</v>
      </c>
      <c r="F132" t="s">
        <v>4255</v>
      </c>
      <c r="G132" t="s">
        <v>3890</v>
      </c>
      <c r="K132">
        <v>0.06</v>
      </c>
      <c r="L132">
        <v>0</v>
      </c>
      <c r="M132">
        <v>0</v>
      </c>
      <c r="N132">
        <v>0.58000000000000007</v>
      </c>
      <c r="O132">
        <v>0.96</v>
      </c>
    </row>
    <row r="133" spans="2:30" x14ac:dyDescent="0.25">
      <c r="B133" t="s">
        <v>133</v>
      </c>
      <c r="C133" t="s">
        <v>3256</v>
      </c>
      <c r="D133" t="s">
        <v>4256</v>
      </c>
      <c r="E133" t="s">
        <v>4240</v>
      </c>
      <c r="F133" t="s">
        <v>4241</v>
      </c>
      <c r="G133" t="s">
        <v>3890</v>
      </c>
      <c r="K133">
        <v>0.05</v>
      </c>
      <c r="L133">
        <v>48.78</v>
      </c>
      <c r="M133">
        <v>48.78</v>
      </c>
      <c r="N133">
        <v>0.63000000000000012</v>
      </c>
      <c r="O133">
        <v>49.74</v>
      </c>
    </row>
    <row r="134" spans="2:30" x14ac:dyDescent="0.25">
      <c r="B134" t="s">
        <v>133</v>
      </c>
      <c r="C134" t="s">
        <v>3256</v>
      </c>
      <c r="D134" t="s">
        <v>4257</v>
      </c>
      <c r="E134" t="s">
        <v>4231</v>
      </c>
      <c r="F134" t="s">
        <v>4232</v>
      </c>
      <c r="G134" t="s">
        <v>3890</v>
      </c>
      <c r="K134">
        <v>0.01</v>
      </c>
      <c r="L134">
        <v>0</v>
      </c>
      <c r="M134">
        <v>2.34</v>
      </c>
      <c r="N134">
        <v>0.64000000000000012</v>
      </c>
      <c r="O134">
        <v>49.74</v>
      </c>
    </row>
    <row r="135" spans="2:30" x14ac:dyDescent="0.25">
      <c r="B135" t="s">
        <v>133</v>
      </c>
      <c r="C135" t="s">
        <v>3256</v>
      </c>
      <c r="D135" t="s">
        <v>4258</v>
      </c>
      <c r="E135" t="s">
        <v>4237</v>
      </c>
      <c r="F135" t="s">
        <v>4238</v>
      </c>
      <c r="G135" t="s">
        <v>3890</v>
      </c>
      <c r="K135">
        <v>0.36</v>
      </c>
      <c r="L135">
        <v>0.04</v>
      </c>
      <c r="M135">
        <v>46.09</v>
      </c>
      <c r="N135">
        <v>1</v>
      </c>
      <c r="O135">
        <v>49.78</v>
      </c>
    </row>
    <row r="136" spans="2:30" x14ac:dyDescent="0.25">
      <c r="B136" t="s">
        <v>133</v>
      </c>
      <c r="C136" t="s">
        <v>3256</v>
      </c>
      <c r="D136" t="s">
        <v>4259</v>
      </c>
      <c r="E136" t="s">
        <v>4260</v>
      </c>
      <c r="F136" t="s">
        <v>4261</v>
      </c>
      <c r="G136" t="s">
        <v>3890</v>
      </c>
      <c r="H136" t="s">
        <v>4262</v>
      </c>
      <c r="I136" t="s">
        <v>4263</v>
      </c>
      <c r="J136">
        <v>1</v>
      </c>
      <c r="K136">
        <v>6.3E-2</v>
      </c>
      <c r="L136">
        <v>5.8000000000000003E-2</v>
      </c>
      <c r="M136">
        <v>4.9000000000000002E-2</v>
      </c>
      <c r="N136">
        <v>4.7E-2</v>
      </c>
      <c r="O136">
        <v>4.9000000000000002E-2</v>
      </c>
      <c r="P136">
        <v>0.05</v>
      </c>
      <c r="Q136">
        <v>0.05</v>
      </c>
      <c r="R136">
        <v>0.05</v>
      </c>
      <c r="S136">
        <v>4.9000000000000002E-2</v>
      </c>
      <c r="T136">
        <v>4.9000000000000002E-2</v>
      </c>
      <c r="U136">
        <v>4.9000000000000002E-2</v>
      </c>
      <c r="V136">
        <v>4.9000000000000002E-2</v>
      </c>
      <c r="W136">
        <v>4.8000000000000001E-2</v>
      </c>
      <c r="X136">
        <v>4.8000000000000001E-2</v>
      </c>
      <c r="Y136">
        <v>4.8000000000000001E-2</v>
      </c>
      <c r="Z136">
        <v>4.7E-2</v>
      </c>
      <c r="AA136">
        <v>4.7E-2</v>
      </c>
      <c r="AB136">
        <v>4.7E-2</v>
      </c>
      <c r="AC136">
        <v>4.7E-2</v>
      </c>
      <c r="AD136">
        <v>4.5999999999999999E-2</v>
      </c>
    </row>
    <row r="137" spans="2:30" x14ac:dyDescent="0.25">
      <c r="B137" t="s">
        <v>133</v>
      </c>
      <c r="C137" t="s">
        <v>3256</v>
      </c>
      <c r="D137" t="s">
        <v>4264</v>
      </c>
      <c r="E137" t="s">
        <v>4265</v>
      </c>
      <c r="F137" t="s">
        <v>4266</v>
      </c>
      <c r="G137" t="s">
        <v>3890</v>
      </c>
      <c r="H137" t="s">
        <v>4262</v>
      </c>
      <c r="I137" t="s">
        <v>4267</v>
      </c>
      <c r="J137">
        <v>1</v>
      </c>
      <c r="K137">
        <v>11.478</v>
      </c>
      <c r="L137">
        <v>8.8379999999999992</v>
      </c>
      <c r="M137">
        <v>7.7530000000000001</v>
      </c>
      <c r="N137">
        <v>7.06</v>
      </c>
      <c r="O137">
        <v>7.0789999999999997</v>
      </c>
      <c r="P137">
        <v>7.133</v>
      </c>
      <c r="Q137">
        <v>7.1070000000000002</v>
      </c>
      <c r="R137">
        <v>7.0789999999999997</v>
      </c>
      <c r="S137">
        <v>7.05</v>
      </c>
      <c r="T137">
        <v>7.0209999999999999</v>
      </c>
      <c r="U137">
        <v>7.0209999999999999</v>
      </c>
      <c r="V137">
        <v>7.0209999999999999</v>
      </c>
      <c r="W137">
        <v>7.0209999999999999</v>
      </c>
      <c r="X137">
        <v>7.02</v>
      </c>
      <c r="Y137">
        <v>7.02</v>
      </c>
      <c r="Z137">
        <v>7.02</v>
      </c>
      <c r="AA137">
        <v>7.02</v>
      </c>
      <c r="AB137">
        <v>7.02</v>
      </c>
      <c r="AC137">
        <v>7.02</v>
      </c>
      <c r="AD137">
        <v>7.02</v>
      </c>
    </row>
    <row r="138" spans="2:30" x14ac:dyDescent="0.25">
      <c r="B138" t="s">
        <v>133</v>
      </c>
      <c r="C138" t="s">
        <v>3256</v>
      </c>
      <c r="D138" t="s">
        <v>4268</v>
      </c>
      <c r="E138" t="s">
        <v>4269</v>
      </c>
      <c r="F138" t="s">
        <v>4270</v>
      </c>
      <c r="G138" t="s">
        <v>3890</v>
      </c>
      <c r="H138" t="s">
        <v>4262</v>
      </c>
      <c r="I138" t="s">
        <v>4267</v>
      </c>
      <c r="J138">
        <v>1</v>
      </c>
      <c r="K138">
        <v>3.5339999999999998</v>
      </c>
      <c r="L138">
        <v>3.22</v>
      </c>
      <c r="M138">
        <v>3.181</v>
      </c>
      <c r="N138">
        <v>3.19</v>
      </c>
      <c r="O138">
        <v>3.2170000000000001</v>
      </c>
      <c r="P138">
        <v>3.2410000000000001</v>
      </c>
      <c r="Q138">
        <v>3.2530000000000001</v>
      </c>
      <c r="R138">
        <v>3.2610000000000001</v>
      </c>
      <c r="S138">
        <v>3.27</v>
      </c>
      <c r="T138">
        <v>3.2789999999999999</v>
      </c>
      <c r="U138">
        <v>3.2869999999999999</v>
      </c>
      <c r="V138">
        <v>3.2930000000000001</v>
      </c>
      <c r="W138">
        <v>3.2970000000000002</v>
      </c>
      <c r="X138">
        <v>3.2989999999999999</v>
      </c>
      <c r="Y138">
        <v>3.3</v>
      </c>
      <c r="Z138">
        <v>3.298</v>
      </c>
      <c r="AA138">
        <v>3.294</v>
      </c>
      <c r="AB138">
        <v>3.2869999999999999</v>
      </c>
      <c r="AC138">
        <v>3.278</v>
      </c>
      <c r="AD138">
        <v>3.2690000000000001</v>
      </c>
    </row>
    <row r="139" spans="2:30" x14ac:dyDescent="0.25">
      <c r="B139" t="s">
        <v>133</v>
      </c>
      <c r="C139" t="s">
        <v>3256</v>
      </c>
      <c r="D139" t="s">
        <v>4271</v>
      </c>
      <c r="E139" t="s">
        <v>4272</v>
      </c>
      <c r="F139" t="s">
        <v>4273</v>
      </c>
      <c r="G139" t="s">
        <v>3890</v>
      </c>
      <c r="H139" t="s">
        <v>4262</v>
      </c>
      <c r="I139" t="s">
        <v>4274</v>
      </c>
      <c r="J139">
        <v>1</v>
      </c>
      <c r="K139">
        <v>33.051000000000002</v>
      </c>
      <c r="L139">
        <v>26.300999999999998</v>
      </c>
      <c r="M139">
        <v>23.175999999999998</v>
      </c>
      <c r="N139">
        <v>15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15</v>
      </c>
      <c r="W139">
        <v>15</v>
      </c>
      <c r="X139">
        <v>15</v>
      </c>
      <c r="Y139">
        <v>15</v>
      </c>
      <c r="Z139">
        <v>15</v>
      </c>
      <c r="AA139">
        <v>15</v>
      </c>
      <c r="AB139">
        <v>15</v>
      </c>
      <c r="AC139">
        <v>15</v>
      </c>
      <c r="AD139">
        <v>15</v>
      </c>
    </row>
    <row r="140" spans="2:30" x14ac:dyDescent="0.25">
      <c r="B140" t="s">
        <v>133</v>
      </c>
      <c r="C140" t="s">
        <v>3256</v>
      </c>
      <c r="D140" t="s">
        <v>4275</v>
      </c>
      <c r="E140" t="s">
        <v>4276</v>
      </c>
      <c r="F140" t="s">
        <v>4277</v>
      </c>
      <c r="G140" t="s">
        <v>3890</v>
      </c>
      <c r="H140" t="s">
        <v>4262</v>
      </c>
      <c r="I140" t="s">
        <v>4278</v>
      </c>
      <c r="J140">
        <v>1</v>
      </c>
      <c r="K140">
        <v>0.6</v>
      </c>
      <c r="L140">
        <v>0.41099999999999998</v>
      </c>
      <c r="M140">
        <v>0.33500000000000002</v>
      </c>
      <c r="N140">
        <v>0.33500000000000002</v>
      </c>
      <c r="O140">
        <v>0.33500000000000002</v>
      </c>
      <c r="P140">
        <v>0.33500000000000002</v>
      </c>
      <c r="Q140">
        <v>0.33500000000000002</v>
      </c>
      <c r="R140">
        <v>0.33500000000000002</v>
      </c>
      <c r="S140">
        <v>0.33500000000000002</v>
      </c>
      <c r="T140">
        <v>0.33500000000000002</v>
      </c>
      <c r="U140">
        <v>0.33500000000000002</v>
      </c>
      <c r="V140">
        <v>0.33500000000000002</v>
      </c>
      <c r="W140">
        <v>0.33500000000000002</v>
      </c>
      <c r="X140">
        <v>0.33500000000000002</v>
      </c>
      <c r="Y140">
        <v>0.33500000000000002</v>
      </c>
      <c r="Z140">
        <v>0.33500000000000002</v>
      </c>
      <c r="AA140">
        <v>0.33500000000000002</v>
      </c>
      <c r="AB140">
        <v>0.33500000000000002</v>
      </c>
      <c r="AC140">
        <v>0.33500000000000002</v>
      </c>
      <c r="AD140">
        <v>0.33500000000000002</v>
      </c>
    </row>
    <row r="141" spans="2:30" x14ac:dyDescent="0.25">
      <c r="B141" t="s">
        <v>133</v>
      </c>
      <c r="C141" t="s">
        <v>3256</v>
      </c>
      <c r="D141" t="s">
        <v>4279</v>
      </c>
      <c r="E141" t="s">
        <v>4280</v>
      </c>
      <c r="F141" t="s">
        <v>4281</v>
      </c>
      <c r="G141" t="s">
        <v>3890</v>
      </c>
      <c r="H141" t="s">
        <v>4262</v>
      </c>
      <c r="I141" t="s">
        <v>4278</v>
      </c>
      <c r="J141">
        <v>1</v>
      </c>
      <c r="K141">
        <v>0.41399999999999998</v>
      </c>
      <c r="L141">
        <v>0.28100000000000003</v>
      </c>
      <c r="M141">
        <v>0.249</v>
      </c>
      <c r="N141">
        <v>0.249</v>
      </c>
      <c r="O141">
        <v>0.249</v>
      </c>
      <c r="P141">
        <v>0.249</v>
      </c>
      <c r="Q141">
        <v>0.249</v>
      </c>
      <c r="R141">
        <v>0.249</v>
      </c>
      <c r="S141">
        <v>0.249</v>
      </c>
      <c r="T141">
        <v>0.249</v>
      </c>
      <c r="U141">
        <v>0.249</v>
      </c>
      <c r="V141">
        <v>0.249</v>
      </c>
      <c r="W141">
        <v>0.249</v>
      </c>
      <c r="X141">
        <v>0.249</v>
      </c>
      <c r="Y141">
        <v>0.249</v>
      </c>
      <c r="Z141">
        <v>0.249</v>
      </c>
      <c r="AA141">
        <v>0.249</v>
      </c>
      <c r="AB141">
        <v>0.249</v>
      </c>
      <c r="AC141">
        <v>0.249</v>
      </c>
      <c r="AD141">
        <v>0.249</v>
      </c>
    </row>
    <row r="142" spans="2:30" x14ac:dyDescent="0.25">
      <c r="B142" t="s">
        <v>133</v>
      </c>
      <c r="C142" t="s">
        <v>3256</v>
      </c>
      <c r="D142" t="s">
        <v>4282</v>
      </c>
      <c r="E142" t="s">
        <v>4283</v>
      </c>
      <c r="F142" t="s">
        <v>4284</v>
      </c>
      <c r="G142" t="s">
        <v>3890</v>
      </c>
      <c r="H142" t="s">
        <v>4262</v>
      </c>
      <c r="I142" t="s">
        <v>4278</v>
      </c>
      <c r="J142">
        <v>1</v>
      </c>
      <c r="K142">
        <v>0.17499999999999999</v>
      </c>
      <c r="L142">
        <v>0.10199999999999999</v>
      </c>
      <c r="M142">
        <v>8.7999999999999995E-2</v>
      </c>
      <c r="N142">
        <v>8.7999999999999995E-2</v>
      </c>
      <c r="O142">
        <v>8.7999999999999995E-2</v>
      </c>
      <c r="P142">
        <v>8.7999999999999995E-2</v>
      </c>
      <c r="Q142">
        <v>8.7999999999999995E-2</v>
      </c>
      <c r="R142">
        <v>8.7999999999999995E-2</v>
      </c>
      <c r="S142">
        <v>8.7999999999999995E-2</v>
      </c>
      <c r="T142">
        <v>8.7999999999999995E-2</v>
      </c>
      <c r="U142">
        <v>8.7999999999999995E-2</v>
      </c>
      <c r="V142">
        <v>8.7999999999999995E-2</v>
      </c>
      <c r="W142">
        <v>8.7999999999999995E-2</v>
      </c>
      <c r="X142">
        <v>8.7999999999999995E-2</v>
      </c>
      <c r="Y142">
        <v>8.7999999999999995E-2</v>
      </c>
      <c r="Z142">
        <v>8.7999999999999995E-2</v>
      </c>
      <c r="AA142">
        <v>8.7999999999999995E-2</v>
      </c>
      <c r="AB142">
        <v>8.7999999999999995E-2</v>
      </c>
      <c r="AC142">
        <v>8.7999999999999995E-2</v>
      </c>
      <c r="AD142">
        <v>8.7999999999999995E-2</v>
      </c>
    </row>
    <row r="143" spans="2:30" x14ac:dyDescent="0.25">
      <c r="B143" t="s">
        <v>133</v>
      </c>
      <c r="C143" t="s">
        <v>3256</v>
      </c>
      <c r="D143" t="s">
        <v>4285</v>
      </c>
      <c r="E143" t="s">
        <v>4286</v>
      </c>
      <c r="F143" t="s">
        <v>4287</v>
      </c>
      <c r="G143" t="s">
        <v>3890</v>
      </c>
      <c r="H143" t="s">
        <v>4262</v>
      </c>
      <c r="I143" t="s">
        <v>4278</v>
      </c>
      <c r="J143">
        <v>1</v>
      </c>
      <c r="K143">
        <v>0.41399999999999998</v>
      </c>
      <c r="L143">
        <v>0.25900000000000001</v>
      </c>
      <c r="M143">
        <v>0.24399999999999999</v>
      </c>
      <c r="N143">
        <v>0.24399999999999999</v>
      </c>
      <c r="O143">
        <v>0.24399999999999999</v>
      </c>
      <c r="P143">
        <v>0.24399999999999999</v>
      </c>
      <c r="Q143">
        <v>0.24399999999999999</v>
      </c>
      <c r="R143">
        <v>0.24399999999999999</v>
      </c>
      <c r="S143">
        <v>0.24399999999999999</v>
      </c>
      <c r="T143">
        <v>0.24399999999999999</v>
      </c>
      <c r="U143">
        <v>0.24399999999999999</v>
      </c>
      <c r="V143">
        <v>0.24399999999999999</v>
      </c>
      <c r="W143">
        <v>0.24399999999999999</v>
      </c>
      <c r="X143">
        <v>0.24399999999999999</v>
      </c>
      <c r="Y143">
        <v>0.24399999999999999</v>
      </c>
      <c r="Z143">
        <v>0.24399999999999999</v>
      </c>
      <c r="AA143">
        <v>0.24399999999999999</v>
      </c>
      <c r="AB143">
        <v>0.24399999999999999</v>
      </c>
      <c r="AC143">
        <v>0.24399999999999999</v>
      </c>
      <c r="AD143">
        <v>0.24399999999999999</v>
      </c>
    </row>
    <row r="144" spans="2:30" x14ac:dyDescent="0.25">
      <c r="B144" t="s">
        <v>133</v>
      </c>
      <c r="C144" t="s">
        <v>3256</v>
      </c>
      <c r="D144" t="s">
        <v>4259</v>
      </c>
      <c r="E144" t="s">
        <v>4288</v>
      </c>
      <c r="F144" t="s">
        <v>4289</v>
      </c>
      <c r="G144" t="s">
        <v>3890</v>
      </c>
      <c r="H144" t="s">
        <v>4262</v>
      </c>
      <c r="I144" t="s">
        <v>4263</v>
      </c>
      <c r="J144">
        <v>2</v>
      </c>
      <c r="K144">
        <v>6.3E-2</v>
      </c>
      <c r="L144">
        <v>5.8000000000000003E-2</v>
      </c>
      <c r="M144">
        <v>4.9000000000000002E-2</v>
      </c>
      <c r="N144">
        <v>4.7E-2</v>
      </c>
      <c r="O144">
        <v>5.7000000000000002E-2</v>
      </c>
      <c r="P144">
        <v>5.8000000000000003E-2</v>
      </c>
      <c r="Q144">
        <v>5.8999999999999997E-2</v>
      </c>
      <c r="R144">
        <v>5.8000000000000003E-2</v>
      </c>
      <c r="S144">
        <v>5.7000000000000002E-2</v>
      </c>
      <c r="T144">
        <v>5.6000000000000001E-2</v>
      </c>
      <c r="U144">
        <v>5.6000000000000001E-2</v>
      </c>
      <c r="V144">
        <v>5.6000000000000001E-2</v>
      </c>
      <c r="W144">
        <v>5.6000000000000001E-2</v>
      </c>
      <c r="X144">
        <v>5.5E-2</v>
      </c>
      <c r="Y144">
        <v>5.5E-2</v>
      </c>
      <c r="Z144">
        <v>5.5E-2</v>
      </c>
      <c r="AA144">
        <v>5.3999999999999999E-2</v>
      </c>
      <c r="AB144">
        <v>5.3999999999999999E-2</v>
      </c>
      <c r="AC144">
        <v>5.3999999999999999E-2</v>
      </c>
      <c r="AD144">
        <v>5.2999999999999999E-2</v>
      </c>
    </row>
    <row r="145" spans="2:30" x14ac:dyDescent="0.25">
      <c r="B145" t="s">
        <v>133</v>
      </c>
      <c r="C145" t="s">
        <v>3256</v>
      </c>
      <c r="D145" t="s">
        <v>4264</v>
      </c>
      <c r="E145" t="s">
        <v>4290</v>
      </c>
      <c r="F145" t="s">
        <v>4291</v>
      </c>
      <c r="G145" t="s">
        <v>3890</v>
      </c>
      <c r="H145" t="s">
        <v>4262</v>
      </c>
      <c r="I145" t="s">
        <v>4267</v>
      </c>
      <c r="J145">
        <v>2</v>
      </c>
      <c r="K145">
        <v>11.478</v>
      </c>
      <c r="L145">
        <v>8.8379999999999992</v>
      </c>
      <c r="M145">
        <v>7.7530000000000001</v>
      </c>
      <c r="N145">
        <v>7.06</v>
      </c>
      <c r="O145">
        <v>9.0790000000000006</v>
      </c>
      <c r="P145">
        <v>9.1340000000000003</v>
      </c>
      <c r="Q145">
        <v>9.1080000000000005</v>
      </c>
      <c r="R145">
        <v>9.08</v>
      </c>
      <c r="S145">
        <v>9.0500000000000007</v>
      </c>
      <c r="T145">
        <v>9.0210000000000008</v>
      </c>
      <c r="U145">
        <v>9.0210000000000008</v>
      </c>
      <c r="V145">
        <v>9.0210000000000008</v>
      </c>
      <c r="W145">
        <v>9.0210000000000008</v>
      </c>
      <c r="X145">
        <v>9.0210000000000008</v>
      </c>
      <c r="Y145">
        <v>9.0210000000000008</v>
      </c>
      <c r="Z145">
        <v>9.0210000000000008</v>
      </c>
      <c r="AA145">
        <v>9.02</v>
      </c>
      <c r="AB145">
        <v>9.02</v>
      </c>
      <c r="AC145">
        <v>9.02</v>
      </c>
      <c r="AD145">
        <v>9.02</v>
      </c>
    </row>
    <row r="146" spans="2:30" x14ac:dyDescent="0.25">
      <c r="B146" t="s">
        <v>133</v>
      </c>
      <c r="C146" t="s">
        <v>3256</v>
      </c>
      <c r="D146" t="s">
        <v>4268</v>
      </c>
      <c r="E146" t="s">
        <v>4292</v>
      </c>
      <c r="F146" t="s">
        <v>4293</v>
      </c>
      <c r="G146" t="s">
        <v>3890</v>
      </c>
      <c r="H146" t="s">
        <v>4262</v>
      </c>
      <c r="I146" t="s">
        <v>4267</v>
      </c>
      <c r="J146">
        <v>2</v>
      </c>
      <c r="K146">
        <v>3.5339999999999998</v>
      </c>
      <c r="L146">
        <v>3.22</v>
      </c>
      <c r="M146">
        <v>3.181</v>
      </c>
      <c r="N146">
        <v>3.19</v>
      </c>
      <c r="O146">
        <v>4.3330000000000002</v>
      </c>
      <c r="P146">
        <v>4.3579999999999997</v>
      </c>
      <c r="Q146">
        <v>4.3710000000000004</v>
      </c>
      <c r="R146">
        <v>4.38</v>
      </c>
      <c r="S146">
        <v>4.3899999999999997</v>
      </c>
      <c r="T146">
        <v>4.399</v>
      </c>
      <c r="U146">
        <v>4.4080000000000004</v>
      </c>
      <c r="V146">
        <v>4.415</v>
      </c>
      <c r="W146">
        <v>4.42</v>
      </c>
      <c r="X146">
        <v>4.423</v>
      </c>
      <c r="Y146">
        <v>4.4240000000000004</v>
      </c>
      <c r="Z146">
        <v>4.4219999999999997</v>
      </c>
      <c r="AA146">
        <v>4.4180000000000001</v>
      </c>
      <c r="AB146">
        <v>4.4109999999999996</v>
      </c>
      <c r="AC146">
        <v>4.4009999999999998</v>
      </c>
      <c r="AD146">
        <v>4.3920000000000003</v>
      </c>
    </row>
    <row r="147" spans="2:30" x14ac:dyDescent="0.25">
      <c r="B147" t="s">
        <v>133</v>
      </c>
      <c r="C147" t="s">
        <v>3256</v>
      </c>
      <c r="D147" t="s">
        <v>4271</v>
      </c>
      <c r="E147" t="s">
        <v>4294</v>
      </c>
      <c r="F147" t="s">
        <v>4295</v>
      </c>
      <c r="G147" t="s">
        <v>3890</v>
      </c>
      <c r="H147" t="s">
        <v>4262</v>
      </c>
      <c r="I147" t="s">
        <v>4274</v>
      </c>
      <c r="J147">
        <v>2</v>
      </c>
      <c r="K147">
        <v>33.051000000000002</v>
      </c>
      <c r="L147">
        <v>26.300999999999998</v>
      </c>
      <c r="M147">
        <v>23.175999999999998</v>
      </c>
      <c r="N147">
        <v>15</v>
      </c>
      <c r="O147">
        <v>23.013999999999999</v>
      </c>
      <c r="P147">
        <v>17.477</v>
      </c>
      <c r="Q147">
        <v>15.952999999999999</v>
      </c>
      <c r="R147">
        <v>15.185</v>
      </c>
      <c r="S147">
        <v>15</v>
      </c>
      <c r="T147">
        <v>15</v>
      </c>
      <c r="U147">
        <v>15</v>
      </c>
      <c r="V147">
        <v>15</v>
      </c>
      <c r="W147">
        <v>15</v>
      </c>
      <c r="X147">
        <v>15</v>
      </c>
      <c r="Y147">
        <v>15</v>
      </c>
      <c r="Z147">
        <v>15</v>
      </c>
      <c r="AA147">
        <v>15</v>
      </c>
      <c r="AB147">
        <v>15</v>
      </c>
      <c r="AC147">
        <v>15</v>
      </c>
      <c r="AD147">
        <v>15</v>
      </c>
    </row>
    <row r="148" spans="2:30" x14ac:dyDescent="0.25">
      <c r="B148" t="s">
        <v>133</v>
      </c>
      <c r="C148" t="s">
        <v>3256</v>
      </c>
      <c r="D148" t="s">
        <v>4275</v>
      </c>
      <c r="E148" t="s">
        <v>4296</v>
      </c>
      <c r="F148" t="s">
        <v>4297</v>
      </c>
      <c r="G148" t="s">
        <v>3890</v>
      </c>
      <c r="H148" t="s">
        <v>4262</v>
      </c>
      <c r="I148" t="s">
        <v>4278</v>
      </c>
      <c r="J148">
        <v>2</v>
      </c>
      <c r="K148">
        <v>0.6</v>
      </c>
      <c r="L148">
        <v>0.41099999999999998</v>
      </c>
      <c r="M148">
        <v>0.33500000000000002</v>
      </c>
      <c r="N148">
        <v>0.33500000000000002</v>
      </c>
      <c r="O148">
        <v>0.38100000000000001</v>
      </c>
      <c r="P148">
        <v>0.38100000000000001</v>
      </c>
      <c r="Q148">
        <v>0.38100000000000001</v>
      </c>
      <c r="R148">
        <v>0.38100000000000001</v>
      </c>
      <c r="S148">
        <v>0.38100000000000001</v>
      </c>
      <c r="T148">
        <v>0.38100000000000001</v>
      </c>
      <c r="U148">
        <v>0.38100000000000001</v>
      </c>
      <c r="V148">
        <v>0.38100000000000001</v>
      </c>
      <c r="W148">
        <v>0.38100000000000001</v>
      </c>
      <c r="X148">
        <v>0.38100000000000001</v>
      </c>
      <c r="Y148">
        <v>0.38100000000000001</v>
      </c>
      <c r="Z148">
        <v>0.38100000000000001</v>
      </c>
      <c r="AA148">
        <v>0.38100000000000001</v>
      </c>
      <c r="AB148">
        <v>0.38100000000000001</v>
      </c>
      <c r="AC148">
        <v>0.38100000000000001</v>
      </c>
      <c r="AD148">
        <v>0.38100000000000001</v>
      </c>
    </row>
    <row r="149" spans="2:30" x14ac:dyDescent="0.25">
      <c r="B149" t="s">
        <v>133</v>
      </c>
      <c r="C149" t="s">
        <v>3256</v>
      </c>
      <c r="D149" t="s">
        <v>4279</v>
      </c>
      <c r="E149" t="s">
        <v>4298</v>
      </c>
      <c r="F149" t="s">
        <v>4299</v>
      </c>
      <c r="G149" t="s">
        <v>3890</v>
      </c>
      <c r="H149" t="s">
        <v>4262</v>
      </c>
      <c r="I149" t="s">
        <v>4278</v>
      </c>
      <c r="J149">
        <v>2</v>
      </c>
      <c r="K149">
        <v>0.41399999999999998</v>
      </c>
      <c r="L149">
        <v>0.28100000000000003</v>
      </c>
      <c r="M149">
        <v>0.249</v>
      </c>
      <c r="N149">
        <v>0.249</v>
      </c>
      <c r="O149">
        <v>0.30199999999999999</v>
      </c>
      <c r="P149">
        <v>0.30199999999999999</v>
      </c>
      <c r="Q149">
        <v>0.30199999999999999</v>
      </c>
      <c r="R149">
        <v>0.30199999999999999</v>
      </c>
      <c r="S149">
        <v>0.30199999999999999</v>
      </c>
      <c r="T149">
        <v>0.30199999999999999</v>
      </c>
      <c r="U149">
        <v>0.30199999999999999</v>
      </c>
      <c r="V149">
        <v>0.30199999999999999</v>
      </c>
      <c r="W149">
        <v>0.30199999999999999</v>
      </c>
      <c r="X149">
        <v>0.30199999999999999</v>
      </c>
      <c r="Y149">
        <v>0.30199999999999999</v>
      </c>
      <c r="Z149">
        <v>0.30199999999999999</v>
      </c>
      <c r="AA149">
        <v>0.30199999999999999</v>
      </c>
      <c r="AB149">
        <v>0.30199999999999999</v>
      </c>
      <c r="AC149">
        <v>0.30199999999999999</v>
      </c>
      <c r="AD149">
        <v>0.30199999999999999</v>
      </c>
    </row>
    <row r="150" spans="2:30" x14ac:dyDescent="0.25">
      <c r="B150" t="s">
        <v>133</v>
      </c>
      <c r="C150" t="s">
        <v>3256</v>
      </c>
      <c r="D150" t="s">
        <v>4282</v>
      </c>
      <c r="E150" t="s">
        <v>4300</v>
      </c>
      <c r="F150" t="s">
        <v>4301</v>
      </c>
      <c r="G150" t="s">
        <v>3890</v>
      </c>
      <c r="H150" t="s">
        <v>4262</v>
      </c>
      <c r="I150" t="s">
        <v>4278</v>
      </c>
      <c r="J150">
        <v>2</v>
      </c>
      <c r="K150">
        <v>0.17499999999999999</v>
      </c>
      <c r="L150">
        <v>0.10199999999999999</v>
      </c>
      <c r="M150">
        <v>8.7999999999999995E-2</v>
      </c>
      <c r="N150">
        <v>8.7999999999999995E-2</v>
      </c>
      <c r="O150">
        <v>0.123</v>
      </c>
      <c r="P150">
        <v>0.123</v>
      </c>
      <c r="Q150">
        <v>0.123</v>
      </c>
      <c r="R150">
        <v>0.123</v>
      </c>
      <c r="S150">
        <v>0.123</v>
      </c>
      <c r="T150">
        <v>0.123</v>
      </c>
      <c r="U150">
        <v>0.123</v>
      </c>
      <c r="V150">
        <v>0.123</v>
      </c>
      <c r="W150">
        <v>0.123</v>
      </c>
      <c r="X150">
        <v>0.123</v>
      </c>
      <c r="Y150">
        <v>0.123</v>
      </c>
      <c r="Z150">
        <v>0.123</v>
      </c>
      <c r="AA150">
        <v>0.123</v>
      </c>
      <c r="AB150">
        <v>0.123</v>
      </c>
      <c r="AC150">
        <v>0.123</v>
      </c>
      <c r="AD150">
        <v>0.123</v>
      </c>
    </row>
    <row r="151" spans="2:30" x14ac:dyDescent="0.25">
      <c r="B151" t="s">
        <v>133</v>
      </c>
      <c r="C151" t="s">
        <v>3256</v>
      </c>
      <c r="D151" t="s">
        <v>4285</v>
      </c>
      <c r="E151" t="s">
        <v>4302</v>
      </c>
      <c r="F151" t="s">
        <v>4303</v>
      </c>
      <c r="G151" t="s">
        <v>3890</v>
      </c>
      <c r="H151" t="s">
        <v>4262</v>
      </c>
      <c r="I151" t="s">
        <v>4278</v>
      </c>
      <c r="J151">
        <v>2</v>
      </c>
      <c r="K151">
        <v>0.41399999999999998</v>
      </c>
      <c r="L151">
        <v>0.25900000000000001</v>
      </c>
      <c r="M151">
        <v>0.24399999999999999</v>
      </c>
      <c r="N151">
        <v>0.24399999999999999</v>
      </c>
      <c r="O151">
        <v>0.29499999999999998</v>
      </c>
      <c r="P151">
        <v>0.29499999999999998</v>
      </c>
      <c r="Q151">
        <v>0.29499999999999998</v>
      </c>
      <c r="R151">
        <v>0.29499999999999998</v>
      </c>
      <c r="S151">
        <v>0.29499999999999998</v>
      </c>
      <c r="T151">
        <v>0.29499999999999998</v>
      </c>
      <c r="U151">
        <v>0.29499999999999998</v>
      </c>
      <c r="V151">
        <v>0.29499999999999998</v>
      </c>
      <c r="W151">
        <v>0.29499999999999998</v>
      </c>
      <c r="X151">
        <v>0.29499999999999998</v>
      </c>
      <c r="Y151">
        <v>0.29499999999999998</v>
      </c>
      <c r="Z151">
        <v>0.29499999999999998</v>
      </c>
      <c r="AA151">
        <v>0.29499999999999998</v>
      </c>
      <c r="AB151">
        <v>0.29499999999999998</v>
      </c>
      <c r="AC151">
        <v>0.29499999999999998</v>
      </c>
      <c r="AD151">
        <v>0.29499999999999998</v>
      </c>
    </row>
    <row r="152" spans="2:30" x14ac:dyDescent="0.25">
      <c r="B152" t="s">
        <v>133</v>
      </c>
      <c r="C152" t="s">
        <v>3256</v>
      </c>
      <c r="D152" t="s">
        <v>4304</v>
      </c>
      <c r="E152" t="s">
        <v>4305</v>
      </c>
      <c r="F152" t="s">
        <v>4306</v>
      </c>
      <c r="G152" t="s">
        <v>3890</v>
      </c>
      <c r="H152" t="s">
        <v>4262</v>
      </c>
      <c r="I152" t="s">
        <v>3892</v>
      </c>
      <c r="J152">
        <v>2</v>
      </c>
      <c r="K152">
        <v>0</v>
      </c>
      <c r="L152">
        <v>0</v>
      </c>
      <c r="M152">
        <v>0</v>
      </c>
      <c r="N152">
        <v>-1E-3</v>
      </c>
      <c r="O152">
        <v>0.17199999999999999</v>
      </c>
      <c r="P152">
        <v>0.155</v>
      </c>
      <c r="Q152">
        <v>0.17799999999999999</v>
      </c>
      <c r="R152">
        <v>0.161</v>
      </c>
      <c r="S152">
        <v>0.156</v>
      </c>
      <c r="T152">
        <v>0.151</v>
      </c>
      <c r="U152">
        <v>0.151</v>
      </c>
      <c r="V152">
        <v>0.15</v>
      </c>
      <c r="W152">
        <v>0.151</v>
      </c>
      <c r="X152">
        <v>0.151</v>
      </c>
      <c r="Y152">
        <v>0.151</v>
      </c>
      <c r="Z152">
        <v>0.151</v>
      </c>
      <c r="AA152">
        <v>0.152</v>
      </c>
      <c r="AB152">
        <v>0.152</v>
      </c>
      <c r="AC152">
        <v>0.153</v>
      </c>
      <c r="AD152">
        <v>0.152</v>
      </c>
    </row>
    <row r="153" spans="2:30" x14ac:dyDescent="0.25">
      <c r="B153" t="s">
        <v>133</v>
      </c>
      <c r="C153" t="s">
        <v>3256</v>
      </c>
      <c r="D153" t="s">
        <v>4307</v>
      </c>
      <c r="E153" t="s">
        <v>4308</v>
      </c>
      <c r="F153" t="s">
        <v>4309</v>
      </c>
      <c r="G153" t="s">
        <v>3890</v>
      </c>
      <c r="H153" t="s">
        <v>4262</v>
      </c>
      <c r="I153" t="s">
        <v>3892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0.28299999999999997</v>
      </c>
      <c r="P153">
        <v>0.28000000000000003</v>
      </c>
      <c r="Q153">
        <v>0.28100000000000003</v>
      </c>
      <c r="R153">
        <v>0.28299999999999997</v>
      </c>
      <c r="S153">
        <v>0.28399999999999997</v>
      </c>
      <c r="T153">
        <v>0.28499999999999998</v>
      </c>
      <c r="U153">
        <v>0.28499999999999998</v>
      </c>
      <c r="V153">
        <v>0.28499999999999998</v>
      </c>
      <c r="W153">
        <v>0.28499999999999998</v>
      </c>
      <c r="X153">
        <v>0.28499999999999998</v>
      </c>
      <c r="Y153">
        <v>0.28499999999999998</v>
      </c>
      <c r="Z153">
        <v>0.28499999999999998</v>
      </c>
      <c r="AA153">
        <v>0.28499999999999998</v>
      </c>
      <c r="AB153">
        <v>0.28499999999999998</v>
      </c>
      <c r="AC153">
        <v>0.28499999999999998</v>
      </c>
      <c r="AD153">
        <v>0.28499999999999998</v>
      </c>
    </row>
    <row r="154" spans="2:30" x14ac:dyDescent="0.25">
      <c r="B154" t="s">
        <v>133</v>
      </c>
      <c r="C154" t="s">
        <v>3256</v>
      </c>
      <c r="D154" t="s">
        <v>4310</v>
      </c>
      <c r="E154" t="s">
        <v>4311</v>
      </c>
      <c r="F154" t="s">
        <v>4312</v>
      </c>
      <c r="G154" t="s">
        <v>3890</v>
      </c>
      <c r="H154" t="s">
        <v>4262</v>
      </c>
      <c r="I154" t="s">
        <v>3892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0.34699999999999998</v>
      </c>
      <c r="P154">
        <v>0.34499999999999997</v>
      </c>
      <c r="Q154">
        <v>0.34399999999999997</v>
      </c>
      <c r="R154">
        <v>0.34300000000000003</v>
      </c>
      <c r="S154">
        <v>0.34200000000000003</v>
      </c>
      <c r="T154">
        <v>0.34200000000000003</v>
      </c>
      <c r="U154">
        <v>0.34100000000000003</v>
      </c>
      <c r="V154">
        <v>0.34100000000000003</v>
      </c>
      <c r="W154">
        <v>0.34100000000000003</v>
      </c>
      <c r="X154">
        <v>0.34100000000000003</v>
      </c>
      <c r="Y154">
        <v>0.34100000000000003</v>
      </c>
      <c r="Z154">
        <v>0.34100000000000003</v>
      </c>
      <c r="AA154">
        <v>0.34100000000000003</v>
      </c>
      <c r="AB154">
        <v>0.34200000000000003</v>
      </c>
      <c r="AC154">
        <v>0.34300000000000003</v>
      </c>
      <c r="AD154">
        <v>0.34399999999999997</v>
      </c>
    </row>
    <row r="155" spans="2:30" x14ac:dyDescent="0.25">
      <c r="B155" t="s">
        <v>133</v>
      </c>
      <c r="C155" t="s">
        <v>3256</v>
      </c>
      <c r="D155" t="s">
        <v>4313</v>
      </c>
      <c r="E155" t="s">
        <v>4314</v>
      </c>
      <c r="F155" t="s">
        <v>4315</v>
      </c>
      <c r="G155" t="s">
        <v>3890</v>
      </c>
      <c r="H155" t="s">
        <v>4262</v>
      </c>
      <c r="I155" t="s">
        <v>3892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0.53400000000000003</v>
      </c>
      <c r="P155">
        <v>0.16500000000000001</v>
      </c>
      <c r="Q155">
        <v>6.4000000000000001E-2</v>
      </c>
      <c r="R155">
        <v>1.2E-2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2:30" x14ac:dyDescent="0.25">
      <c r="B156" t="s">
        <v>133</v>
      </c>
      <c r="C156" t="s">
        <v>3256</v>
      </c>
      <c r="D156" t="s">
        <v>4316</v>
      </c>
      <c r="E156" t="s">
        <v>4317</v>
      </c>
      <c r="F156" t="s">
        <v>4318</v>
      </c>
      <c r="G156" t="s">
        <v>3890</v>
      </c>
      <c r="H156" t="s">
        <v>4262</v>
      </c>
      <c r="I156" t="s">
        <v>3892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0.13800000000000001</v>
      </c>
      <c r="P156">
        <v>0.13800000000000001</v>
      </c>
      <c r="Q156">
        <v>0.13800000000000001</v>
      </c>
      <c r="R156">
        <v>0.13800000000000001</v>
      </c>
      <c r="S156">
        <v>0.13800000000000001</v>
      </c>
      <c r="T156">
        <v>0.13800000000000001</v>
      </c>
      <c r="U156">
        <v>0.13800000000000001</v>
      </c>
      <c r="V156">
        <v>0.13800000000000001</v>
      </c>
      <c r="W156">
        <v>0.13800000000000001</v>
      </c>
      <c r="X156">
        <v>0.13800000000000001</v>
      </c>
      <c r="Y156">
        <v>0.13800000000000001</v>
      </c>
      <c r="Z156">
        <v>0.13800000000000001</v>
      </c>
      <c r="AA156">
        <v>0.13800000000000001</v>
      </c>
      <c r="AB156">
        <v>0.13800000000000001</v>
      </c>
      <c r="AC156">
        <v>0.13800000000000001</v>
      </c>
      <c r="AD156">
        <v>0.13800000000000001</v>
      </c>
    </row>
    <row r="157" spans="2:30" x14ac:dyDescent="0.25">
      <c r="B157" t="s">
        <v>133</v>
      </c>
      <c r="C157" t="s">
        <v>3256</v>
      </c>
      <c r="D157" t="s">
        <v>4319</v>
      </c>
      <c r="E157" t="s">
        <v>4320</v>
      </c>
      <c r="F157" t="s">
        <v>4321</v>
      </c>
      <c r="G157" t="s">
        <v>3890</v>
      </c>
      <c r="H157" t="s">
        <v>4262</v>
      </c>
      <c r="I157" t="s">
        <v>3892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0.21199999999999999</v>
      </c>
      <c r="P157">
        <v>0.21199999999999999</v>
      </c>
      <c r="Q157">
        <v>0.21199999999999999</v>
      </c>
      <c r="R157">
        <v>0.21199999999999999</v>
      </c>
      <c r="S157">
        <v>0.21199999999999999</v>
      </c>
      <c r="T157">
        <v>0.21199999999999999</v>
      </c>
      <c r="U157">
        <v>0.21199999999999999</v>
      </c>
      <c r="V157">
        <v>0.21199999999999999</v>
      </c>
      <c r="W157">
        <v>0.21199999999999999</v>
      </c>
      <c r="X157">
        <v>0.21199999999999999</v>
      </c>
      <c r="Y157">
        <v>0.21199999999999999</v>
      </c>
      <c r="Z157">
        <v>0.21199999999999999</v>
      </c>
      <c r="AA157">
        <v>0.21199999999999999</v>
      </c>
      <c r="AB157">
        <v>0.21199999999999999</v>
      </c>
      <c r="AC157">
        <v>0.21199999999999999</v>
      </c>
      <c r="AD157">
        <v>0.21199999999999999</v>
      </c>
    </row>
    <row r="158" spans="2:30" x14ac:dyDescent="0.25">
      <c r="B158" t="s">
        <v>133</v>
      </c>
      <c r="C158" t="s">
        <v>3256</v>
      </c>
      <c r="D158" t="s">
        <v>4322</v>
      </c>
      <c r="E158" t="s">
        <v>4323</v>
      </c>
      <c r="F158" t="s">
        <v>4324</v>
      </c>
      <c r="G158" t="s">
        <v>3890</v>
      </c>
      <c r="H158" t="s">
        <v>4262</v>
      </c>
      <c r="I158" t="s">
        <v>3892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0.40200000000000002</v>
      </c>
      <c r="P158">
        <v>0.40200000000000002</v>
      </c>
      <c r="Q158">
        <v>0.40200000000000002</v>
      </c>
      <c r="R158">
        <v>0.40200000000000002</v>
      </c>
      <c r="S158">
        <v>0.40200000000000002</v>
      </c>
      <c r="T158">
        <v>0.40200000000000002</v>
      </c>
      <c r="U158">
        <v>0.40200000000000002</v>
      </c>
      <c r="V158">
        <v>0.40200000000000002</v>
      </c>
      <c r="W158">
        <v>0.40200000000000002</v>
      </c>
      <c r="X158">
        <v>0.40200000000000002</v>
      </c>
      <c r="Y158">
        <v>0.40200000000000002</v>
      </c>
      <c r="Z158">
        <v>0.40200000000000002</v>
      </c>
      <c r="AA158">
        <v>0.40200000000000002</v>
      </c>
      <c r="AB158">
        <v>0.40200000000000002</v>
      </c>
      <c r="AC158">
        <v>0.40200000000000002</v>
      </c>
      <c r="AD158">
        <v>0.40200000000000002</v>
      </c>
    </row>
    <row r="159" spans="2:30" x14ac:dyDescent="0.25">
      <c r="B159" t="s">
        <v>133</v>
      </c>
      <c r="C159" t="s">
        <v>3256</v>
      </c>
      <c r="D159" t="s">
        <v>4325</v>
      </c>
      <c r="E159" t="s">
        <v>4326</v>
      </c>
      <c r="F159" t="s">
        <v>4327</v>
      </c>
      <c r="G159" t="s">
        <v>3890</v>
      </c>
      <c r="H159" t="s">
        <v>4262</v>
      </c>
      <c r="I159" t="s">
        <v>3892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0.21</v>
      </c>
      <c r="P159">
        <v>0.21</v>
      </c>
      <c r="Q159">
        <v>0.21</v>
      </c>
      <c r="R159">
        <v>0.21</v>
      </c>
      <c r="S159">
        <v>0.21</v>
      </c>
      <c r="T159">
        <v>0.21</v>
      </c>
      <c r="U159">
        <v>0.21</v>
      </c>
      <c r="V159">
        <v>0.21</v>
      </c>
      <c r="W159">
        <v>0.21</v>
      </c>
      <c r="X159">
        <v>0.21</v>
      </c>
      <c r="Y159">
        <v>0.21</v>
      </c>
      <c r="Z159">
        <v>0.21</v>
      </c>
      <c r="AA159">
        <v>0.21</v>
      </c>
      <c r="AB159">
        <v>0.21</v>
      </c>
      <c r="AC159">
        <v>0.21</v>
      </c>
      <c r="AD159">
        <v>0.21</v>
      </c>
    </row>
    <row r="160" spans="2:30" x14ac:dyDescent="0.25">
      <c r="B160" t="s">
        <v>133</v>
      </c>
      <c r="C160" t="s">
        <v>3256</v>
      </c>
      <c r="D160" t="s">
        <v>4328</v>
      </c>
      <c r="E160" t="s">
        <v>4329</v>
      </c>
      <c r="F160" t="s">
        <v>4330</v>
      </c>
      <c r="G160" t="s">
        <v>3890</v>
      </c>
      <c r="H160" t="s">
        <v>4331</v>
      </c>
      <c r="I160" t="s">
        <v>4332</v>
      </c>
      <c r="J160">
        <v>2</v>
      </c>
    </row>
    <row r="161" spans="2:30" x14ac:dyDescent="0.25">
      <c r="B161" t="s">
        <v>133</v>
      </c>
      <c r="C161" t="s">
        <v>3256</v>
      </c>
      <c r="D161" t="s">
        <v>4333</v>
      </c>
      <c r="E161" t="s">
        <v>4334</v>
      </c>
      <c r="F161" t="s">
        <v>4335</v>
      </c>
      <c r="G161" t="s">
        <v>3890</v>
      </c>
      <c r="H161" t="s">
        <v>4336</v>
      </c>
      <c r="I161" t="s">
        <v>3894</v>
      </c>
      <c r="J161">
        <v>2</v>
      </c>
      <c r="K161" t="e">
        <v>#VALUE!</v>
      </c>
    </row>
    <row r="162" spans="2:30" x14ac:dyDescent="0.25">
      <c r="B162" t="s">
        <v>133</v>
      </c>
      <c r="C162" t="s">
        <v>3256</v>
      </c>
      <c r="D162" t="s">
        <v>4337</v>
      </c>
      <c r="E162" t="s">
        <v>4338</v>
      </c>
      <c r="F162" t="s">
        <v>4339</v>
      </c>
      <c r="G162" t="s">
        <v>3890</v>
      </c>
      <c r="H162" t="s">
        <v>4340</v>
      </c>
      <c r="I162" t="s">
        <v>3894</v>
      </c>
      <c r="J162">
        <v>1</v>
      </c>
      <c r="K162">
        <v>-151.58099999999999</v>
      </c>
      <c r="L162">
        <v>-128.29400000000001</v>
      </c>
      <c r="M162">
        <v>-165.88800000000001</v>
      </c>
      <c r="N162">
        <v>-154.876</v>
      </c>
      <c r="O162">
        <v>-161.08500000000001</v>
      </c>
      <c r="P162">
        <v>-152.54</v>
      </c>
      <c r="Q162">
        <v>-147.751</v>
      </c>
      <c r="R162">
        <v>-144.482</v>
      </c>
      <c r="S162">
        <v>-141.161</v>
      </c>
      <c r="T162">
        <v>-137.05099999999999</v>
      </c>
      <c r="U162">
        <v>-133.40100000000001</v>
      </c>
      <c r="V162">
        <v>-129.43299999999999</v>
      </c>
      <c r="W162">
        <v>-125.136</v>
      </c>
      <c r="X162">
        <v>-120.459</v>
      </c>
      <c r="Y162">
        <v>-115.23699999999999</v>
      </c>
      <c r="Z162">
        <v>-109.639</v>
      </c>
      <c r="AA162">
        <v>-103.673</v>
      </c>
      <c r="AB162">
        <v>-97.373999999999995</v>
      </c>
      <c r="AC162">
        <v>-91.656000000000006</v>
      </c>
      <c r="AD162">
        <v>-90.676000000000002</v>
      </c>
    </row>
    <row r="163" spans="2:30" x14ac:dyDescent="0.25">
      <c r="B163" t="s">
        <v>133</v>
      </c>
      <c r="C163" t="s">
        <v>3256</v>
      </c>
      <c r="D163" t="s">
        <v>4337</v>
      </c>
      <c r="E163" t="s">
        <v>4341</v>
      </c>
      <c r="F163" t="s">
        <v>4342</v>
      </c>
      <c r="G163" t="s">
        <v>3890</v>
      </c>
      <c r="H163" t="s">
        <v>4340</v>
      </c>
      <c r="I163" t="s">
        <v>3894</v>
      </c>
      <c r="J163">
        <v>2</v>
      </c>
      <c r="K163">
        <v>-151.58099999999999</v>
      </c>
      <c r="L163">
        <v>-128.298</v>
      </c>
      <c r="M163">
        <v>-165.91900000000001</v>
      </c>
      <c r="N163">
        <v>-154.899</v>
      </c>
      <c r="O163">
        <v>-141.79900000000001</v>
      </c>
      <c r="P163">
        <v>-130.887</v>
      </c>
      <c r="Q163">
        <v>-125.762</v>
      </c>
      <c r="R163">
        <v>-121.928</v>
      </c>
      <c r="S163">
        <v>-118.587</v>
      </c>
      <c r="T163">
        <v>-114.331</v>
      </c>
      <c r="U163">
        <v>-110.456</v>
      </c>
      <c r="V163">
        <v>-106.16800000000001</v>
      </c>
      <c r="W163">
        <v>-101.52500000000001</v>
      </c>
      <c r="X163">
        <v>-96.491</v>
      </c>
      <c r="Y163">
        <v>-90.888000000000005</v>
      </c>
      <c r="Z163">
        <v>-84.908000000000001</v>
      </c>
      <c r="AA163">
        <v>-78.546000000000006</v>
      </c>
      <c r="AB163">
        <v>-71.849999999999994</v>
      </c>
      <c r="AC163">
        <v>-65.844999999999999</v>
      </c>
      <c r="AD163">
        <v>-65.067999999999998</v>
      </c>
    </row>
    <row r="164" spans="2:30" x14ac:dyDescent="0.25">
      <c r="B164" t="s">
        <v>133</v>
      </c>
      <c r="C164" t="s">
        <v>3256</v>
      </c>
      <c r="D164" t="s">
        <v>4343</v>
      </c>
      <c r="E164" t="s">
        <v>4344</v>
      </c>
      <c r="F164" t="s">
        <v>4345</v>
      </c>
      <c r="G164" t="s">
        <v>3890</v>
      </c>
      <c r="H164" t="s">
        <v>4262</v>
      </c>
      <c r="I164" t="s">
        <v>4263</v>
      </c>
      <c r="J164">
        <v>1</v>
      </c>
      <c r="K164">
        <v>6.4000000000000001E-2</v>
      </c>
      <c r="L164">
        <v>6.2E-2</v>
      </c>
      <c r="M164">
        <v>5.1999999999999998E-2</v>
      </c>
      <c r="N164">
        <v>4.9000000000000002E-2</v>
      </c>
      <c r="O164">
        <v>5.0999999999999997E-2</v>
      </c>
      <c r="P164">
        <v>5.2999999999999999E-2</v>
      </c>
      <c r="Q164">
        <v>5.2999999999999999E-2</v>
      </c>
      <c r="R164">
        <v>5.1999999999999998E-2</v>
      </c>
      <c r="S164">
        <v>5.1999999999999998E-2</v>
      </c>
      <c r="T164">
        <v>5.1999999999999998E-2</v>
      </c>
      <c r="U164">
        <v>5.0999999999999997E-2</v>
      </c>
      <c r="V164">
        <v>5.0999999999999997E-2</v>
      </c>
      <c r="W164">
        <v>5.0999999999999997E-2</v>
      </c>
      <c r="X164">
        <v>5.0999999999999997E-2</v>
      </c>
      <c r="Y164">
        <v>0.05</v>
      </c>
      <c r="Z164">
        <v>0.05</v>
      </c>
      <c r="AA164">
        <v>0.05</v>
      </c>
      <c r="AB164">
        <v>4.9000000000000002E-2</v>
      </c>
      <c r="AC164">
        <v>4.9000000000000002E-2</v>
      </c>
      <c r="AD164">
        <v>4.9000000000000002E-2</v>
      </c>
    </row>
    <row r="165" spans="2:30" x14ac:dyDescent="0.25">
      <c r="B165" t="s">
        <v>133</v>
      </c>
      <c r="C165" t="s">
        <v>3256</v>
      </c>
      <c r="D165" t="s">
        <v>4346</v>
      </c>
      <c r="E165" t="s">
        <v>4347</v>
      </c>
      <c r="F165" t="s">
        <v>4348</v>
      </c>
      <c r="G165" t="s">
        <v>3890</v>
      </c>
      <c r="H165" t="s">
        <v>4262</v>
      </c>
      <c r="I165" t="s">
        <v>4263</v>
      </c>
      <c r="J165">
        <v>1</v>
      </c>
      <c r="K165">
        <v>6.0999999999999999E-2</v>
      </c>
      <c r="L165">
        <v>5.1999999999999998E-2</v>
      </c>
      <c r="M165">
        <v>4.5999999999999999E-2</v>
      </c>
      <c r="N165">
        <v>4.2999999999999997E-2</v>
      </c>
      <c r="O165">
        <v>4.4999999999999998E-2</v>
      </c>
      <c r="P165">
        <v>4.5999999999999999E-2</v>
      </c>
      <c r="Q165">
        <v>4.5999999999999999E-2</v>
      </c>
      <c r="R165">
        <v>4.5999999999999999E-2</v>
      </c>
      <c r="S165">
        <v>4.5999999999999999E-2</v>
      </c>
      <c r="T165">
        <v>4.4999999999999998E-2</v>
      </c>
      <c r="U165">
        <v>4.4999999999999998E-2</v>
      </c>
      <c r="V165">
        <v>4.4999999999999998E-2</v>
      </c>
      <c r="W165">
        <v>4.4999999999999998E-2</v>
      </c>
      <c r="X165">
        <v>4.3999999999999997E-2</v>
      </c>
      <c r="Y165">
        <v>4.3999999999999997E-2</v>
      </c>
      <c r="Z165">
        <v>4.3999999999999997E-2</v>
      </c>
      <c r="AA165">
        <v>4.3999999999999997E-2</v>
      </c>
      <c r="AB165">
        <v>4.2999999999999997E-2</v>
      </c>
      <c r="AC165">
        <v>4.2999999999999997E-2</v>
      </c>
      <c r="AD165">
        <v>4.2999999999999997E-2</v>
      </c>
    </row>
    <row r="166" spans="2:30" x14ac:dyDescent="0.25">
      <c r="B166" t="s">
        <v>133</v>
      </c>
      <c r="C166" t="s">
        <v>3256</v>
      </c>
      <c r="D166" t="s">
        <v>4349</v>
      </c>
      <c r="E166" t="s">
        <v>4350</v>
      </c>
      <c r="F166" t="s">
        <v>4351</v>
      </c>
      <c r="G166" t="s">
        <v>3890</v>
      </c>
      <c r="H166" t="s">
        <v>4262</v>
      </c>
      <c r="I166" t="s">
        <v>4267</v>
      </c>
      <c r="J166">
        <v>1</v>
      </c>
      <c r="K166">
        <v>11.465999999999999</v>
      </c>
      <c r="L166">
        <v>8.83</v>
      </c>
      <c r="M166">
        <v>7.7460000000000004</v>
      </c>
      <c r="N166">
        <v>7.0540000000000003</v>
      </c>
      <c r="O166">
        <v>7.0720000000000001</v>
      </c>
      <c r="P166">
        <v>7.1269999999999998</v>
      </c>
      <c r="Q166">
        <v>7.101</v>
      </c>
      <c r="R166">
        <v>7.0730000000000004</v>
      </c>
      <c r="S166">
        <v>7.0430000000000001</v>
      </c>
      <c r="T166">
        <v>7.0140000000000002</v>
      </c>
      <c r="U166">
        <v>7.0140000000000002</v>
      </c>
      <c r="V166">
        <v>7.0140000000000002</v>
      </c>
      <c r="W166">
        <v>7.0140000000000002</v>
      </c>
      <c r="X166">
        <v>7.0140000000000002</v>
      </c>
      <c r="Y166">
        <v>7.0140000000000002</v>
      </c>
      <c r="Z166">
        <v>7.0140000000000002</v>
      </c>
      <c r="AA166">
        <v>7.0140000000000002</v>
      </c>
      <c r="AB166">
        <v>7.0140000000000002</v>
      </c>
      <c r="AC166">
        <v>7.0140000000000002</v>
      </c>
      <c r="AD166">
        <v>7.0140000000000002</v>
      </c>
    </row>
    <row r="167" spans="2:30" x14ac:dyDescent="0.25">
      <c r="B167" t="s">
        <v>133</v>
      </c>
      <c r="C167" t="s">
        <v>3256</v>
      </c>
      <c r="D167" t="s">
        <v>4352</v>
      </c>
      <c r="E167" t="s">
        <v>4353</v>
      </c>
      <c r="F167" t="s">
        <v>4354</v>
      </c>
      <c r="G167" t="s">
        <v>3890</v>
      </c>
      <c r="H167" t="s">
        <v>4262</v>
      </c>
      <c r="I167" t="s">
        <v>4267</v>
      </c>
      <c r="J167">
        <v>1</v>
      </c>
      <c r="K167">
        <v>5.3360000000000003</v>
      </c>
      <c r="L167">
        <v>5.01</v>
      </c>
      <c r="M167">
        <v>5.0869999999999997</v>
      </c>
      <c r="N167">
        <v>5.0869999999999997</v>
      </c>
      <c r="O167">
        <v>5.0869999999999997</v>
      </c>
      <c r="P167">
        <v>5.0869999999999997</v>
      </c>
      <c r="Q167">
        <v>5.0869999999999997</v>
      </c>
      <c r="R167">
        <v>5.0869999999999997</v>
      </c>
      <c r="S167">
        <v>5.0869999999999997</v>
      </c>
      <c r="T167">
        <v>5.0869999999999997</v>
      </c>
      <c r="U167">
        <v>5.0869999999999997</v>
      </c>
      <c r="V167">
        <v>5.0869999999999997</v>
      </c>
      <c r="W167">
        <v>5.0869999999999997</v>
      </c>
      <c r="X167">
        <v>5.0869999999999997</v>
      </c>
      <c r="Y167">
        <v>5.0869999999999997</v>
      </c>
      <c r="Z167">
        <v>5.0869999999999997</v>
      </c>
      <c r="AA167">
        <v>5.0869999999999997</v>
      </c>
      <c r="AB167">
        <v>5.0869999999999997</v>
      </c>
      <c r="AC167">
        <v>5.0869999999999997</v>
      </c>
      <c r="AD167">
        <v>5.0869999999999997</v>
      </c>
    </row>
    <row r="168" spans="2:30" x14ac:dyDescent="0.25">
      <c r="B168" t="s">
        <v>133</v>
      </c>
      <c r="C168" t="s">
        <v>3256</v>
      </c>
      <c r="D168" t="s">
        <v>4355</v>
      </c>
      <c r="E168" t="s">
        <v>4356</v>
      </c>
      <c r="F168" t="s">
        <v>4357</v>
      </c>
      <c r="G168" t="s">
        <v>3890</v>
      </c>
      <c r="H168" t="s">
        <v>4262</v>
      </c>
      <c r="I168" t="s">
        <v>4267</v>
      </c>
      <c r="J168">
        <v>1</v>
      </c>
      <c r="K168">
        <v>23.399000000000001</v>
      </c>
      <c r="L168">
        <v>15.864000000000001</v>
      </c>
      <c r="M168">
        <v>14.744</v>
      </c>
      <c r="N168">
        <v>13.651999999999999</v>
      </c>
      <c r="O168">
        <v>13.680999999999999</v>
      </c>
      <c r="P168">
        <v>13.768000000000001</v>
      </c>
      <c r="Q168">
        <v>13.727</v>
      </c>
      <c r="R168">
        <v>13.683</v>
      </c>
      <c r="S168">
        <v>13.635999999999999</v>
      </c>
      <c r="T168">
        <v>13.59</v>
      </c>
      <c r="U168">
        <v>13.59</v>
      </c>
      <c r="V168">
        <v>13.59</v>
      </c>
      <c r="W168">
        <v>13.59</v>
      </c>
      <c r="X168">
        <v>13.59</v>
      </c>
      <c r="Y168">
        <v>13.59</v>
      </c>
      <c r="Z168">
        <v>13.59</v>
      </c>
      <c r="AA168">
        <v>13.59</v>
      </c>
      <c r="AB168">
        <v>13.59</v>
      </c>
      <c r="AC168">
        <v>13.59</v>
      </c>
      <c r="AD168">
        <v>13.59</v>
      </c>
    </row>
    <row r="169" spans="2:30" x14ac:dyDescent="0.25">
      <c r="B169" t="s">
        <v>133</v>
      </c>
      <c r="C169" t="s">
        <v>3256</v>
      </c>
      <c r="D169" t="s">
        <v>4358</v>
      </c>
      <c r="E169" t="s">
        <v>4359</v>
      </c>
      <c r="F169" t="s">
        <v>4360</v>
      </c>
      <c r="G169" t="s">
        <v>3890</v>
      </c>
      <c r="H169" t="s">
        <v>4262</v>
      </c>
      <c r="I169" t="s">
        <v>4267</v>
      </c>
      <c r="J169">
        <v>1</v>
      </c>
      <c r="K169">
        <v>4.6340000000000003</v>
      </c>
      <c r="L169">
        <v>3.2090000000000001</v>
      </c>
      <c r="M169">
        <v>2.331</v>
      </c>
      <c r="N169">
        <v>2.331</v>
      </c>
      <c r="O169">
        <v>2.331</v>
      </c>
      <c r="P169">
        <v>2.331</v>
      </c>
      <c r="Q169">
        <v>2.331</v>
      </c>
      <c r="R169">
        <v>2.331</v>
      </c>
      <c r="S169">
        <v>2.331</v>
      </c>
      <c r="T169">
        <v>2.331</v>
      </c>
      <c r="U169">
        <v>2.331</v>
      </c>
      <c r="V169">
        <v>2.331</v>
      </c>
      <c r="W169">
        <v>2.331</v>
      </c>
      <c r="X169">
        <v>2.331</v>
      </c>
      <c r="Y169">
        <v>2.331</v>
      </c>
      <c r="Z169">
        <v>2.331</v>
      </c>
      <c r="AA169">
        <v>2.331</v>
      </c>
      <c r="AB169">
        <v>2.331</v>
      </c>
      <c r="AC169">
        <v>2.331</v>
      </c>
      <c r="AD169">
        <v>2.331</v>
      </c>
    </row>
    <row r="170" spans="2:30" x14ac:dyDescent="0.25">
      <c r="B170" t="s">
        <v>133</v>
      </c>
      <c r="C170" t="s">
        <v>3256</v>
      </c>
      <c r="D170" t="s">
        <v>4361</v>
      </c>
      <c r="E170" t="s">
        <v>4362</v>
      </c>
      <c r="F170" t="s">
        <v>4363</v>
      </c>
      <c r="G170" t="s">
        <v>3890</v>
      </c>
      <c r="H170" t="s">
        <v>4262</v>
      </c>
      <c r="I170" t="s">
        <v>4267</v>
      </c>
      <c r="J170">
        <v>1</v>
      </c>
      <c r="K170">
        <v>13.301</v>
      </c>
      <c r="L170">
        <v>6.66</v>
      </c>
      <c r="M170">
        <v>5.9119999999999999</v>
      </c>
      <c r="N170">
        <v>5.032</v>
      </c>
      <c r="O170">
        <v>5.0549999999999997</v>
      </c>
      <c r="P170">
        <v>5.125</v>
      </c>
      <c r="Q170">
        <v>5.0919999999999996</v>
      </c>
      <c r="R170">
        <v>5.056</v>
      </c>
      <c r="S170">
        <v>5.0179999999999998</v>
      </c>
      <c r="T170">
        <v>4.9820000000000002</v>
      </c>
      <c r="U170">
        <v>4.9820000000000002</v>
      </c>
      <c r="V170">
        <v>4.9820000000000002</v>
      </c>
      <c r="W170">
        <v>4.9820000000000002</v>
      </c>
      <c r="X170">
        <v>4.9820000000000002</v>
      </c>
      <c r="Y170">
        <v>4.9820000000000002</v>
      </c>
      <c r="Z170">
        <v>4.9820000000000002</v>
      </c>
      <c r="AA170">
        <v>4.9820000000000002</v>
      </c>
      <c r="AB170">
        <v>4.9820000000000002</v>
      </c>
      <c r="AC170">
        <v>4.9820000000000002</v>
      </c>
      <c r="AD170">
        <v>4.9820000000000002</v>
      </c>
    </row>
    <row r="171" spans="2:30" x14ac:dyDescent="0.25">
      <c r="B171" t="s">
        <v>133</v>
      </c>
      <c r="C171" t="s">
        <v>3256</v>
      </c>
      <c r="D171" t="s">
        <v>4364</v>
      </c>
      <c r="E171" t="s">
        <v>4365</v>
      </c>
      <c r="F171" t="s">
        <v>4366</v>
      </c>
      <c r="G171" t="s">
        <v>3890</v>
      </c>
      <c r="H171" t="s">
        <v>4262</v>
      </c>
      <c r="I171" t="s">
        <v>4267</v>
      </c>
      <c r="J171">
        <v>1</v>
      </c>
      <c r="K171">
        <v>2.7839999999999998</v>
      </c>
      <c r="L171">
        <v>2.6139999999999999</v>
      </c>
      <c r="M171">
        <v>2.6539999999999999</v>
      </c>
      <c r="N171">
        <v>2.6539999999999999</v>
      </c>
      <c r="O171">
        <v>2.6539999999999999</v>
      </c>
      <c r="P171">
        <v>2.6539999999999999</v>
      </c>
      <c r="Q171">
        <v>2.6539999999999999</v>
      </c>
      <c r="R171">
        <v>2.6539999999999999</v>
      </c>
      <c r="S171">
        <v>2.6539999999999999</v>
      </c>
      <c r="T171">
        <v>2.6539999999999999</v>
      </c>
      <c r="U171">
        <v>2.6539999999999999</v>
      </c>
      <c r="V171">
        <v>2.6539999999999999</v>
      </c>
      <c r="W171">
        <v>2.6539999999999999</v>
      </c>
      <c r="X171">
        <v>2.6539999999999999</v>
      </c>
      <c r="Y171">
        <v>2.6539999999999999</v>
      </c>
      <c r="Z171">
        <v>2.6539999999999999</v>
      </c>
      <c r="AA171">
        <v>2.6539999999999999</v>
      </c>
      <c r="AB171">
        <v>2.6539999999999999</v>
      </c>
      <c r="AC171">
        <v>2.6539999999999999</v>
      </c>
      <c r="AD171">
        <v>2.6539999999999999</v>
      </c>
    </row>
    <row r="172" spans="2:30" x14ac:dyDescent="0.25">
      <c r="B172" t="s">
        <v>133</v>
      </c>
      <c r="C172" t="s">
        <v>3256</v>
      </c>
      <c r="D172" t="s">
        <v>4367</v>
      </c>
      <c r="E172" t="s">
        <v>4368</v>
      </c>
      <c r="F172" t="s">
        <v>4369</v>
      </c>
      <c r="G172" t="s">
        <v>3890</v>
      </c>
      <c r="H172" t="s">
        <v>4262</v>
      </c>
      <c r="I172" t="s">
        <v>4263</v>
      </c>
      <c r="J172">
        <v>2</v>
      </c>
      <c r="K172">
        <v>6.4000000000000001E-2</v>
      </c>
      <c r="L172">
        <v>6.2E-2</v>
      </c>
      <c r="M172">
        <v>5.1999999999999998E-2</v>
      </c>
      <c r="N172">
        <v>4.9000000000000002E-2</v>
      </c>
      <c r="O172">
        <v>0.06</v>
      </c>
      <c r="P172">
        <v>0.06</v>
      </c>
      <c r="Q172">
        <v>6.0999999999999999E-2</v>
      </c>
      <c r="R172">
        <v>0.06</v>
      </c>
      <c r="S172">
        <v>0.06</v>
      </c>
      <c r="T172">
        <v>5.8999999999999997E-2</v>
      </c>
      <c r="U172">
        <v>5.8999999999999997E-2</v>
      </c>
      <c r="V172">
        <v>5.8000000000000003E-2</v>
      </c>
      <c r="W172">
        <v>5.8000000000000003E-2</v>
      </c>
      <c r="X172">
        <v>5.8000000000000003E-2</v>
      </c>
      <c r="Y172">
        <v>5.8000000000000003E-2</v>
      </c>
      <c r="Z172">
        <v>5.7000000000000002E-2</v>
      </c>
      <c r="AA172">
        <v>5.7000000000000002E-2</v>
      </c>
      <c r="AB172">
        <v>5.7000000000000002E-2</v>
      </c>
      <c r="AC172">
        <v>5.6000000000000001E-2</v>
      </c>
      <c r="AD172">
        <v>5.6000000000000001E-2</v>
      </c>
    </row>
    <row r="173" spans="2:30" x14ac:dyDescent="0.25">
      <c r="B173" t="s">
        <v>133</v>
      </c>
      <c r="C173" t="s">
        <v>3256</v>
      </c>
      <c r="D173" t="s">
        <v>4370</v>
      </c>
      <c r="E173" t="s">
        <v>4371</v>
      </c>
      <c r="F173" t="s">
        <v>4372</v>
      </c>
      <c r="G173" t="s">
        <v>3890</v>
      </c>
      <c r="H173" t="s">
        <v>4262</v>
      </c>
      <c r="I173" t="s">
        <v>4263</v>
      </c>
      <c r="J173">
        <v>2</v>
      </c>
      <c r="K173">
        <v>6.0999999999999999E-2</v>
      </c>
      <c r="L173">
        <v>5.1999999999999998E-2</v>
      </c>
      <c r="M173">
        <v>4.5999999999999999E-2</v>
      </c>
      <c r="N173">
        <v>4.2999999999999997E-2</v>
      </c>
      <c r="O173">
        <v>5.2999999999999999E-2</v>
      </c>
      <c r="P173">
        <v>5.3999999999999999E-2</v>
      </c>
      <c r="Q173">
        <v>5.5E-2</v>
      </c>
      <c r="R173">
        <v>5.3999999999999999E-2</v>
      </c>
      <c r="S173">
        <v>5.2999999999999999E-2</v>
      </c>
      <c r="T173">
        <v>5.2999999999999999E-2</v>
      </c>
      <c r="U173">
        <v>5.1999999999999998E-2</v>
      </c>
      <c r="V173">
        <v>5.1999999999999998E-2</v>
      </c>
      <c r="W173">
        <v>5.1999999999999998E-2</v>
      </c>
      <c r="X173">
        <v>5.1999999999999998E-2</v>
      </c>
      <c r="Y173">
        <v>5.0999999999999997E-2</v>
      </c>
      <c r="Z173">
        <v>5.0999999999999997E-2</v>
      </c>
      <c r="AA173">
        <v>5.0999999999999997E-2</v>
      </c>
      <c r="AB173">
        <v>0.05</v>
      </c>
      <c r="AC173">
        <v>0.05</v>
      </c>
      <c r="AD173">
        <v>0.05</v>
      </c>
    </row>
    <row r="174" spans="2:30" x14ac:dyDescent="0.25">
      <c r="B174" t="s">
        <v>133</v>
      </c>
      <c r="C174" t="s">
        <v>3256</v>
      </c>
      <c r="D174" t="s">
        <v>4373</v>
      </c>
      <c r="E174" t="s">
        <v>4374</v>
      </c>
      <c r="F174" t="s">
        <v>4375</v>
      </c>
      <c r="G174" t="s">
        <v>3890</v>
      </c>
      <c r="H174" t="s">
        <v>4262</v>
      </c>
      <c r="I174" t="s">
        <v>4267</v>
      </c>
      <c r="J174">
        <v>2</v>
      </c>
      <c r="K174">
        <v>11.465999999999999</v>
      </c>
      <c r="L174">
        <v>8.83</v>
      </c>
      <c r="M174">
        <v>7.7460000000000004</v>
      </c>
      <c r="N174">
        <v>7.0540000000000003</v>
      </c>
      <c r="O174">
        <v>9.0719999999999992</v>
      </c>
      <c r="P174">
        <v>9.1270000000000007</v>
      </c>
      <c r="Q174">
        <v>9.1010000000000009</v>
      </c>
      <c r="R174">
        <v>9.0730000000000004</v>
      </c>
      <c r="S174">
        <v>9.0429999999999993</v>
      </c>
      <c r="T174">
        <v>9.0139999999999993</v>
      </c>
      <c r="U174">
        <v>9.0139999999999993</v>
      </c>
      <c r="V174">
        <v>9.0139999999999993</v>
      </c>
      <c r="W174">
        <v>9.0139999999999993</v>
      </c>
      <c r="X174">
        <v>9.0139999999999993</v>
      </c>
      <c r="Y174">
        <v>9.0139999999999993</v>
      </c>
      <c r="Z174">
        <v>9.0139999999999993</v>
      </c>
      <c r="AA174">
        <v>9.0139999999999993</v>
      </c>
      <c r="AB174">
        <v>9.0139999999999993</v>
      </c>
      <c r="AC174">
        <v>9.0139999999999993</v>
      </c>
      <c r="AD174">
        <v>9.0139999999999993</v>
      </c>
    </row>
    <row r="175" spans="2:30" x14ac:dyDescent="0.25">
      <c r="B175" t="s">
        <v>133</v>
      </c>
      <c r="C175" t="s">
        <v>3256</v>
      </c>
      <c r="D175" t="s">
        <v>4376</v>
      </c>
      <c r="E175" t="s">
        <v>4377</v>
      </c>
      <c r="F175" t="s">
        <v>4378</v>
      </c>
      <c r="G175" t="s">
        <v>3890</v>
      </c>
      <c r="H175" t="s">
        <v>4262</v>
      </c>
      <c r="I175" t="s">
        <v>4267</v>
      </c>
      <c r="J175">
        <v>2</v>
      </c>
      <c r="K175">
        <v>5.3360000000000003</v>
      </c>
      <c r="L175">
        <v>5.01</v>
      </c>
      <c r="M175">
        <v>5.0869999999999997</v>
      </c>
      <c r="N175">
        <v>5.0869999999999997</v>
      </c>
      <c r="O175">
        <v>6.2030000000000003</v>
      </c>
      <c r="P175">
        <v>6.2030000000000003</v>
      </c>
      <c r="Q175">
        <v>6.2030000000000003</v>
      </c>
      <c r="R175">
        <v>6.2030000000000003</v>
      </c>
      <c r="S175">
        <v>6.2030000000000003</v>
      </c>
      <c r="T175">
        <v>6.2030000000000003</v>
      </c>
      <c r="U175">
        <v>6.2030000000000003</v>
      </c>
      <c r="V175">
        <v>6.2030000000000003</v>
      </c>
      <c r="W175">
        <v>6.2030000000000003</v>
      </c>
      <c r="X175">
        <v>6.2030000000000003</v>
      </c>
      <c r="Y175">
        <v>6.2030000000000003</v>
      </c>
      <c r="Z175">
        <v>6.2030000000000003</v>
      </c>
      <c r="AA175">
        <v>6.2030000000000003</v>
      </c>
      <c r="AB175">
        <v>6.2030000000000003</v>
      </c>
      <c r="AC175">
        <v>6.2030000000000003</v>
      </c>
      <c r="AD175">
        <v>6.2030000000000003</v>
      </c>
    </row>
    <row r="176" spans="2:30" x14ac:dyDescent="0.25">
      <c r="B176" t="s">
        <v>133</v>
      </c>
      <c r="C176" t="s">
        <v>3256</v>
      </c>
      <c r="D176" t="s">
        <v>4379</v>
      </c>
      <c r="E176" t="s">
        <v>4380</v>
      </c>
      <c r="F176" t="s">
        <v>4381</v>
      </c>
      <c r="G176" t="s">
        <v>3890</v>
      </c>
      <c r="H176" t="s">
        <v>4262</v>
      </c>
      <c r="I176" t="s">
        <v>4267</v>
      </c>
      <c r="J176">
        <v>2</v>
      </c>
      <c r="K176">
        <v>23.399000000000001</v>
      </c>
      <c r="L176">
        <v>15.864000000000001</v>
      </c>
      <c r="M176">
        <v>14.744</v>
      </c>
      <c r="N176">
        <v>13.651999999999999</v>
      </c>
      <c r="O176">
        <v>15.831</v>
      </c>
      <c r="P176">
        <v>15.917999999999999</v>
      </c>
      <c r="Q176">
        <v>15.877000000000001</v>
      </c>
      <c r="R176">
        <v>15.833</v>
      </c>
      <c r="S176">
        <v>15.786</v>
      </c>
      <c r="T176">
        <v>15.74</v>
      </c>
      <c r="U176">
        <v>15.74</v>
      </c>
      <c r="V176">
        <v>15.74</v>
      </c>
      <c r="W176">
        <v>15.74</v>
      </c>
      <c r="X176">
        <v>15.74</v>
      </c>
      <c r="Y176">
        <v>15.74</v>
      </c>
      <c r="Z176">
        <v>15.74</v>
      </c>
      <c r="AA176">
        <v>15.74</v>
      </c>
      <c r="AB176">
        <v>15.74</v>
      </c>
      <c r="AC176">
        <v>15.74</v>
      </c>
      <c r="AD176">
        <v>15.74</v>
      </c>
    </row>
    <row r="177" spans="2:30" x14ac:dyDescent="0.25">
      <c r="B177" t="s">
        <v>133</v>
      </c>
      <c r="C177" t="s">
        <v>3256</v>
      </c>
      <c r="D177" t="s">
        <v>4382</v>
      </c>
      <c r="E177" t="s">
        <v>4383</v>
      </c>
      <c r="F177" t="s">
        <v>4384</v>
      </c>
      <c r="G177" t="s">
        <v>3890</v>
      </c>
      <c r="H177" t="s">
        <v>4262</v>
      </c>
      <c r="I177" t="s">
        <v>4267</v>
      </c>
      <c r="J177">
        <v>2</v>
      </c>
      <c r="K177">
        <v>4.6340000000000003</v>
      </c>
      <c r="L177">
        <v>3.2090000000000001</v>
      </c>
      <c r="M177">
        <v>2.331</v>
      </c>
      <c r="N177">
        <v>2.331</v>
      </c>
      <c r="O177">
        <v>3.4470000000000001</v>
      </c>
      <c r="P177">
        <v>3.4630000000000001</v>
      </c>
      <c r="Q177">
        <v>3.4790000000000001</v>
      </c>
      <c r="R177">
        <v>3.496</v>
      </c>
      <c r="S177">
        <v>3.5129999999999999</v>
      </c>
      <c r="T177">
        <v>3.5310000000000001</v>
      </c>
      <c r="U177">
        <v>3.5489999999999999</v>
      </c>
      <c r="V177">
        <v>3.5680000000000001</v>
      </c>
      <c r="W177">
        <v>3.5880000000000001</v>
      </c>
      <c r="X177">
        <v>3.6080000000000001</v>
      </c>
      <c r="Y177">
        <v>3.629</v>
      </c>
      <c r="Z177">
        <v>3.629</v>
      </c>
      <c r="AA177">
        <v>3.629</v>
      </c>
      <c r="AB177">
        <v>3.629</v>
      </c>
      <c r="AC177">
        <v>3.629</v>
      </c>
      <c r="AD177">
        <v>3.629</v>
      </c>
    </row>
    <row r="178" spans="2:30" x14ac:dyDescent="0.25">
      <c r="B178" t="s">
        <v>133</v>
      </c>
      <c r="C178" t="s">
        <v>3256</v>
      </c>
      <c r="D178" t="s">
        <v>4385</v>
      </c>
      <c r="E178" t="s">
        <v>4386</v>
      </c>
      <c r="F178" t="s">
        <v>4387</v>
      </c>
      <c r="G178" t="s">
        <v>3890</v>
      </c>
      <c r="H178" t="s">
        <v>4262</v>
      </c>
      <c r="I178" t="s">
        <v>4267</v>
      </c>
      <c r="J178">
        <v>2</v>
      </c>
      <c r="K178">
        <v>13.301</v>
      </c>
      <c r="L178">
        <v>6.66</v>
      </c>
      <c r="M178">
        <v>5.9119999999999999</v>
      </c>
      <c r="N178">
        <v>5.032</v>
      </c>
      <c r="O178">
        <v>6.9409999999999998</v>
      </c>
      <c r="P178">
        <v>7.0110000000000001</v>
      </c>
      <c r="Q178">
        <v>6.9779999999999998</v>
      </c>
      <c r="R178">
        <v>6.9420000000000002</v>
      </c>
      <c r="S178">
        <v>6.9039999999999999</v>
      </c>
      <c r="T178">
        <v>6.8680000000000003</v>
      </c>
      <c r="U178">
        <v>6.8680000000000003</v>
      </c>
      <c r="V178">
        <v>6.8680000000000003</v>
      </c>
      <c r="W178">
        <v>6.8680000000000003</v>
      </c>
      <c r="X178">
        <v>6.8680000000000003</v>
      </c>
      <c r="Y178">
        <v>6.8680000000000003</v>
      </c>
      <c r="Z178">
        <v>6.8680000000000003</v>
      </c>
      <c r="AA178">
        <v>6.8680000000000003</v>
      </c>
      <c r="AB178">
        <v>6.8680000000000003</v>
      </c>
      <c r="AC178">
        <v>6.8680000000000003</v>
      </c>
      <c r="AD178">
        <v>6.8680000000000003</v>
      </c>
    </row>
    <row r="179" spans="2:30" x14ac:dyDescent="0.25">
      <c r="B179" t="s">
        <v>133</v>
      </c>
      <c r="C179" t="s">
        <v>3256</v>
      </c>
      <c r="D179" t="s">
        <v>4388</v>
      </c>
      <c r="E179" t="s">
        <v>4389</v>
      </c>
      <c r="F179" t="s">
        <v>4390</v>
      </c>
      <c r="G179" t="s">
        <v>3890</v>
      </c>
      <c r="H179" t="s">
        <v>4262</v>
      </c>
      <c r="I179" t="s">
        <v>4267</v>
      </c>
      <c r="J179">
        <v>2</v>
      </c>
      <c r="K179">
        <v>2.7839999999999998</v>
      </c>
      <c r="L179">
        <v>2.6139999999999999</v>
      </c>
      <c r="M179">
        <v>2.6539999999999999</v>
      </c>
      <c r="N179">
        <v>2.6539999999999999</v>
      </c>
      <c r="O179">
        <v>3.77</v>
      </c>
      <c r="P179">
        <v>3.77</v>
      </c>
      <c r="Q179">
        <v>3.77</v>
      </c>
      <c r="R179">
        <v>3.77</v>
      </c>
      <c r="S179">
        <v>3.77</v>
      </c>
      <c r="T179">
        <v>3.77</v>
      </c>
      <c r="U179">
        <v>3.77</v>
      </c>
      <c r="V179">
        <v>3.77</v>
      </c>
      <c r="W179">
        <v>3.77</v>
      </c>
      <c r="X179">
        <v>3.77</v>
      </c>
      <c r="Y179">
        <v>3.77</v>
      </c>
      <c r="Z179">
        <v>3.77</v>
      </c>
      <c r="AA179">
        <v>3.77</v>
      </c>
      <c r="AB179">
        <v>3.77</v>
      </c>
      <c r="AC179">
        <v>3.77</v>
      </c>
      <c r="AD179">
        <v>3.77</v>
      </c>
    </row>
    <row r="180" spans="2:30" x14ac:dyDescent="0.25">
      <c r="B180" t="s">
        <v>133</v>
      </c>
      <c r="C180" t="s">
        <v>3256</v>
      </c>
      <c r="D180" t="s">
        <v>4391</v>
      </c>
      <c r="E180" t="s">
        <v>4392</v>
      </c>
      <c r="F180" t="s">
        <v>4393</v>
      </c>
      <c r="G180" t="s">
        <v>3890</v>
      </c>
      <c r="H180" t="s">
        <v>4394</v>
      </c>
      <c r="I180" t="s">
        <v>4263</v>
      </c>
      <c r="J180">
        <v>1</v>
      </c>
      <c r="K180">
        <v>6.4000000000000001E-2</v>
      </c>
      <c r="L180">
        <v>6.2E-2</v>
      </c>
      <c r="M180">
        <v>0.107</v>
      </c>
      <c r="N180">
        <v>0.105</v>
      </c>
      <c r="O180">
        <v>0.107</v>
      </c>
      <c r="P180">
        <v>0.108</v>
      </c>
      <c r="Q180">
        <v>0.108</v>
      </c>
      <c r="R180">
        <v>0.107</v>
      </c>
      <c r="S180">
        <v>0.107</v>
      </c>
      <c r="T180">
        <v>0.107</v>
      </c>
      <c r="U180">
        <v>0.107</v>
      </c>
      <c r="V180">
        <v>0.106</v>
      </c>
      <c r="W180">
        <v>0.106</v>
      </c>
      <c r="X180">
        <v>0.106</v>
      </c>
      <c r="Y180">
        <v>0.106</v>
      </c>
      <c r="Z180">
        <v>0.105</v>
      </c>
      <c r="AA180">
        <v>0.105</v>
      </c>
      <c r="AB180">
        <v>0.105</v>
      </c>
      <c r="AC180">
        <v>0.104</v>
      </c>
      <c r="AD180">
        <v>0.104</v>
      </c>
    </row>
    <row r="181" spans="2:30" x14ac:dyDescent="0.25">
      <c r="B181" t="s">
        <v>133</v>
      </c>
      <c r="C181" t="s">
        <v>3256</v>
      </c>
      <c r="D181" t="s">
        <v>4395</v>
      </c>
      <c r="E181" t="s">
        <v>4396</v>
      </c>
      <c r="F181" t="s">
        <v>4397</v>
      </c>
      <c r="G181" t="s">
        <v>3890</v>
      </c>
      <c r="H181" t="s">
        <v>4394</v>
      </c>
      <c r="I181" t="s">
        <v>4263</v>
      </c>
      <c r="J181">
        <v>1</v>
      </c>
      <c r="K181">
        <v>5.8999999999999997E-2</v>
      </c>
      <c r="L181">
        <v>5.0999999999999997E-2</v>
      </c>
      <c r="M181">
        <v>0.10100000000000001</v>
      </c>
      <c r="N181">
        <v>9.8000000000000004E-2</v>
      </c>
      <c r="O181">
        <v>0.1</v>
      </c>
      <c r="P181">
        <v>0.10100000000000001</v>
      </c>
      <c r="Q181">
        <v>0.10100000000000001</v>
      </c>
      <c r="R181">
        <v>0.10100000000000001</v>
      </c>
      <c r="S181">
        <v>0.10100000000000001</v>
      </c>
      <c r="T181">
        <v>0.1</v>
      </c>
      <c r="U181">
        <v>0.1</v>
      </c>
      <c r="V181">
        <v>0.1</v>
      </c>
      <c r="W181">
        <v>0.1</v>
      </c>
      <c r="X181">
        <v>0.1</v>
      </c>
      <c r="Y181">
        <v>9.9000000000000005E-2</v>
      </c>
      <c r="Z181">
        <v>9.9000000000000005E-2</v>
      </c>
      <c r="AA181">
        <v>9.9000000000000005E-2</v>
      </c>
      <c r="AB181">
        <v>9.8000000000000004E-2</v>
      </c>
      <c r="AC181">
        <v>9.8000000000000004E-2</v>
      </c>
      <c r="AD181">
        <v>9.8000000000000004E-2</v>
      </c>
    </row>
    <row r="182" spans="2:30" x14ac:dyDescent="0.25">
      <c r="B182" t="s">
        <v>133</v>
      </c>
      <c r="C182" t="s">
        <v>3256</v>
      </c>
      <c r="D182" t="s">
        <v>4398</v>
      </c>
      <c r="E182" t="s">
        <v>4399</v>
      </c>
      <c r="F182" t="s">
        <v>4400</v>
      </c>
      <c r="G182" t="s">
        <v>3890</v>
      </c>
      <c r="H182" t="s">
        <v>4401</v>
      </c>
      <c r="I182" t="s">
        <v>4267</v>
      </c>
      <c r="J182">
        <v>1</v>
      </c>
      <c r="K182">
        <v>11.12</v>
      </c>
      <c r="L182">
        <v>8.6110000000000007</v>
      </c>
      <c r="M182">
        <v>7.577</v>
      </c>
      <c r="N182">
        <v>6.8849999999999998</v>
      </c>
      <c r="O182">
        <v>6.9039999999999999</v>
      </c>
      <c r="P182">
        <v>6.9580000000000002</v>
      </c>
      <c r="Q182">
        <v>6.9320000000000004</v>
      </c>
      <c r="R182">
        <v>6.9039999999999999</v>
      </c>
      <c r="S182">
        <v>6.875</v>
      </c>
      <c r="T182">
        <v>6.8460000000000001</v>
      </c>
      <c r="U182">
        <v>6.8460000000000001</v>
      </c>
      <c r="V182">
        <v>6.8460000000000001</v>
      </c>
      <c r="W182">
        <v>6.8460000000000001</v>
      </c>
      <c r="X182">
        <v>6.8460000000000001</v>
      </c>
      <c r="Y182">
        <v>6.8460000000000001</v>
      </c>
      <c r="Z182">
        <v>6.8460000000000001</v>
      </c>
      <c r="AA182">
        <v>6.8460000000000001</v>
      </c>
      <c r="AB182">
        <v>6.8460000000000001</v>
      </c>
      <c r="AC182">
        <v>6.8460000000000001</v>
      </c>
      <c r="AD182">
        <v>6.8460000000000001</v>
      </c>
    </row>
    <row r="183" spans="2:30" x14ac:dyDescent="0.25">
      <c r="B183" t="s">
        <v>133</v>
      </c>
      <c r="C183" t="s">
        <v>3256</v>
      </c>
      <c r="D183" t="s">
        <v>4402</v>
      </c>
      <c r="E183" t="s">
        <v>4403</v>
      </c>
      <c r="F183" t="s">
        <v>4404</v>
      </c>
      <c r="G183" t="s">
        <v>3890</v>
      </c>
      <c r="H183" t="s">
        <v>4401</v>
      </c>
      <c r="I183" t="s">
        <v>4267</v>
      </c>
      <c r="J183">
        <v>1</v>
      </c>
      <c r="K183">
        <v>12.260999999999999</v>
      </c>
      <c r="L183">
        <v>10.192</v>
      </c>
      <c r="M183">
        <v>9.57</v>
      </c>
      <c r="N183">
        <v>9.64</v>
      </c>
      <c r="O183">
        <v>9.6809999999999992</v>
      </c>
      <c r="P183">
        <v>9.5749999999999993</v>
      </c>
      <c r="Q183">
        <v>9.4489999999999998</v>
      </c>
      <c r="R183">
        <v>9.4049999999999994</v>
      </c>
      <c r="S183">
        <v>9.3919999999999995</v>
      </c>
      <c r="T183">
        <v>9.3849999999999998</v>
      </c>
      <c r="U183">
        <v>9.3849999999999998</v>
      </c>
      <c r="V183">
        <v>9.3849999999999998</v>
      </c>
      <c r="W183">
        <v>9.3849999999999998</v>
      </c>
      <c r="X183">
        <v>9.3849999999999998</v>
      </c>
      <c r="Y183">
        <v>9.3849999999999998</v>
      </c>
      <c r="Z183">
        <v>9.3849999999999998</v>
      </c>
      <c r="AA183">
        <v>9.3849999999999998</v>
      </c>
      <c r="AB183">
        <v>9.3849999999999998</v>
      </c>
      <c r="AC183">
        <v>9.3849999999999998</v>
      </c>
      <c r="AD183">
        <v>9.3849999999999998</v>
      </c>
    </row>
    <row r="184" spans="2:30" x14ac:dyDescent="0.25">
      <c r="B184" t="s">
        <v>133</v>
      </c>
      <c r="C184" t="s">
        <v>3256</v>
      </c>
      <c r="D184" t="s">
        <v>4405</v>
      </c>
      <c r="E184" t="s">
        <v>4406</v>
      </c>
      <c r="F184" t="s">
        <v>4407</v>
      </c>
      <c r="G184" t="s">
        <v>3890</v>
      </c>
      <c r="H184" t="s">
        <v>4401</v>
      </c>
      <c r="I184" t="s">
        <v>4267</v>
      </c>
      <c r="J184">
        <v>1</v>
      </c>
      <c r="K184">
        <v>20.341000000000001</v>
      </c>
      <c r="L184">
        <v>13.728999999999999</v>
      </c>
      <c r="M184">
        <v>12.932</v>
      </c>
      <c r="N184">
        <v>11.975</v>
      </c>
      <c r="O184">
        <v>12</v>
      </c>
      <c r="P184">
        <v>12.076000000000001</v>
      </c>
      <c r="Q184">
        <v>12.04</v>
      </c>
      <c r="R184">
        <v>12.002000000000001</v>
      </c>
      <c r="S184">
        <v>11.96</v>
      </c>
      <c r="T184">
        <v>11.920999999999999</v>
      </c>
      <c r="U184">
        <v>11.920999999999999</v>
      </c>
      <c r="V184">
        <v>11.920999999999999</v>
      </c>
      <c r="W184">
        <v>11.920999999999999</v>
      </c>
      <c r="X184">
        <v>11.920999999999999</v>
      </c>
      <c r="Y184">
        <v>11.920999999999999</v>
      </c>
      <c r="Z184">
        <v>11.920999999999999</v>
      </c>
      <c r="AA184">
        <v>11.920999999999999</v>
      </c>
      <c r="AB184">
        <v>11.920999999999999</v>
      </c>
      <c r="AC184">
        <v>11.920999999999999</v>
      </c>
      <c r="AD184">
        <v>11.920999999999999</v>
      </c>
    </row>
    <row r="185" spans="2:30" x14ac:dyDescent="0.25">
      <c r="B185" t="s">
        <v>133</v>
      </c>
      <c r="C185" t="s">
        <v>3256</v>
      </c>
      <c r="D185" t="s">
        <v>4408</v>
      </c>
      <c r="E185" t="s">
        <v>4409</v>
      </c>
      <c r="F185" t="s">
        <v>4410</v>
      </c>
      <c r="G185" t="s">
        <v>3890</v>
      </c>
      <c r="H185" t="s">
        <v>4401</v>
      </c>
      <c r="I185" t="s">
        <v>4267</v>
      </c>
      <c r="J185">
        <v>1</v>
      </c>
      <c r="K185">
        <v>16.896999999999998</v>
      </c>
      <c r="L185">
        <v>15.007</v>
      </c>
      <c r="M185">
        <v>14.387</v>
      </c>
      <c r="N185">
        <v>14.454000000000001</v>
      </c>
      <c r="O185">
        <v>14.493</v>
      </c>
      <c r="P185">
        <v>14.391999999999999</v>
      </c>
      <c r="Q185">
        <v>14.273</v>
      </c>
      <c r="R185">
        <v>14.231</v>
      </c>
      <c r="S185">
        <v>14.218999999999999</v>
      </c>
      <c r="T185">
        <v>14.212</v>
      </c>
      <c r="U185">
        <v>14.212</v>
      </c>
      <c r="V185">
        <v>14.212</v>
      </c>
      <c r="W185">
        <v>14.212</v>
      </c>
      <c r="X185">
        <v>14.212</v>
      </c>
      <c r="Y185">
        <v>14.212</v>
      </c>
      <c r="Z185">
        <v>14.212</v>
      </c>
      <c r="AA185">
        <v>14.212</v>
      </c>
      <c r="AB185">
        <v>14.212</v>
      </c>
      <c r="AC185">
        <v>14.212</v>
      </c>
      <c r="AD185">
        <v>14.212</v>
      </c>
    </row>
    <row r="186" spans="2:30" x14ac:dyDescent="0.25">
      <c r="B186" t="s">
        <v>133</v>
      </c>
      <c r="C186" t="s">
        <v>3256</v>
      </c>
      <c r="D186" t="s">
        <v>4411</v>
      </c>
      <c r="E186" t="s">
        <v>4412</v>
      </c>
      <c r="F186" t="s">
        <v>4413</v>
      </c>
      <c r="G186" t="s">
        <v>3890</v>
      </c>
      <c r="H186" t="s">
        <v>4401</v>
      </c>
      <c r="I186" t="s">
        <v>4267</v>
      </c>
      <c r="J186">
        <v>1</v>
      </c>
      <c r="K186">
        <v>13.301</v>
      </c>
      <c r="L186">
        <v>6.66</v>
      </c>
      <c r="M186">
        <v>5.9119999999999999</v>
      </c>
      <c r="N186">
        <v>5.032</v>
      </c>
      <c r="O186">
        <v>5.0549999999999997</v>
      </c>
      <c r="P186">
        <v>5.125</v>
      </c>
      <c r="Q186">
        <v>5.0919999999999996</v>
      </c>
      <c r="R186">
        <v>5.056</v>
      </c>
      <c r="S186">
        <v>5.0179999999999998</v>
      </c>
      <c r="T186">
        <v>4.9820000000000002</v>
      </c>
      <c r="U186">
        <v>4.9820000000000002</v>
      </c>
      <c r="V186">
        <v>4.9820000000000002</v>
      </c>
      <c r="W186">
        <v>4.9820000000000002</v>
      </c>
      <c r="X186">
        <v>4.9820000000000002</v>
      </c>
      <c r="Y186">
        <v>4.9820000000000002</v>
      </c>
      <c r="Z186">
        <v>4.9820000000000002</v>
      </c>
      <c r="AA186">
        <v>4.9820000000000002</v>
      </c>
      <c r="AB186">
        <v>4.9820000000000002</v>
      </c>
      <c r="AC186">
        <v>4.9820000000000002</v>
      </c>
      <c r="AD186">
        <v>4.9820000000000002</v>
      </c>
    </row>
    <row r="187" spans="2:30" x14ac:dyDescent="0.25">
      <c r="B187" t="s">
        <v>133</v>
      </c>
      <c r="C187" t="s">
        <v>3256</v>
      </c>
      <c r="D187" t="s">
        <v>4414</v>
      </c>
      <c r="E187" t="s">
        <v>4415</v>
      </c>
      <c r="F187" t="s">
        <v>4416</v>
      </c>
      <c r="G187" t="s">
        <v>3890</v>
      </c>
      <c r="H187" t="s">
        <v>4401</v>
      </c>
      <c r="I187" t="s">
        <v>4267</v>
      </c>
      <c r="J187">
        <v>1</v>
      </c>
      <c r="K187">
        <v>11.488</v>
      </c>
      <c r="L187">
        <v>9.3889999999999993</v>
      </c>
      <c r="M187">
        <v>8.7669999999999995</v>
      </c>
      <c r="N187">
        <v>8.8460000000000001</v>
      </c>
      <c r="O187">
        <v>8.8919999999999995</v>
      </c>
      <c r="P187">
        <v>8.7729999999999997</v>
      </c>
      <c r="Q187">
        <v>8.6319999999999997</v>
      </c>
      <c r="R187">
        <v>8.5820000000000007</v>
      </c>
      <c r="S187">
        <v>8.5679999999999996</v>
      </c>
      <c r="T187">
        <v>8.56</v>
      </c>
      <c r="U187">
        <v>8.56</v>
      </c>
      <c r="V187">
        <v>8.56</v>
      </c>
      <c r="W187">
        <v>8.56</v>
      </c>
      <c r="X187">
        <v>8.56</v>
      </c>
      <c r="Y187">
        <v>8.56</v>
      </c>
      <c r="Z187">
        <v>8.56</v>
      </c>
      <c r="AA187">
        <v>8.56</v>
      </c>
      <c r="AB187">
        <v>8.56</v>
      </c>
      <c r="AC187">
        <v>8.56</v>
      </c>
      <c r="AD187">
        <v>8.56</v>
      </c>
    </row>
    <row r="188" spans="2:30" x14ac:dyDescent="0.25">
      <c r="B188" t="s">
        <v>133</v>
      </c>
      <c r="C188" t="s">
        <v>3256</v>
      </c>
      <c r="D188" t="s">
        <v>4417</v>
      </c>
      <c r="E188" t="s">
        <v>4418</v>
      </c>
      <c r="F188" t="s">
        <v>4419</v>
      </c>
      <c r="G188" t="s">
        <v>3890</v>
      </c>
      <c r="H188" t="s">
        <v>4401</v>
      </c>
      <c r="I188" t="s">
        <v>4274</v>
      </c>
      <c r="J188">
        <v>1</v>
      </c>
      <c r="K188">
        <v>116.498</v>
      </c>
      <c r="L188">
        <v>95.069000000000003</v>
      </c>
      <c r="M188">
        <v>91.606999999999999</v>
      </c>
      <c r="N188">
        <v>78.384</v>
      </c>
      <c r="O188">
        <v>82.057000000000002</v>
      </c>
      <c r="P188">
        <v>76.52</v>
      </c>
      <c r="Q188">
        <v>74.995999999999995</v>
      </c>
      <c r="R188">
        <v>74.228999999999999</v>
      </c>
      <c r="S188">
        <v>73.557000000000002</v>
      </c>
      <c r="T188">
        <v>72.826999999999998</v>
      </c>
      <c r="U188">
        <v>72.826999999999998</v>
      </c>
      <c r="V188">
        <v>72.826999999999998</v>
      </c>
      <c r="W188">
        <v>72.826999999999998</v>
      </c>
      <c r="X188">
        <v>72.826999999999998</v>
      </c>
      <c r="Y188">
        <v>72.826999999999998</v>
      </c>
      <c r="Z188">
        <v>72.826999999999998</v>
      </c>
      <c r="AA188">
        <v>72.826999999999998</v>
      </c>
      <c r="AB188">
        <v>72.826999999999998</v>
      </c>
      <c r="AC188">
        <v>72.826999999999998</v>
      </c>
      <c r="AD188">
        <v>72.826999999999998</v>
      </c>
    </row>
    <row r="189" spans="2:30" x14ac:dyDescent="0.25">
      <c r="B189" t="s">
        <v>133</v>
      </c>
      <c r="C189" t="s">
        <v>3256</v>
      </c>
      <c r="D189" t="s">
        <v>4420</v>
      </c>
      <c r="E189" t="s">
        <v>4421</v>
      </c>
      <c r="F189" t="s">
        <v>4422</v>
      </c>
      <c r="G189" t="s">
        <v>3890</v>
      </c>
      <c r="H189" t="s">
        <v>4401</v>
      </c>
      <c r="I189" t="s">
        <v>4278</v>
      </c>
      <c r="J189">
        <v>1</v>
      </c>
      <c r="K189">
        <v>0.96299999999999997</v>
      </c>
      <c r="L189">
        <v>0.81799999999999995</v>
      </c>
      <c r="M189">
        <v>0.76400000000000001</v>
      </c>
      <c r="N189">
        <v>0.67100000000000004</v>
      </c>
      <c r="O189">
        <v>0.69699999999999995</v>
      </c>
      <c r="P189">
        <v>0.65800000000000003</v>
      </c>
      <c r="Q189">
        <v>0.64700000000000002</v>
      </c>
      <c r="R189">
        <v>0.64200000000000002</v>
      </c>
      <c r="S189">
        <v>0.63700000000000001</v>
      </c>
      <c r="T189">
        <v>0.63200000000000001</v>
      </c>
      <c r="U189">
        <v>0.63200000000000001</v>
      </c>
      <c r="V189">
        <v>0.63200000000000001</v>
      </c>
      <c r="W189">
        <v>0.63200000000000001</v>
      </c>
      <c r="X189">
        <v>0.63200000000000001</v>
      </c>
      <c r="Y189">
        <v>0.63200000000000001</v>
      </c>
      <c r="Z189">
        <v>0.63200000000000001</v>
      </c>
      <c r="AA189">
        <v>0.63200000000000001</v>
      </c>
      <c r="AB189">
        <v>0.63200000000000001</v>
      </c>
      <c r="AC189">
        <v>0.63200000000000001</v>
      </c>
      <c r="AD189">
        <v>0.63200000000000001</v>
      </c>
    </row>
    <row r="190" spans="2:30" x14ac:dyDescent="0.25">
      <c r="B190" t="s">
        <v>133</v>
      </c>
      <c r="C190" t="s">
        <v>3256</v>
      </c>
      <c r="D190" t="s">
        <v>4423</v>
      </c>
      <c r="E190" t="s">
        <v>4424</v>
      </c>
      <c r="F190" t="s">
        <v>4425</v>
      </c>
      <c r="G190" t="s">
        <v>3890</v>
      </c>
      <c r="H190" t="s">
        <v>4401</v>
      </c>
      <c r="I190" t="s">
        <v>4278</v>
      </c>
      <c r="J190">
        <v>1</v>
      </c>
      <c r="K190">
        <v>1.077</v>
      </c>
      <c r="L190">
        <v>0.85499999999999998</v>
      </c>
      <c r="M190">
        <v>0.77800000000000002</v>
      </c>
      <c r="N190">
        <v>0.68400000000000005</v>
      </c>
      <c r="O190">
        <v>0.71</v>
      </c>
      <c r="P190">
        <v>0.67</v>
      </c>
      <c r="Q190">
        <v>0.66</v>
      </c>
      <c r="R190">
        <v>0.65400000000000003</v>
      </c>
      <c r="S190">
        <v>0.64900000000000002</v>
      </c>
      <c r="T190">
        <v>0.64400000000000002</v>
      </c>
      <c r="U190">
        <v>0.64400000000000002</v>
      </c>
      <c r="V190">
        <v>0.64400000000000002</v>
      </c>
      <c r="W190">
        <v>0.64400000000000002</v>
      </c>
      <c r="X190">
        <v>0.64400000000000002</v>
      </c>
      <c r="Y190">
        <v>0.64400000000000002</v>
      </c>
      <c r="Z190">
        <v>0.64400000000000002</v>
      </c>
      <c r="AA190">
        <v>0.64400000000000002</v>
      </c>
      <c r="AB190">
        <v>0.64400000000000002</v>
      </c>
      <c r="AC190">
        <v>0.64400000000000002</v>
      </c>
      <c r="AD190">
        <v>0.64400000000000002</v>
      </c>
    </row>
    <row r="191" spans="2:30" x14ac:dyDescent="0.25">
      <c r="B191" t="s">
        <v>133</v>
      </c>
      <c r="C191" t="s">
        <v>3256</v>
      </c>
      <c r="D191" t="s">
        <v>4426</v>
      </c>
      <c r="E191" t="s">
        <v>4427</v>
      </c>
      <c r="F191" t="s">
        <v>4428</v>
      </c>
      <c r="G191" t="s">
        <v>3890</v>
      </c>
      <c r="H191" t="s">
        <v>4401</v>
      </c>
      <c r="I191" t="s">
        <v>4278</v>
      </c>
      <c r="J191">
        <v>1</v>
      </c>
      <c r="K191">
        <v>0.67100000000000004</v>
      </c>
      <c r="L191">
        <v>0.57799999999999996</v>
      </c>
      <c r="M191">
        <v>0.54300000000000004</v>
      </c>
      <c r="N191">
        <v>0.48199999999999998</v>
      </c>
      <c r="O191">
        <v>0.499</v>
      </c>
      <c r="P191">
        <v>0.47399999999999998</v>
      </c>
      <c r="Q191">
        <v>0.46700000000000003</v>
      </c>
      <c r="R191">
        <v>0.46300000000000002</v>
      </c>
      <c r="S191">
        <v>0.46</v>
      </c>
      <c r="T191">
        <v>0.45700000000000002</v>
      </c>
      <c r="U191">
        <v>0.45700000000000002</v>
      </c>
      <c r="V191">
        <v>0.45700000000000002</v>
      </c>
      <c r="W191">
        <v>0.45700000000000002</v>
      </c>
      <c r="X191">
        <v>0.45700000000000002</v>
      </c>
      <c r="Y191">
        <v>0.45700000000000002</v>
      </c>
      <c r="Z191">
        <v>0.45700000000000002</v>
      </c>
      <c r="AA191">
        <v>0.45700000000000002</v>
      </c>
      <c r="AB191">
        <v>0.45700000000000002</v>
      </c>
      <c r="AC191">
        <v>0.45700000000000002</v>
      </c>
      <c r="AD191">
        <v>0.45700000000000002</v>
      </c>
    </row>
    <row r="192" spans="2:30" x14ac:dyDescent="0.25">
      <c r="B192" t="s">
        <v>133</v>
      </c>
      <c r="C192" t="s">
        <v>3256</v>
      </c>
      <c r="D192" t="s">
        <v>4429</v>
      </c>
      <c r="E192" t="s">
        <v>4430</v>
      </c>
      <c r="F192" t="s">
        <v>4431</v>
      </c>
      <c r="G192" t="s">
        <v>3890</v>
      </c>
      <c r="H192" t="s">
        <v>4401</v>
      </c>
      <c r="I192" t="s">
        <v>4278</v>
      </c>
      <c r="J192">
        <v>1</v>
      </c>
      <c r="K192">
        <v>0.78300000000000003</v>
      </c>
      <c r="L192">
        <v>0.69899999999999995</v>
      </c>
      <c r="M192">
        <v>0.69099999999999995</v>
      </c>
      <c r="N192">
        <v>0.60899999999999999</v>
      </c>
      <c r="O192">
        <v>0.63200000000000001</v>
      </c>
      <c r="P192">
        <v>0.59799999999999998</v>
      </c>
      <c r="Q192">
        <v>0.58799999999999997</v>
      </c>
      <c r="R192">
        <v>0.58399999999999996</v>
      </c>
      <c r="S192">
        <v>0.57899999999999996</v>
      </c>
      <c r="T192">
        <v>0.57499999999999996</v>
      </c>
      <c r="U192">
        <v>0.57499999999999996</v>
      </c>
      <c r="V192">
        <v>0.57499999999999996</v>
      </c>
      <c r="W192">
        <v>0.57499999999999996</v>
      </c>
      <c r="X192">
        <v>0.57499999999999996</v>
      </c>
      <c r="Y192">
        <v>0.57499999999999996</v>
      </c>
      <c r="Z192">
        <v>0.57499999999999996</v>
      </c>
      <c r="AA192">
        <v>0.57499999999999996</v>
      </c>
      <c r="AB192">
        <v>0.57499999999999996</v>
      </c>
      <c r="AC192">
        <v>0.57499999999999996</v>
      </c>
      <c r="AD192">
        <v>0.57499999999999996</v>
      </c>
    </row>
    <row r="193" spans="2:30" x14ac:dyDescent="0.25">
      <c r="B193" t="s">
        <v>133</v>
      </c>
      <c r="C193" t="s">
        <v>3256</v>
      </c>
      <c r="D193" t="s">
        <v>4432</v>
      </c>
      <c r="E193" t="s">
        <v>4433</v>
      </c>
      <c r="F193" t="s">
        <v>4434</v>
      </c>
      <c r="G193" t="s">
        <v>3890</v>
      </c>
      <c r="H193" t="s">
        <v>4435</v>
      </c>
      <c r="I193" t="s">
        <v>4263</v>
      </c>
      <c r="J193">
        <v>1</v>
      </c>
      <c r="K193">
        <v>0</v>
      </c>
      <c r="L193">
        <v>0</v>
      </c>
      <c r="M193">
        <v>-5.5E-2</v>
      </c>
      <c r="N193">
        <v>-5.5E-2</v>
      </c>
      <c r="O193">
        <v>-5.5E-2</v>
      </c>
      <c r="P193">
        <v>-5.5E-2</v>
      </c>
      <c r="Q193">
        <v>-5.5E-2</v>
      </c>
      <c r="R193">
        <v>-5.5E-2</v>
      </c>
      <c r="S193">
        <v>-5.5E-2</v>
      </c>
      <c r="T193">
        <v>-5.5E-2</v>
      </c>
      <c r="U193">
        <v>-5.5E-2</v>
      </c>
      <c r="V193">
        <v>-5.5E-2</v>
      </c>
      <c r="W193">
        <v>-5.5E-2</v>
      </c>
      <c r="X193">
        <v>-5.5E-2</v>
      </c>
      <c r="Y193">
        <v>-5.5E-2</v>
      </c>
      <c r="Z193">
        <v>-5.5E-2</v>
      </c>
      <c r="AA193">
        <v>-5.5E-2</v>
      </c>
      <c r="AB193">
        <v>-5.5E-2</v>
      </c>
      <c r="AC193">
        <v>-5.5E-2</v>
      </c>
      <c r="AD193">
        <v>-5.5E-2</v>
      </c>
    </row>
    <row r="194" spans="2:30" x14ac:dyDescent="0.25">
      <c r="B194" t="s">
        <v>133</v>
      </c>
      <c r="C194" t="s">
        <v>3256</v>
      </c>
      <c r="D194" t="s">
        <v>4436</v>
      </c>
      <c r="E194" t="s">
        <v>4437</v>
      </c>
      <c r="F194" t="s">
        <v>4438</v>
      </c>
      <c r="G194" t="s">
        <v>3890</v>
      </c>
      <c r="H194" t="s">
        <v>4435</v>
      </c>
      <c r="I194" t="s">
        <v>4263</v>
      </c>
      <c r="J194">
        <v>1</v>
      </c>
      <c r="K194">
        <v>2E-3</v>
      </c>
      <c r="L194">
        <v>1E-3</v>
      </c>
      <c r="M194">
        <v>-5.5E-2</v>
      </c>
      <c r="N194">
        <v>-5.5E-2</v>
      </c>
      <c r="O194">
        <v>-5.5E-2</v>
      </c>
      <c r="P194">
        <v>-5.5E-2</v>
      </c>
      <c r="Q194">
        <v>-5.5E-2</v>
      </c>
      <c r="R194">
        <v>-5.5E-2</v>
      </c>
      <c r="S194">
        <v>-5.5E-2</v>
      </c>
      <c r="T194">
        <v>-5.5E-2</v>
      </c>
      <c r="U194">
        <v>-5.5E-2</v>
      </c>
      <c r="V194">
        <v>-5.5E-2</v>
      </c>
      <c r="W194">
        <v>-5.5E-2</v>
      </c>
      <c r="X194">
        <v>-5.5E-2</v>
      </c>
      <c r="Y194">
        <v>-5.5E-2</v>
      </c>
      <c r="Z194">
        <v>-5.5E-2</v>
      </c>
      <c r="AA194">
        <v>-5.5E-2</v>
      </c>
      <c r="AB194">
        <v>-5.5E-2</v>
      </c>
      <c r="AC194">
        <v>-5.5E-2</v>
      </c>
      <c r="AD194">
        <v>-5.5E-2</v>
      </c>
    </row>
    <row r="195" spans="2:30" x14ac:dyDescent="0.25">
      <c r="B195" t="s">
        <v>133</v>
      </c>
      <c r="C195" t="s">
        <v>3256</v>
      </c>
      <c r="D195" t="s">
        <v>4439</v>
      </c>
      <c r="E195" t="s">
        <v>4440</v>
      </c>
      <c r="F195" t="s">
        <v>4441</v>
      </c>
      <c r="G195" t="s">
        <v>3890</v>
      </c>
      <c r="H195" t="s">
        <v>4435</v>
      </c>
      <c r="I195" t="s">
        <v>4267</v>
      </c>
      <c r="J195">
        <v>1</v>
      </c>
      <c r="K195">
        <v>0.34599999999999997</v>
      </c>
      <c r="L195">
        <v>0.219</v>
      </c>
      <c r="M195">
        <v>0.16900000000000001</v>
      </c>
      <c r="N195">
        <v>0.16900000000000001</v>
      </c>
      <c r="O195">
        <v>0.16900000000000001</v>
      </c>
      <c r="P195">
        <v>0.16900000000000001</v>
      </c>
      <c r="Q195">
        <v>0.16900000000000001</v>
      </c>
      <c r="R195">
        <v>0.16900000000000001</v>
      </c>
      <c r="S195">
        <v>0.16900000000000001</v>
      </c>
      <c r="T195">
        <v>0.16900000000000001</v>
      </c>
      <c r="U195">
        <v>0.16900000000000001</v>
      </c>
      <c r="V195">
        <v>0.16900000000000001</v>
      </c>
      <c r="W195">
        <v>0.16900000000000001</v>
      </c>
      <c r="X195">
        <v>0.16900000000000001</v>
      </c>
      <c r="Y195">
        <v>0.16900000000000001</v>
      </c>
      <c r="Z195">
        <v>0.16900000000000001</v>
      </c>
      <c r="AA195">
        <v>0.16900000000000001</v>
      </c>
      <c r="AB195">
        <v>0.16900000000000001</v>
      </c>
      <c r="AC195">
        <v>0.16900000000000001</v>
      </c>
      <c r="AD195">
        <v>0.16900000000000001</v>
      </c>
    </row>
    <row r="196" spans="2:30" x14ac:dyDescent="0.25">
      <c r="B196" t="s">
        <v>133</v>
      </c>
      <c r="C196" t="s">
        <v>3256</v>
      </c>
      <c r="D196" t="s">
        <v>4442</v>
      </c>
      <c r="E196" t="s">
        <v>4443</v>
      </c>
      <c r="F196" t="s">
        <v>4444</v>
      </c>
      <c r="G196" t="s">
        <v>3890</v>
      </c>
      <c r="H196" t="s">
        <v>4435</v>
      </c>
      <c r="I196" t="s">
        <v>4267</v>
      </c>
      <c r="J196">
        <v>1</v>
      </c>
      <c r="K196">
        <v>-6.9240000000000004</v>
      </c>
      <c r="L196">
        <v>-5.181</v>
      </c>
      <c r="M196">
        <v>-4.4829999999999997</v>
      </c>
      <c r="N196">
        <v>-4.5529999999999999</v>
      </c>
      <c r="O196">
        <v>-4.5940000000000003</v>
      </c>
      <c r="P196">
        <v>-4.4880000000000004</v>
      </c>
      <c r="Q196">
        <v>-4.3620000000000001</v>
      </c>
      <c r="R196">
        <v>-4.3179999999999996</v>
      </c>
      <c r="S196">
        <v>-4.3049999999999997</v>
      </c>
      <c r="T196">
        <v>-4.298</v>
      </c>
      <c r="U196">
        <v>-4.298</v>
      </c>
      <c r="V196">
        <v>-4.298</v>
      </c>
      <c r="W196">
        <v>-4.298</v>
      </c>
      <c r="X196">
        <v>-4.298</v>
      </c>
      <c r="Y196">
        <v>-4.298</v>
      </c>
      <c r="Z196">
        <v>-4.298</v>
      </c>
      <c r="AA196">
        <v>-4.298</v>
      </c>
      <c r="AB196">
        <v>-4.298</v>
      </c>
      <c r="AC196">
        <v>-4.298</v>
      </c>
      <c r="AD196">
        <v>-4.298</v>
      </c>
    </row>
    <row r="197" spans="2:30" x14ac:dyDescent="0.25">
      <c r="B197" t="s">
        <v>133</v>
      </c>
      <c r="C197" t="s">
        <v>3256</v>
      </c>
      <c r="D197" t="s">
        <v>4445</v>
      </c>
      <c r="E197" t="s">
        <v>4446</v>
      </c>
      <c r="F197" t="s">
        <v>4447</v>
      </c>
      <c r="G197" t="s">
        <v>3890</v>
      </c>
      <c r="H197" t="s">
        <v>4435</v>
      </c>
      <c r="I197" t="s">
        <v>4267</v>
      </c>
      <c r="J197">
        <v>1</v>
      </c>
      <c r="K197">
        <v>0.184</v>
      </c>
      <c r="L197">
        <v>0.187</v>
      </c>
      <c r="M197">
        <v>1E-3</v>
      </c>
      <c r="N197">
        <v>1E-3</v>
      </c>
      <c r="O197">
        <v>1E-3</v>
      </c>
      <c r="P197">
        <v>1E-3</v>
      </c>
      <c r="Q197">
        <v>1E-3</v>
      </c>
      <c r="R197">
        <v>1E-3</v>
      </c>
      <c r="S197">
        <v>1E-3</v>
      </c>
      <c r="T197">
        <v>1E-3</v>
      </c>
      <c r="U197">
        <v>1E-3</v>
      </c>
      <c r="V197">
        <v>1E-3</v>
      </c>
      <c r="W197">
        <v>1E-3</v>
      </c>
      <c r="X197">
        <v>1E-3</v>
      </c>
      <c r="Y197">
        <v>1E-3</v>
      </c>
      <c r="Z197">
        <v>1E-3</v>
      </c>
      <c r="AA197">
        <v>1E-3</v>
      </c>
      <c r="AB197">
        <v>1E-3</v>
      </c>
      <c r="AC197">
        <v>1E-3</v>
      </c>
      <c r="AD197">
        <v>1E-3</v>
      </c>
    </row>
    <row r="198" spans="2:30" x14ac:dyDescent="0.25">
      <c r="B198" t="s">
        <v>133</v>
      </c>
      <c r="C198" t="s">
        <v>3256</v>
      </c>
      <c r="D198" t="s">
        <v>4448</v>
      </c>
      <c r="E198" t="s">
        <v>4449</v>
      </c>
      <c r="F198" t="s">
        <v>4450</v>
      </c>
      <c r="G198" t="s">
        <v>3890</v>
      </c>
      <c r="H198" t="s">
        <v>4435</v>
      </c>
      <c r="I198" t="s">
        <v>4267</v>
      </c>
      <c r="J198">
        <v>1</v>
      </c>
      <c r="K198">
        <v>-12.263</v>
      </c>
      <c r="L198">
        <v>-11.798999999999999</v>
      </c>
      <c r="M198">
        <v>-12.055999999999999</v>
      </c>
      <c r="N198">
        <v>-12.122999999999999</v>
      </c>
      <c r="O198">
        <v>-12.162000000000001</v>
      </c>
      <c r="P198">
        <v>-12.061</v>
      </c>
      <c r="Q198">
        <v>-11.942</v>
      </c>
      <c r="R198">
        <v>-11.9</v>
      </c>
      <c r="S198">
        <v>-11.888</v>
      </c>
      <c r="T198">
        <v>-11.881</v>
      </c>
      <c r="U198">
        <v>-11.881</v>
      </c>
      <c r="V198">
        <v>-11.881</v>
      </c>
      <c r="W198">
        <v>-11.881</v>
      </c>
      <c r="X198">
        <v>-11.881</v>
      </c>
      <c r="Y198">
        <v>-11.881</v>
      </c>
      <c r="Z198">
        <v>-11.881</v>
      </c>
      <c r="AA198">
        <v>-11.881</v>
      </c>
      <c r="AB198">
        <v>-11.881</v>
      </c>
      <c r="AC198">
        <v>-11.881</v>
      </c>
      <c r="AD198">
        <v>-11.881</v>
      </c>
    </row>
    <row r="199" spans="2:30" x14ac:dyDescent="0.25">
      <c r="B199" t="s">
        <v>133</v>
      </c>
      <c r="C199" t="s">
        <v>3256</v>
      </c>
      <c r="D199" t="s">
        <v>4451</v>
      </c>
      <c r="E199" t="s">
        <v>4452</v>
      </c>
      <c r="F199" t="s">
        <v>4453</v>
      </c>
      <c r="G199" t="s">
        <v>3890</v>
      </c>
      <c r="H199" t="s">
        <v>4435</v>
      </c>
      <c r="I199" t="s">
        <v>4267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2:30" x14ac:dyDescent="0.25">
      <c r="B200" t="s">
        <v>133</v>
      </c>
      <c r="C200" t="s">
        <v>3256</v>
      </c>
      <c r="D200" t="s">
        <v>4454</v>
      </c>
      <c r="E200" t="s">
        <v>4455</v>
      </c>
      <c r="F200" t="s">
        <v>4456</v>
      </c>
      <c r="G200" t="s">
        <v>3890</v>
      </c>
      <c r="H200" t="s">
        <v>4435</v>
      </c>
      <c r="I200" t="s">
        <v>4267</v>
      </c>
      <c r="J200">
        <v>1</v>
      </c>
      <c r="K200">
        <v>-8.7029999999999994</v>
      </c>
      <c r="L200">
        <v>-6.7750000000000004</v>
      </c>
      <c r="M200">
        <v>-6.1120000000000001</v>
      </c>
      <c r="N200">
        <v>-6.1909999999999998</v>
      </c>
      <c r="O200">
        <v>-6.2380000000000004</v>
      </c>
      <c r="P200">
        <v>-6.1180000000000003</v>
      </c>
      <c r="Q200">
        <v>-5.9779999999999998</v>
      </c>
      <c r="R200">
        <v>-5.9279999999999999</v>
      </c>
      <c r="S200">
        <v>-5.9139999999999997</v>
      </c>
      <c r="T200">
        <v>-5.9059999999999997</v>
      </c>
      <c r="U200">
        <v>-5.9059999999999997</v>
      </c>
      <c r="V200">
        <v>-5.9059999999999997</v>
      </c>
      <c r="W200">
        <v>-5.9059999999999997</v>
      </c>
      <c r="X200">
        <v>-5.9059999999999997</v>
      </c>
      <c r="Y200">
        <v>-5.9059999999999997</v>
      </c>
      <c r="Z200">
        <v>-5.9059999999999997</v>
      </c>
      <c r="AA200">
        <v>-5.9059999999999997</v>
      </c>
      <c r="AB200">
        <v>-5.9059999999999997</v>
      </c>
      <c r="AC200">
        <v>-5.9059999999999997</v>
      </c>
      <c r="AD200">
        <v>-5.9059999999999997</v>
      </c>
    </row>
    <row r="201" spans="2:30" x14ac:dyDescent="0.25">
      <c r="B201" t="s">
        <v>133</v>
      </c>
      <c r="C201" t="s">
        <v>3256</v>
      </c>
      <c r="D201" t="s">
        <v>4457</v>
      </c>
      <c r="E201" t="s">
        <v>4458</v>
      </c>
      <c r="F201" t="s">
        <v>4459</v>
      </c>
      <c r="G201" t="s">
        <v>3890</v>
      </c>
      <c r="H201" t="s">
        <v>4435</v>
      </c>
      <c r="I201" t="s">
        <v>4274</v>
      </c>
      <c r="J201">
        <v>1</v>
      </c>
      <c r="K201">
        <v>-83.447000000000003</v>
      </c>
      <c r="L201">
        <v>-68.769000000000005</v>
      </c>
      <c r="M201">
        <v>-68.430999999999997</v>
      </c>
      <c r="N201">
        <v>-68.430999999999997</v>
      </c>
      <c r="O201">
        <v>-68.430999999999997</v>
      </c>
      <c r="P201">
        <v>-68.430999999999997</v>
      </c>
      <c r="Q201">
        <v>-68.430999999999997</v>
      </c>
      <c r="R201">
        <v>-68.430999999999997</v>
      </c>
      <c r="S201">
        <v>-68.430999999999997</v>
      </c>
      <c r="T201">
        <v>-68.430999999999997</v>
      </c>
      <c r="U201">
        <v>-68.430999999999997</v>
      </c>
      <c r="V201">
        <v>-68.430999999999997</v>
      </c>
      <c r="W201">
        <v>-68.430999999999997</v>
      </c>
      <c r="X201">
        <v>-68.430999999999997</v>
      </c>
      <c r="Y201">
        <v>-68.430999999999997</v>
      </c>
      <c r="Z201">
        <v>-68.430999999999997</v>
      </c>
      <c r="AA201">
        <v>-68.430999999999997</v>
      </c>
      <c r="AB201">
        <v>-68.430999999999997</v>
      </c>
      <c r="AC201">
        <v>-68.430999999999997</v>
      </c>
      <c r="AD201">
        <v>-68.430999999999997</v>
      </c>
    </row>
    <row r="202" spans="2:30" x14ac:dyDescent="0.25">
      <c r="B202" t="s">
        <v>133</v>
      </c>
      <c r="C202" t="s">
        <v>3256</v>
      </c>
      <c r="D202" t="s">
        <v>4460</v>
      </c>
      <c r="E202" t="s">
        <v>4461</v>
      </c>
      <c r="F202" t="s">
        <v>4462</v>
      </c>
      <c r="G202" t="s">
        <v>3890</v>
      </c>
      <c r="H202" t="s">
        <v>4435</v>
      </c>
      <c r="I202" t="s">
        <v>4278</v>
      </c>
      <c r="J202">
        <v>1</v>
      </c>
      <c r="K202">
        <v>-0.36299999999999999</v>
      </c>
      <c r="L202">
        <v>-0.40699999999999997</v>
      </c>
      <c r="M202">
        <v>-0.42799999999999999</v>
      </c>
      <c r="N202">
        <v>-0.33600000000000002</v>
      </c>
      <c r="O202">
        <v>-0.36199999999999999</v>
      </c>
      <c r="P202">
        <v>-0.32300000000000001</v>
      </c>
      <c r="Q202">
        <v>-0.312</v>
      </c>
      <c r="R202">
        <v>-0.307</v>
      </c>
      <c r="S202">
        <v>-0.30199999999999999</v>
      </c>
      <c r="T202">
        <v>-0.29699999999999999</v>
      </c>
      <c r="U202">
        <v>-0.29699999999999999</v>
      </c>
      <c r="V202">
        <v>-0.29699999999999999</v>
      </c>
      <c r="W202">
        <v>-0.29699999999999999</v>
      </c>
      <c r="X202">
        <v>-0.29699999999999999</v>
      </c>
      <c r="Y202">
        <v>-0.29699999999999999</v>
      </c>
      <c r="Z202">
        <v>-0.29699999999999999</v>
      </c>
      <c r="AA202">
        <v>-0.29699999999999999</v>
      </c>
      <c r="AB202">
        <v>-0.29699999999999999</v>
      </c>
      <c r="AC202">
        <v>-0.29699999999999999</v>
      </c>
      <c r="AD202">
        <v>-0.29699999999999999</v>
      </c>
    </row>
    <row r="203" spans="2:30" x14ac:dyDescent="0.25">
      <c r="B203" t="s">
        <v>133</v>
      </c>
      <c r="C203" t="s">
        <v>3256</v>
      </c>
      <c r="D203" t="s">
        <v>4463</v>
      </c>
      <c r="E203" t="s">
        <v>4464</v>
      </c>
      <c r="F203" t="s">
        <v>4465</v>
      </c>
      <c r="G203" t="s">
        <v>3890</v>
      </c>
      <c r="H203" t="s">
        <v>4435</v>
      </c>
      <c r="I203" t="s">
        <v>4278</v>
      </c>
      <c r="J203">
        <v>1</v>
      </c>
      <c r="K203">
        <v>-0.66300000000000003</v>
      </c>
      <c r="L203">
        <v>-0.57399999999999995</v>
      </c>
      <c r="M203">
        <v>-0.52900000000000003</v>
      </c>
      <c r="N203">
        <v>-0.435</v>
      </c>
      <c r="O203">
        <v>-0.46100000000000002</v>
      </c>
      <c r="P203">
        <v>-0.42099999999999999</v>
      </c>
      <c r="Q203">
        <v>-0.41</v>
      </c>
      <c r="R203">
        <v>-0.40500000000000003</v>
      </c>
      <c r="S203">
        <v>-0.4</v>
      </c>
      <c r="T203">
        <v>-0.39500000000000002</v>
      </c>
      <c r="U203">
        <v>-0.39500000000000002</v>
      </c>
      <c r="V203">
        <v>-0.39500000000000002</v>
      </c>
      <c r="W203">
        <v>-0.39500000000000002</v>
      </c>
      <c r="X203">
        <v>-0.39500000000000002</v>
      </c>
      <c r="Y203">
        <v>-0.39500000000000002</v>
      </c>
      <c r="Z203">
        <v>-0.39500000000000002</v>
      </c>
      <c r="AA203">
        <v>-0.39500000000000002</v>
      </c>
      <c r="AB203">
        <v>-0.39500000000000002</v>
      </c>
      <c r="AC203">
        <v>-0.39500000000000002</v>
      </c>
      <c r="AD203">
        <v>-0.39500000000000002</v>
      </c>
    </row>
    <row r="204" spans="2:30" x14ac:dyDescent="0.25">
      <c r="B204" t="s">
        <v>133</v>
      </c>
      <c r="C204" t="s">
        <v>3256</v>
      </c>
      <c r="D204" t="s">
        <v>4466</v>
      </c>
      <c r="E204" t="s">
        <v>4467</v>
      </c>
      <c r="F204" t="s">
        <v>4468</v>
      </c>
      <c r="G204" t="s">
        <v>3890</v>
      </c>
      <c r="H204" t="s">
        <v>4435</v>
      </c>
      <c r="I204" t="s">
        <v>4278</v>
      </c>
      <c r="J204">
        <v>1</v>
      </c>
      <c r="K204">
        <v>-0.496</v>
      </c>
      <c r="L204">
        <v>-0.47599999999999998</v>
      </c>
      <c r="M204">
        <v>-0.45500000000000002</v>
      </c>
      <c r="N204">
        <v>-0.39400000000000002</v>
      </c>
      <c r="O204">
        <v>-0.41099999999999998</v>
      </c>
      <c r="P204">
        <v>-0.38600000000000001</v>
      </c>
      <c r="Q204">
        <v>-0.379</v>
      </c>
      <c r="R204">
        <v>-0.375</v>
      </c>
      <c r="S204">
        <v>-0.372</v>
      </c>
      <c r="T204">
        <v>-0.36899999999999999</v>
      </c>
      <c r="U204">
        <v>-0.36899999999999999</v>
      </c>
      <c r="V204">
        <v>-0.36899999999999999</v>
      </c>
      <c r="W204">
        <v>-0.36899999999999999</v>
      </c>
      <c r="X204">
        <v>-0.36899999999999999</v>
      </c>
      <c r="Y204">
        <v>-0.36899999999999999</v>
      </c>
      <c r="Z204">
        <v>-0.36899999999999999</v>
      </c>
      <c r="AA204">
        <v>-0.36899999999999999</v>
      </c>
      <c r="AB204">
        <v>-0.36899999999999999</v>
      </c>
      <c r="AC204">
        <v>-0.36899999999999999</v>
      </c>
      <c r="AD204">
        <v>-0.36899999999999999</v>
      </c>
    </row>
    <row r="205" spans="2:30" x14ac:dyDescent="0.25">
      <c r="B205" t="s">
        <v>133</v>
      </c>
      <c r="C205" t="s">
        <v>3256</v>
      </c>
      <c r="D205" t="s">
        <v>4469</v>
      </c>
      <c r="E205" t="s">
        <v>4470</v>
      </c>
      <c r="F205" t="s">
        <v>4471</v>
      </c>
      <c r="G205" t="s">
        <v>3890</v>
      </c>
      <c r="H205" t="s">
        <v>4435</v>
      </c>
      <c r="I205" t="s">
        <v>4278</v>
      </c>
      <c r="J205">
        <v>1</v>
      </c>
      <c r="K205">
        <v>-0.36899999999999999</v>
      </c>
      <c r="L205">
        <v>-0.44</v>
      </c>
      <c r="M205">
        <v>-0.44800000000000001</v>
      </c>
      <c r="N205">
        <v>-0.36499999999999999</v>
      </c>
      <c r="O205">
        <v>-0.38800000000000001</v>
      </c>
      <c r="P205">
        <v>-0.35399999999999998</v>
      </c>
      <c r="Q205">
        <v>-0.34399999999999997</v>
      </c>
      <c r="R205">
        <v>-0.34</v>
      </c>
      <c r="S205">
        <v>-0.33600000000000002</v>
      </c>
      <c r="T205">
        <v>-0.33100000000000002</v>
      </c>
      <c r="U205">
        <v>-0.33100000000000002</v>
      </c>
      <c r="V205">
        <v>-0.33100000000000002</v>
      </c>
      <c r="W205">
        <v>-0.33100000000000002</v>
      </c>
      <c r="X205">
        <v>-0.33100000000000002</v>
      </c>
      <c r="Y205">
        <v>-0.33100000000000002</v>
      </c>
      <c r="Z205">
        <v>-0.33100000000000002</v>
      </c>
      <c r="AA205">
        <v>-0.33100000000000002</v>
      </c>
      <c r="AB205">
        <v>-0.33100000000000002</v>
      </c>
      <c r="AC205">
        <v>-0.33100000000000002</v>
      </c>
      <c r="AD205">
        <v>-0.33100000000000002</v>
      </c>
    </row>
    <row r="206" spans="2:30" x14ac:dyDescent="0.25">
      <c r="B206" t="s">
        <v>133</v>
      </c>
      <c r="C206" t="s">
        <v>3256</v>
      </c>
      <c r="D206" t="s">
        <v>4472</v>
      </c>
      <c r="E206" t="s">
        <v>4473</v>
      </c>
      <c r="F206" t="s">
        <v>4474</v>
      </c>
      <c r="G206" t="s">
        <v>4475</v>
      </c>
      <c r="H206" t="s">
        <v>4476</v>
      </c>
      <c r="I206" t="s">
        <v>4263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2:30" x14ac:dyDescent="0.25">
      <c r="B207" s="190" t="s">
        <v>133</v>
      </c>
      <c r="C207" t="s">
        <v>3256</v>
      </c>
      <c r="D207" t="s">
        <v>4477</v>
      </c>
      <c r="E207" t="s">
        <v>4478</v>
      </c>
      <c r="F207" t="s">
        <v>4479</v>
      </c>
      <c r="G207" t="s">
        <v>3890</v>
      </c>
      <c r="H207" t="s">
        <v>4476</v>
      </c>
      <c r="I207" t="s">
        <v>4263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2:30" x14ac:dyDescent="0.25">
      <c r="B208" t="s">
        <v>133</v>
      </c>
      <c r="C208" t="s">
        <v>3256</v>
      </c>
      <c r="D208" t="s">
        <v>4480</v>
      </c>
      <c r="E208" t="s">
        <v>4481</v>
      </c>
      <c r="F208" t="s">
        <v>4482</v>
      </c>
      <c r="G208" t="s">
        <v>3890</v>
      </c>
      <c r="H208" t="s">
        <v>4476</v>
      </c>
      <c r="I208" t="s">
        <v>4267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2:30" x14ac:dyDescent="0.25">
      <c r="B209" t="s">
        <v>133</v>
      </c>
      <c r="C209" t="s">
        <v>3256</v>
      </c>
      <c r="D209" t="s">
        <v>4483</v>
      </c>
      <c r="E209" t="s">
        <v>4484</v>
      </c>
      <c r="F209" t="s">
        <v>4485</v>
      </c>
      <c r="G209" t="s">
        <v>3890</v>
      </c>
      <c r="H209" t="s">
        <v>4476</v>
      </c>
      <c r="I209" t="s">
        <v>4267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2:30" x14ac:dyDescent="0.25">
      <c r="B210" t="s">
        <v>133</v>
      </c>
      <c r="C210" t="s">
        <v>3256</v>
      </c>
      <c r="D210" t="s">
        <v>4486</v>
      </c>
      <c r="E210" t="s">
        <v>4487</v>
      </c>
      <c r="F210" t="s">
        <v>4488</v>
      </c>
      <c r="G210" t="s">
        <v>3890</v>
      </c>
      <c r="H210" t="s">
        <v>4476</v>
      </c>
      <c r="I210" t="s">
        <v>4267</v>
      </c>
      <c r="J210">
        <v>1</v>
      </c>
      <c r="K210">
        <v>2.8740000000000001</v>
      </c>
      <c r="L210">
        <v>1.948</v>
      </c>
      <c r="M210">
        <v>1.8109999999999999</v>
      </c>
      <c r="N210">
        <v>1.677</v>
      </c>
      <c r="O210">
        <v>1.68</v>
      </c>
      <c r="P210">
        <v>1.6910000000000001</v>
      </c>
      <c r="Q210">
        <v>1.6859999999999999</v>
      </c>
      <c r="R210">
        <v>1.68</v>
      </c>
      <c r="S210">
        <v>1.675</v>
      </c>
      <c r="T210">
        <v>1.669</v>
      </c>
      <c r="U210">
        <v>1.669</v>
      </c>
      <c r="V210">
        <v>1.669</v>
      </c>
      <c r="W210">
        <v>1.669</v>
      </c>
      <c r="X210">
        <v>1.669</v>
      </c>
      <c r="Y210">
        <v>1.669</v>
      </c>
      <c r="Z210">
        <v>1.669</v>
      </c>
      <c r="AA210">
        <v>1.669</v>
      </c>
      <c r="AB210">
        <v>1.669</v>
      </c>
      <c r="AC210">
        <v>1.669</v>
      </c>
      <c r="AD210">
        <v>1.669</v>
      </c>
    </row>
    <row r="211" spans="2:30" x14ac:dyDescent="0.25">
      <c r="B211" t="s">
        <v>133</v>
      </c>
      <c r="C211" s="190" t="s">
        <v>3256</v>
      </c>
      <c r="D211" t="s">
        <v>4489</v>
      </c>
      <c r="E211" t="s">
        <v>4490</v>
      </c>
      <c r="F211" t="s">
        <v>4491</v>
      </c>
      <c r="G211" t="s">
        <v>3890</v>
      </c>
      <c r="H211" t="s">
        <v>4476</v>
      </c>
      <c r="I211" t="s">
        <v>4267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2:30" x14ac:dyDescent="0.25">
      <c r="B212" t="s">
        <v>133</v>
      </c>
      <c r="C212" t="s">
        <v>3256</v>
      </c>
      <c r="D212" t="s">
        <v>4492</v>
      </c>
      <c r="E212" t="s">
        <v>4493</v>
      </c>
      <c r="F212" t="s">
        <v>4494</v>
      </c>
      <c r="G212" t="s">
        <v>3890</v>
      </c>
      <c r="H212" t="s">
        <v>4476</v>
      </c>
      <c r="I212" t="s">
        <v>4267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2:30" x14ac:dyDescent="0.25">
      <c r="B213" t="s">
        <v>133</v>
      </c>
      <c r="C213" t="s">
        <v>3256</v>
      </c>
      <c r="D213" t="s">
        <v>4495</v>
      </c>
      <c r="E213" t="s">
        <v>4496</v>
      </c>
      <c r="F213" t="s">
        <v>4497</v>
      </c>
      <c r="G213" t="s">
        <v>3890</v>
      </c>
      <c r="H213" t="s">
        <v>4476</v>
      </c>
      <c r="I213" t="s">
        <v>4267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2:30" x14ac:dyDescent="0.25">
      <c r="B214" t="s">
        <v>133</v>
      </c>
      <c r="C214" t="s">
        <v>3256</v>
      </c>
      <c r="D214" t="s">
        <v>4498</v>
      </c>
      <c r="E214" t="s">
        <v>4499</v>
      </c>
      <c r="F214" t="s">
        <v>4500</v>
      </c>
      <c r="G214" t="s">
        <v>3890</v>
      </c>
      <c r="H214" t="s">
        <v>4476</v>
      </c>
      <c r="I214" t="s">
        <v>4274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2:30" x14ac:dyDescent="0.25">
      <c r="B215" t="s">
        <v>133</v>
      </c>
      <c r="C215" t="s">
        <v>3256</v>
      </c>
      <c r="D215" t="s">
        <v>4501</v>
      </c>
      <c r="E215" t="s">
        <v>4502</v>
      </c>
      <c r="F215" t="s">
        <v>4503</v>
      </c>
      <c r="G215" t="s">
        <v>3890</v>
      </c>
      <c r="H215" t="s">
        <v>4476</v>
      </c>
      <c r="I215" t="s">
        <v>4278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2:30" x14ac:dyDescent="0.25">
      <c r="B216" t="s">
        <v>133</v>
      </c>
      <c r="C216" t="s">
        <v>3256</v>
      </c>
      <c r="D216" t="s">
        <v>4504</v>
      </c>
      <c r="E216" t="s">
        <v>4505</v>
      </c>
      <c r="F216" t="s">
        <v>4506</v>
      </c>
      <c r="G216" t="s">
        <v>3890</v>
      </c>
      <c r="H216" t="s">
        <v>4476</v>
      </c>
      <c r="I216" t="s">
        <v>4278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2:30" x14ac:dyDescent="0.25">
      <c r="B217" t="s">
        <v>133</v>
      </c>
      <c r="C217" t="s">
        <v>3256</v>
      </c>
      <c r="D217" t="s">
        <v>4507</v>
      </c>
      <c r="E217" t="s">
        <v>4508</v>
      </c>
      <c r="F217" t="s">
        <v>4509</v>
      </c>
      <c r="G217" t="s">
        <v>3890</v>
      </c>
      <c r="H217" t="s">
        <v>4476</v>
      </c>
      <c r="I217" t="s">
        <v>4278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2:30" x14ac:dyDescent="0.25">
      <c r="B218" t="s">
        <v>133</v>
      </c>
      <c r="C218" t="s">
        <v>3256</v>
      </c>
      <c r="D218" t="s">
        <v>4510</v>
      </c>
      <c r="E218" t="s">
        <v>4511</v>
      </c>
      <c r="F218" t="s">
        <v>4512</v>
      </c>
      <c r="G218" t="s">
        <v>3890</v>
      </c>
      <c r="H218" t="s">
        <v>4476</v>
      </c>
      <c r="I218" t="s">
        <v>4278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2:30" x14ac:dyDescent="0.25">
      <c r="B219" t="s">
        <v>133</v>
      </c>
      <c r="C219" t="s">
        <v>3256</v>
      </c>
      <c r="D219" t="s">
        <v>4513</v>
      </c>
      <c r="E219" t="s">
        <v>4514</v>
      </c>
      <c r="F219" t="s">
        <v>4515</v>
      </c>
      <c r="G219" t="s">
        <v>3890</v>
      </c>
      <c r="H219" t="s">
        <v>4476</v>
      </c>
      <c r="I219" t="s">
        <v>4263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2:30" x14ac:dyDescent="0.25">
      <c r="B220" t="s">
        <v>133</v>
      </c>
      <c r="C220" t="s">
        <v>3256</v>
      </c>
      <c r="D220" t="s">
        <v>4516</v>
      </c>
      <c r="E220" t="s">
        <v>4517</v>
      </c>
      <c r="F220" t="s">
        <v>4518</v>
      </c>
      <c r="G220" t="s">
        <v>3890</v>
      </c>
      <c r="H220" t="s">
        <v>4476</v>
      </c>
      <c r="I220" t="s">
        <v>4263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2:30" x14ac:dyDescent="0.25">
      <c r="B221" t="s">
        <v>133</v>
      </c>
      <c r="C221" t="s">
        <v>3256</v>
      </c>
      <c r="D221" t="s">
        <v>4519</v>
      </c>
      <c r="E221" t="s">
        <v>4520</v>
      </c>
      <c r="F221" t="s">
        <v>4521</v>
      </c>
      <c r="G221" t="s">
        <v>3890</v>
      </c>
      <c r="H221" t="s">
        <v>4476</v>
      </c>
      <c r="I221" t="s">
        <v>4267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2:30" x14ac:dyDescent="0.25">
      <c r="B222" t="s">
        <v>133</v>
      </c>
      <c r="C222" t="s">
        <v>3256</v>
      </c>
      <c r="D222" t="s">
        <v>4522</v>
      </c>
      <c r="E222" t="s">
        <v>4523</v>
      </c>
      <c r="F222" t="s">
        <v>4524</v>
      </c>
      <c r="G222" t="s">
        <v>3890</v>
      </c>
      <c r="H222" t="s">
        <v>4476</v>
      </c>
      <c r="I222" t="s">
        <v>4267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2:30" x14ac:dyDescent="0.25">
      <c r="B223" t="s">
        <v>133</v>
      </c>
      <c r="C223" t="s">
        <v>3256</v>
      </c>
      <c r="D223" t="s">
        <v>4525</v>
      </c>
      <c r="E223" t="s">
        <v>4526</v>
      </c>
      <c r="F223" t="s">
        <v>4527</v>
      </c>
      <c r="G223" t="s">
        <v>3890</v>
      </c>
      <c r="H223" t="s">
        <v>4476</v>
      </c>
      <c r="I223" t="s">
        <v>4267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2:30" x14ac:dyDescent="0.25">
      <c r="B224" t="s">
        <v>133</v>
      </c>
      <c r="C224" t="s">
        <v>3256</v>
      </c>
      <c r="D224" t="s">
        <v>4528</v>
      </c>
      <c r="E224" t="s">
        <v>4529</v>
      </c>
      <c r="F224" t="s">
        <v>4530</v>
      </c>
      <c r="G224" t="s">
        <v>3890</v>
      </c>
      <c r="H224" t="s">
        <v>4476</v>
      </c>
      <c r="I224" t="s">
        <v>4267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2:30" x14ac:dyDescent="0.25">
      <c r="B225" t="s">
        <v>133</v>
      </c>
      <c r="C225" t="s">
        <v>3256</v>
      </c>
      <c r="D225" t="s">
        <v>4531</v>
      </c>
      <c r="E225" t="s">
        <v>4532</v>
      </c>
      <c r="F225" t="s">
        <v>4533</v>
      </c>
      <c r="G225" t="s">
        <v>3890</v>
      </c>
      <c r="H225" t="s">
        <v>4476</v>
      </c>
      <c r="I225" t="s">
        <v>4267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2:30" x14ac:dyDescent="0.25">
      <c r="B226" t="s">
        <v>133</v>
      </c>
      <c r="C226" t="s">
        <v>3256</v>
      </c>
      <c r="D226" t="s">
        <v>4534</v>
      </c>
      <c r="E226" t="s">
        <v>4535</v>
      </c>
      <c r="F226" t="s">
        <v>4536</v>
      </c>
      <c r="G226" t="s">
        <v>3890</v>
      </c>
      <c r="H226" t="s">
        <v>4476</v>
      </c>
      <c r="I226" t="s">
        <v>4267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2:30" x14ac:dyDescent="0.25">
      <c r="B227" t="s">
        <v>133</v>
      </c>
      <c r="C227" t="s">
        <v>3256</v>
      </c>
      <c r="D227" t="s">
        <v>4537</v>
      </c>
      <c r="E227" t="s">
        <v>4538</v>
      </c>
      <c r="F227" t="s">
        <v>4539</v>
      </c>
      <c r="G227" t="s">
        <v>3890</v>
      </c>
      <c r="H227" t="s">
        <v>4476</v>
      </c>
      <c r="I227" t="s">
        <v>4274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2:30" x14ac:dyDescent="0.25">
      <c r="B228" t="s">
        <v>133</v>
      </c>
      <c r="C228" t="s">
        <v>3256</v>
      </c>
      <c r="D228" t="s">
        <v>4540</v>
      </c>
      <c r="E228" t="s">
        <v>4541</v>
      </c>
      <c r="F228" t="s">
        <v>4542</v>
      </c>
      <c r="G228" t="s">
        <v>3890</v>
      </c>
      <c r="H228" t="s">
        <v>4476</v>
      </c>
      <c r="I228" t="s">
        <v>4278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2:30" x14ac:dyDescent="0.25">
      <c r="B229" t="s">
        <v>133</v>
      </c>
      <c r="C229" t="s">
        <v>3256</v>
      </c>
      <c r="D229" t="s">
        <v>4543</v>
      </c>
      <c r="E229" t="s">
        <v>4544</v>
      </c>
      <c r="F229" t="s">
        <v>4545</v>
      </c>
      <c r="G229" t="s">
        <v>3890</v>
      </c>
      <c r="H229" t="s">
        <v>4476</v>
      </c>
      <c r="I229" t="s">
        <v>4278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2:30" x14ac:dyDescent="0.25">
      <c r="B230" t="s">
        <v>133</v>
      </c>
      <c r="C230" t="s">
        <v>3256</v>
      </c>
      <c r="D230" t="s">
        <v>4546</v>
      </c>
      <c r="E230" t="s">
        <v>4547</v>
      </c>
      <c r="F230" t="s">
        <v>4548</v>
      </c>
      <c r="G230" t="s">
        <v>3890</v>
      </c>
      <c r="H230" t="s">
        <v>4476</v>
      </c>
      <c r="I230" t="s">
        <v>4278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2:30" x14ac:dyDescent="0.25">
      <c r="B231" t="s">
        <v>133</v>
      </c>
      <c r="C231" t="s">
        <v>3256</v>
      </c>
      <c r="D231" t="s">
        <v>4549</v>
      </c>
      <c r="E231" t="s">
        <v>4550</v>
      </c>
      <c r="F231" t="s">
        <v>4551</v>
      </c>
      <c r="G231" t="s">
        <v>3890</v>
      </c>
      <c r="H231" t="s">
        <v>4476</v>
      </c>
      <c r="I231" t="s">
        <v>4278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2:30" x14ac:dyDescent="0.25">
      <c r="B232" t="s">
        <v>133</v>
      </c>
      <c r="C232" t="s">
        <v>3256</v>
      </c>
      <c r="D232" t="s">
        <v>4552</v>
      </c>
      <c r="E232" t="s">
        <v>4553</v>
      </c>
      <c r="F232" t="s">
        <v>4554</v>
      </c>
      <c r="G232" t="s">
        <v>3890</v>
      </c>
      <c r="H232" t="s">
        <v>4555</v>
      </c>
      <c r="I232" t="s">
        <v>4263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2:30" x14ac:dyDescent="0.25">
      <c r="B233" t="s">
        <v>133</v>
      </c>
      <c r="C233" t="s">
        <v>3256</v>
      </c>
      <c r="D233" t="s">
        <v>4556</v>
      </c>
      <c r="E233" t="s">
        <v>4557</v>
      </c>
      <c r="F233" t="s">
        <v>4558</v>
      </c>
      <c r="G233" t="s">
        <v>3890</v>
      </c>
      <c r="H233" t="s">
        <v>4555</v>
      </c>
      <c r="I233" t="s">
        <v>4263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2:30" x14ac:dyDescent="0.25">
      <c r="B234" t="s">
        <v>133</v>
      </c>
      <c r="C234" t="s">
        <v>3256</v>
      </c>
      <c r="D234" t="s">
        <v>4559</v>
      </c>
      <c r="E234" t="s">
        <v>4560</v>
      </c>
      <c r="F234" t="s">
        <v>4561</v>
      </c>
      <c r="G234" t="s">
        <v>3890</v>
      </c>
      <c r="H234" t="s">
        <v>4555</v>
      </c>
      <c r="I234" t="s">
        <v>4267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2:30" x14ac:dyDescent="0.25">
      <c r="B235" t="s">
        <v>133</v>
      </c>
      <c r="C235" t="s">
        <v>3256</v>
      </c>
      <c r="D235" t="s">
        <v>4562</v>
      </c>
      <c r="E235" t="s">
        <v>4563</v>
      </c>
      <c r="F235" t="s">
        <v>4564</v>
      </c>
      <c r="G235" t="s">
        <v>3890</v>
      </c>
      <c r="H235" t="s">
        <v>4555</v>
      </c>
      <c r="I235" t="s">
        <v>4267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2:30" x14ac:dyDescent="0.25">
      <c r="B236" t="s">
        <v>133</v>
      </c>
      <c r="C236" t="s">
        <v>3256</v>
      </c>
      <c r="D236" t="s">
        <v>4565</v>
      </c>
      <c r="E236" t="s">
        <v>4566</v>
      </c>
      <c r="F236" t="s">
        <v>4567</v>
      </c>
      <c r="G236" t="s">
        <v>3890</v>
      </c>
      <c r="H236" t="s">
        <v>4555</v>
      </c>
      <c r="I236" t="s">
        <v>4267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2:30" x14ac:dyDescent="0.25">
      <c r="B237" t="s">
        <v>133</v>
      </c>
      <c r="C237" t="s">
        <v>3256</v>
      </c>
      <c r="D237" t="s">
        <v>4568</v>
      </c>
      <c r="E237" t="s">
        <v>4569</v>
      </c>
      <c r="F237" t="s">
        <v>4570</v>
      </c>
      <c r="G237" t="s">
        <v>3890</v>
      </c>
      <c r="H237" t="s">
        <v>4555</v>
      </c>
      <c r="I237" t="s">
        <v>4267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2:30" x14ac:dyDescent="0.25">
      <c r="B238" t="s">
        <v>133</v>
      </c>
      <c r="C238" t="s">
        <v>3256</v>
      </c>
      <c r="D238" t="s">
        <v>4571</v>
      </c>
      <c r="E238" t="s">
        <v>4572</v>
      </c>
      <c r="F238" t="s">
        <v>4573</v>
      </c>
      <c r="G238" t="s">
        <v>3890</v>
      </c>
      <c r="H238" t="s">
        <v>4555</v>
      </c>
      <c r="I238" t="s">
        <v>4267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2:30" x14ac:dyDescent="0.25">
      <c r="B239" t="s">
        <v>133</v>
      </c>
      <c r="C239" t="s">
        <v>3256</v>
      </c>
      <c r="D239" t="s">
        <v>4574</v>
      </c>
      <c r="E239" t="s">
        <v>4575</v>
      </c>
      <c r="F239" t="s">
        <v>4576</v>
      </c>
      <c r="G239" t="s">
        <v>3890</v>
      </c>
      <c r="H239" t="s">
        <v>4555</v>
      </c>
      <c r="I239" t="s">
        <v>4267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2:30" x14ac:dyDescent="0.25">
      <c r="B240" t="s">
        <v>133</v>
      </c>
      <c r="C240" t="s">
        <v>3256</v>
      </c>
      <c r="D240" t="s">
        <v>4577</v>
      </c>
      <c r="E240" t="s">
        <v>4578</v>
      </c>
      <c r="F240" t="s">
        <v>4579</v>
      </c>
      <c r="G240" t="s">
        <v>3890</v>
      </c>
      <c r="H240" t="s">
        <v>4555</v>
      </c>
      <c r="I240" t="s">
        <v>4274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2:30" x14ac:dyDescent="0.25">
      <c r="B241" t="s">
        <v>133</v>
      </c>
      <c r="C241" t="s">
        <v>3256</v>
      </c>
      <c r="D241" t="s">
        <v>4580</v>
      </c>
      <c r="E241" t="s">
        <v>4581</v>
      </c>
      <c r="F241" t="s">
        <v>4582</v>
      </c>
      <c r="G241" t="s">
        <v>3890</v>
      </c>
      <c r="H241" t="s">
        <v>4555</v>
      </c>
      <c r="I241" t="s">
        <v>4278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2:30" x14ac:dyDescent="0.25">
      <c r="B242" t="s">
        <v>133</v>
      </c>
      <c r="C242" t="s">
        <v>3256</v>
      </c>
      <c r="D242" t="s">
        <v>4583</v>
      </c>
      <c r="E242" t="s">
        <v>4584</v>
      </c>
      <c r="F242" t="s">
        <v>4585</v>
      </c>
      <c r="G242" t="s">
        <v>3890</v>
      </c>
      <c r="H242" t="s">
        <v>4555</v>
      </c>
      <c r="I242" t="s">
        <v>4278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2:30" x14ac:dyDescent="0.25">
      <c r="B243" t="s">
        <v>133</v>
      </c>
      <c r="C243" t="s">
        <v>3256</v>
      </c>
      <c r="D243" t="s">
        <v>4586</v>
      </c>
      <c r="E243" t="s">
        <v>4587</v>
      </c>
      <c r="F243" t="s">
        <v>4588</v>
      </c>
      <c r="G243" t="s">
        <v>3890</v>
      </c>
      <c r="H243" t="s">
        <v>4555</v>
      </c>
      <c r="I243" t="s">
        <v>4278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2:30" x14ac:dyDescent="0.25">
      <c r="B244" t="s">
        <v>133</v>
      </c>
      <c r="C244" t="s">
        <v>3256</v>
      </c>
      <c r="D244" t="s">
        <v>4589</v>
      </c>
      <c r="E244" t="s">
        <v>4590</v>
      </c>
      <c r="F244" t="s">
        <v>4591</v>
      </c>
      <c r="G244" t="s">
        <v>3890</v>
      </c>
      <c r="H244" t="s">
        <v>4555</v>
      </c>
      <c r="I244" t="s">
        <v>4278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2:30" x14ac:dyDescent="0.25">
      <c r="B245" t="s">
        <v>133</v>
      </c>
      <c r="C245" t="s">
        <v>3256</v>
      </c>
      <c r="D245" t="s">
        <v>4592</v>
      </c>
      <c r="E245" t="s">
        <v>4593</v>
      </c>
      <c r="F245" t="s">
        <v>4594</v>
      </c>
      <c r="G245" t="s">
        <v>3890</v>
      </c>
      <c r="H245" t="s">
        <v>4595</v>
      </c>
      <c r="I245" t="s">
        <v>4596</v>
      </c>
      <c r="J245">
        <v>1</v>
      </c>
      <c r="K245">
        <v>3.4550000000000001</v>
      </c>
      <c r="L245">
        <v>2.194</v>
      </c>
      <c r="M245">
        <v>1.6850000000000001</v>
      </c>
      <c r="N245">
        <v>1.6850000000000001</v>
      </c>
      <c r="O245">
        <v>1.6850000000000001</v>
      </c>
      <c r="P245">
        <v>1.6850000000000001</v>
      </c>
      <c r="Q245">
        <v>1.6850000000000001</v>
      </c>
      <c r="R245">
        <v>1.6850000000000001</v>
      </c>
      <c r="S245">
        <v>1.6850000000000001</v>
      </c>
      <c r="T245">
        <v>1.6850000000000001</v>
      </c>
      <c r="U245">
        <v>1.6850000000000001</v>
      </c>
      <c r="V245">
        <v>1.6850000000000001</v>
      </c>
      <c r="W245">
        <v>1.6850000000000001</v>
      </c>
      <c r="X245">
        <v>1.6850000000000001</v>
      </c>
      <c r="Y245">
        <v>1.6850000000000001</v>
      </c>
      <c r="Z245">
        <v>1.6850000000000001</v>
      </c>
      <c r="AA245">
        <v>1.6850000000000001</v>
      </c>
      <c r="AB245">
        <v>1.6850000000000001</v>
      </c>
      <c r="AC245">
        <v>1.6850000000000001</v>
      </c>
      <c r="AD245">
        <v>1.6850000000000001</v>
      </c>
    </row>
    <row r="246" spans="2:30" x14ac:dyDescent="0.25">
      <c r="B246" t="s">
        <v>133</v>
      </c>
      <c r="C246" t="s">
        <v>3256</v>
      </c>
      <c r="D246" t="s">
        <v>4597</v>
      </c>
      <c r="E246" t="s">
        <v>4598</v>
      </c>
      <c r="F246" t="s">
        <v>4599</v>
      </c>
      <c r="G246" t="s">
        <v>3890</v>
      </c>
      <c r="H246" t="s">
        <v>4595</v>
      </c>
      <c r="I246" t="s">
        <v>4596</v>
      </c>
      <c r="J246">
        <v>1</v>
      </c>
      <c r="K246">
        <v>-152.46100000000001</v>
      </c>
      <c r="L246">
        <v>-120.94499999999999</v>
      </c>
      <c r="M246">
        <v>-111.26300000000001</v>
      </c>
      <c r="N246">
        <v>-112.407</v>
      </c>
      <c r="O246">
        <v>-113.029</v>
      </c>
      <c r="P246">
        <v>-110.715</v>
      </c>
      <c r="Q246">
        <v>-107.973</v>
      </c>
      <c r="R246">
        <v>-106.822</v>
      </c>
      <c r="S246">
        <v>-106.319</v>
      </c>
      <c r="T246">
        <v>-105.929</v>
      </c>
      <c r="U246">
        <v>-105.684</v>
      </c>
      <c r="V246">
        <v>-105.44499999999999</v>
      </c>
      <c r="W246">
        <v>-105.214</v>
      </c>
      <c r="X246">
        <v>-104.99299999999999</v>
      </c>
      <c r="Y246">
        <v>-104.78400000000001</v>
      </c>
      <c r="Z246">
        <v>-104.587</v>
      </c>
      <c r="AA246">
        <v>-104.405</v>
      </c>
      <c r="AB246">
        <v>-104.241</v>
      </c>
      <c r="AC246">
        <v>-104.095</v>
      </c>
      <c r="AD246">
        <v>-103.959</v>
      </c>
    </row>
    <row r="247" spans="2:30" x14ac:dyDescent="0.25">
      <c r="B247" t="s">
        <v>133</v>
      </c>
      <c r="C247" t="s">
        <v>3256</v>
      </c>
      <c r="D247" t="s">
        <v>4600</v>
      </c>
      <c r="E247" t="s">
        <v>4601</v>
      </c>
      <c r="F247" t="s">
        <v>4602</v>
      </c>
      <c r="G247" t="s">
        <v>3890</v>
      </c>
      <c r="H247" t="s">
        <v>4595</v>
      </c>
      <c r="I247" t="s">
        <v>4596</v>
      </c>
      <c r="J247">
        <v>1</v>
      </c>
      <c r="K247">
        <v>-214.952</v>
      </c>
      <c r="L247">
        <v>-225.435</v>
      </c>
      <c r="M247">
        <v>-231.316</v>
      </c>
      <c r="N247">
        <v>-185.77</v>
      </c>
      <c r="O247">
        <v>-198.422</v>
      </c>
      <c r="P247">
        <v>-179.35</v>
      </c>
      <c r="Q247">
        <v>-174.102</v>
      </c>
      <c r="R247">
        <v>-171.45699999999999</v>
      </c>
      <c r="S247">
        <v>-169.14400000000001</v>
      </c>
      <c r="T247">
        <v>-166.631</v>
      </c>
      <c r="U247">
        <v>-166.631</v>
      </c>
      <c r="V247">
        <v>-166.631</v>
      </c>
      <c r="W247">
        <v>-166.631</v>
      </c>
      <c r="X247">
        <v>-166.631</v>
      </c>
      <c r="Y247">
        <v>-166.631</v>
      </c>
      <c r="Z247">
        <v>-166.631</v>
      </c>
      <c r="AA247">
        <v>-166.631</v>
      </c>
      <c r="AB247">
        <v>-166.631</v>
      </c>
      <c r="AC247">
        <v>-166.631</v>
      </c>
      <c r="AD247">
        <v>-166.631</v>
      </c>
    </row>
    <row r="248" spans="2:30" x14ac:dyDescent="0.25">
      <c r="B248" t="s">
        <v>133</v>
      </c>
      <c r="C248" t="s">
        <v>3256</v>
      </c>
      <c r="D248" t="s">
        <v>4603</v>
      </c>
      <c r="E248" t="s">
        <v>4604</v>
      </c>
      <c r="F248" t="s">
        <v>4605</v>
      </c>
      <c r="G248" t="s">
        <v>3890</v>
      </c>
      <c r="H248" t="s">
        <v>4595</v>
      </c>
      <c r="I248" t="s">
        <v>4596</v>
      </c>
      <c r="J248">
        <v>1</v>
      </c>
      <c r="K248">
        <v>-252.76300000000001</v>
      </c>
      <c r="L248">
        <v>-218.88200000000001</v>
      </c>
      <c r="M248">
        <v>-201.67699999999999</v>
      </c>
      <c r="N248">
        <v>-165.696</v>
      </c>
      <c r="O248">
        <v>-175.69200000000001</v>
      </c>
      <c r="P248">
        <v>-160.624</v>
      </c>
      <c r="Q248">
        <v>-156.47900000000001</v>
      </c>
      <c r="R248">
        <v>-154.38900000000001</v>
      </c>
      <c r="S248">
        <v>-152.56200000000001</v>
      </c>
      <c r="T248">
        <v>-150.577</v>
      </c>
      <c r="U248">
        <v>-150.577</v>
      </c>
      <c r="V248">
        <v>-150.577</v>
      </c>
      <c r="W248">
        <v>-150.577</v>
      </c>
      <c r="X248">
        <v>-150.577</v>
      </c>
      <c r="Y248">
        <v>-150.577</v>
      </c>
      <c r="Z248">
        <v>-150.577</v>
      </c>
      <c r="AA248">
        <v>-150.577</v>
      </c>
      <c r="AB248">
        <v>-150.577</v>
      </c>
      <c r="AC248">
        <v>-150.577</v>
      </c>
      <c r="AD248">
        <v>-150.577</v>
      </c>
    </row>
    <row r="249" spans="2:30" x14ac:dyDescent="0.25">
      <c r="B249" t="s">
        <v>133</v>
      </c>
      <c r="C249" t="s">
        <v>3256</v>
      </c>
      <c r="D249" t="s">
        <v>4606</v>
      </c>
      <c r="E249" t="s">
        <v>4607</v>
      </c>
      <c r="F249" t="s">
        <v>4608</v>
      </c>
      <c r="G249" t="s">
        <v>3890</v>
      </c>
      <c r="H249" t="s">
        <v>4595</v>
      </c>
      <c r="I249" t="s">
        <v>4596</v>
      </c>
      <c r="J249">
        <v>1</v>
      </c>
      <c r="K249">
        <v>-333.09699999999998</v>
      </c>
      <c r="L249">
        <v>-314.64999999999998</v>
      </c>
      <c r="M249">
        <v>-300.01</v>
      </c>
      <c r="N249">
        <v>-260.95699999999999</v>
      </c>
      <c r="O249">
        <v>-271.80599999999998</v>
      </c>
      <c r="P249">
        <v>-255.452</v>
      </c>
      <c r="Q249">
        <v>-250.953</v>
      </c>
      <c r="R249">
        <v>-248.685</v>
      </c>
      <c r="S249">
        <v>-246.702</v>
      </c>
      <c r="T249">
        <v>-244.547</v>
      </c>
      <c r="U249">
        <v>-244.547</v>
      </c>
      <c r="V249">
        <v>-244.547</v>
      </c>
      <c r="W249">
        <v>-244.547</v>
      </c>
      <c r="X249">
        <v>-244.547</v>
      </c>
      <c r="Y249">
        <v>-244.547</v>
      </c>
      <c r="Z249">
        <v>-244.547</v>
      </c>
      <c r="AA249">
        <v>-244.547</v>
      </c>
      <c r="AB249">
        <v>-244.547</v>
      </c>
      <c r="AC249">
        <v>-244.547</v>
      </c>
      <c r="AD249">
        <v>-244.547</v>
      </c>
    </row>
    <row r="250" spans="2:30" x14ac:dyDescent="0.25">
      <c r="B250" t="s">
        <v>133</v>
      </c>
      <c r="C250" t="s">
        <v>3256</v>
      </c>
      <c r="D250" t="s">
        <v>4609</v>
      </c>
      <c r="E250" t="s">
        <v>4610</v>
      </c>
      <c r="F250" t="s">
        <v>4611</v>
      </c>
      <c r="G250" t="s">
        <v>3890</v>
      </c>
      <c r="H250" t="s">
        <v>4595</v>
      </c>
      <c r="I250" t="s">
        <v>4596</v>
      </c>
      <c r="J250">
        <v>1</v>
      </c>
      <c r="K250">
        <v>-161.07599999999999</v>
      </c>
      <c r="L250">
        <v>-186.827</v>
      </c>
      <c r="M250">
        <v>-189.61500000000001</v>
      </c>
      <c r="N250">
        <v>-155.803</v>
      </c>
      <c r="O250">
        <v>-165.196</v>
      </c>
      <c r="P250">
        <v>-151.03700000000001</v>
      </c>
      <c r="Q250">
        <v>-147.14099999999999</v>
      </c>
      <c r="R250">
        <v>-145.178</v>
      </c>
      <c r="S250">
        <v>-143.46100000000001</v>
      </c>
      <c r="T250">
        <v>-141.595</v>
      </c>
      <c r="U250">
        <v>-141.595</v>
      </c>
      <c r="V250">
        <v>-141.595</v>
      </c>
      <c r="W250">
        <v>-141.595</v>
      </c>
      <c r="X250">
        <v>-141.595</v>
      </c>
      <c r="Y250">
        <v>-141.595</v>
      </c>
      <c r="Z250">
        <v>-141.595</v>
      </c>
      <c r="AA250">
        <v>-141.595</v>
      </c>
      <c r="AB250">
        <v>-141.595</v>
      </c>
      <c r="AC250">
        <v>-141.595</v>
      </c>
      <c r="AD250">
        <v>-141.595</v>
      </c>
    </row>
    <row r="251" spans="2:30" x14ac:dyDescent="0.25">
      <c r="B251" t="s">
        <v>133</v>
      </c>
      <c r="C251" t="s">
        <v>3256</v>
      </c>
      <c r="D251" t="s">
        <v>4612</v>
      </c>
      <c r="E251" t="s">
        <v>4613</v>
      </c>
      <c r="F251" t="s">
        <v>4614</v>
      </c>
      <c r="G251" t="s">
        <v>3890</v>
      </c>
      <c r="H251" t="s">
        <v>4595</v>
      </c>
      <c r="I251" t="s">
        <v>4596</v>
      </c>
      <c r="J251">
        <v>1</v>
      </c>
      <c r="K251">
        <v>-177.77199999999999</v>
      </c>
      <c r="L251">
        <v>-146.50299999999999</v>
      </c>
      <c r="M251">
        <v>-145.78299999999999</v>
      </c>
      <c r="N251">
        <v>-145.78299999999999</v>
      </c>
      <c r="O251">
        <v>-145.78299999999999</v>
      </c>
      <c r="P251">
        <v>-145.78299999999999</v>
      </c>
      <c r="Q251">
        <v>-145.78299999999999</v>
      </c>
      <c r="R251">
        <v>-145.78299999999999</v>
      </c>
      <c r="S251">
        <v>-145.78299999999999</v>
      </c>
      <c r="T251">
        <v>-145.78299999999999</v>
      </c>
      <c r="U251">
        <v>-145.78299999999999</v>
      </c>
      <c r="V251">
        <v>-145.78299999999999</v>
      </c>
      <c r="W251">
        <v>-145.78299999999999</v>
      </c>
      <c r="X251">
        <v>-145.78299999999999</v>
      </c>
      <c r="Y251">
        <v>-145.78299999999999</v>
      </c>
      <c r="Z251">
        <v>-145.78299999999999</v>
      </c>
      <c r="AA251">
        <v>-145.78299999999999</v>
      </c>
      <c r="AB251">
        <v>-145.78299999999999</v>
      </c>
      <c r="AC251">
        <v>-145.78299999999999</v>
      </c>
      <c r="AD251">
        <v>-145.78299999999999</v>
      </c>
    </row>
    <row r="252" spans="2:30" x14ac:dyDescent="0.25">
      <c r="B252" t="s">
        <v>133</v>
      </c>
      <c r="C252" t="s">
        <v>3256</v>
      </c>
      <c r="D252" t="s">
        <v>4615</v>
      </c>
      <c r="E252" t="s">
        <v>4616</v>
      </c>
      <c r="F252" t="s">
        <v>4617</v>
      </c>
      <c r="G252" t="s">
        <v>3890</v>
      </c>
      <c r="H252" t="s">
        <v>4595</v>
      </c>
      <c r="I252" t="s">
        <v>4596</v>
      </c>
      <c r="J252">
        <v>1</v>
      </c>
      <c r="K252">
        <v>-190.667</v>
      </c>
      <c r="L252">
        <v>-169.041</v>
      </c>
      <c r="M252">
        <v>-158.45599999999999</v>
      </c>
      <c r="N252">
        <v>-143.017</v>
      </c>
      <c r="O252">
        <v>-148.07300000000001</v>
      </c>
      <c r="P252">
        <v>-141.453</v>
      </c>
      <c r="Q252">
        <v>-138.78700000000001</v>
      </c>
      <c r="R252">
        <v>-137.642</v>
      </c>
      <c r="S252">
        <v>-136.953</v>
      </c>
      <c r="T252">
        <v>-136.249</v>
      </c>
      <c r="U252">
        <v>-136.53700000000001</v>
      </c>
      <c r="V252">
        <v>-136.80099999999999</v>
      </c>
      <c r="W252">
        <v>-137.03899999999999</v>
      </c>
      <c r="X252">
        <v>-137.239</v>
      </c>
      <c r="Y252">
        <v>-137.40199999999999</v>
      </c>
      <c r="Z252">
        <v>-137.524</v>
      </c>
      <c r="AA252">
        <v>-137.60300000000001</v>
      </c>
      <c r="AB252">
        <v>-137.63200000000001</v>
      </c>
      <c r="AC252">
        <v>-137.607</v>
      </c>
      <c r="AD252">
        <v>-137.595</v>
      </c>
    </row>
    <row r="253" spans="2:30" x14ac:dyDescent="0.25">
      <c r="B253" t="s">
        <v>133</v>
      </c>
      <c r="C253" t="s">
        <v>3256</v>
      </c>
      <c r="D253" t="s">
        <v>4618</v>
      </c>
      <c r="E253" t="s">
        <v>4619</v>
      </c>
      <c r="F253" t="s">
        <v>4620</v>
      </c>
      <c r="G253" t="s">
        <v>3890</v>
      </c>
      <c r="H253" t="s">
        <v>4595</v>
      </c>
      <c r="I253" t="s">
        <v>4596</v>
      </c>
      <c r="J253">
        <v>1</v>
      </c>
      <c r="K253">
        <v>3.4550000000000001</v>
      </c>
      <c r="L253">
        <v>2.194</v>
      </c>
      <c r="M253">
        <v>1.6850000000000001</v>
      </c>
      <c r="N253">
        <v>1.6850000000000001</v>
      </c>
      <c r="O253">
        <v>21.684000000000001</v>
      </c>
      <c r="P253">
        <v>21.684000000000001</v>
      </c>
      <c r="Q253">
        <v>21.684000000000001</v>
      </c>
      <c r="R253">
        <v>21.684999999999999</v>
      </c>
      <c r="S253">
        <v>21.684999999999999</v>
      </c>
      <c r="T253">
        <v>21.684999999999999</v>
      </c>
      <c r="U253">
        <v>21.684999999999999</v>
      </c>
      <c r="V253">
        <v>21.684999999999999</v>
      </c>
      <c r="W253">
        <v>21.684999999999999</v>
      </c>
      <c r="X253">
        <v>21.684999999999999</v>
      </c>
      <c r="Y253">
        <v>21.684999999999999</v>
      </c>
      <c r="Z253">
        <v>21.684999999999999</v>
      </c>
      <c r="AA253">
        <v>21.684999999999999</v>
      </c>
      <c r="AB253">
        <v>21.684999999999999</v>
      </c>
      <c r="AC253">
        <v>21.684999999999999</v>
      </c>
      <c r="AD253">
        <v>21.684999999999999</v>
      </c>
    </row>
    <row r="254" spans="2:30" x14ac:dyDescent="0.25">
      <c r="B254" t="s">
        <v>133</v>
      </c>
      <c r="C254" t="s">
        <v>3256</v>
      </c>
      <c r="D254" t="s">
        <v>4621</v>
      </c>
      <c r="E254" t="s">
        <v>4622</v>
      </c>
      <c r="F254" t="s">
        <v>4623</v>
      </c>
      <c r="G254" t="s">
        <v>3890</v>
      </c>
      <c r="H254" t="s">
        <v>4595</v>
      </c>
      <c r="I254" t="s">
        <v>4596</v>
      </c>
      <c r="J254">
        <v>1</v>
      </c>
      <c r="K254">
        <v>-152.46100000000001</v>
      </c>
      <c r="L254">
        <v>-120.944</v>
      </c>
      <c r="M254">
        <v>-111.265</v>
      </c>
      <c r="N254">
        <v>-112.40900000000001</v>
      </c>
      <c r="O254">
        <v>-92.159000000000006</v>
      </c>
      <c r="P254">
        <v>-89.835999999999999</v>
      </c>
      <c r="Q254">
        <v>-87.082999999999998</v>
      </c>
      <c r="R254">
        <v>-85.927000000000007</v>
      </c>
      <c r="S254">
        <v>-85.423000000000002</v>
      </c>
      <c r="T254">
        <v>-85.022000000000006</v>
      </c>
      <c r="U254">
        <v>-84.762</v>
      </c>
      <c r="V254">
        <v>-84.501999999999995</v>
      </c>
      <c r="W254">
        <v>-84.25</v>
      </c>
      <c r="X254">
        <v>-84.001000000000005</v>
      </c>
      <c r="Y254">
        <v>-83.762</v>
      </c>
      <c r="Z254">
        <v>-83.573999999999998</v>
      </c>
      <c r="AA254">
        <v>-83.405000000000001</v>
      </c>
      <c r="AB254">
        <v>-83.257999999999996</v>
      </c>
      <c r="AC254">
        <v>-83.138000000000005</v>
      </c>
      <c r="AD254">
        <v>-83.021000000000001</v>
      </c>
    </row>
    <row r="255" spans="2:30" x14ac:dyDescent="0.25">
      <c r="B255" t="s">
        <v>133</v>
      </c>
      <c r="C255" t="s">
        <v>3256</v>
      </c>
      <c r="D255" t="s">
        <v>4624</v>
      </c>
      <c r="E255" t="s">
        <v>4625</v>
      </c>
      <c r="F255" t="s">
        <v>4626</v>
      </c>
      <c r="G255" t="s">
        <v>3890</v>
      </c>
      <c r="H255" t="s">
        <v>4595</v>
      </c>
      <c r="I255" t="s">
        <v>4596</v>
      </c>
      <c r="J255">
        <v>1</v>
      </c>
      <c r="K255">
        <v>-214.952</v>
      </c>
      <c r="L255">
        <v>-225.435</v>
      </c>
      <c r="M255">
        <v>-231.316</v>
      </c>
      <c r="N255">
        <v>-185.77</v>
      </c>
      <c r="O255">
        <v>-181.22200000000001</v>
      </c>
      <c r="P255">
        <v>-162.15</v>
      </c>
      <c r="Q255">
        <v>-156.90199999999999</v>
      </c>
      <c r="R255">
        <v>-154.25700000000001</v>
      </c>
      <c r="S255">
        <v>-151.94399999999999</v>
      </c>
      <c r="T255">
        <v>-149.43100000000001</v>
      </c>
      <c r="U255">
        <v>-149.43100000000001</v>
      </c>
      <c r="V255">
        <v>-149.43100000000001</v>
      </c>
      <c r="W255">
        <v>-149.43100000000001</v>
      </c>
      <c r="X255">
        <v>-149.43100000000001</v>
      </c>
      <c r="Y255">
        <v>-149.43100000000001</v>
      </c>
      <c r="Z255">
        <v>-149.43100000000001</v>
      </c>
      <c r="AA255">
        <v>-149.43100000000001</v>
      </c>
      <c r="AB255">
        <v>-149.43100000000001</v>
      </c>
      <c r="AC255">
        <v>-149.43100000000001</v>
      </c>
      <c r="AD255">
        <v>-149.43100000000001</v>
      </c>
    </row>
    <row r="256" spans="2:30" x14ac:dyDescent="0.25">
      <c r="B256" t="s">
        <v>133</v>
      </c>
      <c r="C256" t="s">
        <v>3256</v>
      </c>
      <c r="D256" t="s">
        <v>4627</v>
      </c>
      <c r="E256" t="s">
        <v>4628</v>
      </c>
      <c r="F256" t="s">
        <v>4629</v>
      </c>
      <c r="G256" t="s">
        <v>3890</v>
      </c>
      <c r="H256" t="s">
        <v>4595</v>
      </c>
      <c r="I256" t="s">
        <v>4596</v>
      </c>
      <c r="J256">
        <v>1</v>
      </c>
      <c r="K256">
        <v>-252.76300000000001</v>
      </c>
      <c r="L256">
        <v>-218.88200000000001</v>
      </c>
      <c r="M256">
        <v>-201.67699999999999</v>
      </c>
      <c r="N256">
        <v>-165.696</v>
      </c>
      <c r="O256">
        <v>-155.78</v>
      </c>
      <c r="P256">
        <v>-140.71199999999999</v>
      </c>
      <c r="Q256">
        <v>-136.56700000000001</v>
      </c>
      <c r="R256">
        <v>-134.477</v>
      </c>
      <c r="S256">
        <v>-132.65</v>
      </c>
      <c r="T256">
        <v>-130.66499999999999</v>
      </c>
      <c r="U256">
        <v>-130.66499999999999</v>
      </c>
      <c r="V256">
        <v>-130.66499999999999</v>
      </c>
      <c r="W256">
        <v>-130.66499999999999</v>
      </c>
      <c r="X256">
        <v>-130.66499999999999</v>
      </c>
      <c r="Y256">
        <v>-130.66499999999999</v>
      </c>
      <c r="Z256">
        <v>-130.66499999999999</v>
      </c>
      <c r="AA256">
        <v>-130.66499999999999</v>
      </c>
      <c r="AB256">
        <v>-130.66499999999999</v>
      </c>
      <c r="AC256">
        <v>-130.66499999999999</v>
      </c>
      <c r="AD256">
        <v>-130.66499999999999</v>
      </c>
    </row>
    <row r="257" spans="2:30" x14ac:dyDescent="0.25">
      <c r="B257" t="s">
        <v>133</v>
      </c>
      <c r="C257" t="s">
        <v>3256</v>
      </c>
      <c r="D257" t="s">
        <v>4630</v>
      </c>
      <c r="E257" t="s">
        <v>4631</v>
      </c>
      <c r="F257" t="s">
        <v>4632</v>
      </c>
      <c r="G257" t="s">
        <v>3890</v>
      </c>
      <c r="H257" t="s">
        <v>4595</v>
      </c>
      <c r="I257" t="s">
        <v>4596</v>
      </c>
      <c r="J257">
        <v>1</v>
      </c>
      <c r="K257">
        <v>-333.09699999999998</v>
      </c>
      <c r="L257">
        <v>-314.64999999999998</v>
      </c>
      <c r="M257">
        <v>-300.01</v>
      </c>
      <c r="N257">
        <v>-260.95699999999999</v>
      </c>
      <c r="O257">
        <v>-254.59200000000001</v>
      </c>
      <c r="P257">
        <v>-238.238</v>
      </c>
      <c r="Q257">
        <v>-233.739</v>
      </c>
      <c r="R257">
        <v>-231.471</v>
      </c>
      <c r="S257">
        <v>-229.488</v>
      </c>
      <c r="T257">
        <v>-227.333</v>
      </c>
      <c r="U257">
        <v>-227.333</v>
      </c>
      <c r="V257">
        <v>-227.333</v>
      </c>
      <c r="W257">
        <v>-227.333</v>
      </c>
      <c r="X257">
        <v>-227.333</v>
      </c>
      <c r="Y257">
        <v>-227.333</v>
      </c>
      <c r="Z257">
        <v>-227.333</v>
      </c>
      <c r="AA257">
        <v>-227.333</v>
      </c>
      <c r="AB257">
        <v>-227.333</v>
      </c>
      <c r="AC257">
        <v>-227.333</v>
      </c>
      <c r="AD257">
        <v>-227.333</v>
      </c>
    </row>
    <row r="258" spans="2:30" x14ac:dyDescent="0.25">
      <c r="B258" t="s">
        <v>133</v>
      </c>
      <c r="C258" t="s">
        <v>3256</v>
      </c>
      <c r="D258" t="s">
        <v>4633</v>
      </c>
      <c r="E258" t="s">
        <v>4634</v>
      </c>
      <c r="F258" t="s">
        <v>4635</v>
      </c>
      <c r="G258" t="s">
        <v>3890</v>
      </c>
      <c r="H258" t="s">
        <v>4595</v>
      </c>
      <c r="I258" t="s">
        <v>4596</v>
      </c>
      <c r="J258">
        <v>1</v>
      </c>
      <c r="K258">
        <v>-161.07599999999999</v>
      </c>
      <c r="L258">
        <v>-186.827</v>
      </c>
      <c r="M258">
        <v>-189.61500000000001</v>
      </c>
      <c r="N258">
        <v>-155.803</v>
      </c>
      <c r="O258">
        <v>-146.28700000000001</v>
      </c>
      <c r="P258">
        <v>-132.12799999999999</v>
      </c>
      <c r="Q258">
        <v>-128.233</v>
      </c>
      <c r="R258">
        <v>-126.26900000000001</v>
      </c>
      <c r="S258">
        <v>-124.55200000000001</v>
      </c>
      <c r="T258">
        <v>-122.687</v>
      </c>
      <c r="U258">
        <v>-122.687</v>
      </c>
      <c r="V258">
        <v>-122.687</v>
      </c>
      <c r="W258">
        <v>-122.687</v>
      </c>
      <c r="X258">
        <v>-122.687</v>
      </c>
      <c r="Y258">
        <v>-122.687</v>
      </c>
      <c r="Z258">
        <v>-122.687</v>
      </c>
      <c r="AA258">
        <v>-122.687</v>
      </c>
      <c r="AB258">
        <v>-122.687</v>
      </c>
      <c r="AC258">
        <v>-122.687</v>
      </c>
      <c r="AD258">
        <v>-122.687</v>
      </c>
    </row>
    <row r="259" spans="2:30" x14ac:dyDescent="0.25">
      <c r="B259" t="s">
        <v>133</v>
      </c>
      <c r="C259" t="s">
        <v>3256</v>
      </c>
      <c r="D259" t="s">
        <v>4636</v>
      </c>
      <c r="E259" t="s">
        <v>4637</v>
      </c>
      <c r="F259" t="s">
        <v>4638</v>
      </c>
      <c r="G259" t="s">
        <v>3890</v>
      </c>
      <c r="H259" t="s">
        <v>4595</v>
      </c>
      <c r="I259" t="s">
        <v>4596</v>
      </c>
      <c r="J259">
        <v>1</v>
      </c>
      <c r="K259">
        <v>-177.77199999999999</v>
      </c>
      <c r="L259">
        <v>-146.50299999999999</v>
      </c>
      <c r="M259">
        <v>-145.78299999999999</v>
      </c>
      <c r="N259">
        <v>-145.78299999999999</v>
      </c>
      <c r="O259">
        <v>-125.783</v>
      </c>
      <c r="P259">
        <v>-125.783</v>
      </c>
      <c r="Q259">
        <v>-125.783</v>
      </c>
      <c r="R259">
        <v>-125.783</v>
      </c>
      <c r="S259">
        <v>-125.783</v>
      </c>
      <c r="T259">
        <v>-125.783</v>
      </c>
      <c r="U259">
        <v>-125.783</v>
      </c>
      <c r="V259">
        <v>-125.783</v>
      </c>
      <c r="W259">
        <v>-125.783</v>
      </c>
      <c r="X259">
        <v>-125.783</v>
      </c>
      <c r="Y259">
        <v>-125.783</v>
      </c>
      <c r="Z259">
        <v>-125.783</v>
      </c>
      <c r="AA259">
        <v>-125.783</v>
      </c>
      <c r="AB259">
        <v>-125.783</v>
      </c>
      <c r="AC259">
        <v>-125.783</v>
      </c>
      <c r="AD259">
        <v>-125.783</v>
      </c>
    </row>
    <row r="260" spans="2:30" x14ac:dyDescent="0.25">
      <c r="B260" t="s">
        <v>133</v>
      </c>
      <c r="C260" t="s">
        <v>3256</v>
      </c>
      <c r="D260" t="s">
        <v>4639</v>
      </c>
      <c r="E260" t="s">
        <v>4640</v>
      </c>
      <c r="F260" t="s">
        <v>4641</v>
      </c>
      <c r="G260" t="s">
        <v>3890</v>
      </c>
      <c r="H260" t="s">
        <v>4595</v>
      </c>
      <c r="I260" t="s">
        <v>4596</v>
      </c>
      <c r="J260">
        <v>2</v>
      </c>
      <c r="K260">
        <v>-190.667</v>
      </c>
      <c r="L260">
        <v>-169.07300000000001</v>
      </c>
      <c r="M260">
        <v>-158.48500000000001</v>
      </c>
      <c r="N260">
        <v>-143.035</v>
      </c>
      <c r="O260">
        <v>-126.455</v>
      </c>
      <c r="P260">
        <v>-121.21299999999999</v>
      </c>
      <c r="Q260">
        <v>-118.258</v>
      </c>
      <c r="R260">
        <v>-117.22799999999999</v>
      </c>
      <c r="S260">
        <v>-116.52</v>
      </c>
      <c r="T260">
        <v>-115.94799999999999</v>
      </c>
      <c r="U260">
        <v>-116.295</v>
      </c>
      <c r="V260">
        <v>-116.63800000000001</v>
      </c>
      <c r="W260">
        <v>-116.92100000000001</v>
      </c>
      <c r="X260">
        <v>-117.15900000000001</v>
      </c>
      <c r="Y260">
        <v>-117.343</v>
      </c>
      <c r="Z260">
        <v>-117.479</v>
      </c>
      <c r="AA260">
        <v>-117.557</v>
      </c>
      <c r="AB260">
        <v>-117.569</v>
      </c>
      <c r="AC260">
        <v>-117.506</v>
      </c>
      <c r="AD260">
        <v>-117.46</v>
      </c>
    </row>
    <row r="261" spans="2:30" x14ac:dyDescent="0.25">
      <c r="B261" t="s">
        <v>133</v>
      </c>
      <c r="C261" t="s">
        <v>3256</v>
      </c>
      <c r="D261" t="s">
        <v>4642</v>
      </c>
      <c r="E261" t="s">
        <v>4643</v>
      </c>
      <c r="F261" t="s">
        <v>4644</v>
      </c>
      <c r="G261" t="s">
        <v>3890</v>
      </c>
      <c r="H261" t="s">
        <v>4645</v>
      </c>
      <c r="I261" t="s">
        <v>4646</v>
      </c>
      <c r="J261">
        <v>2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</row>
    <row r="262" spans="2:30" x14ac:dyDescent="0.25">
      <c r="B262" t="s">
        <v>133</v>
      </c>
      <c r="C262" t="s">
        <v>3256</v>
      </c>
      <c r="D262" t="s">
        <v>4647</v>
      </c>
      <c r="E262" t="s">
        <v>4648</v>
      </c>
      <c r="F262" t="s">
        <v>4649</v>
      </c>
      <c r="G262" t="s">
        <v>3890</v>
      </c>
      <c r="H262" t="s">
        <v>4394</v>
      </c>
      <c r="I262" t="s">
        <v>4646</v>
      </c>
      <c r="J262">
        <v>2</v>
      </c>
      <c r="K262">
        <v>0.96299999999999997</v>
      </c>
      <c r="L262">
        <v>0.81799999999999995</v>
      </c>
      <c r="M262">
        <v>0.76400000000000001</v>
      </c>
      <c r="N262">
        <v>0.67100000000000004</v>
      </c>
      <c r="O262">
        <v>0.69699999999999995</v>
      </c>
      <c r="P262">
        <v>0.65800000000000003</v>
      </c>
      <c r="Q262">
        <v>0.64700000000000002</v>
      </c>
      <c r="R262">
        <v>0.64200000000000002</v>
      </c>
      <c r="S262">
        <v>0.63700000000000001</v>
      </c>
      <c r="T262">
        <v>0.63200000000000001</v>
      </c>
      <c r="U262">
        <v>0.63200000000000001</v>
      </c>
      <c r="V262">
        <v>0.63200000000000001</v>
      </c>
      <c r="W262">
        <v>0.63200000000000001</v>
      </c>
      <c r="X262">
        <v>0.63200000000000001</v>
      </c>
      <c r="Y262">
        <v>0.63200000000000001</v>
      </c>
      <c r="Z262">
        <v>0.63200000000000001</v>
      </c>
      <c r="AA262">
        <v>0.63200000000000001</v>
      </c>
      <c r="AB262">
        <v>0.63200000000000001</v>
      </c>
      <c r="AC262">
        <v>0.63200000000000001</v>
      </c>
      <c r="AD262">
        <v>0.63200000000000001</v>
      </c>
    </row>
    <row r="263" spans="2:30" x14ac:dyDescent="0.25">
      <c r="B263" t="s">
        <v>133</v>
      </c>
      <c r="C263" t="s">
        <v>3256</v>
      </c>
      <c r="D263" t="s">
        <v>4650</v>
      </c>
      <c r="E263" t="s">
        <v>4651</v>
      </c>
      <c r="F263" t="s">
        <v>4652</v>
      </c>
      <c r="G263" t="s">
        <v>3890</v>
      </c>
      <c r="H263" t="s">
        <v>4653</v>
      </c>
      <c r="I263" t="s">
        <v>4646</v>
      </c>
      <c r="J263">
        <v>2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</row>
    <row r="264" spans="2:30" x14ac:dyDescent="0.25">
      <c r="B264" t="s">
        <v>133</v>
      </c>
      <c r="C264" t="s">
        <v>3256</v>
      </c>
      <c r="D264" t="s">
        <v>4654</v>
      </c>
      <c r="E264" t="s">
        <v>4655</v>
      </c>
      <c r="F264" t="s">
        <v>4656</v>
      </c>
      <c r="G264" t="s">
        <v>3890</v>
      </c>
      <c r="H264" t="s">
        <v>4657</v>
      </c>
      <c r="I264" t="s">
        <v>4646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2:30" x14ac:dyDescent="0.25">
      <c r="B265" t="s">
        <v>133</v>
      </c>
      <c r="C265" t="s">
        <v>3256</v>
      </c>
      <c r="D265" t="s">
        <v>4658</v>
      </c>
      <c r="E265" t="s">
        <v>4659</v>
      </c>
      <c r="F265" t="s">
        <v>4660</v>
      </c>
      <c r="G265" t="s">
        <v>3890</v>
      </c>
      <c r="H265" t="s">
        <v>4661</v>
      </c>
      <c r="I265" t="s">
        <v>4646</v>
      </c>
      <c r="J265">
        <v>2</v>
      </c>
      <c r="K265">
        <v>3.5999999999999997E-2</v>
      </c>
      <c r="L265">
        <v>3.7999999999999999E-2</v>
      </c>
      <c r="M265">
        <v>3.6999999999999998E-2</v>
      </c>
      <c r="N265">
        <v>0.04</v>
      </c>
      <c r="O265">
        <v>4.2000000000000003E-2</v>
      </c>
      <c r="P265">
        <v>4.5999999999999999E-2</v>
      </c>
      <c r="Q265">
        <v>0.05</v>
      </c>
      <c r="R265">
        <v>5.3999999999999999E-2</v>
      </c>
      <c r="S265">
        <v>5.8000000000000003E-2</v>
      </c>
      <c r="T265">
        <v>6.3E-2</v>
      </c>
      <c r="U265">
        <v>6.8000000000000005E-2</v>
      </c>
      <c r="V265">
        <v>7.2999999999999995E-2</v>
      </c>
      <c r="W265">
        <v>7.9000000000000001E-2</v>
      </c>
      <c r="X265">
        <v>8.5000000000000006E-2</v>
      </c>
      <c r="Y265">
        <v>9.0999999999999998E-2</v>
      </c>
      <c r="Z265">
        <v>9.8000000000000004E-2</v>
      </c>
      <c r="AA265">
        <v>0.105</v>
      </c>
      <c r="AB265">
        <v>0.113</v>
      </c>
      <c r="AC265">
        <v>0.122</v>
      </c>
      <c r="AD265">
        <v>0.13100000000000001</v>
      </c>
    </row>
    <row r="266" spans="2:30" x14ac:dyDescent="0.25">
      <c r="B266" t="s">
        <v>133</v>
      </c>
      <c r="C266" t="s">
        <v>3256</v>
      </c>
      <c r="D266" t="s">
        <v>4662</v>
      </c>
      <c r="E266" t="s">
        <v>4663</v>
      </c>
      <c r="F266" t="s">
        <v>4664</v>
      </c>
      <c r="G266" t="s">
        <v>3890</v>
      </c>
      <c r="H266" t="s">
        <v>4665</v>
      </c>
      <c r="I266" t="s">
        <v>4646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2:30" x14ac:dyDescent="0.25">
      <c r="B267" t="s">
        <v>133</v>
      </c>
      <c r="C267" t="s">
        <v>3256</v>
      </c>
      <c r="D267" t="s">
        <v>4666</v>
      </c>
      <c r="E267" t="s">
        <v>4667</v>
      </c>
      <c r="F267" t="s">
        <v>4668</v>
      </c>
      <c r="G267" t="s">
        <v>3890</v>
      </c>
      <c r="H267" t="s">
        <v>4669</v>
      </c>
      <c r="I267" t="s">
        <v>4646</v>
      </c>
      <c r="J267">
        <v>2</v>
      </c>
      <c r="K267">
        <v>0.129</v>
      </c>
      <c r="L267">
        <v>0.13400000000000001</v>
      </c>
      <c r="M267">
        <v>0.14000000000000001</v>
      </c>
      <c r="N267">
        <v>0.14499999999999999</v>
      </c>
      <c r="O267">
        <v>0.151</v>
      </c>
      <c r="P267">
        <v>0.157</v>
      </c>
      <c r="Q267">
        <v>0.16300000000000001</v>
      </c>
      <c r="R267">
        <v>0.17</v>
      </c>
      <c r="S267">
        <v>0.17699999999999999</v>
      </c>
      <c r="T267">
        <v>0.184</v>
      </c>
      <c r="U267">
        <v>0.191</v>
      </c>
      <c r="V267">
        <v>0.19900000000000001</v>
      </c>
      <c r="W267">
        <v>0.20699999999999999</v>
      </c>
      <c r="X267">
        <v>0.215</v>
      </c>
      <c r="Y267">
        <v>0.224</v>
      </c>
      <c r="Z267">
        <v>0.23300000000000001</v>
      </c>
      <c r="AA267">
        <v>0.24199999999999999</v>
      </c>
      <c r="AB267">
        <v>0.251</v>
      </c>
      <c r="AC267">
        <v>0.26200000000000001</v>
      </c>
      <c r="AD267">
        <v>0.27200000000000002</v>
      </c>
    </row>
    <row r="268" spans="2:30" x14ac:dyDescent="0.25">
      <c r="B268" t="s">
        <v>133</v>
      </c>
      <c r="C268" t="s">
        <v>3256</v>
      </c>
      <c r="D268" t="s">
        <v>4670</v>
      </c>
      <c r="E268" t="s">
        <v>4671</v>
      </c>
      <c r="F268" t="s">
        <v>4672</v>
      </c>
      <c r="G268" t="s">
        <v>3890</v>
      </c>
      <c r="H268" t="s">
        <v>4673</v>
      </c>
      <c r="I268" t="s">
        <v>4646</v>
      </c>
      <c r="J268">
        <v>2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</row>
    <row r="269" spans="2:30" x14ac:dyDescent="0.25">
      <c r="B269" t="s">
        <v>133</v>
      </c>
      <c r="C269" t="s">
        <v>3256</v>
      </c>
      <c r="D269" t="s">
        <v>4674</v>
      </c>
      <c r="E269" t="s">
        <v>4675</v>
      </c>
      <c r="F269" t="s">
        <v>4676</v>
      </c>
      <c r="G269" t="s">
        <v>3890</v>
      </c>
      <c r="H269" t="s">
        <v>4677</v>
      </c>
      <c r="I269" t="s">
        <v>4646</v>
      </c>
      <c r="J269">
        <v>2</v>
      </c>
      <c r="K269">
        <v>0.6</v>
      </c>
      <c r="L269">
        <v>0.41099999999999998</v>
      </c>
      <c r="M269">
        <v>0.33500000000000002</v>
      </c>
      <c r="N269">
        <v>0.33500000000000002</v>
      </c>
      <c r="O269">
        <v>0.38100000000000001</v>
      </c>
      <c r="P269">
        <v>0.38100000000000001</v>
      </c>
      <c r="Q269">
        <v>0.38100000000000001</v>
      </c>
      <c r="R269">
        <v>0.38100000000000001</v>
      </c>
      <c r="S269">
        <v>0.38100000000000001</v>
      </c>
      <c r="T269">
        <v>0.38100000000000001</v>
      </c>
      <c r="U269">
        <v>0.38100000000000001</v>
      </c>
      <c r="V269">
        <v>0.38100000000000001</v>
      </c>
      <c r="W269">
        <v>0.38100000000000001</v>
      </c>
      <c r="X269">
        <v>0.38100000000000001</v>
      </c>
      <c r="Y269">
        <v>0.38100000000000001</v>
      </c>
      <c r="Z269">
        <v>0.38100000000000001</v>
      </c>
      <c r="AA269">
        <v>0.38100000000000001</v>
      </c>
      <c r="AB269">
        <v>0.38100000000000001</v>
      </c>
      <c r="AC269">
        <v>0.38100000000000001</v>
      </c>
      <c r="AD269">
        <v>0.38100000000000001</v>
      </c>
    </row>
    <row r="270" spans="2:30" x14ac:dyDescent="0.25">
      <c r="B270" t="s">
        <v>133</v>
      </c>
      <c r="C270" t="s">
        <v>3256</v>
      </c>
      <c r="D270" t="s">
        <v>4678</v>
      </c>
      <c r="E270" t="s">
        <v>4679</v>
      </c>
      <c r="F270" t="s">
        <v>4680</v>
      </c>
      <c r="G270" t="s">
        <v>3890</v>
      </c>
      <c r="H270" t="s">
        <v>4681</v>
      </c>
      <c r="I270" t="s">
        <v>4646</v>
      </c>
      <c r="J270">
        <v>2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</row>
    <row r="271" spans="2:30" x14ac:dyDescent="0.25">
      <c r="B271" t="s">
        <v>133</v>
      </c>
      <c r="C271" t="s">
        <v>3256</v>
      </c>
      <c r="D271" t="s">
        <v>4682</v>
      </c>
      <c r="E271" t="s">
        <v>4461</v>
      </c>
      <c r="F271" t="s">
        <v>4462</v>
      </c>
      <c r="G271" t="s">
        <v>3890</v>
      </c>
      <c r="H271" t="s">
        <v>4435</v>
      </c>
      <c r="I271" t="s">
        <v>4646</v>
      </c>
      <c r="J271">
        <v>1</v>
      </c>
      <c r="K271">
        <v>-0.36299999999999999</v>
      </c>
      <c r="L271">
        <v>-0.40699999999999997</v>
      </c>
      <c r="M271">
        <v>-0.42799999999999999</v>
      </c>
      <c r="N271">
        <v>-0.33600000000000002</v>
      </c>
      <c r="O271">
        <v>-0.36199999999999999</v>
      </c>
      <c r="P271">
        <v>-0.32300000000000001</v>
      </c>
      <c r="Q271">
        <v>-0.312</v>
      </c>
      <c r="R271">
        <v>-0.307</v>
      </c>
      <c r="S271">
        <v>-0.30199999999999999</v>
      </c>
      <c r="T271">
        <v>-0.29699999999999999</v>
      </c>
      <c r="U271">
        <v>-0.29699999999999999</v>
      </c>
      <c r="V271">
        <v>-0.29699999999999999</v>
      </c>
      <c r="W271">
        <v>-0.29699999999999999</v>
      </c>
      <c r="X271">
        <v>-0.29699999999999999</v>
      </c>
      <c r="Y271">
        <v>-0.29699999999999999</v>
      </c>
      <c r="Z271">
        <v>-0.29699999999999999</v>
      </c>
      <c r="AA271">
        <v>-0.29699999999999999</v>
      </c>
      <c r="AB271">
        <v>-0.29699999999999999</v>
      </c>
      <c r="AC271">
        <v>-0.29699999999999999</v>
      </c>
      <c r="AD271">
        <v>-0.29699999999999999</v>
      </c>
    </row>
    <row r="272" spans="2:30" x14ac:dyDescent="0.25">
      <c r="B272" t="s">
        <v>133</v>
      </c>
      <c r="C272" t="s">
        <v>3256</v>
      </c>
      <c r="D272" t="s">
        <v>4683</v>
      </c>
      <c r="E272" t="s">
        <v>4684</v>
      </c>
      <c r="F272" t="s">
        <v>4685</v>
      </c>
      <c r="G272" t="s">
        <v>3890</v>
      </c>
      <c r="H272" t="s">
        <v>4686</v>
      </c>
      <c r="I272" t="s">
        <v>4687</v>
      </c>
      <c r="J272">
        <v>1</v>
      </c>
      <c r="K272">
        <v>-153.93799999999999</v>
      </c>
      <c r="L272">
        <v>-172.86199999999999</v>
      </c>
      <c r="M272">
        <v>-181.86</v>
      </c>
      <c r="N272">
        <v>-142.61199999999999</v>
      </c>
      <c r="O272">
        <v>-153.51499999999999</v>
      </c>
      <c r="P272">
        <v>-137.08000000000001</v>
      </c>
      <c r="Q272">
        <v>-132.55799999999999</v>
      </c>
      <c r="R272">
        <v>-130.279</v>
      </c>
      <c r="S272">
        <v>-128.285</v>
      </c>
      <c r="T272">
        <v>-126.12</v>
      </c>
      <c r="U272">
        <v>-126.12</v>
      </c>
      <c r="V272">
        <v>-126.12</v>
      </c>
      <c r="W272">
        <v>-126.12</v>
      </c>
      <c r="X272">
        <v>-126.12</v>
      </c>
      <c r="Y272">
        <v>-126.12</v>
      </c>
      <c r="Z272">
        <v>-126.12</v>
      </c>
      <c r="AA272">
        <v>-126.12</v>
      </c>
      <c r="AB272">
        <v>-126.12</v>
      </c>
      <c r="AC272">
        <v>-126.12</v>
      </c>
      <c r="AD272">
        <v>-126.12</v>
      </c>
    </row>
    <row r="273" spans="2:30" x14ac:dyDescent="0.25">
      <c r="B273" t="s">
        <v>133</v>
      </c>
      <c r="C273" t="s">
        <v>3256</v>
      </c>
      <c r="D273" t="s">
        <v>4688</v>
      </c>
      <c r="E273" t="s">
        <v>4689</v>
      </c>
      <c r="F273" t="s">
        <v>4690</v>
      </c>
      <c r="G273" t="s">
        <v>3890</v>
      </c>
      <c r="H273" t="s">
        <v>4691</v>
      </c>
      <c r="I273" t="s">
        <v>4646</v>
      </c>
      <c r="J273">
        <v>2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</row>
    <row r="274" spans="2:30" x14ac:dyDescent="0.25">
      <c r="B274" t="s">
        <v>133</v>
      </c>
      <c r="C274" t="s">
        <v>3256</v>
      </c>
      <c r="D274" t="s">
        <v>4692</v>
      </c>
      <c r="E274" t="s">
        <v>4693</v>
      </c>
      <c r="F274" t="s">
        <v>4694</v>
      </c>
      <c r="G274" t="s">
        <v>3890</v>
      </c>
      <c r="H274" t="s">
        <v>4695</v>
      </c>
      <c r="I274" t="s">
        <v>4687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2:30" x14ac:dyDescent="0.25">
      <c r="B275" t="s">
        <v>133</v>
      </c>
      <c r="C275" t="s">
        <v>3256</v>
      </c>
      <c r="D275" t="s">
        <v>4696</v>
      </c>
      <c r="E275" t="s">
        <v>4697</v>
      </c>
      <c r="F275" t="s">
        <v>4698</v>
      </c>
      <c r="G275" t="s">
        <v>3890</v>
      </c>
      <c r="H275" t="s">
        <v>4645</v>
      </c>
      <c r="I275" t="s">
        <v>4646</v>
      </c>
      <c r="J275">
        <v>2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</row>
    <row r="276" spans="2:30" x14ac:dyDescent="0.25">
      <c r="B276" t="s">
        <v>133</v>
      </c>
      <c r="C276" t="s">
        <v>3256</v>
      </c>
      <c r="D276" t="s">
        <v>4699</v>
      </c>
      <c r="E276" t="s">
        <v>4700</v>
      </c>
      <c r="F276" t="s">
        <v>4701</v>
      </c>
      <c r="G276" t="s">
        <v>3890</v>
      </c>
      <c r="H276" t="s">
        <v>4394</v>
      </c>
      <c r="I276" t="s">
        <v>4646</v>
      </c>
      <c r="J276">
        <v>2</v>
      </c>
      <c r="K276">
        <v>1.077</v>
      </c>
      <c r="L276">
        <v>0.85499999999999998</v>
      </c>
      <c r="M276">
        <v>0.77800000000000002</v>
      </c>
      <c r="N276">
        <v>0.68400000000000005</v>
      </c>
      <c r="O276">
        <v>0.71</v>
      </c>
      <c r="P276">
        <v>0.67</v>
      </c>
      <c r="Q276">
        <v>0.66</v>
      </c>
      <c r="R276">
        <v>0.65400000000000003</v>
      </c>
      <c r="S276">
        <v>0.64900000000000002</v>
      </c>
      <c r="T276">
        <v>0.64400000000000002</v>
      </c>
      <c r="U276">
        <v>0.64400000000000002</v>
      </c>
      <c r="V276">
        <v>0.64400000000000002</v>
      </c>
      <c r="W276">
        <v>0.64400000000000002</v>
      </c>
      <c r="X276">
        <v>0.64400000000000002</v>
      </c>
      <c r="Y276">
        <v>0.64400000000000002</v>
      </c>
      <c r="Z276">
        <v>0.64400000000000002</v>
      </c>
      <c r="AA276">
        <v>0.64400000000000002</v>
      </c>
      <c r="AB276">
        <v>0.64400000000000002</v>
      </c>
      <c r="AC276">
        <v>0.64400000000000002</v>
      </c>
      <c r="AD276">
        <v>0.64400000000000002</v>
      </c>
    </row>
    <row r="277" spans="2:30" x14ac:dyDescent="0.25">
      <c r="B277" t="s">
        <v>133</v>
      </c>
      <c r="C277" t="s">
        <v>3256</v>
      </c>
      <c r="D277" t="s">
        <v>4702</v>
      </c>
      <c r="E277" t="s">
        <v>4703</v>
      </c>
      <c r="F277" t="s">
        <v>4704</v>
      </c>
      <c r="G277" t="s">
        <v>3890</v>
      </c>
      <c r="H277" t="s">
        <v>4653</v>
      </c>
      <c r="I277" t="s">
        <v>4646</v>
      </c>
      <c r="J277">
        <v>2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</row>
    <row r="278" spans="2:30" x14ac:dyDescent="0.25">
      <c r="B278" t="s">
        <v>133</v>
      </c>
      <c r="C278" t="s">
        <v>3256</v>
      </c>
      <c r="D278" t="s">
        <v>4705</v>
      </c>
      <c r="E278" t="s">
        <v>4706</v>
      </c>
      <c r="F278" t="s">
        <v>4707</v>
      </c>
      <c r="G278" t="s">
        <v>3890</v>
      </c>
      <c r="H278" t="s">
        <v>4657</v>
      </c>
      <c r="I278" t="s">
        <v>4646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2:30" x14ac:dyDescent="0.25">
      <c r="B279" t="s">
        <v>133</v>
      </c>
      <c r="C279" t="s">
        <v>3256</v>
      </c>
      <c r="D279" t="s">
        <v>4708</v>
      </c>
      <c r="E279" t="s">
        <v>4709</v>
      </c>
      <c r="F279" t="s">
        <v>4710</v>
      </c>
      <c r="G279" t="s">
        <v>3890</v>
      </c>
      <c r="H279" t="s">
        <v>4661</v>
      </c>
      <c r="I279" t="s">
        <v>4646</v>
      </c>
      <c r="J279">
        <v>2</v>
      </c>
      <c r="K279">
        <v>1.0999999999999999E-2</v>
      </c>
      <c r="L279">
        <v>1.0999999999999999E-2</v>
      </c>
      <c r="M279">
        <v>0.01</v>
      </c>
      <c r="N279">
        <v>0.01</v>
      </c>
      <c r="O279">
        <v>1.0999999999999999E-2</v>
      </c>
      <c r="P279">
        <v>1.2E-2</v>
      </c>
      <c r="Q279">
        <v>1.4E-2</v>
      </c>
      <c r="R279">
        <v>1.4999999999999999E-2</v>
      </c>
      <c r="S279">
        <v>1.7000000000000001E-2</v>
      </c>
      <c r="T279">
        <v>1.9E-2</v>
      </c>
      <c r="U279">
        <v>2.1000000000000001E-2</v>
      </c>
      <c r="V279">
        <v>2.4E-2</v>
      </c>
      <c r="W279">
        <v>2.5999999999999999E-2</v>
      </c>
      <c r="X279">
        <v>2.9000000000000001E-2</v>
      </c>
      <c r="Y279">
        <v>3.1E-2</v>
      </c>
      <c r="Z279">
        <v>3.4000000000000002E-2</v>
      </c>
      <c r="AA279">
        <v>3.7999999999999999E-2</v>
      </c>
      <c r="AB279">
        <v>4.1000000000000002E-2</v>
      </c>
      <c r="AC279">
        <v>4.4999999999999998E-2</v>
      </c>
      <c r="AD279">
        <v>4.8000000000000001E-2</v>
      </c>
    </row>
    <row r="280" spans="2:30" x14ac:dyDescent="0.25">
      <c r="B280" t="s">
        <v>133</v>
      </c>
      <c r="C280" t="s">
        <v>3256</v>
      </c>
      <c r="D280" t="s">
        <v>4711</v>
      </c>
      <c r="E280" t="s">
        <v>4712</v>
      </c>
      <c r="F280" t="s">
        <v>4713</v>
      </c>
      <c r="G280" t="s">
        <v>3890</v>
      </c>
      <c r="H280" t="s">
        <v>4665</v>
      </c>
      <c r="I280" t="s">
        <v>4646</v>
      </c>
      <c r="J280">
        <v>2</v>
      </c>
      <c r="K280">
        <v>0.14799999999999999</v>
      </c>
      <c r="L280">
        <v>0.14099999999999999</v>
      </c>
      <c r="M280">
        <v>0.125</v>
      </c>
      <c r="N280">
        <v>0.121</v>
      </c>
      <c r="O280">
        <v>0.13</v>
      </c>
      <c r="P280">
        <v>0.13500000000000001</v>
      </c>
      <c r="Q280">
        <v>0.14000000000000001</v>
      </c>
      <c r="R280">
        <v>0.14499999999999999</v>
      </c>
      <c r="S280">
        <v>0.151</v>
      </c>
      <c r="T280">
        <v>0.157</v>
      </c>
      <c r="U280">
        <v>0.16300000000000001</v>
      </c>
      <c r="V280">
        <v>0.16900000000000001</v>
      </c>
      <c r="W280">
        <v>0.17499999999999999</v>
      </c>
      <c r="X280">
        <v>0.18</v>
      </c>
      <c r="Y280">
        <v>0.185</v>
      </c>
      <c r="Z280">
        <v>0.19</v>
      </c>
      <c r="AA280">
        <v>0.19500000000000001</v>
      </c>
      <c r="AB280">
        <v>0.2</v>
      </c>
      <c r="AC280">
        <v>0.20399999999999999</v>
      </c>
      <c r="AD280">
        <v>0.20899999999999999</v>
      </c>
    </row>
    <row r="281" spans="2:30" x14ac:dyDescent="0.25">
      <c r="B281" t="s">
        <v>133</v>
      </c>
      <c r="C281" t="s">
        <v>3256</v>
      </c>
      <c r="D281" t="s">
        <v>4714</v>
      </c>
      <c r="E281" t="s">
        <v>4715</v>
      </c>
      <c r="F281" t="s">
        <v>4716</v>
      </c>
      <c r="G281" t="s">
        <v>3890</v>
      </c>
      <c r="H281" t="s">
        <v>4669</v>
      </c>
      <c r="I281" t="s">
        <v>4646</v>
      </c>
      <c r="J281">
        <v>2</v>
      </c>
      <c r="K281">
        <v>0.14699999999999999</v>
      </c>
      <c r="L281">
        <v>0.153</v>
      </c>
      <c r="M281">
        <v>0.159</v>
      </c>
      <c r="N281">
        <v>0.16600000000000001</v>
      </c>
      <c r="O281">
        <v>0.17199999999999999</v>
      </c>
      <c r="P281">
        <v>0.17899999999999999</v>
      </c>
      <c r="Q281">
        <v>0.186</v>
      </c>
      <c r="R281">
        <v>0.19400000000000001</v>
      </c>
      <c r="S281">
        <v>0.20200000000000001</v>
      </c>
      <c r="T281">
        <v>0.21</v>
      </c>
      <c r="U281">
        <v>0.218</v>
      </c>
      <c r="V281">
        <v>0.22700000000000001</v>
      </c>
      <c r="W281">
        <v>0.23599999999999999</v>
      </c>
      <c r="X281">
        <v>0.245</v>
      </c>
      <c r="Y281">
        <v>0.255</v>
      </c>
      <c r="Z281">
        <v>0.26500000000000001</v>
      </c>
      <c r="AA281">
        <v>0.27600000000000002</v>
      </c>
      <c r="AB281">
        <v>0.28699999999999998</v>
      </c>
      <c r="AC281">
        <v>0.29899999999999999</v>
      </c>
      <c r="AD281">
        <v>0.31</v>
      </c>
    </row>
    <row r="282" spans="2:30" x14ac:dyDescent="0.25">
      <c r="B282" t="s">
        <v>133</v>
      </c>
      <c r="C282" t="s">
        <v>3256</v>
      </c>
      <c r="D282" t="s">
        <v>4717</v>
      </c>
      <c r="E282" t="s">
        <v>4718</v>
      </c>
      <c r="F282" t="s">
        <v>4719</v>
      </c>
      <c r="G282" t="s">
        <v>3890</v>
      </c>
      <c r="H282" t="s">
        <v>4673</v>
      </c>
      <c r="I282" t="s">
        <v>4646</v>
      </c>
      <c r="J282">
        <v>2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</row>
    <row r="283" spans="2:30" x14ac:dyDescent="0.25">
      <c r="B283" t="s">
        <v>133</v>
      </c>
      <c r="C283" t="s">
        <v>3256</v>
      </c>
      <c r="D283" t="s">
        <v>4720</v>
      </c>
      <c r="E283" t="s">
        <v>4721</v>
      </c>
      <c r="F283" t="s">
        <v>4722</v>
      </c>
      <c r="G283" t="s">
        <v>3890</v>
      </c>
      <c r="H283" t="s">
        <v>4723</v>
      </c>
      <c r="I283" t="s">
        <v>4646</v>
      </c>
      <c r="J283">
        <v>2</v>
      </c>
      <c r="K283">
        <v>0.41399999999999998</v>
      </c>
      <c r="L283">
        <v>0.28100000000000003</v>
      </c>
      <c r="M283">
        <v>0.249</v>
      </c>
      <c r="N283">
        <v>0.249</v>
      </c>
      <c r="O283">
        <v>0.30199999999999999</v>
      </c>
      <c r="P283">
        <v>0.30199999999999999</v>
      </c>
      <c r="Q283">
        <v>0.30199999999999999</v>
      </c>
      <c r="R283">
        <v>0.30199999999999999</v>
      </c>
      <c r="S283">
        <v>0.30199999999999999</v>
      </c>
      <c r="T283">
        <v>0.30199999999999999</v>
      </c>
      <c r="U283">
        <v>0.30199999999999999</v>
      </c>
      <c r="V283">
        <v>0.30199999999999999</v>
      </c>
      <c r="W283">
        <v>0.30199999999999999</v>
      </c>
      <c r="X283">
        <v>0.30199999999999999</v>
      </c>
      <c r="Y283">
        <v>0.30199999999999999</v>
      </c>
      <c r="Z283">
        <v>0.30199999999999999</v>
      </c>
      <c r="AA283">
        <v>0.30199999999999999</v>
      </c>
      <c r="AB283">
        <v>0.30199999999999999</v>
      </c>
      <c r="AC283">
        <v>0.30199999999999999</v>
      </c>
      <c r="AD283">
        <v>0.30199999999999999</v>
      </c>
    </row>
    <row r="284" spans="2:30" x14ac:dyDescent="0.25">
      <c r="B284" t="s">
        <v>133</v>
      </c>
      <c r="C284" t="s">
        <v>3256</v>
      </c>
      <c r="D284" t="s">
        <v>4724</v>
      </c>
      <c r="E284" t="s">
        <v>4725</v>
      </c>
      <c r="F284" t="s">
        <v>4726</v>
      </c>
      <c r="G284" t="s">
        <v>3890</v>
      </c>
      <c r="H284" t="s">
        <v>4727</v>
      </c>
      <c r="I284" t="s">
        <v>4646</v>
      </c>
      <c r="J284">
        <v>2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</row>
    <row r="285" spans="2:30" x14ac:dyDescent="0.25">
      <c r="B285" t="s">
        <v>133</v>
      </c>
      <c r="C285" t="s">
        <v>3256</v>
      </c>
      <c r="D285" t="s">
        <v>4728</v>
      </c>
      <c r="E285" t="s">
        <v>4464</v>
      </c>
      <c r="F285" t="s">
        <v>4465</v>
      </c>
      <c r="G285" t="s">
        <v>3890</v>
      </c>
      <c r="H285" t="s">
        <v>4435</v>
      </c>
      <c r="I285" t="s">
        <v>4646</v>
      </c>
      <c r="J285">
        <v>1</v>
      </c>
      <c r="K285">
        <v>-0.66300000000000003</v>
      </c>
      <c r="L285">
        <v>-0.57399999999999995</v>
      </c>
      <c r="M285">
        <v>-0.52900000000000003</v>
      </c>
      <c r="N285">
        <v>-0.435</v>
      </c>
      <c r="O285">
        <v>-0.46100000000000002</v>
      </c>
      <c r="P285">
        <v>-0.42099999999999999</v>
      </c>
      <c r="Q285">
        <v>-0.41</v>
      </c>
      <c r="R285">
        <v>-0.40500000000000003</v>
      </c>
      <c r="S285">
        <v>-0.4</v>
      </c>
      <c r="T285">
        <v>-0.39500000000000002</v>
      </c>
      <c r="U285">
        <v>-0.39500000000000002</v>
      </c>
      <c r="V285">
        <v>-0.39500000000000002</v>
      </c>
      <c r="W285">
        <v>-0.39500000000000002</v>
      </c>
      <c r="X285">
        <v>-0.39500000000000002</v>
      </c>
      <c r="Y285">
        <v>-0.39500000000000002</v>
      </c>
      <c r="Z285">
        <v>-0.39500000000000002</v>
      </c>
      <c r="AA285">
        <v>-0.39500000000000002</v>
      </c>
      <c r="AB285">
        <v>-0.39500000000000002</v>
      </c>
      <c r="AC285">
        <v>-0.39500000000000002</v>
      </c>
      <c r="AD285">
        <v>-0.39500000000000002</v>
      </c>
    </row>
    <row r="286" spans="2:30" x14ac:dyDescent="0.25">
      <c r="B286" t="s">
        <v>133</v>
      </c>
      <c r="C286" t="s">
        <v>3256</v>
      </c>
      <c r="D286" t="s">
        <v>4729</v>
      </c>
      <c r="E286" t="s">
        <v>4730</v>
      </c>
      <c r="F286" t="s">
        <v>4731</v>
      </c>
      <c r="G286" t="s">
        <v>3890</v>
      </c>
      <c r="H286" t="s">
        <v>4686</v>
      </c>
      <c r="I286" t="s">
        <v>4687</v>
      </c>
      <c r="J286">
        <v>1</v>
      </c>
      <c r="K286">
        <v>-246.459</v>
      </c>
      <c r="L286">
        <v>-213.54900000000001</v>
      </c>
      <c r="M286">
        <v>-196.779</v>
      </c>
      <c r="N286">
        <v>-161.59899999999999</v>
      </c>
      <c r="O286">
        <v>-171.37200000000001</v>
      </c>
      <c r="P286">
        <v>-156.63999999999999</v>
      </c>
      <c r="Q286">
        <v>-152.58699999999999</v>
      </c>
      <c r="R286">
        <v>-150.54400000000001</v>
      </c>
      <c r="S286">
        <v>-148.75700000000001</v>
      </c>
      <c r="T286">
        <v>-146.816</v>
      </c>
      <c r="U286">
        <v>-146.816</v>
      </c>
      <c r="V286">
        <v>-146.816</v>
      </c>
      <c r="W286">
        <v>-146.816</v>
      </c>
      <c r="X286">
        <v>-146.816</v>
      </c>
      <c r="Y286">
        <v>-146.816</v>
      </c>
      <c r="Z286">
        <v>-146.816</v>
      </c>
      <c r="AA286">
        <v>-146.816</v>
      </c>
      <c r="AB286">
        <v>-146.816</v>
      </c>
      <c r="AC286">
        <v>-146.816</v>
      </c>
      <c r="AD286">
        <v>-146.816</v>
      </c>
    </row>
    <row r="287" spans="2:30" x14ac:dyDescent="0.25">
      <c r="B287" t="s">
        <v>133</v>
      </c>
      <c r="C287" t="s">
        <v>3256</v>
      </c>
      <c r="D287" t="s">
        <v>4732</v>
      </c>
      <c r="E287" t="s">
        <v>4733</v>
      </c>
      <c r="F287" t="s">
        <v>4734</v>
      </c>
      <c r="G287" t="s">
        <v>3890</v>
      </c>
      <c r="H287" t="s">
        <v>4735</v>
      </c>
      <c r="I287" t="s">
        <v>4646</v>
      </c>
      <c r="J287">
        <v>2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</row>
    <row r="288" spans="2:30" x14ac:dyDescent="0.25">
      <c r="B288" t="s">
        <v>133</v>
      </c>
      <c r="C288" t="s">
        <v>3256</v>
      </c>
      <c r="D288" t="s">
        <v>4736</v>
      </c>
      <c r="E288" t="s">
        <v>4737</v>
      </c>
      <c r="F288" t="s">
        <v>4738</v>
      </c>
      <c r="G288" t="s">
        <v>3890</v>
      </c>
      <c r="H288" t="s">
        <v>4695</v>
      </c>
      <c r="I288" t="s">
        <v>4687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2:30" x14ac:dyDescent="0.25">
      <c r="B289" t="s">
        <v>133</v>
      </c>
      <c r="C289" t="s">
        <v>3256</v>
      </c>
      <c r="D289" t="s">
        <v>4739</v>
      </c>
      <c r="E289" t="s">
        <v>4740</v>
      </c>
      <c r="F289" t="s">
        <v>4741</v>
      </c>
      <c r="G289" t="s">
        <v>3890</v>
      </c>
      <c r="H289" t="s">
        <v>4645</v>
      </c>
      <c r="I289" t="s">
        <v>4646</v>
      </c>
      <c r="J289">
        <v>2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</row>
    <row r="290" spans="2:30" x14ac:dyDescent="0.25">
      <c r="B290" t="s">
        <v>133</v>
      </c>
      <c r="C290" t="s">
        <v>3256</v>
      </c>
      <c r="D290" t="s">
        <v>4742</v>
      </c>
      <c r="E290" t="s">
        <v>4743</v>
      </c>
      <c r="F290" t="s">
        <v>4744</v>
      </c>
      <c r="G290" t="s">
        <v>3890</v>
      </c>
      <c r="H290" t="s">
        <v>4394</v>
      </c>
      <c r="I290" t="s">
        <v>4646</v>
      </c>
      <c r="J290">
        <v>2</v>
      </c>
      <c r="K290">
        <v>0.67100000000000004</v>
      </c>
      <c r="L290">
        <v>0.57799999999999996</v>
      </c>
      <c r="M290">
        <v>0.54300000000000004</v>
      </c>
      <c r="N290">
        <v>0.48199999999999998</v>
      </c>
      <c r="O290">
        <v>0.499</v>
      </c>
      <c r="P290">
        <v>0.47399999999999998</v>
      </c>
      <c r="Q290">
        <v>0.46700000000000003</v>
      </c>
      <c r="R290">
        <v>0.46300000000000002</v>
      </c>
      <c r="S290">
        <v>0.46</v>
      </c>
      <c r="T290">
        <v>0.45700000000000002</v>
      </c>
      <c r="U290">
        <v>0.45700000000000002</v>
      </c>
      <c r="V290">
        <v>0.45700000000000002</v>
      </c>
      <c r="W290">
        <v>0.45700000000000002</v>
      </c>
      <c r="X290">
        <v>0.45700000000000002</v>
      </c>
      <c r="Y290">
        <v>0.45700000000000002</v>
      </c>
      <c r="Z290">
        <v>0.45700000000000002</v>
      </c>
      <c r="AA290">
        <v>0.45700000000000002</v>
      </c>
      <c r="AB290">
        <v>0.45700000000000002</v>
      </c>
      <c r="AC290">
        <v>0.45700000000000002</v>
      </c>
      <c r="AD290">
        <v>0.45700000000000002</v>
      </c>
    </row>
    <row r="291" spans="2:30" x14ac:dyDescent="0.25">
      <c r="B291" t="s">
        <v>133</v>
      </c>
      <c r="C291" t="s">
        <v>3256</v>
      </c>
      <c r="D291" t="s">
        <v>4745</v>
      </c>
      <c r="E291" t="s">
        <v>4746</v>
      </c>
      <c r="F291" t="s">
        <v>4747</v>
      </c>
      <c r="G291" t="s">
        <v>3890</v>
      </c>
      <c r="H291" t="s">
        <v>4653</v>
      </c>
      <c r="I291" t="s">
        <v>4646</v>
      </c>
      <c r="J291">
        <v>2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</row>
    <row r="292" spans="2:30" x14ac:dyDescent="0.25">
      <c r="B292" t="s">
        <v>133</v>
      </c>
      <c r="C292" t="s">
        <v>3256</v>
      </c>
      <c r="D292" t="s">
        <v>4748</v>
      </c>
      <c r="E292" t="s">
        <v>4749</v>
      </c>
      <c r="F292" t="s">
        <v>4750</v>
      </c>
      <c r="G292" t="s">
        <v>3890</v>
      </c>
      <c r="H292" t="s">
        <v>4669</v>
      </c>
      <c r="I292" t="s">
        <v>4646</v>
      </c>
      <c r="J292">
        <v>2</v>
      </c>
      <c r="K292">
        <v>9.7000000000000003E-2</v>
      </c>
      <c r="L292">
        <v>0.10100000000000001</v>
      </c>
      <c r="M292">
        <v>0.105</v>
      </c>
      <c r="N292">
        <v>0.109</v>
      </c>
      <c r="O292">
        <v>0.113</v>
      </c>
      <c r="P292">
        <v>0.11799999999999999</v>
      </c>
      <c r="Q292">
        <v>0.123</v>
      </c>
      <c r="R292">
        <v>0.128</v>
      </c>
      <c r="S292">
        <v>0.13300000000000001</v>
      </c>
      <c r="T292">
        <v>0.13800000000000001</v>
      </c>
      <c r="U292">
        <v>0.14299999999999999</v>
      </c>
      <c r="V292">
        <v>0.14899999999999999</v>
      </c>
      <c r="W292">
        <v>0.155</v>
      </c>
      <c r="X292">
        <v>0.161</v>
      </c>
      <c r="Y292">
        <v>0.16800000000000001</v>
      </c>
      <c r="Z292">
        <v>0.17499999999999999</v>
      </c>
      <c r="AA292">
        <v>0.182</v>
      </c>
      <c r="AB292">
        <v>0.189</v>
      </c>
      <c r="AC292">
        <v>0.19600000000000001</v>
      </c>
      <c r="AD292">
        <v>0.20399999999999999</v>
      </c>
    </row>
    <row r="293" spans="2:30" x14ac:dyDescent="0.25">
      <c r="B293" t="s">
        <v>133</v>
      </c>
      <c r="C293" t="s">
        <v>3256</v>
      </c>
      <c r="D293" t="s">
        <v>4751</v>
      </c>
      <c r="E293" t="s">
        <v>4752</v>
      </c>
      <c r="F293" t="s">
        <v>4753</v>
      </c>
      <c r="G293" t="s">
        <v>3890</v>
      </c>
      <c r="H293" t="s">
        <v>4673</v>
      </c>
      <c r="I293" t="s">
        <v>4646</v>
      </c>
      <c r="J293">
        <v>2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</row>
    <row r="294" spans="2:30" x14ac:dyDescent="0.25">
      <c r="B294" t="s">
        <v>133</v>
      </c>
      <c r="C294" t="s">
        <v>3256</v>
      </c>
      <c r="D294" t="s">
        <v>4754</v>
      </c>
      <c r="E294" t="s">
        <v>4755</v>
      </c>
      <c r="F294" t="s">
        <v>4756</v>
      </c>
      <c r="G294" t="s">
        <v>3890</v>
      </c>
      <c r="H294" t="s">
        <v>4757</v>
      </c>
      <c r="I294" t="s">
        <v>4646</v>
      </c>
      <c r="J294">
        <v>2</v>
      </c>
      <c r="K294">
        <v>0.17499999999999999</v>
      </c>
      <c r="L294">
        <v>0.10199999999999999</v>
      </c>
      <c r="M294">
        <v>8.7999999999999995E-2</v>
      </c>
      <c r="N294">
        <v>8.7999999999999995E-2</v>
      </c>
      <c r="O294">
        <v>0.123</v>
      </c>
      <c r="P294">
        <v>0.123</v>
      </c>
      <c r="Q294">
        <v>0.123</v>
      </c>
      <c r="R294">
        <v>0.123</v>
      </c>
      <c r="S294">
        <v>0.123</v>
      </c>
      <c r="T294">
        <v>0.123</v>
      </c>
      <c r="U294">
        <v>0.123</v>
      </c>
      <c r="V294">
        <v>0.123</v>
      </c>
      <c r="W294">
        <v>0.123</v>
      </c>
      <c r="X294">
        <v>0.123</v>
      </c>
      <c r="Y294">
        <v>0.123</v>
      </c>
      <c r="Z294">
        <v>0.123</v>
      </c>
      <c r="AA294">
        <v>0.123</v>
      </c>
      <c r="AB294">
        <v>0.123</v>
      </c>
      <c r="AC294">
        <v>0.123</v>
      </c>
      <c r="AD294">
        <v>0.123</v>
      </c>
    </row>
    <row r="295" spans="2:30" x14ac:dyDescent="0.25">
      <c r="B295" t="s">
        <v>133</v>
      </c>
      <c r="C295" t="s">
        <v>3256</v>
      </c>
      <c r="D295" t="s">
        <v>4758</v>
      </c>
      <c r="E295" t="s">
        <v>4759</v>
      </c>
      <c r="F295" t="s">
        <v>4760</v>
      </c>
      <c r="G295" t="s">
        <v>3890</v>
      </c>
      <c r="H295" t="s">
        <v>4761</v>
      </c>
      <c r="I295" t="s">
        <v>4646</v>
      </c>
      <c r="J295">
        <v>2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</row>
    <row r="296" spans="2:30" x14ac:dyDescent="0.25">
      <c r="B296" t="s">
        <v>133</v>
      </c>
      <c r="C296" t="s">
        <v>3256</v>
      </c>
      <c r="D296" t="s">
        <v>4762</v>
      </c>
      <c r="E296" t="s">
        <v>4467</v>
      </c>
      <c r="F296" t="s">
        <v>4468</v>
      </c>
      <c r="G296" t="s">
        <v>3890</v>
      </c>
      <c r="H296" t="s">
        <v>4435</v>
      </c>
      <c r="I296" t="s">
        <v>4646</v>
      </c>
      <c r="J296">
        <v>1</v>
      </c>
      <c r="K296">
        <v>-0.496</v>
      </c>
      <c r="L296">
        <v>-0.47599999999999998</v>
      </c>
      <c r="M296">
        <v>-0.45500000000000002</v>
      </c>
      <c r="N296">
        <v>-0.39400000000000002</v>
      </c>
      <c r="O296">
        <v>-0.41099999999999998</v>
      </c>
      <c r="P296">
        <v>-0.38600000000000001</v>
      </c>
      <c r="Q296">
        <v>-0.379</v>
      </c>
      <c r="R296">
        <v>-0.375</v>
      </c>
      <c r="S296">
        <v>-0.372</v>
      </c>
      <c r="T296">
        <v>-0.36899999999999999</v>
      </c>
      <c r="U296">
        <v>-0.36899999999999999</v>
      </c>
      <c r="V296">
        <v>-0.36899999999999999</v>
      </c>
      <c r="W296">
        <v>-0.36899999999999999</v>
      </c>
      <c r="X296">
        <v>-0.36899999999999999</v>
      </c>
      <c r="Y296">
        <v>-0.36899999999999999</v>
      </c>
      <c r="Z296">
        <v>-0.36899999999999999</v>
      </c>
      <c r="AA296">
        <v>-0.36899999999999999</v>
      </c>
      <c r="AB296">
        <v>-0.36899999999999999</v>
      </c>
      <c r="AC296">
        <v>-0.36899999999999999</v>
      </c>
      <c r="AD296">
        <v>-0.36899999999999999</v>
      </c>
    </row>
    <row r="297" spans="2:30" x14ac:dyDescent="0.25">
      <c r="B297" t="s">
        <v>133</v>
      </c>
      <c r="C297" t="s">
        <v>3256</v>
      </c>
      <c r="D297" t="s">
        <v>4763</v>
      </c>
      <c r="E297" t="s">
        <v>4764</v>
      </c>
      <c r="F297" t="s">
        <v>4765</v>
      </c>
      <c r="G297" t="s">
        <v>3890</v>
      </c>
      <c r="H297" t="s">
        <v>4686</v>
      </c>
      <c r="I297" t="s">
        <v>4687</v>
      </c>
      <c r="J297">
        <v>1</v>
      </c>
      <c r="K297">
        <v>-280.26900000000001</v>
      </c>
      <c r="L297">
        <v>-269.161</v>
      </c>
      <c r="M297">
        <v>-257.24599999999998</v>
      </c>
      <c r="N297">
        <v>-222.96799999999999</v>
      </c>
      <c r="O297">
        <v>-232.49</v>
      </c>
      <c r="P297">
        <v>-218.136</v>
      </c>
      <c r="Q297">
        <v>-214.18700000000001</v>
      </c>
      <c r="R297">
        <v>-212.196</v>
      </c>
      <c r="S297">
        <v>-210.45500000000001</v>
      </c>
      <c r="T297">
        <v>-208.56399999999999</v>
      </c>
      <c r="U297">
        <v>-208.56399999999999</v>
      </c>
      <c r="V297">
        <v>-208.56399999999999</v>
      </c>
      <c r="W297">
        <v>-208.56399999999999</v>
      </c>
      <c r="X297">
        <v>-208.56399999999999</v>
      </c>
      <c r="Y297">
        <v>-208.56399999999999</v>
      </c>
      <c r="Z297">
        <v>-208.56399999999999</v>
      </c>
      <c r="AA297">
        <v>-208.56399999999999</v>
      </c>
      <c r="AB297">
        <v>-208.56399999999999</v>
      </c>
      <c r="AC297">
        <v>-208.56399999999999</v>
      </c>
      <c r="AD297">
        <v>-208.56399999999999</v>
      </c>
    </row>
    <row r="298" spans="2:30" x14ac:dyDescent="0.25">
      <c r="B298" t="s">
        <v>133</v>
      </c>
      <c r="C298" t="s">
        <v>3256</v>
      </c>
      <c r="D298" t="s">
        <v>4766</v>
      </c>
      <c r="E298" t="s">
        <v>4767</v>
      </c>
      <c r="F298" t="s">
        <v>4768</v>
      </c>
      <c r="G298" t="s">
        <v>3890</v>
      </c>
      <c r="H298" t="s">
        <v>4769</v>
      </c>
      <c r="I298" t="s">
        <v>4646</v>
      </c>
      <c r="J298">
        <v>2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</row>
    <row r="299" spans="2:30" x14ac:dyDescent="0.25">
      <c r="B299" t="s">
        <v>133</v>
      </c>
      <c r="C299" t="s">
        <v>3256</v>
      </c>
      <c r="D299" t="s">
        <v>4770</v>
      </c>
      <c r="E299" t="s">
        <v>4771</v>
      </c>
      <c r="F299" t="s">
        <v>4772</v>
      </c>
      <c r="G299" t="s">
        <v>3890</v>
      </c>
      <c r="H299" t="s">
        <v>4695</v>
      </c>
      <c r="I299" t="s">
        <v>4687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2:30" x14ac:dyDescent="0.25">
      <c r="B300" t="s">
        <v>133</v>
      </c>
      <c r="C300" t="s">
        <v>3256</v>
      </c>
      <c r="D300" t="s">
        <v>4773</v>
      </c>
      <c r="E300" t="s">
        <v>4774</v>
      </c>
      <c r="F300" t="s">
        <v>4775</v>
      </c>
      <c r="G300" t="s">
        <v>3890</v>
      </c>
      <c r="H300" t="s">
        <v>4645</v>
      </c>
      <c r="I300" t="s">
        <v>4646</v>
      </c>
      <c r="J300">
        <v>2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</row>
    <row r="301" spans="2:30" x14ac:dyDescent="0.25">
      <c r="B301" t="s">
        <v>133</v>
      </c>
      <c r="C301" t="s">
        <v>3256</v>
      </c>
      <c r="D301" t="s">
        <v>4776</v>
      </c>
      <c r="E301" t="s">
        <v>4777</v>
      </c>
      <c r="F301" t="s">
        <v>4778</v>
      </c>
      <c r="G301" t="s">
        <v>3890</v>
      </c>
      <c r="H301" t="s">
        <v>4394</v>
      </c>
      <c r="I301" t="s">
        <v>4646</v>
      </c>
      <c r="J301">
        <v>2</v>
      </c>
      <c r="K301">
        <v>0.78300000000000003</v>
      </c>
      <c r="L301">
        <v>0.69899999999999995</v>
      </c>
      <c r="M301">
        <v>0.69099999999999995</v>
      </c>
      <c r="N301">
        <v>0.60899999999999999</v>
      </c>
      <c r="O301">
        <v>0.63200000000000001</v>
      </c>
      <c r="P301">
        <v>0.59799999999999998</v>
      </c>
      <c r="Q301">
        <v>0.58799999999999997</v>
      </c>
      <c r="R301">
        <v>0.58399999999999996</v>
      </c>
      <c r="S301">
        <v>0.57899999999999996</v>
      </c>
      <c r="T301">
        <v>0.57499999999999996</v>
      </c>
      <c r="U301">
        <v>0.57499999999999996</v>
      </c>
      <c r="V301">
        <v>0.57499999999999996</v>
      </c>
      <c r="W301">
        <v>0.57499999999999996</v>
      </c>
      <c r="X301">
        <v>0.57499999999999996</v>
      </c>
      <c r="Y301">
        <v>0.57499999999999996</v>
      </c>
      <c r="Z301">
        <v>0.57499999999999996</v>
      </c>
      <c r="AA301">
        <v>0.57499999999999996</v>
      </c>
      <c r="AB301">
        <v>0.57499999999999996</v>
      </c>
      <c r="AC301">
        <v>0.57499999999999996</v>
      </c>
      <c r="AD301">
        <v>0.57499999999999996</v>
      </c>
    </row>
    <row r="302" spans="2:30" x14ac:dyDescent="0.25">
      <c r="B302" t="s">
        <v>133</v>
      </c>
      <c r="C302" t="s">
        <v>3256</v>
      </c>
      <c r="D302" t="s">
        <v>4779</v>
      </c>
      <c r="E302" t="s">
        <v>4780</v>
      </c>
      <c r="F302" t="s">
        <v>4781</v>
      </c>
      <c r="G302" t="s">
        <v>3890</v>
      </c>
      <c r="H302" t="s">
        <v>4653</v>
      </c>
      <c r="I302" t="s">
        <v>4646</v>
      </c>
      <c r="J302">
        <v>2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</row>
    <row r="303" spans="2:30" x14ac:dyDescent="0.25">
      <c r="B303" t="s">
        <v>133</v>
      </c>
      <c r="C303" t="s">
        <v>3256</v>
      </c>
      <c r="D303" t="s">
        <v>4782</v>
      </c>
      <c r="E303" t="s">
        <v>4783</v>
      </c>
      <c r="F303" t="s">
        <v>4784</v>
      </c>
      <c r="G303" t="s">
        <v>3890</v>
      </c>
      <c r="H303" t="s">
        <v>4669</v>
      </c>
      <c r="I303" t="s">
        <v>4646</v>
      </c>
      <c r="J303">
        <v>2</v>
      </c>
      <c r="K303">
        <v>0.14099999999999999</v>
      </c>
      <c r="L303">
        <v>0.14699999999999999</v>
      </c>
      <c r="M303">
        <v>0.153</v>
      </c>
      <c r="N303">
        <v>0.159</v>
      </c>
      <c r="O303">
        <v>0.16500000000000001</v>
      </c>
      <c r="P303">
        <v>0.17199999999999999</v>
      </c>
      <c r="Q303">
        <v>0.17799999999999999</v>
      </c>
      <c r="R303">
        <v>0.186</v>
      </c>
      <c r="S303">
        <v>0.193</v>
      </c>
      <c r="T303">
        <v>0.20100000000000001</v>
      </c>
      <c r="U303">
        <v>0.20899999999999999</v>
      </c>
      <c r="V303">
        <v>0.217</v>
      </c>
      <c r="W303">
        <v>0.22600000000000001</v>
      </c>
      <c r="X303">
        <v>0.23499999999999999</v>
      </c>
      <c r="Y303">
        <v>0.24399999999999999</v>
      </c>
      <c r="Z303">
        <v>0.254</v>
      </c>
      <c r="AA303">
        <v>0.26400000000000001</v>
      </c>
      <c r="AB303">
        <v>0.27500000000000002</v>
      </c>
      <c r="AC303">
        <v>0.28599999999999998</v>
      </c>
      <c r="AD303">
        <v>0.29699999999999999</v>
      </c>
    </row>
    <row r="304" spans="2:30" x14ac:dyDescent="0.25">
      <c r="B304" t="s">
        <v>133</v>
      </c>
      <c r="C304" t="s">
        <v>3256</v>
      </c>
      <c r="D304" t="s">
        <v>4785</v>
      </c>
      <c r="E304" t="s">
        <v>4786</v>
      </c>
      <c r="F304" t="s">
        <v>4787</v>
      </c>
      <c r="G304" t="s">
        <v>3890</v>
      </c>
      <c r="H304" t="s">
        <v>4673</v>
      </c>
      <c r="I304" t="s">
        <v>4646</v>
      </c>
      <c r="J304">
        <v>2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</row>
    <row r="305" spans="2:30" x14ac:dyDescent="0.25">
      <c r="B305" t="s">
        <v>133</v>
      </c>
      <c r="C305" t="s">
        <v>3256</v>
      </c>
      <c r="D305" t="s">
        <v>4788</v>
      </c>
      <c r="E305" t="s">
        <v>4789</v>
      </c>
      <c r="F305" t="s">
        <v>4790</v>
      </c>
      <c r="G305" t="s">
        <v>3890</v>
      </c>
      <c r="H305" t="s">
        <v>4791</v>
      </c>
      <c r="I305" t="s">
        <v>4646</v>
      </c>
      <c r="J305">
        <v>2</v>
      </c>
      <c r="K305">
        <v>0.41399999999999998</v>
      </c>
      <c r="L305">
        <v>0.25900000000000001</v>
      </c>
      <c r="M305">
        <v>0.24399999999999999</v>
      </c>
      <c r="N305">
        <v>0.24399999999999999</v>
      </c>
      <c r="O305">
        <v>0.29499999999999998</v>
      </c>
      <c r="P305">
        <v>0.29499999999999998</v>
      </c>
      <c r="Q305">
        <v>0.29499999999999998</v>
      </c>
      <c r="R305">
        <v>0.29499999999999998</v>
      </c>
      <c r="S305">
        <v>0.29499999999999998</v>
      </c>
      <c r="T305">
        <v>0.29499999999999998</v>
      </c>
      <c r="U305">
        <v>0.29499999999999998</v>
      </c>
      <c r="V305">
        <v>0.29499999999999998</v>
      </c>
      <c r="W305">
        <v>0.29499999999999998</v>
      </c>
      <c r="X305">
        <v>0.29499999999999998</v>
      </c>
      <c r="Y305">
        <v>0.29499999999999998</v>
      </c>
      <c r="Z305">
        <v>0.29499999999999998</v>
      </c>
      <c r="AA305">
        <v>0.29499999999999998</v>
      </c>
      <c r="AB305">
        <v>0.29499999999999998</v>
      </c>
      <c r="AC305">
        <v>0.29499999999999998</v>
      </c>
      <c r="AD305">
        <v>0.29499999999999998</v>
      </c>
    </row>
    <row r="306" spans="2:30" x14ac:dyDescent="0.25">
      <c r="B306" t="s">
        <v>133</v>
      </c>
      <c r="C306" t="s">
        <v>3256</v>
      </c>
      <c r="D306" t="s">
        <v>4792</v>
      </c>
      <c r="E306" t="s">
        <v>4793</v>
      </c>
      <c r="F306" t="s">
        <v>4794</v>
      </c>
      <c r="G306" t="s">
        <v>3890</v>
      </c>
      <c r="H306" t="s">
        <v>4795</v>
      </c>
      <c r="I306" t="s">
        <v>4646</v>
      </c>
      <c r="J306">
        <v>2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</row>
    <row r="307" spans="2:30" x14ac:dyDescent="0.25">
      <c r="B307" t="s">
        <v>133</v>
      </c>
      <c r="C307" t="s">
        <v>3256</v>
      </c>
      <c r="D307" t="s">
        <v>4796</v>
      </c>
      <c r="E307" t="s">
        <v>4470</v>
      </c>
      <c r="F307" t="s">
        <v>4471</v>
      </c>
      <c r="G307" t="s">
        <v>3890</v>
      </c>
      <c r="H307" t="s">
        <v>4435</v>
      </c>
      <c r="I307" t="s">
        <v>4646</v>
      </c>
      <c r="J307">
        <v>1</v>
      </c>
      <c r="K307">
        <v>-0.36899999999999999</v>
      </c>
      <c r="L307">
        <v>-0.44</v>
      </c>
      <c r="M307">
        <v>-0.44800000000000001</v>
      </c>
      <c r="N307">
        <v>-0.36499999999999999</v>
      </c>
      <c r="O307">
        <v>-0.38800000000000001</v>
      </c>
      <c r="P307">
        <v>-0.35399999999999998</v>
      </c>
      <c r="Q307">
        <v>-0.34399999999999997</v>
      </c>
      <c r="R307">
        <v>-0.34</v>
      </c>
      <c r="S307">
        <v>-0.33600000000000002</v>
      </c>
      <c r="T307">
        <v>-0.33100000000000002</v>
      </c>
      <c r="U307">
        <v>-0.33100000000000002</v>
      </c>
      <c r="V307">
        <v>-0.33100000000000002</v>
      </c>
      <c r="W307">
        <v>-0.33100000000000002</v>
      </c>
      <c r="X307">
        <v>-0.33100000000000002</v>
      </c>
      <c r="Y307">
        <v>-0.33100000000000002</v>
      </c>
      <c r="Z307">
        <v>-0.33100000000000002</v>
      </c>
      <c r="AA307">
        <v>-0.33100000000000002</v>
      </c>
      <c r="AB307">
        <v>-0.33100000000000002</v>
      </c>
      <c r="AC307">
        <v>-0.33100000000000002</v>
      </c>
      <c r="AD307">
        <v>-0.33100000000000002</v>
      </c>
    </row>
    <row r="308" spans="2:30" x14ac:dyDescent="0.25">
      <c r="B308" t="s">
        <v>133</v>
      </c>
      <c r="C308" t="s">
        <v>3256</v>
      </c>
      <c r="D308" t="s">
        <v>4797</v>
      </c>
      <c r="E308" t="s">
        <v>4798</v>
      </c>
      <c r="F308" t="s">
        <v>4799</v>
      </c>
      <c r="G308" t="s">
        <v>3890</v>
      </c>
      <c r="H308" t="s">
        <v>4686</v>
      </c>
      <c r="I308" t="s">
        <v>4687</v>
      </c>
      <c r="J308">
        <v>1</v>
      </c>
      <c r="K308">
        <v>-143.566</v>
      </c>
      <c r="L308">
        <v>-170.96600000000001</v>
      </c>
      <c r="M308">
        <v>-173.893</v>
      </c>
      <c r="N308">
        <v>-142.01</v>
      </c>
      <c r="O308">
        <v>-150.86699999999999</v>
      </c>
      <c r="P308">
        <v>-137.51599999999999</v>
      </c>
      <c r="Q308">
        <v>-133.84299999999999</v>
      </c>
      <c r="R308">
        <v>-131.99100000000001</v>
      </c>
      <c r="S308">
        <v>-130.37200000000001</v>
      </c>
      <c r="T308">
        <v>-128.613</v>
      </c>
      <c r="U308">
        <v>-128.613</v>
      </c>
      <c r="V308">
        <v>-128.613</v>
      </c>
      <c r="W308">
        <v>-128.613</v>
      </c>
      <c r="X308">
        <v>-128.613</v>
      </c>
      <c r="Y308">
        <v>-128.613</v>
      </c>
      <c r="Z308">
        <v>-128.613</v>
      </c>
      <c r="AA308">
        <v>-128.613</v>
      </c>
      <c r="AB308">
        <v>-128.613</v>
      </c>
      <c r="AC308">
        <v>-128.613</v>
      </c>
      <c r="AD308">
        <v>-128.613</v>
      </c>
    </row>
    <row r="309" spans="2:30" x14ac:dyDescent="0.25">
      <c r="B309" t="s">
        <v>133</v>
      </c>
      <c r="C309" t="s">
        <v>3256</v>
      </c>
      <c r="D309" t="s">
        <v>4800</v>
      </c>
      <c r="E309" t="s">
        <v>4801</v>
      </c>
      <c r="F309" t="s">
        <v>4802</v>
      </c>
      <c r="G309" t="s">
        <v>3890</v>
      </c>
      <c r="H309" t="s">
        <v>4803</v>
      </c>
      <c r="I309" t="s">
        <v>4646</v>
      </c>
      <c r="J309">
        <v>2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</row>
    <row r="310" spans="2:30" x14ac:dyDescent="0.25">
      <c r="B310" t="s">
        <v>133</v>
      </c>
      <c r="C310" t="s">
        <v>3256</v>
      </c>
      <c r="D310" t="s">
        <v>4804</v>
      </c>
      <c r="E310" t="s">
        <v>4805</v>
      </c>
      <c r="F310" t="s">
        <v>4806</v>
      </c>
      <c r="G310" t="s">
        <v>3890</v>
      </c>
      <c r="H310" t="s">
        <v>4695</v>
      </c>
      <c r="I310" t="s">
        <v>4687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2:30" x14ac:dyDescent="0.25">
      <c r="B311" t="s">
        <v>133</v>
      </c>
      <c r="C311" t="s">
        <v>3256</v>
      </c>
      <c r="D311" t="s">
        <v>4807</v>
      </c>
      <c r="E311" t="s">
        <v>4808</v>
      </c>
      <c r="F311" t="s">
        <v>4809</v>
      </c>
      <c r="G311" t="s">
        <v>3890</v>
      </c>
      <c r="H311" t="s">
        <v>4645</v>
      </c>
      <c r="I311" t="s">
        <v>4810</v>
      </c>
      <c r="J311">
        <v>2</v>
      </c>
      <c r="K311">
        <v>16.391999999999999</v>
      </c>
      <c r="L311">
        <v>14.093999999999999</v>
      </c>
      <c r="M311">
        <v>13.279</v>
      </c>
      <c r="N311">
        <v>12.816000000000001</v>
      </c>
      <c r="O311">
        <v>13.071</v>
      </c>
      <c r="P311">
        <v>13.372999999999999</v>
      </c>
      <c r="Q311">
        <v>13.603</v>
      </c>
      <c r="R311">
        <v>13.842000000000001</v>
      </c>
      <c r="S311">
        <v>14.09</v>
      </c>
      <c r="T311">
        <v>14.35</v>
      </c>
      <c r="U311">
        <v>14.65</v>
      </c>
      <c r="V311">
        <v>14.962</v>
      </c>
      <c r="W311">
        <v>15.287000000000001</v>
      </c>
      <c r="X311">
        <v>15.624000000000001</v>
      </c>
      <c r="Y311">
        <v>15.975</v>
      </c>
      <c r="Z311">
        <v>16.341000000000001</v>
      </c>
      <c r="AA311">
        <v>16.72</v>
      </c>
      <c r="AB311">
        <v>17.114999999999998</v>
      </c>
      <c r="AC311">
        <v>17.526</v>
      </c>
      <c r="AD311">
        <v>17.952999999999999</v>
      </c>
    </row>
    <row r="312" spans="2:30" x14ac:dyDescent="0.25">
      <c r="B312" t="s">
        <v>133</v>
      </c>
      <c r="C312" t="s">
        <v>3256</v>
      </c>
      <c r="D312" t="s">
        <v>4811</v>
      </c>
      <c r="E312" t="s">
        <v>4812</v>
      </c>
      <c r="F312" t="s">
        <v>4813</v>
      </c>
      <c r="G312" t="s">
        <v>3890</v>
      </c>
      <c r="H312" t="s">
        <v>4394</v>
      </c>
      <c r="I312" t="s">
        <v>4810</v>
      </c>
      <c r="J312">
        <v>2</v>
      </c>
      <c r="K312">
        <v>11.12</v>
      </c>
      <c r="L312">
        <v>8.6110000000000007</v>
      </c>
      <c r="M312">
        <v>7.577</v>
      </c>
      <c r="N312">
        <v>6.8849999999999998</v>
      </c>
      <c r="O312">
        <v>6.9039999999999999</v>
      </c>
      <c r="P312">
        <v>6.9580000000000002</v>
      </c>
      <c r="Q312">
        <v>6.9320000000000004</v>
      </c>
      <c r="R312">
        <v>6.9039999999999999</v>
      </c>
      <c r="S312">
        <v>6.875</v>
      </c>
      <c r="T312">
        <v>6.8460000000000001</v>
      </c>
      <c r="U312">
        <v>6.8460000000000001</v>
      </c>
      <c r="V312">
        <v>6.8460000000000001</v>
      </c>
      <c r="W312">
        <v>6.8460000000000001</v>
      </c>
      <c r="X312">
        <v>6.8460000000000001</v>
      </c>
      <c r="Y312">
        <v>6.8460000000000001</v>
      </c>
      <c r="Z312">
        <v>6.8460000000000001</v>
      </c>
      <c r="AA312">
        <v>6.8460000000000001</v>
      </c>
      <c r="AB312">
        <v>6.8460000000000001</v>
      </c>
      <c r="AC312">
        <v>6.8460000000000001</v>
      </c>
      <c r="AD312">
        <v>6.8460000000000001</v>
      </c>
    </row>
    <row r="313" spans="2:30" x14ac:dyDescent="0.25">
      <c r="B313" t="s">
        <v>133</v>
      </c>
      <c r="C313" t="s">
        <v>3256</v>
      </c>
      <c r="D313" t="s">
        <v>4814</v>
      </c>
      <c r="E313" t="s">
        <v>4815</v>
      </c>
      <c r="F313" t="s">
        <v>4816</v>
      </c>
      <c r="G313" t="s">
        <v>3890</v>
      </c>
      <c r="H313" t="s">
        <v>4653</v>
      </c>
      <c r="I313" t="s">
        <v>4810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2:30" x14ac:dyDescent="0.25">
      <c r="B314" t="s">
        <v>133</v>
      </c>
      <c r="C314" t="s">
        <v>3256</v>
      </c>
      <c r="D314" t="s">
        <v>4817</v>
      </c>
      <c r="E314" t="s">
        <v>4818</v>
      </c>
      <c r="F314" t="s">
        <v>4819</v>
      </c>
      <c r="G314" t="s">
        <v>3890</v>
      </c>
      <c r="H314" t="s">
        <v>4669</v>
      </c>
      <c r="I314" t="s">
        <v>4810</v>
      </c>
      <c r="J314">
        <v>2</v>
      </c>
      <c r="K314">
        <v>5.2720000000000002</v>
      </c>
      <c r="L314">
        <v>5.4829999999999997</v>
      </c>
      <c r="M314">
        <v>5.702</v>
      </c>
      <c r="N314">
        <v>5.93</v>
      </c>
      <c r="O314">
        <v>6.1680000000000001</v>
      </c>
      <c r="P314">
        <v>6.4139999999999997</v>
      </c>
      <c r="Q314">
        <v>6.6710000000000003</v>
      </c>
      <c r="R314">
        <v>6.9379999999999997</v>
      </c>
      <c r="S314">
        <v>7.2149999999999999</v>
      </c>
      <c r="T314">
        <v>7.5039999999999996</v>
      </c>
      <c r="U314">
        <v>7.8040000000000003</v>
      </c>
      <c r="V314">
        <v>8.1159999999999997</v>
      </c>
      <c r="W314">
        <v>8.4410000000000007</v>
      </c>
      <c r="X314">
        <v>8.7780000000000005</v>
      </c>
      <c r="Y314">
        <v>9.1300000000000008</v>
      </c>
      <c r="Z314">
        <v>9.4949999999999992</v>
      </c>
      <c r="AA314">
        <v>9.8740000000000006</v>
      </c>
      <c r="AB314">
        <v>10.269</v>
      </c>
      <c r="AC314">
        <v>10.68</v>
      </c>
      <c r="AD314">
        <v>11.106999999999999</v>
      </c>
    </row>
    <row r="315" spans="2:30" x14ac:dyDescent="0.25">
      <c r="B315" t="s">
        <v>133</v>
      </c>
      <c r="C315" t="s">
        <v>3256</v>
      </c>
      <c r="D315" t="s">
        <v>4820</v>
      </c>
      <c r="E315" t="s">
        <v>4821</v>
      </c>
      <c r="F315" t="s">
        <v>4822</v>
      </c>
      <c r="G315" t="s">
        <v>3890</v>
      </c>
      <c r="H315" t="s">
        <v>4673</v>
      </c>
      <c r="I315" t="s">
        <v>4810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2:30" x14ac:dyDescent="0.25">
      <c r="B316" t="s">
        <v>133</v>
      </c>
      <c r="C316" t="s">
        <v>3256</v>
      </c>
      <c r="D316" t="s">
        <v>4823</v>
      </c>
      <c r="E316" t="s">
        <v>4824</v>
      </c>
      <c r="F316" t="s">
        <v>4825</v>
      </c>
      <c r="G316" t="s">
        <v>3890</v>
      </c>
      <c r="H316" t="s">
        <v>4826</v>
      </c>
      <c r="I316" t="s">
        <v>4810</v>
      </c>
      <c r="J316">
        <v>2</v>
      </c>
      <c r="K316">
        <v>11.465999999999999</v>
      </c>
      <c r="L316">
        <v>8.83</v>
      </c>
      <c r="M316">
        <v>7.7460000000000004</v>
      </c>
      <c r="N316">
        <v>7.0540000000000003</v>
      </c>
      <c r="O316">
        <v>9.0719999999999992</v>
      </c>
      <c r="P316">
        <v>9.1270000000000007</v>
      </c>
      <c r="Q316">
        <v>9.1010000000000009</v>
      </c>
      <c r="R316">
        <v>9.0730000000000004</v>
      </c>
      <c r="S316">
        <v>9.0429999999999993</v>
      </c>
      <c r="T316">
        <v>9.0139999999999993</v>
      </c>
      <c r="U316">
        <v>9.0139999999999993</v>
      </c>
      <c r="V316">
        <v>9.0139999999999993</v>
      </c>
      <c r="W316">
        <v>9.0139999999999993</v>
      </c>
      <c r="X316">
        <v>9.0139999999999993</v>
      </c>
      <c r="Y316">
        <v>9.0139999999999993</v>
      </c>
      <c r="Z316">
        <v>9.0139999999999993</v>
      </c>
      <c r="AA316">
        <v>9.0139999999999993</v>
      </c>
      <c r="AB316">
        <v>9.0139999999999993</v>
      </c>
      <c r="AC316">
        <v>9.0139999999999993</v>
      </c>
      <c r="AD316">
        <v>9.0139999999999993</v>
      </c>
    </row>
    <row r="317" spans="2:30" x14ac:dyDescent="0.25">
      <c r="B317" t="s">
        <v>133</v>
      </c>
      <c r="C317" t="s">
        <v>3256</v>
      </c>
      <c r="D317" t="s">
        <v>4827</v>
      </c>
      <c r="E317" t="s">
        <v>4828</v>
      </c>
      <c r="F317" t="s">
        <v>4829</v>
      </c>
      <c r="G317" t="s">
        <v>3890</v>
      </c>
      <c r="H317" t="s">
        <v>4830</v>
      </c>
      <c r="I317" t="s">
        <v>4810</v>
      </c>
      <c r="J317">
        <v>2</v>
      </c>
      <c r="K317">
        <v>-4.9260000000000002</v>
      </c>
      <c r="L317">
        <v>-5.2640000000000002</v>
      </c>
      <c r="M317">
        <v>-5.5339999999999998</v>
      </c>
      <c r="N317">
        <v>-5.7619999999999996</v>
      </c>
      <c r="O317">
        <v>-3.9990000000000001</v>
      </c>
      <c r="P317">
        <v>-4.2460000000000004</v>
      </c>
      <c r="Q317">
        <v>-4.5019999999999998</v>
      </c>
      <c r="R317">
        <v>-4.7690000000000001</v>
      </c>
      <c r="S317">
        <v>-5.0469999999999997</v>
      </c>
      <c r="T317">
        <v>-5.335</v>
      </c>
      <c r="U317">
        <v>-5.6349999999999998</v>
      </c>
      <c r="V317">
        <v>-5.9480000000000004</v>
      </c>
      <c r="W317">
        <v>-6.2720000000000002</v>
      </c>
      <c r="X317">
        <v>-6.61</v>
      </c>
      <c r="Y317">
        <v>-6.9610000000000003</v>
      </c>
      <c r="Z317">
        <v>-7.3259999999999996</v>
      </c>
      <c r="AA317">
        <v>-7.7060000000000004</v>
      </c>
      <c r="AB317">
        <v>-8.1010000000000009</v>
      </c>
      <c r="AC317">
        <v>-8.5120000000000005</v>
      </c>
      <c r="AD317">
        <v>-8.9390000000000001</v>
      </c>
    </row>
    <row r="318" spans="2:30" x14ac:dyDescent="0.25">
      <c r="B318" t="s">
        <v>133</v>
      </c>
      <c r="C318" t="s">
        <v>3256</v>
      </c>
      <c r="D318" t="s">
        <v>4831</v>
      </c>
      <c r="E318" t="s">
        <v>4440</v>
      </c>
      <c r="F318" t="s">
        <v>4441</v>
      </c>
      <c r="G318" t="s">
        <v>3890</v>
      </c>
      <c r="H318" t="s">
        <v>4832</v>
      </c>
      <c r="I318" t="s">
        <v>4810</v>
      </c>
      <c r="J318">
        <v>1</v>
      </c>
      <c r="K318">
        <v>0.34599999999999997</v>
      </c>
      <c r="L318">
        <v>0.219</v>
      </c>
      <c r="M318">
        <v>0.16900000000000001</v>
      </c>
      <c r="N318">
        <v>0.16900000000000001</v>
      </c>
      <c r="O318">
        <v>0.16900000000000001</v>
      </c>
      <c r="P318">
        <v>0.16900000000000001</v>
      </c>
      <c r="Q318">
        <v>0.16900000000000001</v>
      </c>
      <c r="R318">
        <v>0.16900000000000001</v>
      </c>
      <c r="S318">
        <v>0.16900000000000001</v>
      </c>
      <c r="T318">
        <v>0.16900000000000001</v>
      </c>
      <c r="U318">
        <v>0.16900000000000001</v>
      </c>
      <c r="V318">
        <v>0.16900000000000001</v>
      </c>
      <c r="W318">
        <v>0.16900000000000001</v>
      </c>
      <c r="X318">
        <v>0.16900000000000001</v>
      </c>
      <c r="Y318">
        <v>0.16900000000000001</v>
      </c>
      <c r="Z318">
        <v>0.16900000000000001</v>
      </c>
      <c r="AA318">
        <v>0.16900000000000001</v>
      </c>
      <c r="AB318">
        <v>0.16900000000000001</v>
      </c>
      <c r="AC318">
        <v>0.16900000000000001</v>
      </c>
      <c r="AD318">
        <v>0.16900000000000001</v>
      </c>
    </row>
    <row r="319" spans="2:30" x14ac:dyDescent="0.25">
      <c r="B319" t="s">
        <v>133</v>
      </c>
      <c r="C319" t="s">
        <v>3256</v>
      </c>
      <c r="D319" t="s">
        <v>4833</v>
      </c>
      <c r="E319" t="s">
        <v>4834</v>
      </c>
      <c r="F319" t="s">
        <v>4835</v>
      </c>
      <c r="G319" t="s">
        <v>3890</v>
      </c>
      <c r="H319" t="s">
        <v>4686</v>
      </c>
      <c r="I319" t="s">
        <v>4687</v>
      </c>
      <c r="J319">
        <v>1</v>
      </c>
      <c r="K319">
        <v>3.5920000000000001</v>
      </c>
      <c r="L319">
        <v>2.2810000000000001</v>
      </c>
      <c r="M319">
        <v>1.7529999999999999</v>
      </c>
      <c r="N319">
        <v>1.7529999999999999</v>
      </c>
      <c r="O319">
        <v>1.7529999999999999</v>
      </c>
      <c r="P319">
        <v>1.7529999999999999</v>
      </c>
      <c r="Q319">
        <v>1.7529999999999999</v>
      </c>
      <c r="R319">
        <v>1.7529999999999999</v>
      </c>
      <c r="S319">
        <v>1.7529999999999999</v>
      </c>
      <c r="T319">
        <v>1.7529999999999999</v>
      </c>
      <c r="U319">
        <v>1.7529999999999999</v>
      </c>
      <c r="V319">
        <v>1.7529999999999999</v>
      </c>
      <c r="W319">
        <v>1.7529999999999999</v>
      </c>
      <c r="X319">
        <v>1.7529999999999999</v>
      </c>
      <c r="Y319">
        <v>1.7529999999999999</v>
      </c>
      <c r="Z319">
        <v>1.7529999999999999</v>
      </c>
      <c r="AA319">
        <v>1.7529999999999999</v>
      </c>
      <c r="AB319">
        <v>1.7529999999999999</v>
      </c>
      <c r="AC319">
        <v>1.7529999999999999</v>
      </c>
      <c r="AD319">
        <v>1.7529999999999999</v>
      </c>
    </row>
    <row r="320" spans="2:30" x14ac:dyDescent="0.25">
      <c r="B320" t="s">
        <v>133</v>
      </c>
      <c r="C320" t="s">
        <v>3256</v>
      </c>
      <c r="D320" t="s">
        <v>4836</v>
      </c>
      <c r="E320" t="s">
        <v>4837</v>
      </c>
      <c r="F320" t="s">
        <v>4838</v>
      </c>
      <c r="G320" t="s">
        <v>3890</v>
      </c>
      <c r="H320" t="s">
        <v>4839</v>
      </c>
      <c r="I320" t="s">
        <v>4810</v>
      </c>
      <c r="J320">
        <v>2</v>
      </c>
      <c r="K320">
        <v>5.2720000000000002</v>
      </c>
      <c r="L320">
        <v>5.4829999999999997</v>
      </c>
      <c r="M320">
        <v>5.702</v>
      </c>
      <c r="N320">
        <v>5.93</v>
      </c>
      <c r="O320">
        <v>6.1680000000000001</v>
      </c>
      <c r="P320">
        <v>6.4139999999999997</v>
      </c>
      <c r="Q320">
        <v>6.6710000000000003</v>
      </c>
      <c r="R320">
        <v>6.9379999999999997</v>
      </c>
      <c r="S320">
        <v>7.2149999999999999</v>
      </c>
      <c r="T320">
        <v>7.5039999999999996</v>
      </c>
      <c r="U320">
        <v>7.8040000000000003</v>
      </c>
      <c r="V320">
        <v>8.1159999999999997</v>
      </c>
      <c r="W320">
        <v>8.4410000000000007</v>
      </c>
      <c r="X320">
        <v>8.7780000000000005</v>
      </c>
      <c r="Y320">
        <v>9.1300000000000008</v>
      </c>
      <c r="Z320">
        <v>9.4949999999999992</v>
      </c>
      <c r="AA320">
        <v>9.8740000000000006</v>
      </c>
      <c r="AB320">
        <v>10.269</v>
      </c>
      <c r="AC320">
        <v>10.68</v>
      </c>
      <c r="AD320">
        <v>11.106999999999999</v>
      </c>
    </row>
    <row r="321" spans="2:30" x14ac:dyDescent="0.25">
      <c r="B321" t="s">
        <v>133</v>
      </c>
      <c r="C321" t="s">
        <v>3256</v>
      </c>
      <c r="D321" t="s">
        <v>4840</v>
      </c>
      <c r="E321" t="s">
        <v>4841</v>
      </c>
      <c r="F321" t="s">
        <v>4842</v>
      </c>
      <c r="G321" t="s">
        <v>3890</v>
      </c>
      <c r="H321" t="s">
        <v>4695</v>
      </c>
      <c r="I321" t="s">
        <v>4687</v>
      </c>
      <c r="J321">
        <v>2</v>
      </c>
      <c r="K321">
        <v>54.802</v>
      </c>
      <c r="L321">
        <v>56.994</v>
      </c>
      <c r="M321">
        <v>59.274000000000001</v>
      </c>
      <c r="N321">
        <v>61.645000000000003</v>
      </c>
      <c r="O321">
        <v>64.11</v>
      </c>
      <c r="P321">
        <v>66.674999999999997</v>
      </c>
      <c r="Q321">
        <v>69.341999999999999</v>
      </c>
      <c r="R321">
        <v>72.114999999999995</v>
      </c>
      <c r="S321">
        <v>75</v>
      </c>
      <c r="T321">
        <v>78</v>
      </c>
      <c r="U321">
        <v>81.12</v>
      </c>
      <c r="V321">
        <v>84.364999999999995</v>
      </c>
      <c r="W321">
        <v>87.739000000000004</v>
      </c>
      <c r="X321">
        <v>91.248999999999995</v>
      </c>
      <c r="Y321">
        <v>94.899000000000001</v>
      </c>
      <c r="Z321">
        <v>98.694999999999993</v>
      </c>
      <c r="AA321">
        <v>102.643</v>
      </c>
      <c r="AB321">
        <v>106.748</v>
      </c>
      <c r="AC321">
        <v>111.018</v>
      </c>
      <c r="AD321">
        <v>115.459</v>
      </c>
    </row>
    <row r="322" spans="2:30" x14ac:dyDescent="0.25">
      <c r="B322" t="s">
        <v>133</v>
      </c>
      <c r="C322" t="s">
        <v>3256</v>
      </c>
      <c r="D322" t="s">
        <v>4843</v>
      </c>
      <c r="E322" t="s">
        <v>4844</v>
      </c>
      <c r="F322" t="s">
        <v>4845</v>
      </c>
      <c r="G322" t="s">
        <v>3890</v>
      </c>
      <c r="H322" t="s">
        <v>4645</v>
      </c>
      <c r="I322" t="s">
        <v>4810</v>
      </c>
      <c r="J322">
        <v>2</v>
      </c>
      <c r="K322">
        <v>29.199000000000002</v>
      </c>
      <c r="L322">
        <v>21.902000000000001</v>
      </c>
      <c r="M322">
        <v>21.242999999999999</v>
      </c>
      <c r="N322">
        <v>20.411999999999999</v>
      </c>
      <c r="O322">
        <v>20.712</v>
      </c>
      <c r="P322">
        <v>21.079000000000001</v>
      </c>
      <c r="Q322">
        <v>21.331</v>
      </c>
      <c r="R322">
        <v>21.591000000000001</v>
      </c>
      <c r="S322">
        <v>21.86</v>
      </c>
      <c r="T322">
        <v>22.143999999999998</v>
      </c>
      <c r="U322">
        <v>22.486000000000001</v>
      </c>
      <c r="V322">
        <v>22.841999999999999</v>
      </c>
      <c r="W322">
        <v>23.212</v>
      </c>
      <c r="X322">
        <v>23.597000000000001</v>
      </c>
      <c r="Y322">
        <v>23.997</v>
      </c>
      <c r="Z322">
        <v>24.413</v>
      </c>
      <c r="AA322">
        <v>24.846</v>
      </c>
      <c r="AB322">
        <v>25.297000000000001</v>
      </c>
      <c r="AC322">
        <v>25.765000000000001</v>
      </c>
      <c r="AD322">
        <v>26.251999999999999</v>
      </c>
    </row>
    <row r="323" spans="2:30" x14ac:dyDescent="0.25">
      <c r="B323" t="s">
        <v>133</v>
      </c>
      <c r="C323" t="s">
        <v>3256</v>
      </c>
      <c r="D323" t="s">
        <v>4846</v>
      </c>
      <c r="E323" t="s">
        <v>4847</v>
      </c>
      <c r="F323" t="s">
        <v>4848</v>
      </c>
      <c r="G323" t="s">
        <v>3890</v>
      </c>
      <c r="H323" t="s">
        <v>4394</v>
      </c>
      <c r="I323" t="s">
        <v>4810</v>
      </c>
      <c r="J323">
        <v>2</v>
      </c>
      <c r="K323">
        <v>20.341000000000001</v>
      </c>
      <c r="L323">
        <v>13.728999999999999</v>
      </c>
      <c r="M323">
        <v>12.932</v>
      </c>
      <c r="N323">
        <v>11.975</v>
      </c>
      <c r="O323">
        <v>12</v>
      </c>
      <c r="P323">
        <v>12.076000000000001</v>
      </c>
      <c r="Q323">
        <v>12.04</v>
      </c>
      <c r="R323">
        <v>12.002000000000001</v>
      </c>
      <c r="S323">
        <v>11.96</v>
      </c>
      <c r="T323">
        <v>11.920999999999999</v>
      </c>
      <c r="U323">
        <v>11.920999999999999</v>
      </c>
      <c r="V323">
        <v>11.920999999999999</v>
      </c>
      <c r="W323">
        <v>11.920999999999999</v>
      </c>
      <c r="X323">
        <v>11.920999999999999</v>
      </c>
      <c r="Y323">
        <v>11.920999999999999</v>
      </c>
      <c r="Z323">
        <v>11.920999999999999</v>
      </c>
      <c r="AA323">
        <v>11.920999999999999</v>
      </c>
      <c r="AB323">
        <v>11.920999999999999</v>
      </c>
      <c r="AC323">
        <v>11.920999999999999</v>
      </c>
      <c r="AD323">
        <v>11.920999999999999</v>
      </c>
    </row>
    <row r="324" spans="2:30" x14ac:dyDescent="0.25">
      <c r="B324" t="s">
        <v>133</v>
      </c>
      <c r="C324" t="s">
        <v>3256</v>
      </c>
      <c r="D324" t="s">
        <v>4849</v>
      </c>
      <c r="E324" t="s">
        <v>4850</v>
      </c>
      <c r="F324" t="s">
        <v>4851</v>
      </c>
      <c r="G324" t="s">
        <v>3890</v>
      </c>
      <c r="H324" t="s">
        <v>4653</v>
      </c>
      <c r="I324" t="s">
        <v>4810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2:30" x14ac:dyDescent="0.25">
      <c r="B325" t="s">
        <v>133</v>
      </c>
      <c r="C325" t="s">
        <v>3256</v>
      </c>
      <c r="D325" t="s">
        <v>4852</v>
      </c>
      <c r="E325" t="s">
        <v>4853</v>
      </c>
      <c r="F325" t="s">
        <v>4854</v>
      </c>
      <c r="G325" t="s">
        <v>3890</v>
      </c>
      <c r="H325" t="s">
        <v>4669</v>
      </c>
      <c r="I325" t="s">
        <v>4810</v>
      </c>
      <c r="J325">
        <v>2</v>
      </c>
      <c r="K325">
        <v>5.2720000000000002</v>
      </c>
      <c r="L325">
        <v>5.4829999999999997</v>
      </c>
      <c r="M325">
        <v>5.702</v>
      </c>
      <c r="N325">
        <v>5.93</v>
      </c>
      <c r="O325">
        <v>6.1680000000000001</v>
      </c>
      <c r="P325">
        <v>6.4139999999999997</v>
      </c>
      <c r="Q325">
        <v>6.6710000000000003</v>
      </c>
      <c r="R325">
        <v>6.9379999999999997</v>
      </c>
      <c r="S325">
        <v>7.2149999999999999</v>
      </c>
      <c r="T325">
        <v>7.5039999999999996</v>
      </c>
      <c r="U325">
        <v>7.8040000000000003</v>
      </c>
      <c r="V325">
        <v>8.1159999999999997</v>
      </c>
      <c r="W325">
        <v>8.4410000000000007</v>
      </c>
      <c r="X325">
        <v>8.7780000000000005</v>
      </c>
      <c r="Y325">
        <v>9.1300000000000008</v>
      </c>
      <c r="Z325">
        <v>9.4949999999999992</v>
      </c>
      <c r="AA325">
        <v>9.8740000000000006</v>
      </c>
      <c r="AB325">
        <v>10.269</v>
      </c>
      <c r="AC325">
        <v>10.68</v>
      </c>
      <c r="AD325">
        <v>11.106999999999999</v>
      </c>
    </row>
    <row r="326" spans="2:30" x14ac:dyDescent="0.25">
      <c r="B326" t="s">
        <v>133</v>
      </c>
      <c r="C326" t="s">
        <v>3256</v>
      </c>
      <c r="D326" t="s">
        <v>4855</v>
      </c>
      <c r="E326" t="s">
        <v>4856</v>
      </c>
      <c r="F326" t="s">
        <v>4857</v>
      </c>
      <c r="G326" t="s">
        <v>3890</v>
      </c>
      <c r="H326" t="s">
        <v>4673</v>
      </c>
      <c r="I326" t="s">
        <v>4810</v>
      </c>
      <c r="J326">
        <v>2</v>
      </c>
      <c r="K326">
        <v>3.5859999999999999</v>
      </c>
      <c r="L326">
        <v>2.69</v>
      </c>
      <c r="M326">
        <v>2.609</v>
      </c>
      <c r="N326">
        <v>2.5070000000000001</v>
      </c>
      <c r="O326">
        <v>2.544</v>
      </c>
      <c r="P326">
        <v>2.589</v>
      </c>
      <c r="Q326">
        <v>2.62</v>
      </c>
      <c r="R326">
        <v>2.6520000000000001</v>
      </c>
      <c r="S326">
        <v>2.6850000000000001</v>
      </c>
      <c r="T326">
        <v>2.7189999999999999</v>
      </c>
      <c r="U326">
        <v>2.7610000000000001</v>
      </c>
      <c r="V326">
        <v>2.8050000000000002</v>
      </c>
      <c r="W326">
        <v>2.851</v>
      </c>
      <c r="X326">
        <v>2.8980000000000001</v>
      </c>
      <c r="Y326">
        <v>2.9470000000000001</v>
      </c>
      <c r="Z326">
        <v>2.9980000000000002</v>
      </c>
      <c r="AA326">
        <v>3.0510000000000002</v>
      </c>
      <c r="AB326">
        <v>3.1070000000000002</v>
      </c>
      <c r="AC326">
        <v>3.1640000000000001</v>
      </c>
      <c r="AD326">
        <v>3.2240000000000002</v>
      </c>
    </row>
    <row r="327" spans="2:30" x14ac:dyDescent="0.25">
      <c r="B327" t="s">
        <v>133</v>
      </c>
      <c r="C327" t="s">
        <v>3256</v>
      </c>
      <c r="D327" t="s">
        <v>4858</v>
      </c>
      <c r="E327" t="s">
        <v>4859</v>
      </c>
      <c r="F327" t="s">
        <v>4860</v>
      </c>
      <c r="G327" t="s">
        <v>3890</v>
      </c>
      <c r="H327" t="s">
        <v>4826</v>
      </c>
      <c r="I327" t="s">
        <v>4810</v>
      </c>
      <c r="J327">
        <v>2</v>
      </c>
      <c r="K327">
        <v>23.399000000000001</v>
      </c>
      <c r="L327">
        <v>15.864000000000001</v>
      </c>
      <c r="M327">
        <v>14.744</v>
      </c>
      <c r="N327">
        <v>13.651999999999999</v>
      </c>
      <c r="O327">
        <v>15.831</v>
      </c>
      <c r="P327">
        <v>15.917999999999999</v>
      </c>
      <c r="Q327">
        <v>15.877000000000001</v>
      </c>
      <c r="R327">
        <v>15.833</v>
      </c>
      <c r="S327">
        <v>15.786</v>
      </c>
      <c r="T327">
        <v>15.74</v>
      </c>
      <c r="U327">
        <v>15.74</v>
      </c>
      <c r="V327">
        <v>15.74</v>
      </c>
      <c r="W327">
        <v>15.74</v>
      </c>
      <c r="X327">
        <v>15.74</v>
      </c>
      <c r="Y327">
        <v>15.74</v>
      </c>
      <c r="Z327">
        <v>15.74</v>
      </c>
      <c r="AA327">
        <v>15.74</v>
      </c>
      <c r="AB327">
        <v>15.74</v>
      </c>
      <c r="AC327">
        <v>15.74</v>
      </c>
      <c r="AD327">
        <v>15.74</v>
      </c>
    </row>
    <row r="328" spans="2:30" x14ac:dyDescent="0.25">
      <c r="B328" t="s">
        <v>133</v>
      </c>
      <c r="C328" t="s">
        <v>3256</v>
      </c>
      <c r="D328" t="s">
        <v>4861</v>
      </c>
      <c r="E328" t="s">
        <v>4862</v>
      </c>
      <c r="F328" t="s">
        <v>4863</v>
      </c>
      <c r="G328" t="s">
        <v>3890</v>
      </c>
      <c r="H328" t="s">
        <v>4830</v>
      </c>
      <c r="I328" t="s">
        <v>4810</v>
      </c>
      <c r="J328">
        <v>2</v>
      </c>
      <c r="K328">
        <v>-5.8</v>
      </c>
      <c r="L328">
        <v>-6.0380000000000003</v>
      </c>
      <c r="M328">
        <v>-6.5</v>
      </c>
      <c r="N328">
        <v>-6.76</v>
      </c>
      <c r="O328">
        <v>-4.88</v>
      </c>
      <c r="P328">
        <v>-5.1619999999999999</v>
      </c>
      <c r="Q328">
        <v>-5.4539999999999997</v>
      </c>
      <c r="R328">
        <v>-5.758</v>
      </c>
      <c r="S328">
        <v>-6.0750000000000002</v>
      </c>
      <c r="T328">
        <v>-6.4039999999999999</v>
      </c>
      <c r="U328">
        <v>-6.7460000000000004</v>
      </c>
      <c r="V328">
        <v>-7.1020000000000003</v>
      </c>
      <c r="W328">
        <v>-7.4720000000000004</v>
      </c>
      <c r="X328">
        <v>-7.8570000000000002</v>
      </c>
      <c r="Y328">
        <v>-8.2569999999999997</v>
      </c>
      <c r="Z328">
        <v>-8.673</v>
      </c>
      <c r="AA328">
        <v>-9.1059999999999999</v>
      </c>
      <c r="AB328">
        <v>-9.5559999999999992</v>
      </c>
      <c r="AC328">
        <v>-10.025</v>
      </c>
      <c r="AD328">
        <v>-10.512</v>
      </c>
    </row>
    <row r="329" spans="2:30" x14ac:dyDescent="0.25">
      <c r="B329" t="s">
        <v>133</v>
      </c>
      <c r="C329" t="s">
        <v>3256</v>
      </c>
      <c r="D329" t="s">
        <v>4864</v>
      </c>
      <c r="E329" t="s">
        <v>4446</v>
      </c>
      <c r="F329" t="s">
        <v>4447</v>
      </c>
      <c r="G329" t="s">
        <v>3890</v>
      </c>
      <c r="H329" t="s">
        <v>4865</v>
      </c>
      <c r="I329" t="s">
        <v>4810</v>
      </c>
      <c r="J329">
        <v>1</v>
      </c>
      <c r="K329">
        <v>0.184</v>
      </c>
      <c r="L329">
        <v>0.187</v>
      </c>
      <c r="M329">
        <v>1E-3</v>
      </c>
      <c r="N329">
        <v>1E-3</v>
      </c>
      <c r="O329">
        <v>1E-3</v>
      </c>
      <c r="P329">
        <v>1E-3</v>
      </c>
      <c r="Q329">
        <v>1E-3</v>
      </c>
      <c r="R329">
        <v>1E-3</v>
      </c>
      <c r="S329">
        <v>1E-3</v>
      </c>
      <c r="T329">
        <v>1E-3</v>
      </c>
      <c r="U329">
        <v>1E-3</v>
      </c>
      <c r="V329">
        <v>1E-3</v>
      </c>
      <c r="W329">
        <v>1E-3</v>
      </c>
      <c r="X329">
        <v>1E-3</v>
      </c>
      <c r="Y329">
        <v>1E-3</v>
      </c>
      <c r="Z329">
        <v>1E-3</v>
      </c>
      <c r="AA329">
        <v>1E-3</v>
      </c>
      <c r="AB329">
        <v>1E-3</v>
      </c>
      <c r="AC329">
        <v>1E-3</v>
      </c>
      <c r="AD329">
        <v>1E-3</v>
      </c>
    </row>
    <row r="330" spans="2:30" x14ac:dyDescent="0.25">
      <c r="B330" t="s">
        <v>133</v>
      </c>
      <c r="C330" t="s">
        <v>3256</v>
      </c>
      <c r="D330" t="s">
        <v>4866</v>
      </c>
      <c r="E330" t="s">
        <v>4867</v>
      </c>
      <c r="F330" t="s">
        <v>4868</v>
      </c>
      <c r="G330" t="s">
        <v>3890</v>
      </c>
      <c r="H330" t="s">
        <v>4686</v>
      </c>
      <c r="I330" t="s">
        <v>4687</v>
      </c>
      <c r="J330">
        <v>1</v>
      </c>
      <c r="K330">
        <v>1.9179999999999999</v>
      </c>
      <c r="L330">
        <v>1.9410000000000001</v>
      </c>
      <c r="M330">
        <v>7.0000000000000001E-3</v>
      </c>
      <c r="N330">
        <v>7.0000000000000001E-3</v>
      </c>
      <c r="O330">
        <v>7.0000000000000001E-3</v>
      </c>
      <c r="P330">
        <v>7.0000000000000001E-3</v>
      </c>
      <c r="Q330">
        <v>7.0000000000000001E-3</v>
      </c>
      <c r="R330">
        <v>7.0000000000000001E-3</v>
      </c>
      <c r="S330">
        <v>7.0000000000000001E-3</v>
      </c>
      <c r="T330">
        <v>7.0000000000000001E-3</v>
      </c>
      <c r="U330">
        <v>7.0000000000000001E-3</v>
      </c>
      <c r="V330">
        <v>7.0000000000000001E-3</v>
      </c>
      <c r="W330">
        <v>7.0000000000000001E-3</v>
      </c>
      <c r="X330">
        <v>7.0000000000000001E-3</v>
      </c>
      <c r="Y330">
        <v>7.0000000000000001E-3</v>
      </c>
      <c r="Z330">
        <v>7.0000000000000001E-3</v>
      </c>
      <c r="AA330">
        <v>7.0000000000000001E-3</v>
      </c>
      <c r="AB330">
        <v>7.0000000000000001E-3</v>
      </c>
      <c r="AC330">
        <v>7.0000000000000001E-3</v>
      </c>
      <c r="AD330">
        <v>7.0000000000000001E-3</v>
      </c>
    </row>
    <row r="331" spans="2:30" x14ac:dyDescent="0.25">
      <c r="B331" t="s">
        <v>133</v>
      </c>
      <c r="C331" t="s">
        <v>3256</v>
      </c>
      <c r="D331" t="s">
        <v>4869</v>
      </c>
      <c r="E331" t="s">
        <v>4870</v>
      </c>
      <c r="F331" t="s">
        <v>4871</v>
      </c>
      <c r="G331" t="s">
        <v>3890</v>
      </c>
      <c r="H331" t="s">
        <v>4839</v>
      </c>
      <c r="I331" t="s">
        <v>4810</v>
      </c>
      <c r="J331">
        <v>2</v>
      </c>
      <c r="K331">
        <v>5.2720000000000002</v>
      </c>
      <c r="L331">
        <v>5.4829999999999997</v>
      </c>
      <c r="M331">
        <v>5.702</v>
      </c>
      <c r="N331">
        <v>5.93</v>
      </c>
      <c r="O331">
        <v>6.1680000000000001</v>
      </c>
      <c r="P331">
        <v>6.4139999999999997</v>
      </c>
      <c r="Q331">
        <v>6.6710000000000003</v>
      </c>
      <c r="R331">
        <v>6.9379999999999997</v>
      </c>
      <c r="S331">
        <v>7.2149999999999999</v>
      </c>
      <c r="T331">
        <v>7.5039999999999996</v>
      </c>
      <c r="U331">
        <v>7.8040000000000003</v>
      </c>
      <c r="V331">
        <v>8.1159999999999997</v>
      </c>
      <c r="W331">
        <v>8.4410000000000007</v>
      </c>
      <c r="X331">
        <v>8.7780000000000005</v>
      </c>
      <c r="Y331">
        <v>9.1300000000000008</v>
      </c>
      <c r="Z331">
        <v>9.4949999999999992</v>
      </c>
      <c r="AA331">
        <v>9.8740000000000006</v>
      </c>
      <c r="AB331">
        <v>10.269</v>
      </c>
      <c r="AC331">
        <v>10.68</v>
      </c>
      <c r="AD331">
        <v>11.106999999999999</v>
      </c>
    </row>
    <row r="332" spans="2:30" x14ac:dyDescent="0.25">
      <c r="B332" t="s">
        <v>133</v>
      </c>
      <c r="C332" t="s">
        <v>3256</v>
      </c>
      <c r="D332" t="s">
        <v>4872</v>
      </c>
      <c r="E332" t="s">
        <v>4873</v>
      </c>
      <c r="F332" t="s">
        <v>4874</v>
      </c>
      <c r="G332" t="s">
        <v>3890</v>
      </c>
      <c r="H332" t="s">
        <v>4695</v>
      </c>
      <c r="I332" t="s">
        <v>4687</v>
      </c>
      <c r="J332">
        <v>2</v>
      </c>
      <c r="K332">
        <v>54.802</v>
      </c>
      <c r="L332">
        <v>56.994</v>
      </c>
      <c r="M332">
        <v>59.274000000000001</v>
      </c>
      <c r="N332">
        <v>61.645000000000003</v>
      </c>
      <c r="O332">
        <v>64.11</v>
      </c>
      <c r="P332">
        <v>66.674999999999997</v>
      </c>
      <c r="Q332">
        <v>69.341999999999999</v>
      </c>
      <c r="R332">
        <v>72.114999999999995</v>
      </c>
      <c r="S332">
        <v>75</v>
      </c>
      <c r="T332">
        <v>78</v>
      </c>
      <c r="U332">
        <v>81.12</v>
      </c>
      <c r="V332">
        <v>84.364999999999995</v>
      </c>
      <c r="W332">
        <v>87.739000000000004</v>
      </c>
      <c r="X332">
        <v>91.248999999999995</v>
      </c>
      <c r="Y332">
        <v>94.899000000000001</v>
      </c>
      <c r="Z332">
        <v>98.694999999999993</v>
      </c>
      <c r="AA332">
        <v>102.643</v>
      </c>
      <c r="AB332">
        <v>106.748</v>
      </c>
      <c r="AC332">
        <v>111.018</v>
      </c>
      <c r="AD332">
        <v>115.459</v>
      </c>
    </row>
    <row r="333" spans="2:30" x14ac:dyDescent="0.25">
      <c r="B333" t="s">
        <v>133</v>
      </c>
      <c r="C333" t="s">
        <v>3256</v>
      </c>
      <c r="D333" t="s">
        <v>4875</v>
      </c>
      <c r="E333" t="s">
        <v>4876</v>
      </c>
      <c r="F333" t="s">
        <v>4877</v>
      </c>
      <c r="G333" t="s">
        <v>3890</v>
      </c>
      <c r="H333" t="s">
        <v>4645</v>
      </c>
      <c r="I333" t="s">
        <v>4810</v>
      </c>
      <c r="J333">
        <v>2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  <c r="W333" t="e">
        <v>#N/A</v>
      </c>
      <c r="X333" t="e">
        <v>#N/A</v>
      </c>
      <c r="Y333" t="e">
        <v>#N/A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</row>
    <row r="334" spans="2:30" x14ac:dyDescent="0.25">
      <c r="B334" t="s">
        <v>133</v>
      </c>
      <c r="C334" t="s">
        <v>3256</v>
      </c>
      <c r="D334" t="s">
        <v>4878</v>
      </c>
      <c r="E334" t="s">
        <v>4879</v>
      </c>
      <c r="F334" t="s">
        <v>4880</v>
      </c>
      <c r="G334" t="s">
        <v>3890</v>
      </c>
      <c r="H334" t="s">
        <v>4394</v>
      </c>
      <c r="I334" t="s">
        <v>4810</v>
      </c>
      <c r="J334">
        <v>2</v>
      </c>
      <c r="K334">
        <v>13.301</v>
      </c>
      <c r="L334">
        <v>6.66</v>
      </c>
      <c r="M334">
        <v>5.9119999999999999</v>
      </c>
      <c r="N334">
        <v>5.032</v>
      </c>
      <c r="O334">
        <v>5.0549999999999997</v>
      </c>
      <c r="P334">
        <v>5.125</v>
      </c>
      <c r="Q334">
        <v>5.0919999999999996</v>
      </c>
      <c r="R334">
        <v>5.056</v>
      </c>
      <c r="S334">
        <v>5.0179999999999998</v>
      </c>
      <c r="T334">
        <v>4.9820000000000002</v>
      </c>
      <c r="U334">
        <v>4.9820000000000002</v>
      </c>
      <c r="V334">
        <v>4.9820000000000002</v>
      </c>
      <c r="W334">
        <v>4.9820000000000002</v>
      </c>
      <c r="X334">
        <v>4.9820000000000002</v>
      </c>
      <c r="Y334">
        <v>4.9820000000000002</v>
      </c>
      <c r="Z334">
        <v>4.9820000000000002</v>
      </c>
      <c r="AA334">
        <v>4.9820000000000002</v>
      </c>
      <c r="AB334">
        <v>4.9820000000000002</v>
      </c>
      <c r="AC334">
        <v>4.9820000000000002</v>
      </c>
      <c r="AD334">
        <v>4.9820000000000002</v>
      </c>
    </row>
    <row r="335" spans="2:30" x14ac:dyDescent="0.25">
      <c r="B335" t="s">
        <v>133</v>
      </c>
      <c r="C335" t="s">
        <v>3256</v>
      </c>
      <c r="D335" t="s">
        <v>4881</v>
      </c>
      <c r="E335" t="s">
        <v>4882</v>
      </c>
      <c r="F335" t="s">
        <v>4883</v>
      </c>
      <c r="G335" t="s">
        <v>3890</v>
      </c>
      <c r="H335" t="s">
        <v>4653</v>
      </c>
      <c r="I335" t="s">
        <v>4810</v>
      </c>
      <c r="J335">
        <v>2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</row>
    <row r="336" spans="2:30" x14ac:dyDescent="0.25">
      <c r="B336" t="s">
        <v>133</v>
      </c>
      <c r="C336" t="s">
        <v>3256</v>
      </c>
      <c r="D336" t="s">
        <v>4884</v>
      </c>
      <c r="E336" t="s">
        <v>4885</v>
      </c>
      <c r="F336" t="s">
        <v>4886</v>
      </c>
      <c r="G336" t="s">
        <v>3890</v>
      </c>
      <c r="H336" t="s">
        <v>4669</v>
      </c>
      <c r="I336" t="s">
        <v>4810</v>
      </c>
      <c r="J336">
        <v>2</v>
      </c>
      <c r="K336">
        <v>5.2720000000000002</v>
      </c>
      <c r="L336">
        <v>5.4829999999999997</v>
      </c>
      <c r="M336">
        <v>5.702</v>
      </c>
      <c r="N336">
        <v>5.93</v>
      </c>
      <c r="O336">
        <v>6.1680000000000001</v>
      </c>
      <c r="P336">
        <v>6.4139999999999997</v>
      </c>
      <c r="Q336">
        <v>6.6710000000000003</v>
      </c>
      <c r="R336">
        <v>6.9379999999999997</v>
      </c>
      <c r="S336">
        <v>7.2149999999999999</v>
      </c>
      <c r="T336">
        <v>7.5039999999999996</v>
      </c>
      <c r="U336">
        <v>7.8040000000000003</v>
      </c>
      <c r="V336">
        <v>8.1159999999999997</v>
      </c>
      <c r="W336">
        <v>8.4410000000000007</v>
      </c>
      <c r="X336">
        <v>8.7780000000000005</v>
      </c>
      <c r="Y336">
        <v>9.1300000000000008</v>
      </c>
      <c r="Z336">
        <v>9.4949999999999992</v>
      </c>
      <c r="AA336">
        <v>9.8740000000000006</v>
      </c>
      <c r="AB336">
        <v>10.269</v>
      </c>
      <c r="AC336">
        <v>10.68</v>
      </c>
      <c r="AD336">
        <v>11.106999999999999</v>
      </c>
    </row>
    <row r="337" spans="2:30" x14ac:dyDescent="0.25">
      <c r="B337" t="s">
        <v>133</v>
      </c>
      <c r="C337" t="s">
        <v>3256</v>
      </c>
      <c r="D337" t="s">
        <v>4887</v>
      </c>
      <c r="E337" t="s">
        <v>4888</v>
      </c>
      <c r="F337" t="s">
        <v>4889</v>
      </c>
      <c r="G337" t="s">
        <v>3890</v>
      </c>
      <c r="H337" t="s">
        <v>4673</v>
      </c>
      <c r="I337" t="s">
        <v>4810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2:30" x14ac:dyDescent="0.25">
      <c r="B338" t="s">
        <v>133</v>
      </c>
      <c r="C338" t="s">
        <v>3256</v>
      </c>
      <c r="D338" t="s">
        <v>4890</v>
      </c>
      <c r="E338" t="s">
        <v>4891</v>
      </c>
      <c r="F338" t="s">
        <v>4892</v>
      </c>
      <c r="G338" t="s">
        <v>3890</v>
      </c>
      <c r="H338" t="s">
        <v>4826</v>
      </c>
      <c r="I338" t="s">
        <v>4810</v>
      </c>
      <c r="J338">
        <v>2</v>
      </c>
      <c r="K338">
        <v>13.301</v>
      </c>
      <c r="L338">
        <v>6.66</v>
      </c>
      <c r="M338">
        <v>5.9119999999999999</v>
      </c>
      <c r="N338">
        <v>5.032</v>
      </c>
      <c r="O338">
        <v>6.9409999999999998</v>
      </c>
      <c r="P338">
        <v>7.0110000000000001</v>
      </c>
      <c r="Q338">
        <v>6.9779999999999998</v>
      </c>
      <c r="R338">
        <v>6.9420000000000002</v>
      </c>
      <c r="S338">
        <v>6.9039999999999999</v>
      </c>
      <c r="T338">
        <v>6.8680000000000003</v>
      </c>
      <c r="U338">
        <v>6.8680000000000003</v>
      </c>
      <c r="V338">
        <v>6.8680000000000003</v>
      </c>
      <c r="W338">
        <v>6.8680000000000003</v>
      </c>
      <c r="X338">
        <v>6.8680000000000003</v>
      </c>
      <c r="Y338">
        <v>6.8680000000000003</v>
      </c>
      <c r="Z338">
        <v>6.8680000000000003</v>
      </c>
      <c r="AA338">
        <v>6.8680000000000003</v>
      </c>
      <c r="AB338">
        <v>6.8680000000000003</v>
      </c>
      <c r="AC338">
        <v>6.8680000000000003</v>
      </c>
      <c r="AD338">
        <v>6.8680000000000003</v>
      </c>
    </row>
    <row r="339" spans="2:30" x14ac:dyDescent="0.25">
      <c r="B339" t="s">
        <v>133</v>
      </c>
      <c r="C339" t="s">
        <v>3256</v>
      </c>
      <c r="D339" t="s">
        <v>4893</v>
      </c>
      <c r="E339" t="s">
        <v>4894</v>
      </c>
      <c r="F339" t="s">
        <v>4895</v>
      </c>
      <c r="G339" t="s">
        <v>3890</v>
      </c>
      <c r="H339" t="s">
        <v>4830</v>
      </c>
      <c r="I339" t="s">
        <v>4810</v>
      </c>
      <c r="J339">
        <v>2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  <c r="W339" t="e">
        <v>#N/A</v>
      </c>
      <c r="X339" t="e">
        <v>#N/A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</row>
    <row r="340" spans="2:30" x14ac:dyDescent="0.25">
      <c r="B340" t="s">
        <v>133</v>
      </c>
      <c r="C340" t="s">
        <v>3256</v>
      </c>
      <c r="D340" t="s">
        <v>4896</v>
      </c>
      <c r="E340" t="s">
        <v>4452</v>
      </c>
      <c r="F340" t="s">
        <v>4453</v>
      </c>
      <c r="G340" t="s">
        <v>3890</v>
      </c>
      <c r="H340" t="s">
        <v>4897</v>
      </c>
      <c r="I340" t="s">
        <v>4810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2:30" x14ac:dyDescent="0.25">
      <c r="B341" t="s">
        <v>133</v>
      </c>
      <c r="C341" t="s">
        <v>3256</v>
      </c>
      <c r="D341" t="s">
        <v>4898</v>
      </c>
      <c r="E341" t="s">
        <v>4899</v>
      </c>
      <c r="F341" t="s">
        <v>4900</v>
      </c>
      <c r="G341" t="s">
        <v>3890</v>
      </c>
      <c r="H341" t="s">
        <v>4686</v>
      </c>
      <c r="I341" t="s">
        <v>4687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2:30" x14ac:dyDescent="0.25">
      <c r="B342" t="s">
        <v>133</v>
      </c>
      <c r="C342" t="s">
        <v>3256</v>
      </c>
      <c r="D342" t="s">
        <v>4901</v>
      </c>
      <c r="E342" t="s">
        <v>4902</v>
      </c>
      <c r="F342" t="s">
        <v>4903</v>
      </c>
      <c r="G342" t="s">
        <v>3890</v>
      </c>
      <c r="H342" t="s">
        <v>4839</v>
      </c>
      <c r="I342" t="s">
        <v>4810</v>
      </c>
      <c r="J342">
        <v>2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</row>
    <row r="343" spans="2:30" x14ac:dyDescent="0.25">
      <c r="B343" t="s">
        <v>133</v>
      </c>
      <c r="C343" t="s">
        <v>3256</v>
      </c>
      <c r="D343" t="s">
        <v>4904</v>
      </c>
      <c r="E343" t="s">
        <v>4905</v>
      </c>
      <c r="F343" t="s">
        <v>4906</v>
      </c>
      <c r="G343" t="s">
        <v>3890</v>
      </c>
      <c r="H343" t="s">
        <v>4695</v>
      </c>
      <c r="I343" t="s">
        <v>4687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2:30" x14ac:dyDescent="0.25">
      <c r="B344" t="s">
        <v>133</v>
      </c>
      <c r="C344" t="s">
        <v>3256</v>
      </c>
      <c r="D344" t="s">
        <v>4907</v>
      </c>
      <c r="E344" t="s">
        <v>4908</v>
      </c>
      <c r="F344" t="s">
        <v>4909</v>
      </c>
      <c r="G344" t="s">
        <v>3890</v>
      </c>
      <c r="H344" t="s">
        <v>4645</v>
      </c>
      <c r="I344" t="s">
        <v>4810</v>
      </c>
      <c r="J344">
        <v>2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</row>
    <row r="345" spans="2:30" x14ac:dyDescent="0.25">
      <c r="B345" t="s">
        <v>133</v>
      </c>
      <c r="C345" t="s">
        <v>3256</v>
      </c>
      <c r="D345" t="s">
        <v>4910</v>
      </c>
      <c r="E345" t="s">
        <v>4911</v>
      </c>
      <c r="F345" t="s">
        <v>4912</v>
      </c>
      <c r="G345" t="s">
        <v>3890</v>
      </c>
      <c r="H345" t="s">
        <v>4394</v>
      </c>
      <c r="I345" t="s">
        <v>4810</v>
      </c>
      <c r="J345">
        <v>2</v>
      </c>
      <c r="K345">
        <v>12.260999999999999</v>
      </c>
      <c r="L345">
        <v>10.192</v>
      </c>
      <c r="M345">
        <v>9.57</v>
      </c>
      <c r="N345">
        <v>9.64</v>
      </c>
      <c r="O345">
        <v>9.6809999999999992</v>
      </c>
      <c r="P345">
        <v>9.5749999999999993</v>
      </c>
      <c r="Q345">
        <v>9.4489999999999998</v>
      </c>
      <c r="R345">
        <v>9.4049999999999994</v>
      </c>
      <c r="S345">
        <v>9.3919999999999995</v>
      </c>
      <c r="T345">
        <v>9.3849999999999998</v>
      </c>
      <c r="U345">
        <v>9.3849999999999998</v>
      </c>
      <c r="V345">
        <v>9.3849999999999998</v>
      </c>
      <c r="W345">
        <v>9.3849999999999998</v>
      </c>
      <c r="X345">
        <v>9.3849999999999998</v>
      </c>
      <c r="Y345">
        <v>9.3849999999999998</v>
      </c>
      <c r="Z345">
        <v>9.3849999999999998</v>
      </c>
      <c r="AA345">
        <v>9.3849999999999998</v>
      </c>
      <c r="AB345">
        <v>9.3849999999999998</v>
      </c>
      <c r="AC345">
        <v>9.3849999999999998</v>
      </c>
      <c r="AD345">
        <v>9.3849999999999998</v>
      </c>
    </row>
    <row r="346" spans="2:30" x14ac:dyDescent="0.25">
      <c r="B346" t="s">
        <v>133</v>
      </c>
      <c r="C346" t="s">
        <v>3256</v>
      </c>
      <c r="D346" t="s">
        <v>4913</v>
      </c>
      <c r="E346" t="s">
        <v>4914</v>
      </c>
      <c r="F346" t="s">
        <v>4915</v>
      </c>
      <c r="G346" t="s">
        <v>3890</v>
      </c>
      <c r="H346" t="s">
        <v>4653</v>
      </c>
      <c r="I346" t="s">
        <v>4810</v>
      </c>
      <c r="J346">
        <v>2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  <c r="W346" t="e">
        <v>#N/A</v>
      </c>
      <c r="X346" t="e">
        <v>#N/A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</row>
    <row r="347" spans="2:30" x14ac:dyDescent="0.25">
      <c r="B347" t="s">
        <v>133</v>
      </c>
      <c r="C347" t="s">
        <v>3256</v>
      </c>
      <c r="D347" t="s">
        <v>4916</v>
      </c>
      <c r="E347" t="s">
        <v>4917</v>
      </c>
      <c r="F347" t="s">
        <v>4918</v>
      </c>
      <c r="G347" t="s">
        <v>3890</v>
      </c>
      <c r="H347" t="s">
        <v>4669</v>
      </c>
      <c r="I347" t="s">
        <v>4810</v>
      </c>
      <c r="J347">
        <v>2</v>
      </c>
      <c r="K347">
        <v>3.0579999999999998</v>
      </c>
      <c r="L347">
        <v>3.18</v>
      </c>
      <c r="M347">
        <v>3.3069999999999999</v>
      </c>
      <c r="N347">
        <v>3.44</v>
      </c>
      <c r="O347">
        <v>3.577</v>
      </c>
      <c r="P347">
        <v>3.72</v>
      </c>
      <c r="Q347">
        <v>3.8690000000000002</v>
      </c>
      <c r="R347">
        <v>4.024</v>
      </c>
      <c r="S347">
        <v>4.1849999999999996</v>
      </c>
      <c r="T347">
        <v>4.3520000000000003</v>
      </c>
      <c r="U347">
        <v>4.5259999999999998</v>
      </c>
      <c r="V347">
        <v>4.7080000000000002</v>
      </c>
      <c r="W347">
        <v>4.8959999999999999</v>
      </c>
      <c r="X347">
        <v>5.0919999999999996</v>
      </c>
      <c r="Y347">
        <v>5.2949999999999999</v>
      </c>
      <c r="Z347">
        <v>5.5069999999999997</v>
      </c>
      <c r="AA347">
        <v>5.7270000000000003</v>
      </c>
      <c r="AB347">
        <v>5.9569999999999999</v>
      </c>
      <c r="AC347">
        <v>6.1950000000000003</v>
      </c>
      <c r="AD347">
        <v>6.4429999999999996</v>
      </c>
    </row>
    <row r="348" spans="2:30" x14ac:dyDescent="0.25">
      <c r="B348" t="s">
        <v>133</v>
      </c>
      <c r="C348" t="s">
        <v>3256</v>
      </c>
      <c r="D348" t="s">
        <v>4919</v>
      </c>
      <c r="E348" t="s">
        <v>4920</v>
      </c>
      <c r="F348" t="s">
        <v>4921</v>
      </c>
      <c r="G348" t="s">
        <v>3890</v>
      </c>
      <c r="H348" t="s">
        <v>4673</v>
      </c>
      <c r="I348" t="s">
        <v>4810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2:30" x14ac:dyDescent="0.25">
      <c r="B349" t="s">
        <v>133</v>
      </c>
      <c r="C349" t="s">
        <v>3256</v>
      </c>
      <c r="D349" t="s">
        <v>4922</v>
      </c>
      <c r="E349" t="s">
        <v>4923</v>
      </c>
      <c r="F349" t="s">
        <v>4924</v>
      </c>
      <c r="G349" t="s">
        <v>3890</v>
      </c>
      <c r="H349" t="s">
        <v>4925</v>
      </c>
      <c r="I349" t="s">
        <v>4810</v>
      </c>
      <c r="J349">
        <v>2</v>
      </c>
      <c r="K349">
        <v>5.3360000000000003</v>
      </c>
      <c r="L349">
        <v>5.01</v>
      </c>
      <c r="M349">
        <v>5.0869999999999997</v>
      </c>
      <c r="N349">
        <v>5.0869999999999997</v>
      </c>
      <c r="O349">
        <v>6.2030000000000003</v>
      </c>
      <c r="P349">
        <v>6.2030000000000003</v>
      </c>
      <c r="Q349">
        <v>6.2030000000000003</v>
      </c>
      <c r="R349">
        <v>6.2030000000000003</v>
      </c>
      <c r="S349">
        <v>6.2030000000000003</v>
      </c>
      <c r="T349">
        <v>6.2030000000000003</v>
      </c>
      <c r="U349">
        <v>6.2030000000000003</v>
      </c>
      <c r="V349">
        <v>6.2030000000000003</v>
      </c>
      <c r="W349">
        <v>6.2030000000000003</v>
      </c>
      <c r="X349">
        <v>6.2030000000000003</v>
      </c>
      <c r="Y349">
        <v>6.2030000000000003</v>
      </c>
      <c r="Z349">
        <v>6.2030000000000003</v>
      </c>
      <c r="AA349">
        <v>6.2030000000000003</v>
      </c>
      <c r="AB349">
        <v>6.2030000000000003</v>
      </c>
      <c r="AC349">
        <v>6.2030000000000003</v>
      </c>
      <c r="AD349">
        <v>6.2030000000000003</v>
      </c>
    </row>
    <row r="350" spans="2:30" x14ac:dyDescent="0.25">
      <c r="B350" t="s">
        <v>133</v>
      </c>
      <c r="C350" t="s">
        <v>3256</v>
      </c>
      <c r="D350" t="s">
        <v>4926</v>
      </c>
      <c r="E350" t="s">
        <v>4927</v>
      </c>
      <c r="F350" t="s">
        <v>4928</v>
      </c>
      <c r="G350" t="s">
        <v>3890</v>
      </c>
      <c r="H350" t="s">
        <v>4929</v>
      </c>
      <c r="I350" t="s">
        <v>4810</v>
      </c>
      <c r="J350">
        <v>2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e">
        <v>#N/A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</row>
    <row r="351" spans="2:30" x14ac:dyDescent="0.25">
      <c r="B351" t="s">
        <v>133</v>
      </c>
      <c r="C351" t="s">
        <v>3256</v>
      </c>
      <c r="D351" t="s">
        <v>4930</v>
      </c>
      <c r="E351" t="s">
        <v>4443</v>
      </c>
      <c r="F351" t="s">
        <v>4444</v>
      </c>
      <c r="G351" t="s">
        <v>3890</v>
      </c>
      <c r="H351" t="s">
        <v>4832</v>
      </c>
      <c r="I351" t="s">
        <v>4810</v>
      </c>
      <c r="J351">
        <v>1</v>
      </c>
      <c r="K351">
        <v>-6.9240000000000004</v>
      </c>
      <c r="L351">
        <v>-5.181</v>
      </c>
      <c r="M351">
        <v>-4.4829999999999997</v>
      </c>
      <c r="N351">
        <v>-4.5529999999999999</v>
      </c>
      <c r="O351">
        <v>-4.5940000000000003</v>
      </c>
      <c r="P351">
        <v>-4.4880000000000004</v>
      </c>
      <c r="Q351">
        <v>-4.3620000000000001</v>
      </c>
      <c r="R351">
        <v>-4.3179999999999996</v>
      </c>
      <c r="S351">
        <v>-4.3049999999999997</v>
      </c>
      <c r="T351">
        <v>-4.298</v>
      </c>
      <c r="U351">
        <v>-4.298</v>
      </c>
      <c r="V351">
        <v>-4.298</v>
      </c>
      <c r="W351">
        <v>-4.298</v>
      </c>
      <c r="X351">
        <v>-4.298</v>
      </c>
      <c r="Y351">
        <v>-4.298</v>
      </c>
      <c r="Z351">
        <v>-4.298</v>
      </c>
      <c r="AA351">
        <v>-4.298</v>
      </c>
      <c r="AB351">
        <v>-4.298</v>
      </c>
      <c r="AC351">
        <v>-4.298</v>
      </c>
      <c r="AD351">
        <v>-4.298</v>
      </c>
    </row>
    <row r="352" spans="2:30" x14ac:dyDescent="0.25">
      <c r="B352" t="s">
        <v>133</v>
      </c>
      <c r="C352" t="s">
        <v>3256</v>
      </c>
      <c r="D352" t="s">
        <v>4931</v>
      </c>
      <c r="E352" t="s">
        <v>4932</v>
      </c>
      <c r="F352" t="s">
        <v>4933</v>
      </c>
      <c r="G352" t="s">
        <v>3890</v>
      </c>
      <c r="H352" t="s">
        <v>4686</v>
      </c>
      <c r="I352" t="s">
        <v>4687</v>
      </c>
      <c r="J352">
        <v>1</v>
      </c>
      <c r="K352">
        <v>-124.092</v>
      </c>
      <c r="L352">
        <v>-92.858000000000004</v>
      </c>
      <c r="M352">
        <v>-80.331999999999994</v>
      </c>
      <c r="N352">
        <v>-81.596000000000004</v>
      </c>
      <c r="O352">
        <v>-82.334999999999994</v>
      </c>
      <c r="P352">
        <v>-80.424999999999997</v>
      </c>
      <c r="Q352">
        <v>-78.180000000000007</v>
      </c>
      <c r="R352">
        <v>-77.38</v>
      </c>
      <c r="S352">
        <v>-77.153000000000006</v>
      </c>
      <c r="T352">
        <v>-77.024000000000001</v>
      </c>
      <c r="U352">
        <v>-77.024000000000001</v>
      </c>
      <c r="V352">
        <v>-77.024000000000001</v>
      </c>
      <c r="W352">
        <v>-77.024000000000001</v>
      </c>
      <c r="X352">
        <v>-77.024000000000001</v>
      </c>
      <c r="Y352">
        <v>-77.024000000000001</v>
      </c>
      <c r="Z352">
        <v>-77.024000000000001</v>
      </c>
      <c r="AA352">
        <v>-77.024000000000001</v>
      </c>
      <c r="AB352">
        <v>-77.024000000000001</v>
      </c>
      <c r="AC352">
        <v>-77.024000000000001</v>
      </c>
      <c r="AD352">
        <v>-77.024000000000001</v>
      </c>
    </row>
    <row r="353" spans="2:30" x14ac:dyDescent="0.25">
      <c r="B353" t="s">
        <v>133</v>
      </c>
      <c r="C353" t="s">
        <v>3256</v>
      </c>
      <c r="D353" t="s">
        <v>4934</v>
      </c>
      <c r="E353" t="s">
        <v>4935</v>
      </c>
      <c r="F353" t="s">
        <v>4936</v>
      </c>
      <c r="G353" t="s">
        <v>3890</v>
      </c>
      <c r="H353" t="s">
        <v>4937</v>
      </c>
      <c r="I353" t="s">
        <v>4810</v>
      </c>
      <c r="J353">
        <v>2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  <c r="W353" t="e">
        <v>#N/A</v>
      </c>
      <c r="X353" t="e">
        <v>#N/A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</row>
    <row r="354" spans="2:30" x14ac:dyDescent="0.25">
      <c r="B354" t="s">
        <v>133</v>
      </c>
      <c r="C354" t="s">
        <v>3256</v>
      </c>
      <c r="D354" t="s">
        <v>4938</v>
      </c>
      <c r="E354" t="s">
        <v>4939</v>
      </c>
      <c r="F354" t="s">
        <v>4940</v>
      </c>
      <c r="G354" t="s">
        <v>3890</v>
      </c>
      <c r="H354" t="s">
        <v>4695</v>
      </c>
      <c r="I354" t="s">
        <v>4687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2:30" x14ac:dyDescent="0.25">
      <c r="B355" t="s">
        <v>133</v>
      </c>
      <c r="C355" t="s">
        <v>3256</v>
      </c>
      <c r="D355" t="s">
        <v>4941</v>
      </c>
      <c r="E355" t="s">
        <v>4942</v>
      </c>
      <c r="F355" t="s">
        <v>4943</v>
      </c>
      <c r="G355" t="s">
        <v>3890</v>
      </c>
      <c r="H355" t="s">
        <v>4645</v>
      </c>
      <c r="I355" t="s">
        <v>4810</v>
      </c>
      <c r="J355">
        <v>2</v>
      </c>
      <c r="K355">
        <v>22.748999999999999</v>
      </c>
      <c r="L355">
        <v>20.734000000000002</v>
      </c>
      <c r="M355">
        <v>20.172000000000001</v>
      </c>
      <c r="N355">
        <v>20.399000000000001</v>
      </c>
      <c r="O355">
        <v>20.600999999999999</v>
      </c>
      <c r="P355">
        <v>20.649000000000001</v>
      </c>
      <c r="Q355">
        <v>20.683</v>
      </c>
      <c r="R355">
        <v>20.811</v>
      </c>
      <c r="S355">
        <v>20.981000000000002</v>
      </c>
      <c r="T355">
        <v>21.164000000000001</v>
      </c>
      <c r="U355">
        <v>21.363</v>
      </c>
      <c r="V355">
        <v>21.568999999999999</v>
      </c>
      <c r="W355">
        <v>21.783999999999999</v>
      </c>
      <c r="X355">
        <v>22.007000000000001</v>
      </c>
      <c r="Y355">
        <v>22.239000000000001</v>
      </c>
      <c r="Z355">
        <v>22.481000000000002</v>
      </c>
      <c r="AA355">
        <v>22.731999999999999</v>
      </c>
      <c r="AB355">
        <v>22.992999999999999</v>
      </c>
      <c r="AC355">
        <v>23.265000000000001</v>
      </c>
      <c r="AD355">
        <v>23.547000000000001</v>
      </c>
    </row>
    <row r="356" spans="2:30" x14ac:dyDescent="0.25">
      <c r="B356" t="s">
        <v>133</v>
      </c>
      <c r="C356" t="s">
        <v>3256</v>
      </c>
      <c r="D356" t="s">
        <v>4944</v>
      </c>
      <c r="E356" t="s">
        <v>4945</v>
      </c>
      <c r="F356" t="s">
        <v>4946</v>
      </c>
      <c r="G356" t="s">
        <v>3890</v>
      </c>
      <c r="H356" t="s">
        <v>4394</v>
      </c>
      <c r="I356" t="s">
        <v>4810</v>
      </c>
      <c r="J356">
        <v>2</v>
      </c>
      <c r="K356">
        <v>16.896999999999998</v>
      </c>
      <c r="L356">
        <v>15.007</v>
      </c>
      <c r="M356">
        <v>14.387</v>
      </c>
      <c r="N356">
        <v>14.454000000000001</v>
      </c>
      <c r="O356">
        <v>14.493</v>
      </c>
      <c r="P356">
        <v>14.391999999999999</v>
      </c>
      <c r="Q356">
        <v>14.273</v>
      </c>
      <c r="R356">
        <v>14.231</v>
      </c>
      <c r="S356">
        <v>14.218999999999999</v>
      </c>
      <c r="T356">
        <v>14.212</v>
      </c>
      <c r="U356">
        <v>14.212</v>
      </c>
      <c r="V356">
        <v>14.212</v>
      </c>
      <c r="W356" s="130">
        <v>14.212</v>
      </c>
      <c r="X356" s="130">
        <v>14.212</v>
      </c>
      <c r="Y356" s="130">
        <v>14.212</v>
      </c>
      <c r="Z356" s="130">
        <v>14.212</v>
      </c>
      <c r="AA356" s="130">
        <v>14.212</v>
      </c>
      <c r="AB356" s="130">
        <v>14.212</v>
      </c>
      <c r="AC356" s="130">
        <v>14.212</v>
      </c>
      <c r="AD356" s="130">
        <v>14.212</v>
      </c>
    </row>
    <row r="357" spans="2:30" x14ac:dyDescent="0.25">
      <c r="B357" t="s">
        <v>133</v>
      </c>
      <c r="C357" t="s">
        <v>3256</v>
      </c>
      <c r="D357" t="s">
        <v>4947</v>
      </c>
      <c r="E357" t="s">
        <v>4948</v>
      </c>
      <c r="F357" t="s">
        <v>4949</v>
      </c>
      <c r="G357" t="s">
        <v>3890</v>
      </c>
      <c r="H357" t="s">
        <v>4653</v>
      </c>
      <c r="I357" t="s">
        <v>4810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130">
        <v>0</v>
      </c>
      <c r="X357" s="130">
        <v>0</v>
      </c>
      <c r="Y357" s="130">
        <v>0</v>
      </c>
      <c r="Z357" s="130">
        <v>0</v>
      </c>
      <c r="AA357" s="130">
        <v>0</v>
      </c>
      <c r="AB357" s="130">
        <v>0</v>
      </c>
      <c r="AC357" s="130">
        <v>0</v>
      </c>
      <c r="AD357" s="130">
        <v>0</v>
      </c>
    </row>
    <row r="358" spans="2:30" x14ac:dyDescent="0.25">
      <c r="B358" t="s">
        <v>133</v>
      </c>
      <c r="C358" t="s">
        <v>3256</v>
      </c>
      <c r="D358" t="s">
        <v>4950</v>
      </c>
      <c r="E358" t="s">
        <v>4951</v>
      </c>
      <c r="F358" t="s">
        <v>4952</v>
      </c>
      <c r="G358" t="s">
        <v>3890</v>
      </c>
      <c r="H358" t="s">
        <v>4669</v>
      </c>
      <c r="I358" t="s">
        <v>4810</v>
      </c>
      <c r="J358">
        <v>2</v>
      </c>
      <c r="K358">
        <v>3.0579999999999998</v>
      </c>
      <c r="L358">
        <v>3.18</v>
      </c>
      <c r="M358">
        <v>3.3069999999999999</v>
      </c>
      <c r="N358">
        <v>3.44</v>
      </c>
      <c r="O358">
        <v>3.577</v>
      </c>
      <c r="P358">
        <v>3.72</v>
      </c>
      <c r="Q358">
        <v>3.8690000000000002</v>
      </c>
      <c r="R358">
        <v>4.024</v>
      </c>
      <c r="S358">
        <v>4.1849999999999996</v>
      </c>
      <c r="T358">
        <v>4.3520000000000003</v>
      </c>
      <c r="U358">
        <v>4.5259999999999998</v>
      </c>
      <c r="V358">
        <v>4.7080000000000002</v>
      </c>
      <c r="W358">
        <v>4.8959999999999999</v>
      </c>
      <c r="X358">
        <v>5.0919999999999996</v>
      </c>
      <c r="Y358">
        <v>5.2949999999999999</v>
      </c>
      <c r="Z358">
        <v>5.5069999999999997</v>
      </c>
      <c r="AA358">
        <v>5.7270000000000003</v>
      </c>
      <c r="AB358">
        <v>5.9569999999999999</v>
      </c>
      <c r="AC358">
        <v>6.1950000000000003</v>
      </c>
      <c r="AD358">
        <v>6.4429999999999996</v>
      </c>
    </row>
    <row r="359" spans="2:30" x14ac:dyDescent="0.25">
      <c r="B359" t="s">
        <v>133</v>
      </c>
      <c r="C359" t="s">
        <v>3256</v>
      </c>
      <c r="D359" t="s">
        <v>4953</v>
      </c>
      <c r="E359" t="s">
        <v>4954</v>
      </c>
      <c r="F359" t="s">
        <v>4955</v>
      </c>
      <c r="G359" t="s">
        <v>3890</v>
      </c>
      <c r="H359" t="s">
        <v>4673</v>
      </c>
      <c r="I359" t="s">
        <v>4810</v>
      </c>
      <c r="J359">
        <v>2</v>
      </c>
      <c r="K359">
        <v>2.794</v>
      </c>
      <c r="L359">
        <v>2.5459999999999998</v>
      </c>
      <c r="M359">
        <v>2.4769999999999999</v>
      </c>
      <c r="N359">
        <v>2.5049999999999999</v>
      </c>
      <c r="O359">
        <v>2.5299999999999998</v>
      </c>
      <c r="P359">
        <v>2.536</v>
      </c>
      <c r="Q359">
        <v>2.54</v>
      </c>
      <c r="R359">
        <v>2.556</v>
      </c>
      <c r="S359">
        <v>2.577</v>
      </c>
      <c r="T359">
        <v>2.5990000000000002</v>
      </c>
      <c r="U359">
        <v>2.6230000000000002</v>
      </c>
      <c r="V359">
        <v>2.649</v>
      </c>
      <c r="W359">
        <v>2.6749999999999998</v>
      </c>
      <c r="X359">
        <v>2.7029999999999998</v>
      </c>
      <c r="Y359">
        <v>2.7309999999999999</v>
      </c>
      <c r="Z359">
        <v>2.7610000000000001</v>
      </c>
      <c r="AA359">
        <v>2.7919999999999998</v>
      </c>
      <c r="AB359">
        <v>2.8239999999999998</v>
      </c>
      <c r="AC359">
        <v>2.8570000000000002</v>
      </c>
      <c r="AD359">
        <v>2.8919999999999999</v>
      </c>
    </row>
    <row r="360" spans="2:30" x14ac:dyDescent="0.25">
      <c r="B360" t="s">
        <v>133</v>
      </c>
      <c r="C360" t="s">
        <v>3256</v>
      </c>
      <c r="D360" t="s">
        <v>4956</v>
      </c>
      <c r="E360" t="s">
        <v>4957</v>
      </c>
      <c r="F360" t="s">
        <v>4958</v>
      </c>
      <c r="G360" t="s">
        <v>3890</v>
      </c>
      <c r="H360" t="s">
        <v>4925</v>
      </c>
      <c r="I360" t="s">
        <v>4810</v>
      </c>
      <c r="J360">
        <v>2</v>
      </c>
      <c r="K360">
        <v>4.6340000000000003</v>
      </c>
      <c r="L360">
        <v>3.2090000000000001</v>
      </c>
      <c r="M360">
        <v>2.331</v>
      </c>
      <c r="N360">
        <v>2.331</v>
      </c>
      <c r="O360">
        <v>3.4470000000000001</v>
      </c>
      <c r="P360">
        <v>3.4630000000000001</v>
      </c>
      <c r="Q360">
        <v>3.4790000000000001</v>
      </c>
      <c r="R360">
        <v>3.496</v>
      </c>
      <c r="S360">
        <v>3.5129999999999999</v>
      </c>
      <c r="T360">
        <v>3.5310000000000001</v>
      </c>
      <c r="U360">
        <v>3.5489999999999999</v>
      </c>
      <c r="V360">
        <v>3.5680000000000001</v>
      </c>
      <c r="W360">
        <v>3.5880000000000001</v>
      </c>
      <c r="X360">
        <v>3.6080000000000001</v>
      </c>
      <c r="Y360">
        <v>3.629</v>
      </c>
      <c r="Z360">
        <v>3.629</v>
      </c>
      <c r="AA360">
        <v>3.629</v>
      </c>
      <c r="AB360">
        <v>3.629</v>
      </c>
      <c r="AC360">
        <v>3.629</v>
      </c>
      <c r="AD360">
        <v>3.629</v>
      </c>
    </row>
    <row r="361" spans="2:30" x14ac:dyDescent="0.25">
      <c r="B361" t="s">
        <v>133</v>
      </c>
      <c r="C361" t="s">
        <v>3256</v>
      </c>
      <c r="D361" t="s">
        <v>4959</v>
      </c>
      <c r="E361" t="s">
        <v>4960</v>
      </c>
      <c r="F361" t="s">
        <v>4961</v>
      </c>
      <c r="G361" t="s">
        <v>3890</v>
      </c>
      <c r="H361" t="s">
        <v>4929</v>
      </c>
      <c r="I361" t="s">
        <v>4810</v>
      </c>
      <c r="J361">
        <v>2</v>
      </c>
      <c r="K361">
        <v>-18.114999999999998</v>
      </c>
      <c r="L361">
        <v>-17.526</v>
      </c>
      <c r="M361">
        <v>-17.841000000000001</v>
      </c>
      <c r="N361">
        <v>-18.068000000000001</v>
      </c>
      <c r="O361">
        <v>-17.154</v>
      </c>
      <c r="P361">
        <v>-17.186</v>
      </c>
      <c r="Q361">
        <v>-17.204000000000001</v>
      </c>
      <c r="R361">
        <v>-17.315999999999999</v>
      </c>
      <c r="S361">
        <v>-17.468</v>
      </c>
      <c r="T361">
        <v>-17.632999999999999</v>
      </c>
      <c r="U361">
        <v>-17.812999999999999</v>
      </c>
      <c r="V361">
        <v>-18.001000000000001</v>
      </c>
      <c r="W361">
        <v>-18.196000000000002</v>
      </c>
      <c r="X361">
        <v>-18.399000000000001</v>
      </c>
      <c r="Y361">
        <v>-18.611000000000001</v>
      </c>
      <c r="Z361">
        <v>-18.852</v>
      </c>
      <c r="AA361">
        <v>-19.103000000000002</v>
      </c>
      <c r="AB361">
        <v>-19.364000000000001</v>
      </c>
      <c r="AC361">
        <v>-19.635999999999999</v>
      </c>
      <c r="AD361">
        <v>-19.919</v>
      </c>
    </row>
    <row r="362" spans="2:30" x14ac:dyDescent="0.25">
      <c r="B362" t="s">
        <v>133</v>
      </c>
      <c r="C362" t="s">
        <v>3256</v>
      </c>
      <c r="D362" t="s">
        <v>4962</v>
      </c>
      <c r="E362" t="s">
        <v>4449</v>
      </c>
      <c r="F362" t="s">
        <v>4450</v>
      </c>
      <c r="G362" t="s">
        <v>3890</v>
      </c>
      <c r="H362" t="s">
        <v>4865</v>
      </c>
      <c r="I362" t="s">
        <v>4810</v>
      </c>
      <c r="J362">
        <v>1</v>
      </c>
      <c r="K362">
        <v>-12.263</v>
      </c>
      <c r="L362">
        <v>-11.798999999999999</v>
      </c>
      <c r="M362">
        <v>-12.055999999999999</v>
      </c>
      <c r="N362">
        <v>-12.122999999999999</v>
      </c>
      <c r="O362">
        <v>-12.162000000000001</v>
      </c>
      <c r="P362">
        <v>-12.061</v>
      </c>
      <c r="Q362">
        <v>-11.942</v>
      </c>
      <c r="R362">
        <v>-11.9</v>
      </c>
      <c r="S362">
        <v>-11.888</v>
      </c>
      <c r="T362">
        <v>-11.881</v>
      </c>
      <c r="U362">
        <v>-11.881</v>
      </c>
      <c r="V362">
        <v>-11.881</v>
      </c>
      <c r="W362">
        <v>-11.881</v>
      </c>
      <c r="X362">
        <v>-11.881</v>
      </c>
      <c r="Y362">
        <v>-11.881</v>
      </c>
      <c r="Z362">
        <v>-11.881</v>
      </c>
      <c r="AA362">
        <v>-11.881</v>
      </c>
      <c r="AB362">
        <v>-11.881</v>
      </c>
      <c r="AC362">
        <v>-11.881</v>
      </c>
      <c r="AD362">
        <v>-11.881</v>
      </c>
    </row>
    <row r="363" spans="2:30" x14ac:dyDescent="0.25">
      <c r="B363" t="s">
        <v>133</v>
      </c>
      <c r="C363" t="s">
        <v>3256</v>
      </c>
      <c r="D363" t="s">
        <v>4963</v>
      </c>
      <c r="E363" t="s">
        <v>4964</v>
      </c>
      <c r="F363" t="s">
        <v>4965</v>
      </c>
      <c r="G363" t="s">
        <v>3890</v>
      </c>
      <c r="H363" t="s">
        <v>4686</v>
      </c>
      <c r="I363" t="s">
        <v>4687</v>
      </c>
      <c r="J363">
        <v>1</v>
      </c>
      <c r="K363">
        <v>-219.76400000000001</v>
      </c>
      <c r="L363">
        <v>-211.446</v>
      </c>
      <c r="M363">
        <v>-216.06299999999999</v>
      </c>
      <c r="N363">
        <v>-217.261</v>
      </c>
      <c r="O363">
        <v>-217.96</v>
      </c>
      <c r="P363">
        <v>-216.15100000000001</v>
      </c>
      <c r="Q363">
        <v>-214.023</v>
      </c>
      <c r="R363">
        <v>-213.26499999999999</v>
      </c>
      <c r="S363">
        <v>-213.05</v>
      </c>
      <c r="T363">
        <v>-212.928</v>
      </c>
      <c r="U363">
        <v>-212.928</v>
      </c>
      <c r="V363">
        <v>-212.928</v>
      </c>
      <c r="W363">
        <v>-212.928</v>
      </c>
      <c r="X363">
        <v>-212.928</v>
      </c>
      <c r="Y363">
        <v>-212.928</v>
      </c>
      <c r="Z363">
        <v>-212.928</v>
      </c>
      <c r="AA363">
        <v>-212.928</v>
      </c>
      <c r="AB363">
        <v>-212.928</v>
      </c>
      <c r="AC363">
        <v>-212.928</v>
      </c>
      <c r="AD363">
        <v>-212.928</v>
      </c>
    </row>
    <row r="364" spans="2:30" x14ac:dyDescent="0.25">
      <c r="B364" t="s">
        <v>133</v>
      </c>
      <c r="C364" t="s">
        <v>3256</v>
      </c>
      <c r="D364" t="s">
        <v>4966</v>
      </c>
      <c r="E364" t="s">
        <v>4967</v>
      </c>
      <c r="F364" t="s">
        <v>4968</v>
      </c>
      <c r="G364" t="s">
        <v>3890</v>
      </c>
      <c r="H364" t="s">
        <v>4937</v>
      </c>
      <c r="I364" t="s">
        <v>4810</v>
      </c>
      <c r="J364">
        <v>2</v>
      </c>
      <c r="K364">
        <v>3.0579999999999998</v>
      </c>
      <c r="L364">
        <v>3.181</v>
      </c>
      <c r="M364">
        <v>3.3079999999999998</v>
      </c>
      <c r="N364">
        <v>3.44</v>
      </c>
      <c r="O364">
        <v>3.5779999999999998</v>
      </c>
      <c r="P364">
        <v>3.7210000000000001</v>
      </c>
      <c r="Q364">
        <v>3.87</v>
      </c>
      <c r="R364">
        <v>4.024</v>
      </c>
      <c r="S364">
        <v>4.1849999999999996</v>
      </c>
      <c r="T364">
        <v>4.3529999999999998</v>
      </c>
      <c r="U364">
        <v>4.5270000000000001</v>
      </c>
      <c r="V364">
        <v>4.7080000000000002</v>
      </c>
      <c r="W364">
        <v>4.8959999999999999</v>
      </c>
      <c r="X364">
        <v>5.0919999999999996</v>
      </c>
      <c r="Y364">
        <v>5.2960000000000003</v>
      </c>
      <c r="Z364">
        <v>5.508</v>
      </c>
      <c r="AA364">
        <v>5.7279999999999998</v>
      </c>
      <c r="AB364">
        <v>5.9569999999999999</v>
      </c>
      <c r="AC364">
        <v>6.1950000000000003</v>
      </c>
      <c r="AD364">
        <v>6.4429999999999996</v>
      </c>
    </row>
    <row r="365" spans="2:30" x14ac:dyDescent="0.25">
      <c r="B365" t="s">
        <v>133</v>
      </c>
      <c r="C365" t="s">
        <v>3256</v>
      </c>
      <c r="D365" t="s">
        <v>4969</v>
      </c>
      <c r="E365" t="s">
        <v>4970</v>
      </c>
      <c r="F365" t="s">
        <v>4971</v>
      </c>
      <c r="G365" t="s">
        <v>3890</v>
      </c>
      <c r="H365" t="s">
        <v>4695</v>
      </c>
      <c r="I365" t="s">
        <v>4687</v>
      </c>
      <c r="J365">
        <v>2</v>
      </c>
      <c r="K365">
        <v>54.808999999999997</v>
      </c>
      <c r="L365">
        <v>57.000999999999998</v>
      </c>
      <c r="M365">
        <v>59.280999999999999</v>
      </c>
      <c r="N365">
        <v>61.652000000000001</v>
      </c>
      <c r="O365">
        <v>64.117999999999995</v>
      </c>
      <c r="P365">
        <v>66.682000000000002</v>
      </c>
      <c r="Q365">
        <v>69.349000000000004</v>
      </c>
      <c r="R365">
        <v>72.123000000000005</v>
      </c>
      <c r="S365">
        <v>75.007999999999996</v>
      </c>
      <c r="T365">
        <v>78.007999999999996</v>
      </c>
      <c r="U365">
        <v>81.128</v>
      </c>
      <c r="V365">
        <v>84.373000000000005</v>
      </c>
      <c r="W365">
        <v>87.748000000000005</v>
      </c>
      <c r="X365">
        <v>91.257000000000005</v>
      </c>
      <c r="Y365">
        <v>94.906999999999996</v>
      </c>
      <c r="Z365">
        <v>98.703000000000003</v>
      </c>
      <c r="AA365">
        <v>102.651</v>
      </c>
      <c r="AB365">
        <v>106.75700000000001</v>
      </c>
      <c r="AC365">
        <v>111.027</v>
      </c>
      <c r="AD365">
        <v>115.467</v>
      </c>
    </row>
    <row r="366" spans="2:30" x14ac:dyDescent="0.25">
      <c r="B366" t="s">
        <v>133</v>
      </c>
      <c r="C366" t="s">
        <v>3256</v>
      </c>
      <c r="D366" t="s">
        <v>4972</v>
      </c>
      <c r="E366" t="s">
        <v>4973</v>
      </c>
      <c r="F366" t="s">
        <v>4974</v>
      </c>
      <c r="G366" t="s">
        <v>3890</v>
      </c>
      <c r="H366" t="s">
        <v>4645</v>
      </c>
      <c r="I366" t="s">
        <v>4810</v>
      </c>
      <c r="J366">
        <v>2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</row>
    <row r="367" spans="2:30" x14ac:dyDescent="0.25">
      <c r="B367" t="s">
        <v>133</v>
      </c>
      <c r="C367" t="s">
        <v>3256</v>
      </c>
      <c r="D367" t="s">
        <v>4975</v>
      </c>
      <c r="E367" t="s">
        <v>4976</v>
      </c>
      <c r="F367" t="s">
        <v>4977</v>
      </c>
      <c r="G367" t="s">
        <v>3890</v>
      </c>
      <c r="H367" t="s">
        <v>4394</v>
      </c>
      <c r="I367" t="s">
        <v>4810</v>
      </c>
      <c r="J367">
        <v>2</v>
      </c>
      <c r="K367">
        <v>11.488</v>
      </c>
      <c r="L367">
        <v>9.3889999999999993</v>
      </c>
      <c r="M367">
        <v>8.7669999999999995</v>
      </c>
      <c r="N367">
        <v>8.8460000000000001</v>
      </c>
      <c r="O367">
        <v>8.8919999999999995</v>
      </c>
      <c r="P367">
        <v>8.7729999999999997</v>
      </c>
      <c r="Q367">
        <v>8.6319999999999997</v>
      </c>
      <c r="R367">
        <v>8.5820000000000007</v>
      </c>
      <c r="S367">
        <v>8.5679999999999996</v>
      </c>
      <c r="T367">
        <v>8.56</v>
      </c>
      <c r="U367">
        <v>8.56</v>
      </c>
      <c r="V367">
        <v>8.56</v>
      </c>
      <c r="W367">
        <v>8.56</v>
      </c>
      <c r="X367">
        <v>8.56</v>
      </c>
      <c r="Y367">
        <v>8.56</v>
      </c>
      <c r="Z367">
        <v>8.56</v>
      </c>
      <c r="AA367">
        <v>8.56</v>
      </c>
      <c r="AB367">
        <v>8.56</v>
      </c>
      <c r="AC367">
        <v>8.56</v>
      </c>
      <c r="AD367">
        <v>8.56</v>
      </c>
    </row>
    <row r="368" spans="2:30" x14ac:dyDescent="0.25">
      <c r="B368" t="s">
        <v>133</v>
      </c>
      <c r="C368" t="s">
        <v>3256</v>
      </c>
      <c r="D368" t="s">
        <v>4978</v>
      </c>
      <c r="E368" t="s">
        <v>4979</v>
      </c>
      <c r="F368" t="s">
        <v>4980</v>
      </c>
      <c r="G368" t="s">
        <v>3890</v>
      </c>
      <c r="H368" t="s">
        <v>4653</v>
      </c>
      <c r="I368" t="s">
        <v>4810</v>
      </c>
      <c r="J368">
        <v>2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  <c r="W368" t="e">
        <v>#N/A</v>
      </c>
      <c r="X368" t="e">
        <v>#N/A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</row>
    <row r="369" spans="2:30" x14ac:dyDescent="0.25">
      <c r="B369" t="s">
        <v>133</v>
      </c>
      <c r="C369" t="s">
        <v>3256</v>
      </c>
      <c r="D369" t="s">
        <v>4981</v>
      </c>
      <c r="E369" t="s">
        <v>4982</v>
      </c>
      <c r="F369" t="s">
        <v>4983</v>
      </c>
      <c r="G369" t="s">
        <v>3890</v>
      </c>
      <c r="H369" t="s">
        <v>4669</v>
      </c>
      <c r="I369" t="s">
        <v>4810</v>
      </c>
      <c r="J369">
        <v>2</v>
      </c>
      <c r="K369">
        <v>3.0579999999999998</v>
      </c>
      <c r="L369">
        <v>3.18</v>
      </c>
      <c r="M369">
        <v>3.3069999999999999</v>
      </c>
      <c r="N369">
        <v>3.44</v>
      </c>
      <c r="O369">
        <v>3.577</v>
      </c>
      <c r="P369">
        <v>3.72</v>
      </c>
      <c r="Q369">
        <v>3.8690000000000002</v>
      </c>
      <c r="R369">
        <v>4.024</v>
      </c>
      <c r="S369">
        <v>4.1849999999999996</v>
      </c>
      <c r="T369">
        <v>4.3520000000000003</v>
      </c>
      <c r="U369">
        <v>4.5259999999999998</v>
      </c>
      <c r="V369">
        <v>4.7080000000000002</v>
      </c>
      <c r="W369">
        <v>4.8959999999999999</v>
      </c>
      <c r="X369">
        <v>5.0919999999999996</v>
      </c>
      <c r="Y369">
        <v>5.2949999999999999</v>
      </c>
      <c r="Z369">
        <v>5.5069999999999997</v>
      </c>
      <c r="AA369">
        <v>5.7270000000000003</v>
      </c>
      <c r="AB369">
        <v>5.9569999999999999</v>
      </c>
      <c r="AC369">
        <v>6.1950000000000003</v>
      </c>
      <c r="AD369">
        <v>6.4429999999999996</v>
      </c>
    </row>
    <row r="370" spans="2:30" x14ac:dyDescent="0.25">
      <c r="B370" t="s">
        <v>133</v>
      </c>
      <c r="C370" t="s">
        <v>3256</v>
      </c>
      <c r="D370" t="s">
        <v>4984</v>
      </c>
      <c r="E370" t="s">
        <v>4985</v>
      </c>
      <c r="F370" t="s">
        <v>4986</v>
      </c>
      <c r="G370" t="s">
        <v>3890</v>
      </c>
      <c r="H370" t="s">
        <v>4673</v>
      </c>
      <c r="I370" t="s">
        <v>4810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2:30" x14ac:dyDescent="0.25">
      <c r="B371" t="s">
        <v>133</v>
      </c>
      <c r="C371" t="s">
        <v>3256</v>
      </c>
      <c r="D371" t="s">
        <v>4987</v>
      </c>
      <c r="E371" t="s">
        <v>4988</v>
      </c>
      <c r="F371" t="s">
        <v>4989</v>
      </c>
      <c r="G371" t="s">
        <v>3890</v>
      </c>
      <c r="H371" t="s">
        <v>4925</v>
      </c>
      <c r="I371" t="s">
        <v>4810</v>
      </c>
      <c r="J371">
        <v>2</v>
      </c>
      <c r="K371">
        <v>2.7839999999999998</v>
      </c>
      <c r="L371">
        <v>2.6139999999999999</v>
      </c>
      <c r="M371">
        <v>2.6539999999999999</v>
      </c>
      <c r="N371">
        <v>2.6539999999999999</v>
      </c>
      <c r="O371">
        <v>3.77</v>
      </c>
      <c r="P371">
        <v>3.77</v>
      </c>
      <c r="Q371">
        <v>3.77</v>
      </c>
      <c r="R371">
        <v>3.77</v>
      </c>
      <c r="S371">
        <v>3.77</v>
      </c>
      <c r="T371">
        <v>3.77</v>
      </c>
      <c r="U371">
        <v>3.77</v>
      </c>
      <c r="V371">
        <v>3.77</v>
      </c>
      <c r="W371">
        <v>3.77</v>
      </c>
      <c r="X371">
        <v>3.77</v>
      </c>
      <c r="Y371">
        <v>3.77</v>
      </c>
      <c r="Z371">
        <v>3.77</v>
      </c>
      <c r="AA371">
        <v>3.77</v>
      </c>
      <c r="AB371">
        <v>3.77</v>
      </c>
      <c r="AC371">
        <v>3.77</v>
      </c>
      <c r="AD371">
        <v>3.77</v>
      </c>
    </row>
    <row r="372" spans="2:30" x14ac:dyDescent="0.25">
      <c r="B372" t="s">
        <v>133</v>
      </c>
      <c r="C372" t="s">
        <v>3256</v>
      </c>
      <c r="D372" t="s">
        <v>4990</v>
      </c>
      <c r="E372" t="s">
        <v>4991</v>
      </c>
      <c r="F372" t="s">
        <v>4992</v>
      </c>
      <c r="G372" t="s">
        <v>3890</v>
      </c>
      <c r="H372" t="s">
        <v>4929</v>
      </c>
      <c r="I372" t="s">
        <v>4810</v>
      </c>
      <c r="J372">
        <v>2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s="169" t="e">
        <v>#N/A</v>
      </c>
      <c r="Y372" s="169" t="e">
        <v>#N/A</v>
      </c>
      <c r="Z372" s="169" t="e">
        <v>#N/A</v>
      </c>
      <c r="AA372" s="169" t="e">
        <v>#N/A</v>
      </c>
      <c r="AB372" s="169" t="e">
        <v>#N/A</v>
      </c>
      <c r="AC372" s="169" t="e">
        <v>#N/A</v>
      </c>
      <c r="AD372" s="169" t="e">
        <v>#N/A</v>
      </c>
    </row>
    <row r="373" spans="2:30" x14ac:dyDescent="0.25">
      <c r="B373" t="s">
        <v>133</v>
      </c>
      <c r="C373" t="s">
        <v>3256</v>
      </c>
      <c r="D373" t="s">
        <v>4993</v>
      </c>
      <c r="E373" t="s">
        <v>4455</v>
      </c>
      <c r="F373" t="s">
        <v>4456</v>
      </c>
      <c r="G373" t="s">
        <v>3890</v>
      </c>
      <c r="H373" t="s">
        <v>4897</v>
      </c>
      <c r="I373" t="s">
        <v>4810</v>
      </c>
      <c r="J373">
        <v>1</v>
      </c>
      <c r="K373">
        <v>-8.7029999999999994</v>
      </c>
      <c r="L373">
        <v>-6.7750000000000004</v>
      </c>
      <c r="M373">
        <v>-6.1120000000000001</v>
      </c>
      <c r="N373">
        <v>-6.1909999999999998</v>
      </c>
      <c r="O373">
        <v>-6.2380000000000004</v>
      </c>
      <c r="P373">
        <v>-6.1180000000000003</v>
      </c>
      <c r="Q373">
        <v>-5.9779999999999998</v>
      </c>
      <c r="R373">
        <v>-5.9279999999999999</v>
      </c>
      <c r="S373">
        <v>-5.9139999999999997</v>
      </c>
      <c r="T373">
        <v>-5.9059999999999997</v>
      </c>
      <c r="U373">
        <v>-5.9059999999999997</v>
      </c>
      <c r="V373">
        <v>-5.9059999999999997</v>
      </c>
      <c r="W373">
        <v>-5.9059999999999997</v>
      </c>
      <c r="X373" s="169">
        <v>-5.9059999999999997</v>
      </c>
      <c r="Y373" s="169">
        <v>-5.9059999999999997</v>
      </c>
      <c r="Z373" s="169">
        <v>-5.9059999999999997</v>
      </c>
      <c r="AA373" s="169">
        <v>-5.9059999999999997</v>
      </c>
      <c r="AB373" s="169">
        <v>-5.9059999999999997</v>
      </c>
      <c r="AC373" s="169">
        <v>-5.9059999999999997</v>
      </c>
      <c r="AD373" s="169">
        <v>-5.9059999999999997</v>
      </c>
    </row>
    <row r="374" spans="2:30" x14ac:dyDescent="0.25">
      <c r="B374" t="s">
        <v>133</v>
      </c>
      <c r="C374" t="s">
        <v>3256</v>
      </c>
      <c r="D374" t="s">
        <v>4994</v>
      </c>
      <c r="E374" t="s">
        <v>4995</v>
      </c>
      <c r="F374" t="s">
        <v>4996</v>
      </c>
      <c r="G374" t="s">
        <v>3890</v>
      </c>
      <c r="H374" t="s">
        <v>4686</v>
      </c>
      <c r="I374" t="s">
        <v>4687</v>
      </c>
      <c r="J374">
        <v>1</v>
      </c>
      <c r="K374">
        <v>-155.976</v>
      </c>
      <c r="L374">
        <v>-121.42400000000001</v>
      </c>
      <c r="M374">
        <v>-109.542</v>
      </c>
      <c r="N374">
        <v>-110.958</v>
      </c>
      <c r="O374">
        <v>-111.785</v>
      </c>
      <c r="P374">
        <v>-109.64700000000001</v>
      </c>
      <c r="Q374">
        <v>-107.131</v>
      </c>
      <c r="R374">
        <v>-106.235</v>
      </c>
      <c r="S374">
        <v>-105.98099999999999</v>
      </c>
      <c r="T374">
        <v>-105.837</v>
      </c>
      <c r="U374">
        <v>-105.837</v>
      </c>
      <c r="V374">
        <v>-105.837</v>
      </c>
      <c r="W374">
        <v>-105.837</v>
      </c>
      <c r="X374">
        <v>-105.837</v>
      </c>
      <c r="Y374">
        <v>-105.837</v>
      </c>
      <c r="Z374">
        <v>-105.837</v>
      </c>
      <c r="AA374">
        <v>-105.837</v>
      </c>
      <c r="AB374">
        <v>-105.837</v>
      </c>
      <c r="AC374">
        <v>-105.837</v>
      </c>
      <c r="AD374">
        <v>-105.837</v>
      </c>
    </row>
    <row r="375" spans="2:30" x14ac:dyDescent="0.25">
      <c r="B375" t="s">
        <v>133</v>
      </c>
      <c r="C375" t="s">
        <v>3256</v>
      </c>
      <c r="D375" t="s">
        <v>4997</v>
      </c>
      <c r="E375" t="s">
        <v>4998</v>
      </c>
      <c r="F375" t="s">
        <v>4999</v>
      </c>
      <c r="G375" t="s">
        <v>3890</v>
      </c>
      <c r="H375" t="s">
        <v>4937</v>
      </c>
      <c r="I375" t="s">
        <v>4810</v>
      </c>
      <c r="J375">
        <v>2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  <c r="W375" t="e">
        <v>#N/A</v>
      </c>
      <c r="X375" t="e">
        <v>#N/A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</row>
    <row r="376" spans="2:30" x14ac:dyDescent="0.25">
      <c r="B376" t="s">
        <v>133</v>
      </c>
      <c r="C376" t="s">
        <v>3256</v>
      </c>
      <c r="D376" t="s">
        <v>5000</v>
      </c>
      <c r="E376" t="s">
        <v>5001</v>
      </c>
      <c r="F376" t="s">
        <v>5002</v>
      </c>
      <c r="G376" t="s">
        <v>3890</v>
      </c>
      <c r="H376" t="s">
        <v>4695</v>
      </c>
      <c r="I376" t="s">
        <v>4687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2:30" x14ac:dyDescent="0.25">
      <c r="B377" t="s">
        <v>133</v>
      </c>
      <c r="C377" t="s">
        <v>3256</v>
      </c>
      <c r="D377" t="s">
        <v>5003</v>
      </c>
      <c r="E377" t="s">
        <v>5004</v>
      </c>
      <c r="F377" t="s">
        <v>5005</v>
      </c>
      <c r="G377" t="s">
        <v>3890</v>
      </c>
      <c r="H377" t="s">
        <v>4645</v>
      </c>
      <c r="I377" t="s">
        <v>4263</v>
      </c>
      <c r="J377">
        <v>2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</row>
    <row r="378" spans="2:30" x14ac:dyDescent="0.25">
      <c r="B378" t="s">
        <v>133</v>
      </c>
      <c r="C378" t="s">
        <v>3256</v>
      </c>
      <c r="D378" t="s">
        <v>5006</v>
      </c>
      <c r="E378" t="s">
        <v>5007</v>
      </c>
      <c r="F378" t="s">
        <v>5008</v>
      </c>
      <c r="G378" t="s">
        <v>3890</v>
      </c>
      <c r="H378" t="s">
        <v>4394</v>
      </c>
      <c r="I378" t="s">
        <v>4263</v>
      </c>
      <c r="J378">
        <v>2</v>
      </c>
      <c r="K378">
        <v>6.4000000000000001E-2</v>
      </c>
      <c r="L378">
        <v>6.2E-2</v>
      </c>
      <c r="M378">
        <v>0.107</v>
      </c>
      <c r="N378">
        <v>0.105</v>
      </c>
      <c r="O378">
        <v>0.107</v>
      </c>
      <c r="P378">
        <v>0.108</v>
      </c>
      <c r="Q378">
        <v>0.108</v>
      </c>
      <c r="R378">
        <v>0.107</v>
      </c>
      <c r="S378">
        <v>0.107</v>
      </c>
      <c r="T378">
        <v>0.107</v>
      </c>
      <c r="U378">
        <v>0.107</v>
      </c>
      <c r="V378">
        <v>0.106</v>
      </c>
      <c r="W378">
        <v>0.106</v>
      </c>
      <c r="X378">
        <v>0.106</v>
      </c>
      <c r="Y378">
        <v>0.106</v>
      </c>
      <c r="Z378">
        <v>0.105</v>
      </c>
      <c r="AA378">
        <v>0.105</v>
      </c>
      <c r="AB378">
        <v>0.105</v>
      </c>
      <c r="AC378">
        <v>0.104</v>
      </c>
      <c r="AD378">
        <v>0.104</v>
      </c>
    </row>
    <row r="379" spans="2:30" x14ac:dyDescent="0.25">
      <c r="B379" t="s">
        <v>133</v>
      </c>
      <c r="C379" t="s">
        <v>3256</v>
      </c>
      <c r="D379" t="s">
        <v>5009</v>
      </c>
      <c r="E379" t="s">
        <v>5010</v>
      </c>
      <c r="F379" t="s">
        <v>5011</v>
      </c>
      <c r="G379" t="s">
        <v>3890</v>
      </c>
      <c r="H379" t="s">
        <v>4653</v>
      </c>
      <c r="I379" t="s">
        <v>4263</v>
      </c>
      <c r="J379">
        <v>2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e">
        <v>#N/A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</row>
    <row r="380" spans="2:30" x14ac:dyDescent="0.25">
      <c r="B380" t="s">
        <v>133</v>
      </c>
      <c r="C380" t="s">
        <v>3256</v>
      </c>
      <c r="D380" t="s">
        <v>5012</v>
      </c>
      <c r="E380" t="s">
        <v>5013</v>
      </c>
      <c r="F380" t="s">
        <v>5014</v>
      </c>
      <c r="G380" t="s">
        <v>3890</v>
      </c>
      <c r="H380" t="s">
        <v>4669</v>
      </c>
      <c r="I380" t="s">
        <v>4263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2:30" x14ac:dyDescent="0.25">
      <c r="B381" t="s">
        <v>133</v>
      </c>
      <c r="C381" t="s">
        <v>3256</v>
      </c>
      <c r="D381" t="s">
        <v>5015</v>
      </c>
      <c r="E381" t="s">
        <v>5016</v>
      </c>
      <c r="F381" t="s">
        <v>5017</v>
      </c>
      <c r="G381" t="s">
        <v>3890</v>
      </c>
      <c r="H381" t="s">
        <v>4673</v>
      </c>
      <c r="I381" t="s">
        <v>4263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2:30" x14ac:dyDescent="0.25">
      <c r="B382" t="s">
        <v>133</v>
      </c>
      <c r="C382" t="s">
        <v>3256</v>
      </c>
      <c r="D382" t="s">
        <v>5018</v>
      </c>
      <c r="E382" t="s">
        <v>5019</v>
      </c>
      <c r="F382" t="s">
        <v>5020</v>
      </c>
      <c r="G382" t="s">
        <v>3890</v>
      </c>
      <c r="H382" t="s">
        <v>5021</v>
      </c>
      <c r="I382" t="s">
        <v>4263</v>
      </c>
      <c r="J382">
        <v>2</v>
      </c>
      <c r="K382">
        <v>6.4000000000000001E-2</v>
      </c>
      <c r="L382">
        <v>6.2E-2</v>
      </c>
      <c r="M382">
        <v>5.1999999999999998E-2</v>
      </c>
      <c r="N382">
        <v>4.9000000000000002E-2</v>
      </c>
      <c r="O382">
        <v>0.06</v>
      </c>
      <c r="P382">
        <v>0.06</v>
      </c>
      <c r="Q382">
        <v>6.0999999999999999E-2</v>
      </c>
      <c r="R382">
        <v>0.06</v>
      </c>
      <c r="S382">
        <v>0.06</v>
      </c>
      <c r="T382">
        <v>5.8999999999999997E-2</v>
      </c>
      <c r="U382">
        <v>5.8999999999999997E-2</v>
      </c>
      <c r="V382">
        <v>5.8000000000000003E-2</v>
      </c>
      <c r="W382">
        <v>5.8000000000000003E-2</v>
      </c>
      <c r="X382">
        <v>5.8000000000000003E-2</v>
      </c>
      <c r="Y382">
        <v>5.8000000000000003E-2</v>
      </c>
      <c r="Z382">
        <v>5.7000000000000002E-2</v>
      </c>
      <c r="AA382">
        <v>5.7000000000000002E-2</v>
      </c>
      <c r="AB382">
        <v>5.7000000000000002E-2</v>
      </c>
      <c r="AC382">
        <v>5.6000000000000001E-2</v>
      </c>
      <c r="AD382">
        <v>5.6000000000000001E-2</v>
      </c>
    </row>
    <row r="383" spans="2:30" x14ac:dyDescent="0.25">
      <c r="B383" t="s">
        <v>133</v>
      </c>
      <c r="C383" t="s">
        <v>3256</v>
      </c>
      <c r="D383" t="s">
        <v>5022</v>
      </c>
      <c r="E383" t="s">
        <v>5023</v>
      </c>
      <c r="F383" t="s">
        <v>5024</v>
      </c>
      <c r="G383" t="s">
        <v>3890</v>
      </c>
      <c r="H383" t="s">
        <v>5025</v>
      </c>
      <c r="I383" t="s">
        <v>4263</v>
      </c>
      <c r="J383">
        <v>2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</row>
    <row r="384" spans="2:30" x14ac:dyDescent="0.25">
      <c r="B384" t="s">
        <v>133</v>
      </c>
      <c r="C384" t="s">
        <v>3256</v>
      </c>
      <c r="D384" t="s">
        <v>5026</v>
      </c>
      <c r="E384" t="s">
        <v>4433</v>
      </c>
      <c r="F384" t="s">
        <v>4434</v>
      </c>
      <c r="G384" t="s">
        <v>3890</v>
      </c>
      <c r="H384" t="s">
        <v>4832</v>
      </c>
      <c r="I384" t="s">
        <v>4263</v>
      </c>
      <c r="J384">
        <v>1</v>
      </c>
      <c r="K384">
        <v>0</v>
      </c>
      <c r="L384">
        <v>0</v>
      </c>
      <c r="M384">
        <v>-5.5E-2</v>
      </c>
      <c r="N384">
        <v>-5.5E-2</v>
      </c>
      <c r="O384">
        <v>-5.5E-2</v>
      </c>
      <c r="P384">
        <v>-5.5E-2</v>
      </c>
      <c r="Q384">
        <v>-5.5E-2</v>
      </c>
      <c r="R384">
        <v>-5.5E-2</v>
      </c>
      <c r="S384">
        <v>-5.5E-2</v>
      </c>
      <c r="T384">
        <v>-5.5E-2</v>
      </c>
      <c r="U384">
        <v>-5.5E-2</v>
      </c>
      <c r="V384">
        <v>-5.5E-2</v>
      </c>
      <c r="W384">
        <v>-5.5E-2</v>
      </c>
      <c r="X384">
        <v>-5.5E-2</v>
      </c>
      <c r="Y384">
        <v>-5.5E-2</v>
      </c>
      <c r="Z384">
        <v>-5.5E-2</v>
      </c>
      <c r="AA384">
        <v>-5.5E-2</v>
      </c>
      <c r="AB384">
        <v>-5.5E-2</v>
      </c>
      <c r="AC384">
        <v>-5.5E-2</v>
      </c>
      <c r="AD384">
        <v>-5.5E-2</v>
      </c>
    </row>
    <row r="385" spans="2:30" x14ac:dyDescent="0.25">
      <c r="B385" t="s">
        <v>133</v>
      </c>
      <c r="C385" t="s">
        <v>3256</v>
      </c>
      <c r="D385" t="s">
        <v>5027</v>
      </c>
      <c r="E385" t="s">
        <v>5028</v>
      </c>
      <c r="F385" t="s">
        <v>5029</v>
      </c>
      <c r="G385" t="s">
        <v>3890</v>
      </c>
      <c r="H385" t="s">
        <v>4686</v>
      </c>
      <c r="I385" t="s">
        <v>4687</v>
      </c>
      <c r="J385">
        <v>1</v>
      </c>
      <c r="K385" t="e">
        <v>#DIV/0!</v>
      </c>
      <c r="L385" t="e">
        <v>#DIV/0!</v>
      </c>
      <c r="M385" t="e">
        <v>#DIV/0!</v>
      </c>
      <c r="N385" t="e">
        <v>#DIV/0!</v>
      </c>
      <c r="O385" t="e">
        <v>#DIV/0!</v>
      </c>
      <c r="P385" t="e">
        <v>#DIV/0!</v>
      </c>
      <c r="Q385" t="e">
        <v>#DIV/0!</v>
      </c>
      <c r="R385" t="e">
        <v>#DIV/0!</v>
      </c>
      <c r="S385" t="e">
        <v>#DIV/0!</v>
      </c>
      <c r="T385" t="e">
        <v>#DIV/0!</v>
      </c>
      <c r="U385" t="e">
        <v>#DIV/0!</v>
      </c>
      <c r="V385" t="e">
        <v>#DIV/0!</v>
      </c>
      <c r="W385" t="e">
        <v>#DIV/0!</v>
      </c>
      <c r="X385" t="e">
        <v>#DIV/0!</v>
      </c>
      <c r="Y385" t="e">
        <v>#DIV/0!</v>
      </c>
      <c r="Z385" t="e">
        <v>#DIV/0!</v>
      </c>
      <c r="AA385" t="e">
        <v>#DIV/0!</v>
      </c>
      <c r="AB385" t="e">
        <v>#DIV/0!</v>
      </c>
      <c r="AC385" t="e">
        <v>#DIV/0!</v>
      </c>
      <c r="AD385" t="e">
        <v>#DIV/0!</v>
      </c>
    </row>
    <row r="386" spans="2:30" x14ac:dyDescent="0.25">
      <c r="B386" t="s">
        <v>133</v>
      </c>
      <c r="C386" t="s">
        <v>3256</v>
      </c>
      <c r="D386" t="s">
        <v>5030</v>
      </c>
      <c r="E386" t="s">
        <v>5031</v>
      </c>
      <c r="F386" t="s">
        <v>5032</v>
      </c>
      <c r="G386" t="s">
        <v>3890</v>
      </c>
      <c r="H386" t="s">
        <v>5033</v>
      </c>
      <c r="I386" t="s">
        <v>4263</v>
      </c>
      <c r="J386">
        <v>2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</row>
    <row r="387" spans="2:30" x14ac:dyDescent="0.25">
      <c r="B387" t="s">
        <v>133</v>
      </c>
      <c r="C387" t="s">
        <v>3256</v>
      </c>
      <c r="D387" t="s">
        <v>5034</v>
      </c>
      <c r="E387" t="s">
        <v>5035</v>
      </c>
      <c r="F387" t="s">
        <v>5036</v>
      </c>
      <c r="G387" t="s">
        <v>3890</v>
      </c>
      <c r="H387" t="s">
        <v>4695</v>
      </c>
      <c r="I387" t="s">
        <v>4687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2:30" x14ac:dyDescent="0.25">
      <c r="B388" t="s">
        <v>133</v>
      </c>
      <c r="C388" t="s">
        <v>3256</v>
      </c>
      <c r="D388" t="s">
        <v>5037</v>
      </c>
      <c r="E388" t="s">
        <v>5038</v>
      </c>
      <c r="F388" t="s">
        <v>5039</v>
      </c>
      <c r="G388" t="s">
        <v>3890</v>
      </c>
      <c r="H388" t="s">
        <v>4645</v>
      </c>
      <c r="I388" t="s">
        <v>4263</v>
      </c>
      <c r="J388">
        <v>2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</row>
    <row r="389" spans="2:30" x14ac:dyDescent="0.25">
      <c r="B389" t="s">
        <v>133</v>
      </c>
      <c r="C389" t="s">
        <v>3256</v>
      </c>
      <c r="D389" t="s">
        <v>5040</v>
      </c>
      <c r="E389" t="s">
        <v>4396</v>
      </c>
      <c r="F389" t="s">
        <v>4397</v>
      </c>
      <c r="G389" t="s">
        <v>3890</v>
      </c>
      <c r="H389" t="s">
        <v>4394</v>
      </c>
      <c r="I389" t="s">
        <v>4263</v>
      </c>
      <c r="J389">
        <v>2</v>
      </c>
      <c r="K389">
        <v>5.8999999999999997E-2</v>
      </c>
      <c r="L389">
        <v>5.0999999999999997E-2</v>
      </c>
      <c r="M389">
        <v>0.10100000000000001</v>
      </c>
      <c r="N389">
        <v>9.8000000000000004E-2</v>
      </c>
      <c r="O389">
        <v>0.1</v>
      </c>
      <c r="P389">
        <v>0.10100000000000001</v>
      </c>
      <c r="Q389">
        <v>0.10100000000000001</v>
      </c>
      <c r="R389">
        <v>0.10100000000000001</v>
      </c>
      <c r="S389">
        <v>0.10100000000000001</v>
      </c>
      <c r="T389">
        <v>0.1</v>
      </c>
      <c r="U389">
        <v>0.1</v>
      </c>
      <c r="V389">
        <v>0.1</v>
      </c>
      <c r="W389">
        <v>0.1</v>
      </c>
      <c r="X389">
        <v>0.1</v>
      </c>
      <c r="Y389">
        <v>9.9000000000000005E-2</v>
      </c>
      <c r="Z389">
        <v>9.9000000000000005E-2</v>
      </c>
      <c r="AA389">
        <v>9.9000000000000005E-2</v>
      </c>
      <c r="AB389">
        <v>9.8000000000000004E-2</v>
      </c>
      <c r="AC389">
        <v>9.8000000000000004E-2</v>
      </c>
      <c r="AD389">
        <v>9.8000000000000004E-2</v>
      </c>
    </row>
    <row r="390" spans="2:30" x14ac:dyDescent="0.25">
      <c r="B390" t="s">
        <v>133</v>
      </c>
      <c r="C390" t="s">
        <v>3256</v>
      </c>
      <c r="D390" t="s">
        <v>5041</v>
      </c>
      <c r="E390" t="s">
        <v>5042</v>
      </c>
      <c r="F390" t="s">
        <v>5043</v>
      </c>
      <c r="G390" t="s">
        <v>3890</v>
      </c>
      <c r="H390" t="s">
        <v>4653</v>
      </c>
      <c r="I390" t="s">
        <v>4263</v>
      </c>
      <c r="J390">
        <v>2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</row>
    <row r="391" spans="2:30" x14ac:dyDescent="0.25">
      <c r="B391" t="s">
        <v>133</v>
      </c>
      <c r="C391" t="s">
        <v>3256</v>
      </c>
      <c r="D391" t="s">
        <v>5044</v>
      </c>
      <c r="E391" t="s">
        <v>5045</v>
      </c>
      <c r="F391" t="s">
        <v>5046</v>
      </c>
      <c r="G391" t="s">
        <v>3890</v>
      </c>
      <c r="H391" t="s">
        <v>4669</v>
      </c>
      <c r="I391" t="s">
        <v>4263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2:30" x14ac:dyDescent="0.25">
      <c r="B392" t="s">
        <v>133</v>
      </c>
      <c r="C392" t="s">
        <v>3256</v>
      </c>
      <c r="D392" t="s">
        <v>5047</v>
      </c>
      <c r="E392" t="s">
        <v>5048</v>
      </c>
      <c r="F392" t="s">
        <v>5049</v>
      </c>
      <c r="G392" t="s">
        <v>3890</v>
      </c>
      <c r="H392" t="s">
        <v>4673</v>
      </c>
      <c r="I392" t="s">
        <v>4263</v>
      </c>
      <c r="J392">
        <v>2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</row>
    <row r="393" spans="2:30" x14ac:dyDescent="0.25">
      <c r="B393" t="s">
        <v>133</v>
      </c>
      <c r="C393" t="s">
        <v>3256</v>
      </c>
      <c r="D393" t="s">
        <v>5050</v>
      </c>
      <c r="E393" t="s">
        <v>5051</v>
      </c>
      <c r="F393" t="s">
        <v>5052</v>
      </c>
      <c r="G393" t="s">
        <v>3890</v>
      </c>
      <c r="H393" t="s">
        <v>5021</v>
      </c>
      <c r="I393" t="s">
        <v>4263</v>
      </c>
      <c r="J393">
        <v>2</v>
      </c>
      <c r="K393">
        <v>6.0999999999999999E-2</v>
      </c>
      <c r="L393">
        <v>5.1999999999999998E-2</v>
      </c>
      <c r="M393">
        <v>4.5999999999999999E-2</v>
      </c>
      <c r="N393">
        <v>4.2999999999999997E-2</v>
      </c>
      <c r="O393">
        <v>5.2999999999999999E-2</v>
      </c>
      <c r="P393">
        <v>5.3999999999999999E-2</v>
      </c>
      <c r="Q393">
        <v>5.5E-2</v>
      </c>
      <c r="R393">
        <v>5.3999999999999999E-2</v>
      </c>
      <c r="S393">
        <v>5.2999999999999999E-2</v>
      </c>
      <c r="T393">
        <v>5.2999999999999999E-2</v>
      </c>
      <c r="U393">
        <v>5.1999999999999998E-2</v>
      </c>
      <c r="V393">
        <v>5.1999999999999998E-2</v>
      </c>
      <c r="W393">
        <v>5.1999999999999998E-2</v>
      </c>
      <c r="X393">
        <v>5.1999999999999998E-2</v>
      </c>
      <c r="Y393">
        <v>5.0999999999999997E-2</v>
      </c>
      <c r="Z393">
        <v>5.0999999999999997E-2</v>
      </c>
      <c r="AA393">
        <v>5.0999999999999997E-2</v>
      </c>
      <c r="AB393">
        <v>0.05</v>
      </c>
      <c r="AC393">
        <v>0.05</v>
      </c>
      <c r="AD393">
        <v>0.05</v>
      </c>
    </row>
    <row r="394" spans="2:30" x14ac:dyDescent="0.25">
      <c r="B394" t="s">
        <v>133</v>
      </c>
      <c r="C394" t="s">
        <v>3256</v>
      </c>
      <c r="D394" t="s">
        <v>5053</v>
      </c>
      <c r="E394" t="s">
        <v>5054</v>
      </c>
      <c r="F394" t="s">
        <v>5055</v>
      </c>
      <c r="G394" t="s">
        <v>3890</v>
      </c>
      <c r="H394" t="s">
        <v>5025</v>
      </c>
      <c r="I394" t="s">
        <v>4263</v>
      </c>
      <c r="J394">
        <v>2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</row>
    <row r="395" spans="2:30" x14ac:dyDescent="0.25">
      <c r="B395" t="s">
        <v>133</v>
      </c>
      <c r="C395" t="s">
        <v>3256</v>
      </c>
      <c r="D395" t="s">
        <v>5056</v>
      </c>
      <c r="E395" t="s">
        <v>4437</v>
      </c>
      <c r="F395" t="s">
        <v>4438</v>
      </c>
      <c r="G395" t="s">
        <v>3890</v>
      </c>
      <c r="H395" t="s">
        <v>4865</v>
      </c>
      <c r="I395" t="s">
        <v>4263</v>
      </c>
      <c r="J395">
        <v>1</v>
      </c>
      <c r="K395">
        <v>2E-3</v>
      </c>
      <c r="L395">
        <v>1E-3</v>
      </c>
      <c r="M395">
        <v>-5.5E-2</v>
      </c>
      <c r="N395">
        <v>-5.5E-2</v>
      </c>
      <c r="O395">
        <v>-5.5E-2</v>
      </c>
      <c r="P395">
        <v>-5.5E-2</v>
      </c>
      <c r="Q395">
        <v>-5.5E-2</v>
      </c>
      <c r="R395">
        <v>-5.5E-2</v>
      </c>
      <c r="S395">
        <v>-5.5E-2</v>
      </c>
      <c r="T395">
        <v>-5.5E-2</v>
      </c>
      <c r="U395">
        <v>-5.5E-2</v>
      </c>
      <c r="V395">
        <v>-5.5E-2</v>
      </c>
      <c r="W395">
        <v>-5.5E-2</v>
      </c>
      <c r="X395">
        <v>-5.5E-2</v>
      </c>
      <c r="Y395">
        <v>-5.5E-2</v>
      </c>
      <c r="Z395">
        <v>-5.5E-2</v>
      </c>
      <c r="AA395">
        <v>-5.5E-2</v>
      </c>
      <c r="AB395">
        <v>-5.5E-2</v>
      </c>
      <c r="AC395">
        <v>-5.5E-2</v>
      </c>
      <c r="AD395">
        <v>-5.5E-2</v>
      </c>
    </row>
    <row r="396" spans="2:30" x14ac:dyDescent="0.25">
      <c r="B396" t="s">
        <v>133</v>
      </c>
      <c r="C396" t="s">
        <v>3256</v>
      </c>
      <c r="D396" t="s">
        <v>5057</v>
      </c>
      <c r="E396" t="s">
        <v>5058</v>
      </c>
      <c r="F396" t="s">
        <v>5059</v>
      </c>
      <c r="G396" t="s">
        <v>3890</v>
      </c>
      <c r="H396" t="s">
        <v>4686</v>
      </c>
      <c r="I396" t="s">
        <v>4687</v>
      </c>
      <c r="J396">
        <v>1</v>
      </c>
      <c r="K396" t="e">
        <v>#DIV/0!</v>
      </c>
      <c r="L396" t="e">
        <v>#DIV/0!</v>
      </c>
      <c r="M396" t="e">
        <v>#DIV/0!</v>
      </c>
      <c r="N396" t="e">
        <v>#DIV/0!</v>
      </c>
      <c r="O396" t="e">
        <v>#DIV/0!</v>
      </c>
      <c r="P396" t="e">
        <v>#DIV/0!</v>
      </c>
      <c r="Q396" t="e">
        <v>#DIV/0!</v>
      </c>
      <c r="R396" t="e">
        <v>#DIV/0!</v>
      </c>
      <c r="S396" t="e">
        <v>#DIV/0!</v>
      </c>
      <c r="T396" t="e">
        <v>#DIV/0!</v>
      </c>
      <c r="U396" t="e">
        <v>#DIV/0!</v>
      </c>
      <c r="V396" t="e">
        <v>#DIV/0!</v>
      </c>
      <c r="W396" t="e">
        <v>#DIV/0!</v>
      </c>
      <c r="X396" t="e">
        <v>#DIV/0!</v>
      </c>
      <c r="Y396" t="e">
        <v>#DIV/0!</v>
      </c>
      <c r="Z396" t="e">
        <v>#DIV/0!</v>
      </c>
      <c r="AA396" t="e">
        <v>#DIV/0!</v>
      </c>
      <c r="AB396" t="e">
        <v>#DIV/0!</v>
      </c>
      <c r="AC396" t="e">
        <v>#DIV/0!</v>
      </c>
      <c r="AD396" t="e">
        <v>#DIV/0!</v>
      </c>
    </row>
    <row r="397" spans="2:30" x14ac:dyDescent="0.25">
      <c r="B397" t="s">
        <v>133</v>
      </c>
      <c r="C397" t="s">
        <v>3256</v>
      </c>
      <c r="D397" t="s">
        <v>5060</v>
      </c>
      <c r="E397" t="s">
        <v>5061</v>
      </c>
      <c r="F397" t="s">
        <v>5062</v>
      </c>
      <c r="G397" t="s">
        <v>3890</v>
      </c>
      <c r="H397" t="s">
        <v>5033</v>
      </c>
      <c r="I397" t="s">
        <v>4263</v>
      </c>
      <c r="J397">
        <v>2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</row>
    <row r="398" spans="2:30" x14ac:dyDescent="0.25">
      <c r="B398" t="s">
        <v>133</v>
      </c>
      <c r="C398" t="s">
        <v>3256</v>
      </c>
      <c r="D398" t="s">
        <v>5063</v>
      </c>
      <c r="E398" t="s">
        <v>5064</v>
      </c>
      <c r="F398" t="s">
        <v>5065</v>
      </c>
      <c r="G398" t="s">
        <v>3890</v>
      </c>
      <c r="H398" t="s">
        <v>4695</v>
      </c>
      <c r="I398" t="s">
        <v>4687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2:30" x14ac:dyDescent="0.25">
      <c r="B399" t="s">
        <v>133</v>
      </c>
      <c r="C399" t="s">
        <v>3256</v>
      </c>
      <c r="D399" t="s">
        <v>5066</v>
      </c>
      <c r="E399" t="s">
        <v>5067</v>
      </c>
      <c r="F399" t="s">
        <v>5068</v>
      </c>
      <c r="G399" t="s">
        <v>3890</v>
      </c>
      <c r="H399" t="s">
        <v>4695</v>
      </c>
      <c r="I399" t="s">
        <v>4687</v>
      </c>
      <c r="J399">
        <v>1</v>
      </c>
      <c r="K399">
        <v>2.6909999999999998</v>
      </c>
      <c r="L399">
        <v>2.8210000000000002</v>
      </c>
      <c r="M399">
        <v>3.3180000000000001</v>
      </c>
      <c r="N399">
        <v>3.53</v>
      </c>
      <c r="O399">
        <v>3.6869999999999998</v>
      </c>
      <c r="P399">
        <v>3.7810000000000001</v>
      </c>
      <c r="Q399">
        <v>3.8290000000000002</v>
      </c>
      <c r="R399">
        <v>3.87</v>
      </c>
      <c r="S399">
        <v>3.9060000000000001</v>
      </c>
      <c r="T399">
        <v>3.93</v>
      </c>
      <c r="U399">
        <v>3.9470000000000001</v>
      </c>
      <c r="V399">
        <v>3.9569999999999999</v>
      </c>
      <c r="W399">
        <v>3.964</v>
      </c>
      <c r="X399">
        <v>3.9660000000000002</v>
      </c>
      <c r="Y399">
        <v>3.9660000000000002</v>
      </c>
      <c r="Z399">
        <v>3.96</v>
      </c>
      <c r="AA399">
        <v>3.9510000000000001</v>
      </c>
      <c r="AB399">
        <v>3.9359999999999999</v>
      </c>
      <c r="AC399">
        <v>3.9159999999999999</v>
      </c>
      <c r="AD399">
        <v>3.9020000000000001</v>
      </c>
    </row>
    <row r="400" spans="2:30" x14ac:dyDescent="0.25">
      <c r="B400" t="s">
        <v>133</v>
      </c>
      <c r="C400" t="s">
        <v>3256</v>
      </c>
      <c r="D400" t="s">
        <v>5069</v>
      </c>
      <c r="E400" t="s">
        <v>5070</v>
      </c>
      <c r="F400" t="s">
        <v>5071</v>
      </c>
      <c r="G400" t="s">
        <v>3890</v>
      </c>
      <c r="H400" t="s">
        <v>4695</v>
      </c>
      <c r="I400" t="s">
        <v>4687</v>
      </c>
      <c r="J400">
        <v>2</v>
      </c>
      <c r="K400">
        <v>2.6909999999999998</v>
      </c>
      <c r="L400">
        <v>2.8239999999999998</v>
      </c>
      <c r="M400">
        <v>3.3210000000000002</v>
      </c>
      <c r="N400">
        <v>3.5329999999999999</v>
      </c>
      <c r="O400">
        <v>3.2269999999999999</v>
      </c>
      <c r="P400">
        <v>3.4670000000000001</v>
      </c>
      <c r="Q400">
        <v>3.4540000000000002</v>
      </c>
      <c r="R400">
        <v>3.4940000000000002</v>
      </c>
      <c r="S400">
        <v>3.51</v>
      </c>
      <c r="T400">
        <v>3.5379999999999998</v>
      </c>
      <c r="U400">
        <v>3.552</v>
      </c>
      <c r="V400">
        <v>3.5640000000000001</v>
      </c>
      <c r="W400">
        <v>3.57</v>
      </c>
      <c r="X400">
        <v>3.5710000000000002</v>
      </c>
      <c r="Y400">
        <v>3.569</v>
      </c>
      <c r="Z400">
        <v>3.5670000000000002</v>
      </c>
      <c r="AA400">
        <v>3.56</v>
      </c>
      <c r="AB400">
        <v>3.5470000000000002</v>
      </c>
      <c r="AC400">
        <v>3.5259999999999998</v>
      </c>
      <c r="AD400">
        <v>3.512</v>
      </c>
    </row>
    <row r="401" spans="2:30" x14ac:dyDescent="0.25">
      <c r="B401" t="s">
        <v>133</v>
      </c>
      <c r="C401" t="s">
        <v>3256</v>
      </c>
      <c r="D401" t="s">
        <v>5072</v>
      </c>
      <c r="E401" t="s">
        <v>5073</v>
      </c>
      <c r="F401" t="s">
        <v>5074</v>
      </c>
      <c r="G401" t="s">
        <v>3890</v>
      </c>
      <c r="H401" t="s">
        <v>5075</v>
      </c>
      <c r="I401" t="s">
        <v>4687</v>
      </c>
      <c r="J401">
        <v>2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  <c r="W401" t="e">
        <v>#N/A</v>
      </c>
      <c r="X401" t="e">
        <v>#N/A</v>
      </c>
      <c r="Y401" t="e">
        <v>#N/A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</row>
    <row r="402" spans="2:30" x14ac:dyDescent="0.25">
      <c r="B402" t="s">
        <v>133</v>
      </c>
      <c r="C402" t="s">
        <v>3256</v>
      </c>
      <c r="D402" t="s">
        <v>5076</v>
      </c>
      <c r="E402" t="s">
        <v>5077</v>
      </c>
      <c r="F402" t="s">
        <v>5078</v>
      </c>
      <c r="G402" t="s">
        <v>3890</v>
      </c>
      <c r="H402" t="s">
        <v>5075</v>
      </c>
      <c r="I402" t="s">
        <v>4687</v>
      </c>
      <c r="J402">
        <v>2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  <c r="W402" t="e">
        <v>#N/A</v>
      </c>
      <c r="X402" t="e">
        <v>#N/A</v>
      </c>
      <c r="Y402" t="e">
        <v>#N/A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</row>
    <row r="403" spans="2:30" x14ac:dyDescent="0.25">
      <c r="B403" t="s">
        <v>133</v>
      </c>
      <c r="C403" t="s">
        <v>3256</v>
      </c>
      <c r="D403" t="s">
        <v>5079</v>
      </c>
      <c r="E403" t="s">
        <v>5080</v>
      </c>
      <c r="F403" t="s">
        <v>5081</v>
      </c>
      <c r="G403" t="s">
        <v>3890</v>
      </c>
      <c r="H403" t="s">
        <v>5075</v>
      </c>
      <c r="I403" t="s">
        <v>4687</v>
      </c>
      <c r="J403">
        <v>2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  <c r="W403" t="e">
        <v>#N/A</v>
      </c>
      <c r="X403" t="e">
        <v>#N/A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</row>
    <row r="404" spans="2:30" x14ac:dyDescent="0.25">
      <c r="B404" t="s">
        <v>133</v>
      </c>
      <c r="C404" t="s">
        <v>3256</v>
      </c>
      <c r="D404" t="s">
        <v>5082</v>
      </c>
      <c r="E404" t="s">
        <v>5083</v>
      </c>
      <c r="F404" t="s">
        <v>5084</v>
      </c>
      <c r="G404" t="s">
        <v>3890</v>
      </c>
      <c r="H404" t="s">
        <v>5075</v>
      </c>
      <c r="I404" t="s">
        <v>4687</v>
      </c>
      <c r="J404">
        <v>2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  <c r="W404" t="e">
        <v>#N/A</v>
      </c>
      <c r="X404" t="e">
        <v>#N/A</v>
      </c>
      <c r="Y404" t="e">
        <v>#N/A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</row>
    <row r="405" spans="2:30" x14ac:dyDescent="0.25">
      <c r="B405" t="s">
        <v>133</v>
      </c>
      <c r="C405" t="s">
        <v>3256</v>
      </c>
      <c r="D405" t="s">
        <v>5085</v>
      </c>
      <c r="E405" t="s">
        <v>5086</v>
      </c>
      <c r="F405" t="s">
        <v>5087</v>
      </c>
      <c r="G405" t="s">
        <v>3890</v>
      </c>
      <c r="H405" t="s">
        <v>5075</v>
      </c>
      <c r="I405" t="s">
        <v>4687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2:30" x14ac:dyDescent="0.25">
      <c r="B406" t="s">
        <v>133</v>
      </c>
      <c r="C406" t="s">
        <v>3256</v>
      </c>
      <c r="D406" t="s">
        <v>5088</v>
      </c>
      <c r="E406" t="s">
        <v>5089</v>
      </c>
      <c r="F406" t="s">
        <v>5090</v>
      </c>
      <c r="G406" t="s">
        <v>3890</v>
      </c>
      <c r="H406" t="s">
        <v>5075</v>
      </c>
      <c r="I406" t="s">
        <v>4687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2:30" x14ac:dyDescent="0.25">
      <c r="B407" t="s">
        <v>133</v>
      </c>
      <c r="C407" t="s">
        <v>3256</v>
      </c>
      <c r="D407" t="s">
        <v>5091</v>
      </c>
      <c r="E407" t="s">
        <v>5092</v>
      </c>
      <c r="F407" t="s">
        <v>5093</v>
      </c>
      <c r="G407" t="s">
        <v>3890</v>
      </c>
      <c r="H407" t="s">
        <v>5075</v>
      </c>
      <c r="I407" t="s">
        <v>4687</v>
      </c>
      <c r="J407">
        <v>2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</row>
    <row r="408" spans="2:30" x14ac:dyDescent="0.25">
      <c r="B408" t="s">
        <v>133</v>
      </c>
      <c r="C408" t="s">
        <v>3256</v>
      </c>
      <c r="D408" t="s">
        <v>5094</v>
      </c>
      <c r="E408" t="s">
        <v>5095</v>
      </c>
      <c r="F408" t="s">
        <v>5096</v>
      </c>
      <c r="G408" t="s">
        <v>3890</v>
      </c>
      <c r="H408" t="s">
        <v>5075</v>
      </c>
      <c r="I408" t="s">
        <v>4687</v>
      </c>
      <c r="J408">
        <v>2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  <c r="W408" t="e">
        <v>#N/A</v>
      </c>
      <c r="X408" t="e">
        <v>#N/A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</row>
    <row r="409" spans="2:30" x14ac:dyDescent="0.25">
      <c r="B409" t="s">
        <v>133</v>
      </c>
      <c r="C409" t="s">
        <v>3256</v>
      </c>
      <c r="D409" t="s">
        <v>5097</v>
      </c>
      <c r="E409" t="s">
        <v>5098</v>
      </c>
      <c r="F409" t="s">
        <v>5099</v>
      </c>
      <c r="G409" t="s">
        <v>3890</v>
      </c>
      <c r="H409" t="s">
        <v>5075</v>
      </c>
      <c r="I409" t="s">
        <v>4687</v>
      </c>
      <c r="J409">
        <v>2</v>
      </c>
      <c r="K409">
        <v>6.9362124947994486E-3</v>
      </c>
      <c r="L409">
        <v>7.0523458064633395E-3</v>
      </c>
      <c r="M409">
        <v>7.2140233585393544E-3</v>
      </c>
      <c r="N409">
        <v>7.2930917877762026E-3</v>
      </c>
      <c r="O409">
        <v>7.4007664736978956E-3</v>
      </c>
      <c r="P409">
        <v>7.5059751190643736E-3</v>
      </c>
      <c r="Q409">
        <v>7.6103051109899893E-3</v>
      </c>
      <c r="R409">
        <v>7.7036393441181402E-3</v>
      </c>
      <c r="S409">
        <v>7.7917482659545815E-3</v>
      </c>
      <c r="T409">
        <v>7.8760804945162358E-3</v>
      </c>
      <c r="U409">
        <v>7.9583684003904902E-3</v>
      </c>
      <c r="V409">
        <v>8.038652939071269E-3</v>
      </c>
      <c r="W409">
        <v>8.1175594177015885E-3</v>
      </c>
      <c r="X409">
        <v>8.1946037194784455E-3</v>
      </c>
      <c r="Y409">
        <v>8.2700469919705939E-3</v>
      </c>
      <c r="Z409">
        <v>8.3436874059188426E-3</v>
      </c>
      <c r="AA409">
        <v>8.3436874059188426E-3</v>
      </c>
      <c r="AB409">
        <v>8.3436874059188426E-3</v>
      </c>
      <c r="AC409">
        <v>8.3436874059188426E-3</v>
      </c>
      <c r="AD409">
        <v>8.3436874059188409E-3</v>
      </c>
    </row>
    <row r="410" spans="2:30" x14ac:dyDescent="0.25">
      <c r="B410" t="s">
        <v>133</v>
      </c>
      <c r="C410" t="s">
        <v>3256</v>
      </c>
      <c r="D410" t="s">
        <v>5100</v>
      </c>
      <c r="E410" t="s">
        <v>5101</v>
      </c>
      <c r="F410" t="s">
        <v>5102</v>
      </c>
      <c r="G410" t="s">
        <v>3890</v>
      </c>
      <c r="H410" t="s">
        <v>5075</v>
      </c>
      <c r="I410" t="s">
        <v>4687</v>
      </c>
      <c r="J410">
        <v>2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  <c r="W410" t="e">
        <v>#N/A</v>
      </c>
      <c r="X410" t="e">
        <v>#N/A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</row>
    <row r="411" spans="2:30" x14ac:dyDescent="0.25">
      <c r="B411" t="s">
        <v>133</v>
      </c>
      <c r="C411" t="s">
        <v>3256</v>
      </c>
      <c r="D411" t="s">
        <v>5103</v>
      </c>
      <c r="E411" t="s">
        <v>5104</v>
      </c>
      <c r="F411" t="s">
        <v>5105</v>
      </c>
      <c r="G411" t="s">
        <v>3890</v>
      </c>
      <c r="H411" t="s">
        <v>5075</v>
      </c>
      <c r="I411" t="s">
        <v>4687</v>
      </c>
      <c r="J411">
        <v>1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</row>
    <row r="412" spans="2:30" x14ac:dyDescent="0.25">
      <c r="B412" t="s">
        <v>133</v>
      </c>
      <c r="C412" t="s">
        <v>3256</v>
      </c>
      <c r="D412" t="s">
        <v>5103</v>
      </c>
      <c r="E412" t="s">
        <v>5106</v>
      </c>
      <c r="F412" t="s">
        <v>5107</v>
      </c>
      <c r="G412" t="s">
        <v>3890</v>
      </c>
      <c r="H412" t="s">
        <v>5075</v>
      </c>
      <c r="I412" t="s">
        <v>4687</v>
      </c>
      <c r="J412">
        <v>2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</row>
    <row r="413" spans="2:30" x14ac:dyDescent="0.25">
      <c r="B413" t="s">
        <v>133</v>
      </c>
      <c r="C413" t="s">
        <v>3256</v>
      </c>
      <c r="D413" t="s">
        <v>5108</v>
      </c>
      <c r="E413" t="s">
        <v>5109</v>
      </c>
      <c r="F413" t="s">
        <v>5110</v>
      </c>
      <c r="G413" t="s">
        <v>3890</v>
      </c>
      <c r="H413" t="s">
        <v>5111</v>
      </c>
      <c r="I413" t="s">
        <v>4687</v>
      </c>
      <c r="J413">
        <v>1</v>
      </c>
      <c r="K413">
        <v>54.801765375148797</v>
      </c>
      <c r="L413">
        <v>56.99383599015475</v>
      </c>
      <c r="M413">
        <v>59.273589429760939</v>
      </c>
      <c r="N413">
        <v>61.644533006951377</v>
      </c>
      <c r="O413">
        <v>64.110314327229432</v>
      </c>
      <c r="P413">
        <v>66.674726900318618</v>
      </c>
      <c r="Q413">
        <v>69.341715976331358</v>
      </c>
      <c r="R413">
        <v>72.115384615384613</v>
      </c>
      <c r="S413">
        <v>75</v>
      </c>
      <c r="T413">
        <v>78</v>
      </c>
      <c r="U413">
        <v>81.12</v>
      </c>
      <c r="V413">
        <v>84.364800000000002</v>
      </c>
      <c r="W413">
        <v>87.739392000000009</v>
      </c>
      <c r="X413">
        <v>91.248967680000007</v>
      </c>
      <c r="Y413">
        <v>94.898926387200007</v>
      </c>
      <c r="Z413">
        <v>98.69488344268801</v>
      </c>
      <c r="AA413">
        <v>102.64267878039553</v>
      </c>
      <c r="AB413">
        <v>106.74838593161135</v>
      </c>
      <c r="AC413">
        <v>111.01832136887582</v>
      </c>
      <c r="AD413">
        <v>115.45905422363086</v>
      </c>
    </row>
    <row r="414" spans="2:30" x14ac:dyDescent="0.25">
      <c r="B414" t="s">
        <v>133</v>
      </c>
      <c r="C414" t="s">
        <v>3256</v>
      </c>
      <c r="D414" t="s">
        <v>5112</v>
      </c>
      <c r="E414" t="s">
        <v>5113</v>
      </c>
      <c r="F414" t="s">
        <v>5114</v>
      </c>
      <c r="G414" t="s">
        <v>3890</v>
      </c>
      <c r="H414" t="s">
        <v>109</v>
      </c>
      <c r="I414" t="s">
        <v>108</v>
      </c>
      <c r="J414">
        <v>1</v>
      </c>
      <c r="K414">
        <v>84652.787400000001</v>
      </c>
      <c r="L414">
        <v>82605.210091752058</v>
      </c>
      <c r="M414">
        <v>93076.263310735274</v>
      </c>
      <c r="N414">
        <v>97660.903879172314</v>
      </c>
      <c r="O414">
        <v>99883.26559557984</v>
      </c>
      <c r="P414">
        <v>102725.50351107852</v>
      </c>
      <c r="Q414">
        <v>106869.44318846347</v>
      </c>
      <c r="R414">
        <v>111405.02564127475</v>
      </c>
      <c r="S414">
        <v>116204.06279838546</v>
      </c>
      <c r="T414">
        <v>121509.57269062284</v>
      </c>
      <c r="U414">
        <v>127156.57263530469</v>
      </c>
      <c r="V414">
        <v>133223.60772336368</v>
      </c>
      <c r="W414">
        <v>139695.67565713078</v>
      </c>
      <c r="X414">
        <v>146629.91705072028</v>
      </c>
      <c r="Y414">
        <v>154032.26271624945</v>
      </c>
      <c r="Z414">
        <v>161993.68269035983</v>
      </c>
      <c r="AA414">
        <v>170574.56884279643</v>
      </c>
      <c r="AB414">
        <v>179860.70302367941</v>
      </c>
      <c r="AC414">
        <v>189936.71611465031</v>
      </c>
      <c r="AD414">
        <v>200456.03204407732</v>
      </c>
    </row>
    <row r="415" spans="2:30" x14ac:dyDescent="0.25">
      <c r="B415" t="s">
        <v>133</v>
      </c>
      <c r="C415" t="s">
        <v>3256</v>
      </c>
      <c r="D415" t="s">
        <v>5115</v>
      </c>
      <c r="E415" t="s">
        <v>5116</v>
      </c>
      <c r="F415" t="s">
        <v>5117</v>
      </c>
      <c r="G415" t="s">
        <v>3890</v>
      </c>
      <c r="H415" t="s">
        <v>109</v>
      </c>
      <c r="I415" t="s">
        <v>108</v>
      </c>
      <c r="J415">
        <v>1</v>
      </c>
      <c r="K415">
        <v>1651.0930000000001</v>
      </c>
      <c r="L415">
        <v>1545.134</v>
      </c>
      <c r="M415">
        <v>1836.8230000000001</v>
      </c>
      <c r="N415">
        <v>1975.171</v>
      </c>
      <c r="O415">
        <v>2006.8579999999999</v>
      </c>
      <c r="P415">
        <v>2038.454</v>
      </c>
      <c r="Q415">
        <v>2090.7600000000002</v>
      </c>
      <c r="R415">
        <v>2141.0300000000002</v>
      </c>
      <c r="S415">
        <v>2188.41</v>
      </c>
      <c r="T415">
        <v>2235.8040000000001</v>
      </c>
      <c r="U415">
        <v>2278.1129999999998</v>
      </c>
      <c r="V415">
        <v>2320.529</v>
      </c>
      <c r="W415">
        <v>2363.0390000000002</v>
      </c>
      <c r="X415">
        <v>2405.6320000000001</v>
      </c>
      <c r="Y415">
        <v>2448.2950000000001</v>
      </c>
      <c r="Z415">
        <v>2491.0169999999998</v>
      </c>
      <c r="AA415">
        <v>2533.7860000000001</v>
      </c>
      <c r="AB415">
        <v>2576.5909999999999</v>
      </c>
      <c r="AC415">
        <v>2619.4189999999999</v>
      </c>
      <c r="AD415">
        <v>2662.26</v>
      </c>
    </row>
    <row r="416" spans="2:30" x14ac:dyDescent="0.25">
      <c r="B416" t="s">
        <v>133</v>
      </c>
      <c r="C416" t="s">
        <v>3256</v>
      </c>
      <c r="D416" t="s">
        <v>5118</v>
      </c>
      <c r="E416" t="s">
        <v>5119</v>
      </c>
      <c r="F416" t="s">
        <v>5120</v>
      </c>
      <c r="G416" t="s">
        <v>3890</v>
      </c>
      <c r="H416" t="s">
        <v>109</v>
      </c>
      <c r="I416" t="s">
        <v>108</v>
      </c>
      <c r="J416">
        <v>1</v>
      </c>
      <c r="K416">
        <v>42937.004999999997</v>
      </c>
      <c r="L416">
        <v>39972.894</v>
      </c>
      <c r="M416">
        <v>47161.006999999998</v>
      </c>
      <c r="N416">
        <v>48233.921000000002</v>
      </c>
      <c r="O416">
        <v>47663.53</v>
      </c>
      <c r="P416">
        <v>47791.707000000002</v>
      </c>
      <c r="Q416">
        <v>49275.875999999997</v>
      </c>
      <c r="R416">
        <v>50896.870999999999</v>
      </c>
      <c r="S416">
        <v>52355.53</v>
      </c>
      <c r="T416">
        <v>53866.05</v>
      </c>
      <c r="U416">
        <v>55465.29</v>
      </c>
      <c r="V416">
        <v>57237.817999999999</v>
      </c>
      <c r="W416">
        <v>59178.915000000001</v>
      </c>
      <c r="X416">
        <v>61338.178999999996</v>
      </c>
      <c r="Y416">
        <v>63721.038</v>
      </c>
      <c r="Z416">
        <v>66384.278999999995</v>
      </c>
      <c r="AA416">
        <v>69370.365999999995</v>
      </c>
      <c r="AB416">
        <v>72742.676000000007</v>
      </c>
      <c r="AC416">
        <v>76575.350000000006</v>
      </c>
      <c r="AD416">
        <v>80433.002999999997</v>
      </c>
    </row>
    <row r="417" spans="2:30" x14ac:dyDescent="0.25">
      <c r="B417" t="s">
        <v>133</v>
      </c>
      <c r="C417" t="s">
        <v>3256</v>
      </c>
      <c r="D417" t="s">
        <v>5121</v>
      </c>
      <c r="E417" t="s">
        <v>5122</v>
      </c>
      <c r="F417" t="s">
        <v>5123</v>
      </c>
      <c r="G417" t="s">
        <v>3890</v>
      </c>
      <c r="H417" t="s">
        <v>109</v>
      </c>
      <c r="I417" t="s">
        <v>108</v>
      </c>
      <c r="J417">
        <v>1</v>
      </c>
      <c r="K417">
        <v>7688.0550000000003</v>
      </c>
      <c r="L417">
        <v>7382.1220000000003</v>
      </c>
      <c r="M417">
        <v>7820.5169999999998</v>
      </c>
      <c r="N417">
        <v>9963.2890000000007</v>
      </c>
      <c r="O417">
        <v>9996.473</v>
      </c>
      <c r="P417">
        <v>10040.493</v>
      </c>
      <c r="Q417">
        <v>10104.35</v>
      </c>
      <c r="R417">
        <v>10170.476000000001</v>
      </c>
      <c r="S417">
        <v>10233.127</v>
      </c>
      <c r="T417">
        <v>10301.992</v>
      </c>
      <c r="U417">
        <v>10378.269</v>
      </c>
      <c r="V417">
        <v>10461.94</v>
      </c>
      <c r="W417">
        <v>10553.672</v>
      </c>
      <c r="X417">
        <v>10653.630999999999</v>
      </c>
      <c r="Y417">
        <v>10762.258</v>
      </c>
      <c r="Z417">
        <v>10879.782999999999</v>
      </c>
      <c r="AA417">
        <v>11006.638999999999</v>
      </c>
      <c r="AB417">
        <v>11143.370999999999</v>
      </c>
      <c r="AC417">
        <v>11290.245000000001</v>
      </c>
      <c r="AD417">
        <v>11447.72</v>
      </c>
    </row>
    <row r="418" spans="2:30" x14ac:dyDescent="0.25">
      <c r="B418" t="s">
        <v>133</v>
      </c>
      <c r="C418" t="s">
        <v>3256</v>
      </c>
      <c r="D418" t="s">
        <v>5124</v>
      </c>
      <c r="E418" t="s">
        <v>5125</v>
      </c>
      <c r="F418" t="s">
        <v>5126</v>
      </c>
      <c r="G418" t="s">
        <v>3890</v>
      </c>
      <c r="H418" t="s">
        <v>109</v>
      </c>
      <c r="I418" t="s">
        <v>108</v>
      </c>
      <c r="J418">
        <v>1</v>
      </c>
      <c r="K418">
        <v>7404.3140000000003</v>
      </c>
      <c r="L418">
        <v>7147.93</v>
      </c>
      <c r="M418">
        <v>7001.1750000000002</v>
      </c>
      <c r="N418">
        <v>6753.6639999999998</v>
      </c>
      <c r="O418">
        <v>6886.5370000000003</v>
      </c>
      <c r="P418">
        <v>7548.8450000000003</v>
      </c>
      <c r="Q418">
        <v>8264.5689999999995</v>
      </c>
      <c r="R418">
        <v>9039.0759999999991</v>
      </c>
      <c r="S418">
        <v>9962.8960000000006</v>
      </c>
      <c r="T418">
        <v>11055</v>
      </c>
      <c r="U418">
        <v>12234.907999999999</v>
      </c>
      <c r="V418">
        <v>13496.285</v>
      </c>
      <c r="W418">
        <v>14832.485000000001</v>
      </c>
      <c r="X418">
        <v>16236.275</v>
      </c>
      <c r="Y418">
        <v>17698.248</v>
      </c>
      <c r="Z418">
        <v>19231.596000000001</v>
      </c>
      <c r="AA418">
        <v>20833.882000000001</v>
      </c>
      <c r="AB418">
        <v>22502.595000000001</v>
      </c>
      <c r="AC418">
        <v>24236.026999999998</v>
      </c>
      <c r="AD418">
        <v>26000.758999999998</v>
      </c>
    </row>
    <row r="419" spans="2:30" x14ac:dyDescent="0.25">
      <c r="B419" t="s">
        <v>133</v>
      </c>
      <c r="C419" t="s">
        <v>3256</v>
      </c>
      <c r="D419" t="s">
        <v>5127</v>
      </c>
      <c r="E419" t="s">
        <v>5128</v>
      </c>
      <c r="F419" t="s">
        <v>5129</v>
      </c>
      <c r="G419" t="s">
        <v>3890</v>
      </c>
      <c r="H419" t="s">
        <v>109</v>
      </c>
      <c r="I419" t="s">
        <v>108</v>
      </c>
      <c r="J419">
        <v>1</v>
      </c>
      <c r="K419">
        <v>15214.834999999999</v>
      </c>
      <c r="L419">
        <v>16168.272999999999</v>
      </c>
      <c r="M419">
        <v>17468.254000000001</v>
      </c>
      <c r="N419">
        <v>17210.601999999999</v>
      </c>
      <c r="O419">
        <v>17931.196</v>
      </c>
      <c r="P419">
        <v>19045.128000000001</v>
      </c>
      <c r="Q419">
        <v>20275.214</v>
      </c>
      <c r="R419">
        <v>21586.026999999998</v>
      </c>
      <c r="S419">
        <v>23101.032999999999</v>
      </c>
      <c r="T419">
        <v>24867.493999999999</v>
      </c>
      <c r="U419">
        <v>26778.224999999999</v>
      </c>
      <c r="V419">
        <v>28823.225999999999</v>
      </c>
      <c r="W419">
        <v>30976.754000000001</v>
      </c>
      <c r="X419">
        <v>33242.692000000003</v>
      </c>
      <c r="Y419">
        <v>35613.048000000003</v>
      </c>
      <c r="Z419">
        <v>38098.769</v>
      </c>
      <c r="AA419">
        <v>40699.949999999997</v>
      </c>
      <c r="AB419">
        <v>43420.855000000003</v>
      </c>
      <c r="AC419">
        <v>46267.17</v>
      </c>
      <c r="AD419">
        <v>49230.813000000002</v>
      </c>
    </row>
    <row r="420" spans="2:30" x14ac:dyDescent="0.25">
      <c r="B420" t="s">
        <v>133</v>
      </c>
      <c r="C420" t="s">
        <v>3256</v>
      </c>
      <c r="D420" t="s">
        <v>5130</v>
      </c>
      <c r="E420" t="s">
        <v>5131</v>
      </c>
      <c r="F420" t="s">
        <v>5132</v>
      </c>
      <c r="G420" t="s">
        <v>3890</v>
      </c>
      <c r="H420" t="s">
        <v>109</v>
      </c>
      <c r="I420" t="s">
        <v>108</v>
      </c>
      <c r="J420">
        <v>1</v>
      </c>
      <c r="K420">
        <v>5389.2640000000001</v>
      </c>
      <c r="L420">
        <v>6059.357</v>
      </c>
      <c r="M420">
        <v>7304.8469999999998</v>
      </c>
      <c r="N420">
        <v>7485.0290000000005</v>
      </c>
      <c r="O420">
        <v>7660.826</v>
      </c>
      <c r="P420">
        <v>7867.7740000000003</v>
      </c>
      <c r="Q420">
        <v>8112.866</v>
      </c>
      <c r="R420">
        <v>8347.6450000000004</v>
      </c>
      <c r="S420">
        <v>8567.366</v>
      </c>
      <c r="T420">
        <v>8788.9699999999993</v>
      </c>
      <c r="U420">
        <v>9013.2360000000008</v>
      </c>
      <c r="V420">
        <v>9240.1190000000006</v>
      </c>
      <c r="W420">
        <v>9469.5740000000005</v>
      </c>
      <c r="X420">
        <v>9701.5529999999999</v>
      </c>
      <c r="Y420">
        <v>9936.0069999999996</v>
      </c>
      <c r="Z420">
        <v>10172.888000000001</v>
      </c>
      <c r="AA420">
        <v>10412.143</v>
      </c>
      <c r="AB420">
        <v>10653.721</v>
      </c>
      <c r="AC420">
        <v>10897.566999999999</v>
      </c>
      <c r="AD420">
        <v>11143.626</v>
      </c>
    </row>
    <row r="421" spans="2:30" x14ac:dyDescent="0.25">
      <c r="B421" t="s">
        <v>133</v>
      </c>
      <c r="C421" t="s">
        <v>3256</v>
      </c>
      <c r="D421" t="s">
        <v>5133</v>
      </c>
      <c r="E421" t="s">
        <v>5134</v>
      </c>
      <c r="F421" t="s">
        <v>5135</v>
      </c>
      <c r="G421" t="s">
        <v>3890</v>
      </c>
      <c r="H421" t="s">
        <v>109</v>
      </c>
      <c r="I421" t="s">
        <v>108</v>
      </c>
      <c r="J421">
        <v>1</v>
      </c>
      <c r="K421">
        <v>659.322</v>
      </c>
      <c r="L421">
        <v>771.90700000000004</v>
      </c>
      <c r="M421">
        <v>857.73800000000006</v>
      </c>
      <c r="N421">
        <v>889.11699999999996</v>
      </c>
      <c r="O421">
        <v>920.298</v>
      </c>
      <c r="P421">
        <v>957.94299999999998</v>
      </c>
      <c r="Q421">
        <v>1003.823</v>
      </c>
      <c r="R421">
        <v>1048.83</v>
      </c>
      <c r="S421">
        <v>1091.8589999999999</v>
      </c>
      <c r="T421">
        <v>1136.079</v>
      </c>
      <c r="U421">
        <v>1181.4929999999999</v>
      </c>
      <c r="V421">
        <v>1228.1030000000001</v>
      </c>
      <c r="W421">
        <v>1275.9059999999999</v>
      </c>
      <c r="X421">
        <v>1324.8989999999999</v>
      </c>
      <c r="Y421">
        <v>1375.079</v>
      </c>
      <c r="Z421">
        <v>1426.4359999999999</v>
      </c>
      <c r="AA421">
        <v>1478.963</v>
      </c>
      <c r="AB421">
        <v>1532.6469999999999</v>
      </c>
      <c r="AC421">
        <v>1587.4749999999999</v>
      </c>
      <c r="AD421">
        <v>1643.43</v>
      </c>
    </row>
    <row r="422" spans="2:30" x14ac:dyDescent="0.25">
      <c r="B422" t="s">
        <v>133</v>
      </c>
      <c r="C422" t="s">
        <v>3256</v>
      </c>
      <c r="D422" t="s">
        <v>5136</v>
      </c>
      <c r="E422" t="s">
        <v>5137</v>
      </c>
      <c r="F422" t="s">
        <v>5138</v>
      </c>
      <c r="G422" t="s">
        <v>3890</v>
      </c>
      <c r="H422" t="s">
        <v>109</v>
      </c>
      <c r="I422" t="s">
        <v>108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2:30" x14ac:dyDescent="0.25">
      <c r="B423" t="s">
        <v>133</v>
      </c>
      <c r="C423" t="s">
        <v>3256</v>
      </c>
      <c r="D423" t="s">
        <v>5139</v>
      </c>
      <c r="E423" t="s">
        <v>5140</v>
      </c>
      <c r="F423" t="s">
        <v>5141</v>
      </c>
      <c r="G423" t="s">
        <v>3890</v>
      </c>
      <c r="H423" t="s">
        <v>109</v>
      </c>
      <c r="I423" t="s">
        <v>108</v>
      </c>
      <c r="J423">
        <v>1</v>
      </c>
      <c r="K423">
        <v>2179.63</v>
      </c>
      <c r="L423">
        <v>2350.8629999999998</v>
      </c>
      <c r="M423">
        <v>2312.4969999999998</v>
      </c>
      <c r="N423">
        <v>3841.2840000000001</v>
      </c>
      <c r="O423">
        <v>5513.2820000000002</v>
      </c>
      <c r="P423">
        <v>6135.44</v>
      </c>
      <c r="Q423">
        <v>6446.7960000000003</v>
      </c>
      <c r="R423">
        <v>6884.393</v>
      </c>
      <c r="S423">
        <v>7417.6629999999996</v>
      </c>
      <c r="T423">
        <v>7976.4889999999996</v>
      </c>
      <c r="U423">
        <v>8549.81</v>
      </c>
      <c r="V423">
        <v>9142.8109999999997</v>
      </c>
      <c r="W423">
        <v>9776.9889999999996</v>
      </c>
      <c r="X423">
        <v>10463.136</v>
      </c>
      <c r="Y423">
        <v>11218.773999999999</v>
      </c>
      <c r="Z423">
        <v>12053.789000000001</v>
      </c>
      <c r="AA423">
        <v>12988.088</v>
      </c>
      <c r="AB423">
        <v>14041.853999999999</v>
      </c>
      <c r="AC423">
        <v>15221.414000000001</v>
      </c>
      <c r="AD423">
        <v>16656.702000000001</v>
      </c>
    </row>
    <row r="424" spans="2:30" x14ac:dyDescent="0.25">
      <c r="B424" t="s">
        <v>133</v>
      </c>
      <c r="C424" t="s">
        <v>3256</v>
      </c>
      <c r="D424" t="s">
        <v>5142</v>
      </c>
      <c r="E424" t="s">
        <v>5143</v>
      </c>
      <c r="F424" t="s">
        <v>5144</v>
      </c>
      <c r="G424" t="s">
        <v>3890</v>
      </c>
      <c r="H424" t="s">
        <v>109</v>
      </c>
      <c r="I424" t="s">
        <v>108</v>
      </c>
      <c r="J424">
        <v>1</v>
      </c>
      <c r="K424">
        <v>1529.27</v>
      </c>
      <c r="L424">
        <v>1206.73</v>
      </c>
      <c r="M424">
        <v>1313.405</v>
      </c>
      <c r="N424">
        <v>1308.827</v>
      </c>
      <c r="O424">
        <v>1304.2660000000001</v>
      </c>
      <c r="P424">
        <v>1299.72</v>
      </c>
      <c r="Q424">
        <v>1295.19</v>
      </c>
      <c r="R424">
        <v>1290.6759999999999</v>
      </c>
      <c r="S424">
        <v>1286.1780000000001</v>
      </c>
      <c r="T424">
        <v>1281.6949999999999</v>
      </c>
      <c r="U424">
        <v>1277.2280000000001</v>
      </c>
      <c r="V424">
        <v>1272.777</v>
      </c>
      <c r="W424">
        <v>1268.3409999999999</v>
      </c>
      <c r="X424">
        <v>1263.921</v>
      </c>
      <c r="Y424">
        <v>1259.5160000000001</v>
      </c>
      <c r="Z424">
        <v>1255.126</v>
      </c>
      <c r="AA424">
        <v>1250.752</v>
      </c>
      <c r="AB424">
        <v>1246.393</v>
      </c>
      <c r="AC424">
        <v>1242.049</v>
      </c>
      <c r="AD424">
        <v>1237.72</v>
      </c>
    </row>
    <row r="425" spans="2:30" x14ac:dyDescent="0.25">
      <c r="B425" t="s">
        <v>133</v>
      </c>
      <c r="C425" t="s">
        <v>3256</v>
      </c>
      <c r="D425" t="s">
        <v>5145</v>
      </c>
      <c r="E425" t="s">
        <v>5146</v>
      </c>
      <c r="F425" t="s">
        <v>5147</v>
      </c>
      <c r="G425" t="s">
        <v>3890</v>
      </c>
      <c r="H425" t="s">
        <v>109</v>
      </c>
      <c r="I425" t="s">
        <v>108</v>
      </c>
      <c r="J425">
        <v>2</v>
      </c>
      <c r="K425">
        <v>84652.786999999997</v>
      </c>
      <c r="L425">
        <v>82575.288</v>
      </c>
      <c r="M425">
        <v>93047.167000000001</v>
      </c>
      <c r="N425">
        <v>97632.589000000007</v>
      </c>
      <c r="O425">
        <v>92104.058999999994</v>
      </c>
      <c r="P425">
        <v>91924.724000000002</v>
      </c>
      <c r="Q425">
        <v>96566.856</v>
      </c>
      <c r="R425">
        <v>100469.205</v>
      </c>
      <c r="S425">
        <v>105059.019</v>
      </c>
      <c r="T425">
        <v>109723.766</v>
      </c>
      <c r="U425">
        <v>114840.083</v>
      </c>
      <c r="V425">
        <v>120272.399</v>
      </c>
      <c r="W425">
        <v>126186.11900000001</v>
      </c>
      <c r="X425">
        <v>132604.72200000001</v>
      </c>
      <c r="Y425">
        <v>139549.17300000001</v>
      </c>
      <c r="Z425">
        <v>147120.67499999999</v>
      </c>
      <c r="AA425">
        <v>155334.70300000001</v>
      </c>
      <c r="AB425">
        <v>164282.481</v>
      </c>
      <c r="AC425">
        <v>174071.33900000001</v>
      </c>
      <c r="AD425">
        <v>184311.44399999999</v>
      </c>
    </row>
    <row r="426" spans="2:30" x14ac:dyDescent="0.25">
      <c r="B426" t="s">
        <v>133</v>
      </c>
      <c r="C426" t="s">
        <v>3256</v>
      </c>
      <c r="D426" t="s">
        <v>5148</v>
      </c>
      <c r="E426" t="s">
        <v>5149</v>
      </c>
      <c r="F426" t="s">
        <v>5150</v>
      </c>
      <c r="G426" t="s">
        <v>3890</v>
      </c>
      <c r="H426" t="s">
        <v>109</v>
      </c>
      <c r="I426" t="s">
        <v>108</v>
      </c>
      <c r="J426">
        <v>2</v>
      </c>
      <c r="K426">
        <v>1651.0930000000001</v>
      </c>
      <c r="L426">
        <v>1545.134</v>
      </c>
      <c r="M426">
        <v>1836.8230000000001</v>
      </c>
      <c r="N426">
        <v>1975.171</v>
      </c>
      <c r="O426">
        <v>1737.0450000000001</v>
      </c>
      <c r="P426">
        <v>1766.615</v>
      </c>
      <c r="Q426">
        <v>1810.433</v>
      </c>
      <c r="R426">
        <v>1852.6590000000001</v>
      </c>
      <c r="S426">
        <v>1891.768</v>
      </c>
      <c r="T426">
        <v>1931.5150000000001</v>
      </c>
      <c r="U426">
        <v>1968.87</v>
      </c>
      <c r="V426">
        <v>2007.11</v>
      </c>
      <c r="W426">
        <v>2046.4680000000001</v>
      </c>
      <c r="X426">
        <v>2087.5169999999998</v>
      </c>
      <c r="Y426">
        <v>2129.788</v>
      </c>
      <c r="Z426">
        <v>2173.1190000000001</v>
      </c>
      <c r="AA426">
        <v>2216.9659999999999</v>
      </c>
      <c r="AB426">
        <v>2261.2649999999999</v>
      </c>
      <c r="AC426">
        <v>2306.069</v>
      </c>
      <c r="AD426">
        <v>2351.3580000000002</v>
      </c>
    </row>
    <row r="427" spans="2:30" x14ac:dyDescent="0.25">
      <c r="B427" t="s">
        <v>133</v>
      </c>
      <c r="C427" t="s">
        <v>3256</v>
      </c>
      <c r="D427" t="s">
        <v>5151</v>
      </c>
      <c r="E427" t="s">
        <v>5152</v>
      </c>
      <c r="F427" t="s">
        <v>5153</v>
      </c>
      <c r="G427" t="s">
        <v>3890</v>
      </c>
      <c r="H427" t="s">
        <v>109</v>
      </c>
      <c r="I427" t="s">
        <v>108</v>
      </c>
      <c r="J427">
        <v>2</v>
      </c>
      <c r="K427">
        <v>42937.004999999997</v>
      </c>
      <c r="L427">
        <v>39910.631000000001</v>
      </c>
      <c r="M427">
        <v>47100.464999999997</v>
      </c>
      <c r="N427">
        <v>48175</v>
      </c>
      <c r="O427">
        <v>45340.27</v>
      </c>
      <c r="P427">
        <v>41891.226000000002</v>
      </c>
      <c r="Q427">
        <v>44332.093000000001</v>
      </c>
      <c r="R427">
        <v>45574.97</v>
      </c>
      <c r="S427">
        <v>47100.256000000001</v>
      </c>
      <c r="T427">
        <v>48136.000999999997</v>
      </c>
      <c r="U427">
        <v>49431.972999999998</v>
      </c>
      <c r="V427">
        <v>50795.773999999998</v>
      </c>
      <c r="W427">
        <v>52432.379000000001</v>
      </c>
      <c r="X427">
        <v>54305.957000000002</v>
      </c>
      <c r="Y427">
        <v>56446.478999999999</v>
      </c>
      <c r="Z427">
        <v>58941.978000000003</v>
      </c>
      <c r="AA427">
        <v>61805.286</v>
      </c>
      <c r="AB427">
        <v>65111.531999999999</v>
      </c>
      <c r="AC427">
        <v>68976.445999999996</v>
      </c>
      <c r="AD427">
        <v>72873.505000000005</v>
      </c>
    </row>
    <row r="428" spans="2:30" x14ac:dyDescent="0.25">
      <c r="B428" t="s">
        <v>133</v>
      </c>
      <c r="C428" t="s">
        <v>3256</v>
      </c>
      <c r="D428" t="s">
        <v>5154</v>
      </c>
      <c r="E428" t="s">
        <v>5155</v>
      </c>
      <c r="F428" t="s">
        <v>5156</v>
      </c>
      <c r="G428" t="s">
        <v>3890</v>
      </c>
      <c r="H428" t="s">
        <v>109</v>
      </c>
      <c r="I428" t="s">
        <v>108</v>
      </c>
      <c r="J428">
        <v>2</v>
      </c>
      <c r="K428">
        <v>7688.0550000000003</v>
      </c>
      <c r="L428">
        <v>7385.51</v>
      </c>
      <c r="M428">
        <v>7823.808</v>
      </c>
      <c r="N428">
        <v>9966.4969999999994</v>
      </c>
      <c r="O428">
        <v>8899.5939999999991</v>
      </c>
      <c r="P428">
        <v>9638.9959999999992</v>
      </c>
      <c r="Q428">
        <v>9936.6569999999992</v>
      </c>
      <c r="R428">
        <v>10155.475</v>
      </c>
      <c r="S428">
        <v>10264.432000000001</v>
      </c>
      <c r="T428">
        <v>10351.896000000001</v>
      </c>
      <c r="U428">
        <v>10449.357</v>
      </c>
      <c r="V428">
        <v>10559.489</v>
      </c>
      <c r="W428">
        <v>10682.744000000001</v>
      </c>
      <c r="X428">
        <v>10824.494000000001</v>
      </c>
      <c r="Y428">
        <v>10983.438</v>
      </c>
      <c r="Z428">
        <v>11159.768</v>
      </c>
      <c r="AA428">
        <v>11351.471</v>
      </c>
      <c r="AB428">
        <v>11558.987999999999</v>
      </c>
      <c r="AC428">
        <v>11783.161</v>
      </c>
      <c r="AD428">
        <v>12024.778</v>
      </c>
    </row>
    <row r="429" spans="2:30" x14ac:dyDescent="0.25">
      <c r="B429" t="s">
        <v>133</v>
      </c>
      <c r="C429" t="s">
        <v>3256</v>
      </c>
      <c r="D429" t="s">
        <v>5157</v>
      </c>
      <c r="E429" t="s">
        <v>5158</v>
      </c>
      <c r="F429" t="s">
        <v>5159</v>
      </c>
      <c r="G429" t="s">
        <v>3890</v>
      </c>
      <c r="H429" t="s">
        <v>109</v>
      </c>
      <c r="I429" t="s">
        <v>108</v>
      </c>
      <c r="J429">
        <v>2</v>
      </c>
      <c r="K429">
        <v>7404.3140000000003</v>
      </c>
      <c r="L429">
        <v>7147.93</v>
      </c>
      <c r="M429">
        <v>7001.1750000000002</v>
      </c>
      <c r="N429">
        <v>6753.6639999999998</v>
      </c>
      <c r="O429">
        <v>6511.8810000000003</v>
      </c>
      <c r="P429">
        <v>7121.9089999999997</v>
      </c>
      <c r="Q429">
        <v>7780.3090000000002</v>
      </c>
      <c r="R429">
        <v>8491.4809999999998</v>
      </c>
      <c r="S429">
        <v>9339.8330000000005</v>
      </c>
      <c r="T429">
        <v>10342.116</v>
      </c>
      <c r="U429">
        <v>11423.17</v>
      </c>
      <c r="V429">
        <v>12578.305</v>
      </c>
      <c r="W429">
        <v>13801.087</v>
      </c>
      <c r="X429">
        <v>15085.098</v>
      </c>
      <c r="Y429">
        <v>16421.858</v>
      </c>
      <c r="Z429">
        <v>17823.852999999999</v>
      </c>
      <c r="AA429">
        <v>19288.914000000001</v>
      </c>
      <c r="AB429">
        <v>20814.904999999999</v>
      </c>
      <c r="AC429">
        <v>22400.510999999999</v>
      </c>
      <c r="AD429">
        <v>24015.206999999999</v>
      </c>
    </row>
    <row r="430" spans="2:30" x14ac:dyDescent="0.25">
      <c r="B430" t="s">
        <v>133</v>
      </c>
      <c r="C430" t="s">
        <v>3256</v>
      </c>
      <c r="D430" t="s">
        <v>5160</v>
      </c>
      <c r="E430" t="s">
        <v>5161</v>
      </c>
      <c r="F430" t="s">
        <v>5162</v>
      </c>
      <c r="G430" t="s">
        <v>3890</v>
      </c>
      <c r="H430" t="s">
        <v>109</v>
      </c>
      <c r="I430" t="s">
        <v>108</v>
      </c>
      <c r="J430">
        <v>2</v>
      </c>
      <c r="K430">
        <v>15214.834999999999</v>
      </c>
      <c r="L430">
        <v>16168.272999999999</v>
      </c>
      <c r="M430">
        <v>17468.254000000001</v>
      </c>
      <c r="N430">
        <v>17210.601999999999</v>
      </c>
      <c r="O430">
        <v>15714.526</v>
      </c>
      <c r="P430">
        <v>16696.326000000001</v>
      </c>
      <c r="Q430">
        <v>17774.932000000001</v>
      </c>
      <c r="R430">
        <v>18926.732</v>
      </c>
      <c r="S430">
        <v>20261.609</v>
      </c>
      <c r="T430">
        <v>21823.646000000001</v>
      </c>
      <c r="U430">
        <v>23514.288</v>
      </c>
      <c r="V430">
        <v>25321.896000000001</v>
      </c>
      <c r="W430">
        <v>27221.609</v>
      </c>
      <c r="X430">
        <v>29221.98</v>
      </c>
      <c r="Y430">
        <v>31315.712</v>
      </c>
      <c r="Z430">
        <v>33515.872000000003</v>
      </c>
      <c r="AA430">
        <v>35819.688999999998</v>
      </c>
      <c r="AB430">
        <v>38232.093000000001</v>
      </c>
      <c r="AC430">
        <v>40759.364999999998</v>
      </c>
      <c r="AD430">
        <v>43395.336000000003</v>
      </c>
    </row>
    <row r="431" spans="2:30" x14ac:dyDescent="0.25">
      <c r="B431" t="s">
        <v>133</v>
      </c>
      <c r="C431" t="s">
        <v>3256</v>
      </c>
      <c r="D431" t="s">
        <v>5163</v>
      </c>
      <c r="E431" t="s">
        <v>5164</v>
      </c>
      <c r="F431" t="s">
        <v>5165</v>
      </c>
      <c r="G431" t="s">
        <v>3890</v>
      </c>
      <c r="H431" t="s">
        <v>109</v>
      </c>
      <c r="I431" t="s">
        <v>108</v>
      </c>
      <c r="J431">
        <v>2</v>
      </c>
      <c r="K431">
        <v>5389.2640000000001</v>
      </c>
      <c r="L431">
        <v>6059.357</v>
      </c>
      <c r="M431">
        <v>7304.8469999999998</v>
      </c>
      <c r="N431">
        <v>7485.0290000000005</v>
      </c>
      <c r="O431">
        <v>6241.5879999999997</v>
      </c>
      <c r="P431">
        <v>6411.9639999999999</v>
      </c>
      <c r="Q431">
        <v>6608.0619999999999</v>
      </c>
      <c r="R431">
        <v>6797.0190000000002</v>
      </c>
      <c r="S431">
        <v>6971.3710000000001</v>
      </c>
      <c r="T431">
        <v>7150.2039999999997</v>
      </c>
      <c r="U431">
        <v>7335.9639999999999</v>
      </c>
      <c r="V431">
        <v>7527.6959999999999</v>
      </c>
      <c r="W431">
        <v>7726.64</v>
      </c>
      <c r="X431">
        <v>7935.7280000000001</v>
      </c>
      <c r="Y431">
        <v>8152.8680000000004</v>
      </c>
      <c r="Z431">
        <v>8377.4050000000007</v>
      </c>
      <c r="AA431">
        <v>8606.7549999999992</v>
      </c>
      <c r="AB431">
        <v>8840.6679999999997</v>
      </c>
      <c r="AC431">
        <v>9079.4750000000004</v>
      </c>
      <c r="AD431">
        <v>9323.143</v>
      </c>
    </row>
    <row r="432" spans="2:30" x14ac:dyDescent="0.25">
      <c r="B432" t="s">
        <v>133</v>
      </c>
      <c r="C432" t="s">
        <v>3256</v>
      </c>
      <c r="D432" t="s">
        <v>5166</v>
      </c>
      <c r="E432" t="s">
        <v>5167</v>
      </c>
      <c r="F432" t="s">
        <v>5168</v>
      </c>
      <c r="G432" t="s">
        <v>3890</v>
      </c>
      <c r="H432" t="s">
        <v>109</v>
      </c>
      <c r="I432" t="s">
        <v>108</v>
      </c>
      <c r="J432">
        <v>2</v>
      </c>
      <c r="K432">
        <v>659.322</v>
      </c>
      <c r="L432">
        <v>771.90700000000004</v>
      </c>
      <c r="M432">
        <v>857.73800000000006</v>
      </c>
      <c r="N432">
        <v>889.11699999999996</v>
      </c>
      <c r="O432">
        <v>823.97500000000002</v>
      </c>
      <c r="P432">
        <v>858.15200000000004</v>
      </c>
      <c r="Q432">
        <v>898.59299999999996</v>
      </c>
      <c r="R432">
        <v>938.48500000000001</v>
      </c>
      <c r="S432">
        <v>976.06500000000005</v>
      </c>
      <c r="T432">
        <v>1015.357</v>
      </c>
      <c r="U432">
        <v>1056.838</v>
      </c>
      <c r="V432">
        <v>1100.3489999999999</v>
      </c>
      <c r="W432">
        <v>1146.2349999999999</v>
      </c>
      <c r="X432">
        <v>1195.28</v>
      </c>
      <c r="Y432">
        <v>1247.0719999999999</v>
      </c>
      <c r="Z432">
        <v>1301.508</v>
      </c>
      <c r="AA432">
        <v>1357.98</v>
      </c>
      <c r="AB432">
        <v>1416.444</v>
      </c>
      <c r="AC432">
        <v>1477.01</v>
      </c>
      <c r="AD432">
        <v>1539.7</v>
      </c>
    </row>
    <row r="433" spans="2:30" x14ac:dyDescent="0.25">
      <c r="B433" t="s">
        <v>133</v>
      </c>
      <c r="C433" t="s">
        <v>3256</v>
      </c>
      <c r="D433" t="s">
        <v>5169</v>
      </c>
      <c r="E433" t="s">
        <v>5170</v>
      </c>
      <c r="F433" t="s">
        <v>5171</v>
      </c>
      <c r="G433" t="s">
        <v>3890</v>
      </c>
      <c r="H433" t="s">
        <v>109</v>
      </c>
      <c r="I433" t="s">
        <v>108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2:30" x14ac:dyDescent="0.25">
      <c r="B434" t="s">
        <v>133</v>
      </c>
      <c r="C434" t="s">
        <v>3256</v>
      </c>
      <c r="D434" t="s">
        <v>5172</v>
      </c>
      <c r="E434" t="s">
        <v>5173</v>
      </c>
      <c r="F434" t="s">
        <v>5174</v>
      </c>
      <c r="G434" t="s">
        <v>3890</v>
      </c>
      <c r="H434" t="s">
        <v>109</v>
      </c>
      <c r="I434" t="s">
        <v>108</v>
      </c>
      <c r="J434">
        <v>2</v>
      </c>
      <c r="K434">
        <v>2179.63</v>
      </c>
      <c r="L434">
        <v>2379.8159999999998</v>
      </c>
      <c r="M434">
        <v>2340.6509999999998</v>
      </c>
      <c r="N434">
        <v>3868.6819999999998</v>
      </c>
      <c r="O434">
        <v>5530.9139999999998</v>
      </c>
      <c r="P434">
        <v>6239.817</v>
      </c>
      <c r="Q434">
        <v>6130.5870000000004</v>
      </c>
      <c r="R434">
        <v>6441.7089999999998</v>
      </c>
      <c r="S434">
        <v>6967.5069999999996</v>
      </c>
      <c r="T434">
        <v>7691.3360000000002</v>
      </c>
      <c r="U434">
        <v>8382.3940000000002</v>
      </c>
      <c r="V434">
        <v>9109.0030000000006</v>
      </c>
      <c r="W434">
        <v>9860.6149999999998</v>
      </c>
      <c r="X434">
        <v>10684.745999999999</v>
      </c>
      <c r="Y434">
        <v>11592.441999999999</v>
      </c>
      <c r="Z434">
        <v>12572.046</v>
      </c>
      <c r="AA434">
        <v>13636.891</v>
      </c>
      <c r="AB434">
        <v>14800.194</v>
      </c>
      <c r="AC434">
        <v>16047.254000000001</v>
      </c>
      <c r="AD434">
        <v>17550.697</v>
      </c>
    </row>
    <row r="435" spans="2:30" x14ac:dyDescent="0.25">
      <c r="B435" t="s">
        <v>133</v>
      </c>
      <c r="C435" t="s">
        <v>3256</v>
      </c>
      <c r="D435" t="s">
        <v>5175</v>
      </c>
      <c r="E435" t="s">
        <v>5176</v>
      </c>
      <c r="F435" t="s">
        <v>5177</v>
      </c>
      <c r="G435" t="s">
        <v>3890</v>
      </c>
      <c r="H435" t="s">
        <v>109</v>
      </c>
      <c r="I435" t="s">
        <v>108</v>
      </c>
      <c r="J435">
        <v>2</v>
      </c>
      <c r="K435">
        <v>1529.27</v>
      </c>
      <c r="L435">
        <v>1206.73</v>
      </c>
      <c r="M435">
        <v>1313.405</v>
      </c>
      <c r="N435">
        <v>1308.827</v>
      </c>
      <c r="O435">
        <v>1304.2660000000001</v>
      </c>
      <c r="P435">
        <v>1299.72</v>
      </c>
      <c r="Q435">
        <v>1295.19</v>
      </c>
      <c r="R435">
        <v>1290.6759999999999</v>
      </c>
      <c r="S435">
        <v>1286.1780000000001</v>
      </c>
      <c r="T435">
        <v>1281.6949999999999</v>
      </c>
      <c r="U435">
        <v>1277.2280000000001</v>
      </c>
      <c r="V435">
        <v>1272.777</v>
      </c>
      <c r="W435">
        <v>1268.3409999999999</v>
      </c>
      <c r="X435">
        <v>1263.921</v>
      </c>
      <c r="Y435">
        <v>1259.5160000000001</v>
      </c>
      <c r="Z435">
        <v>1255.126</v>
      </c>
      <c r="AA435">
        <v>1250.752</v>
      </c>
      <c r="AB435">
        <v>1246.393</v>
      </c>
      <c r="AC435">
        <v>1242.049</v>
      </c>
      <c r="AD435">
        <v>1237.72</v>
      </c>
    </row>
    <row r="436" spans="2:30" x14ac:dyDescent="0.25">
      <c r="B436" t="s">
        <v>133</v>
      </c>
      <c r="C436" t="s">
        <v>3256</v>
      </c>
      <c r="D436" t="s">
        <v>5178</v>
      </c>
      <c r="E436" t="s">
        <v>5116</v>
      </c>
      <c r="F436" t="s">
        <v>5117</v>
      </c>
      <c r="G436" t="s">
        <v>3890</v>
      </c>
      <c r="H436" t="s">
        <v>109</v>
      </c>
      <c r="I436" t="s">
        <v>108</v>
      </c>
      <c r="J436">
        <v>1</v>
      </c>
      <c r="K436">
        <v>1651.0930000000001</v>
      </c>
      <c r="L436">
        <v>1545.134</v>
      </c>
      <c r="M436">
        <v>1836.8230000000001</v>
      </c>
      <c r="N436">
        <v>1975.171</v>
      </c>
      <c r="O436">
        <v>2006.8579999999999</v>
      </c>
      <c r="P436">
        <v>2038.454</v>
      </c>
      <c r="Q436">
        <v>2090.7600000000002</v>
      </c>
      <c r="R436">
        <v>2141.0300000000002</v>
      </c>
      <c r="S436">
        <v>2188.41</v>
      </c>
      <c r="T436">
        <v>2235.8040000000001</v>
      </c>
      <c r="U436">
        <v>2278.1129999999998</v>
      </c>
      <c r="V436">
        <v>2320.529</v>
      </c>
      <c r="W436">
        <v>2363.0390000000002</v>
      </c>
      <c r="X436">
        <v>2405.6320000000001</v>
      </c>
      <c r="Y436">
        <v>2448.2950000000001</v>
      </c>
      <c r="Z436">
        <v>2491.0169999999998</v>
      </c>
      <c r="AA436">
        <v>2533.7860000000001</v>
      </c>
      <c r="AB436">
        <v>2576.5909999999999</v>
      </c>
      <c r="AC436">
        <v>2619.4189999999999</v>
      </c>
      <c r="AD436">
        <v>2662.26</v>
      </c>
    </row>
    <row r="437" spans="2:30" x14ac:dyDescent="0.25">
      <c r="B437" t="s">
        <v>133</v>
      </c>
      <c r="C437" t="s">
        <v>3256</v>
      </c>
      <c r="D437" t="s">
        <v>5179</v>
      </c>
      <c r="E437" t="s">
        <v>5180</v>
      </c>
      <c r="F437" t="s">
        <v>5181</v>
      </c>
      <c r="G437" t="s">
        <v>3890</v>
      </c>
      <c r="H437" t="s">
        <v>109</v>
      </c>
      <c r="I437" t="s">
        <v>108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2:30" x14ac:dyDescent="0.25">
      <c r="B438" t="s">
        <v>133</v>
      </c>
      <c r="C438" t="s">
        <v>3256</v>
      </c>
      <c r="D438" t="s">
        <v>5182</v>
      </c>
      <c r="E438" t="s">
        <v>5183</v>
      </c>
      <c r="F438" t="s">
        <v>5184</v>
      </c>
      <c r="G438" t="s">
        <v>3890</v>
      </c>
      <c r="H438" t="s">
        <v>109</v>
      </c>
      <c r="I438" t="s">
        <v>108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2:30" x14ac:dyDescent="0.25">
      <c r="B439" t="s">
        <v>133</v>
      </c>
      <c r="C439" t="s">
        <v>3256</v>
      </c>
      <c r="D439" t="s">
        <v>5185</v>
      </c>
      <c r="E439" t="s">
        <v>5186</v>
      </c>
      <c r="F439" t="s">
        <v>5187</v>
      </c>
      <c r="G439" t="s">
        <v>3890</v>
      </c>
      <c r="H439" t="s">
        <v>109</v>
      </c>
      <c r="I439" t="s">
        <v>108</v>
      </c>
      <c r="J439">
        <v>1</v>
      </c>
      <c r="K439">
        <v>1.6379999999999999</v>
      </c>
      <c r="L439">
        <v>1.6379999999999999</v>
      </c>
      <c r="M439">
        <v>1.8740000000000001</v>
      </c>
      <c r="N439">
        <v>1.978</v>
      </c>
      <c r="O439">
        <v>1.994</v>
      </c>
      <c r="P439">
        <v>2.008</v>
      </c>
      <c r="Q439">
        <v>2.0369999999999999</v>
      </c>
      <c r="R439">
        <v>2.0640000000000001</v>
      </c>
      <c r="S439">
        <v>2.09</v>
      </c>
      <c r="T439">
        <v>2.1150000000000002</v>
      </c>
      <c r="U439">
        <v>2.1360000000000001</v>
      </c>
      <c r="V439">
        <v>2.157</v>
      </c>
      <c r="W439">
        <v>2.177</v>
      </c>
      <c r="X439">
        <v>2.198</v>
      </c>
      <c r="Y439">
        <v>2.218</v>
      </c>
      <c r="Z439">
        <v>2.238</v>
      </c>
      <c r="AA439">
        <v>2.258</v>
      </c>
      <c r="AB439">
        <v>2.2770000000000001</v>
      </c>
      <c r="AC439">
        <v>2.2970000000000002</v>
      </c>
      <c r="AD439">
        <v>2.3159999999999998</v>
      </c>
    </row>
    <row r="440" spans="2:30" x14ac:dyDescent="0.25">
      <c r="B440" t="s">
        <v>133</v>
      </c>
      <c r="C440" t="s">
        <v>3256</v>
      </c>
      <c r="D440" t="s">
        <v>5188</v>
      </c>
      <c r="E440" t="s">
        <v>5189</v>
      </c>
      <c r="F440" t="s">
        <v>5190</v>
      </c>
      <c r="G440" t="s">
        <v>3890</v>
      </c>
      <c r="H440" t="s">
        <v>109</v>
      </c>
      <c r="I440" t="s">
        <v>108</v>
      </c>
      <c r="J440">
        <v>1</v>
      </c>
      <c r="K440">
        <v>1649.4549999999999</v>
      </c>
      <c r="L440">
        <v>1543.4960000000001</v>
      </c>
      <c r="M440">
        <v>1834.9490000000001</v>
      </c>
      <c r="N440">
        <v>1973.192</v>
      </c>
      <c r="O440">
        <v>2004.864</v>
      </c>
      <c r="P440">
        <v>2036.4459999999999</v>
      </c>
      <c r="Q440">
        <v>2088.723</v>
      </c>
      <c r="R440">
        <v>2138.9659999999999</v>
      </c>
      <c r="S440">
        <v>2186.3200000000002</v>
      </c>
      <c r="T440">
        <v>2233.6889999999999</v>
      </c>
      <c r="U440">
        <v>2275.9769999999999</v>
      </c>
      <c r="V440">
        <v>2318.3719999999998</v>
      </c>
      <c r="W440">
        <v>2360.8620000000001</v>
      </c>
      <c r="X440">
        <v>2403.4340000000002</v>
      </c>
      <c r="Y440">
        <v>2446.0770000000002</v>
      </c>
      <c r="Z440">
        <v>2488.779</v>
      </c>
      <c r="AA440">
        <v>2531.529</v>
      </c>
      <c r="AB440">
        <v>2574.3130000000001</v>
      </c>
      <c r="AC440">
        <v>2617.1219999999998</v>
      </c>
      <c r="AD440">
        <v>2659.944</v>
      </c>
    </row>
    <row r="441" spans="2:30" x14ac:dyDescent="0.25">
      <c r="B441" t="s">
        <v>133</v>
      </c>
      <c r="C441" t="s">
        <v>3256</v>
      </c>
      <c r="D441" t="s">
        <v>5191</v>
      </c>
      <c r="E441" t="s">
        <v>5192</v>
      </c>
      <c r="F441" t="s">
        <v>5193</v>
      </c>
      <c r="G441" t="s">
        <v>3890</v>
      </c>
      <c r="H441" t="s">
        <v>109</v>
      </c>
      <c r="I441" t="s">
        <v>108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2:30" x14ac:dyDescent="0.25">
      <c r="B442" t="s">
        <v>133</v>
      </c>
      <c r="C442" t="s">
        <v>3256</v>
      </c>
      <c r="D442" t="s">
        <v>5194</v>
      </c>
      <c r="E442" t="s">
        <v>5119</v>
      </c>
      <c r="F442" t="s">
        <v>5120</v>
      </c>
      <c r="G442" t="s">
        <v>3890</v>
      </c>
      <c r="H442" t="s">
        <v>109</v>
      </c>
      <c r="I442" t="s">
        <v>108</v>
      </c>
      <c r="J442">
        <v>1</v>
      </c>
      <c r="K442">
        <v>42937.004999999997</v>
      </c>
      <c r="L442">
        <v>39972.894</v>
      </c>
      <c r="M442">
        <v>47161.006999999998</v>
      </c>
      <c r="N442">
        <v>48233.921000000002</v>
      </c>
      <c r="O442">
        <v>47663.53</v>
      </c>
      <c r="P442">
        <v>47791.707000000002</v>
      </c>
      <c r="Q442">
        <v>49275.875999999997</v>
      </c>
      <c r="R442">
        <v>50896.870999999999</v>
      </c>
      <c r="S442">
        <v>52355.53</v>
      </c>
      <c r="T442">
        <v>53866.05</v>
      </c>
      <c r="U442">
        <v>55465.29</v>
      </c>
      <c r="V442">
        <v>57237.817999999999</v>
      </c>
      <c r="W442">
        <v>59178.915000000001</v>
      </c>
      <c r="X442">
        <v>61338.178999999996</v>
      </c>
      <c r="Y442">
        <v>63721.038</v>
      </c>
      <c r="Z442">
        <v>66384.278999999995</v>
      </c>
      <c r="AA442">
        <v>69370.365999999995</v>
      </c>
      <c r="AB442">
        <v>72742.676000000007</v>
      </c>
      <c r="AC442">
        <v>76575.350000000006</v>
      </c>
      <c r="AD442">
        <v>80433.002999999997</v>
      </c>
    </row>
    <row r="443" spans="2:30" x14ac:dyDescent="0.25">
      <c r="B443" t="s">
        <v>133</v>
      </c>
      <c r="C443" t="s">
        <v>3256</v>
      </c>
      <c r="D443" t="s">
        <v>5195</v>
      </c>
      <c r="E443" t="s">
        <v>5196</v>
      </c>
      <c r="F443" t="s">
        <v>5197</v>
      </c>
      <c r="G443" t="s">
        <v>3890</v>
      </c>
      <c r="H443" t="s">
        <v>109</v>
      </c>
      <c r="I443" t="s">
        <v>108</v>
      </c>
      <c r="J443">
        <v>1</v>
      </c>
      <c r="K443">
        <v>29443.696</v>
      </c>
      <c r="L443">
        <v>28005.871999999999</v>
      </c>
      <c r="M443">
        <v>33519.074999999997</v>
      </c>
      <c r="N443">
        <v>34176.673000000003</v>
      </c>
      <c r="O443">
        <v>33170.572999999997</v>
      </c>
      <c r="P443">
        <v>32743.955000000002</v>
      </c>
      <c r="Q443">
        <v>33565.813999999998</v>
      </c>
      <c r="R443">
        <v>34538.724000000002</v>
      </c>
      <c r="S443">
        <v>35371.07</v>
      </c>
      <c r="T443">
        <v>36232.254000000001</v>
      </c>
      <c r="U443">
        <v>37162.347000000002</v>
      </c>
      <c r="V443">
        <v>38246.281000000003</v>
      </c>
      <c r="W443">
        <v>39479.815999999999</v>
      </c>
      <c r="X443">
        <v>40913.029000000002</v>
      </c>
      <c r="Y443">
        <v>42552.000999999997</v>
      </c>
      <c r="Z443">
        <v>44452.589</v>
      </c>
      <c r="AA443">
        <v>46657.432000000001</v>
      </c>
      <c r="AB443">
        <v>49230.095999999998</v>
      </c>
      <c r="AC443">
        <v>52244.862000000001</v>
      </c>
      <c r="AD443">
        <v>55268.678</v>
      </c>
    </row>
    <row r="444" spans="2:30" x14ac:dyDescent="0.25">
      <c r="B444" t="s">
        <v>133</v>
      </c>
      <c r="C444" t="s">
        <v>3256</v>
      </c>
      <c r="D444" t="s">
        <v>5198</v>
      </c>
      <c r="E444" t="s">
        <v>5199</v>
      </c>
      <c r="F444" t="s">
        <v>5200</v>
      </c>
      <c r="G444" t="s">
        <v>3890</v>
      </c>
      <c r="H444" t="s">
        <v>109</v>
      </c>
      <c r="I444" t="s">
        <v>108</v>
      </c>
      <c r="J444">
        <v>1</v>
      </c>
      <c r="K444">
        <v>495.238</v>
      </c>
      <c r="L444">
        <v>484.52</v>
      </c>
      <c r="M444">
        <v>472.24900000000002</v>
      </c>
      <c r="N444">
        <v>454.66399999999999</v>
      </c>
      <c r="O444">
        <v>463.9</v>
      </c>
      <c r="P444">
        <v>509.44099999999997</v>
      </c>
      <c r="Q444">
        <v>559.21799999999996</v>
      </c>
      <c r="R444">
        <v>613.43499999999995</v>
      </c>
      <c r="S444">
        <v>678.10400000000004</v>
      </c>
      <c r="T444">
        <v>754.60400000000004</v>
      </c>
      <c r="U444">
        <v>837.58299999999997</v>
      </c>
      <c r="V444">
        <v>926.67499999999995</v>
      </c>
      <c r="W444">
        <v>1021.415</v>
      </c>
      <c r="X444">
        <v>1121.3409999999999</v>
      </c>
      <c r="Y444">
        <v>1225.8330000000001</v>
      </c>
      <c r="Z444">
        <v>1335.86</v>
      </c>
      <c r="AA444">
        <v>1451.3019999999999</v>
      </c>
      <c r="AB444">
        <v>1572.0329999999999</v>
      </c>
      <c r="AC444">
        <v>1697.9860000000001</v>
      </c>
      <c r="AD444">
        <v>1826.9159999999999</v>
      </c>
    </row>
    <row r="445" spans="2:30" x14ac:dyDescent="0.25">
      <c r="B445" t="s">
        <v>133</v>
      </c>
      <c r="C445" t="s">
        <v>3256</v>
      </c>
      <c r="D445" t="s">
        <v>5201</v>
      </c>
      <c r="E445" t="s">
        <v>5202</v>
      </c>
      <c r="F445" t="s">
        <v>5203</v>
      </c>
      <c r="G445" t="s">
        <v>3890</v>
      </c>
      <c r="H445" t="s">
        <v>109</v>
      </c>
      <c r="I445" t="s">
        <v>108</v>
      </c>
      <c r="J445">
        <v>1</v>
      </c>
      <c r="K445">
        <v>1921.182</v>
      </c>
      <c r="L445">
        <v>1978.2729999999999</v>
      </c>
      <c r="M445">
        <v>2706.33</v>
      </c>
      <c r="N445">
        <v>2725.7469999999998</v>
      </c>
      <c r="O445">
        <v>2743.748</v>
      </c>
      <c r="P445">
        <v>2766.3090000000002</v>
      </c>
      <c r="Q445">
        <v>2794.2820000000002</v>
      </c>
      <c r="R445">
        <v>2819.5949999999998</v>
      </c>
      <c r="S445">
        <v>2841.6509999999998</v>
      </c>
      <c r="T445">
        <v>2863.2159999999999</v>
      </c>
      <c r="U445">
        <v>2884.4180000000001</v>
      </c>
      <c r="V445">
        <v>2905.2550000000001</v>
      </c>
      <c r="W445">
        <v>2925.7260000000001</v>
      </c>
      <c r="X445">
        <v>2945.8290000000002</v>
      </c>
      <c r="Y445">
        <v>2965.5630000000001</v>
      </c>
      <c r="Z445">
        <v>2984.9279999999999</v>
      </c>
      <c r="AA445">
        <v>3003.922</v>
      </c>
      <c r="AB445">
        <v>3022.5450000000001</v>
      </c>
      <c r="AC445">
        <v>3040.7950000000001</v>
      </c>
      <c r="AD445">
        <v>3058.674</v>
      </c>
    </row>
    <row r="446" spans="2:30" x14ac:dyDescent="0.25">
      <c r="B446" t="s">
        <v>133</v>
      </c>
      <c r="C446" t="s">
        <v>3256</v>
      </c>
      <c r="D446" t="s">
        <v>5204</v>
      </c>
      <c r="E446" t="s">
        <v>5205</v>
      </c>
      <c r="F446" t="s">
        <v>5206</v>
      </c>
      <c r="G446" t="s">
        <v>3890</v>
      </c>
      <c r="H446" t="s">
        <v>109</v>
      </c>
      <c r="I446" t="s">
        <v>108</v>
      </c>
      <c r="J446">
        <v>1</v>
      </c>
      <c r="K446">
        <v>11076.89</v>
      </c>
      <c r="L446">
        <v>9504.23</v>
      </c>
      <c r="M446">
        <v>10463.352999999999</v>
      </c>
      <c r="N446">
        <v>10876.838</v>
      </c>
      <c r="O446">
        <v>11285.308000000001</v>
      </c>
      <c r="P446">
        <v>11772.002</v>
      </c>
      <c r="Q446">
        <v>12356.561</v>
      </c>
      <c r="R446">
        <v>12925.117</v>
      </c>
      <c r="S446">
        <v>13464.705</v>
      </c>
      <c r="T446">
        <v>14015.976000000001</v>
      </c>
      <c r="U446">
        <v>14580.942999999999</v>
      </c>
      <c r="V446">
        <v>15159.606</v>
      </c>
      <c r="W446">
        <v>15751.958000000001</v>
      </c>
      <c r="X446">
        <v>16357.98</v>
      </c>
      <c r="Y446">
        <v>16977.641</v>
      </c>
      <c r="Z446">
        <v>17610.901000000002</v>
      </c>
      <c r="AA446">
        <v>18257.708999999999</v>
      </c>
      <c r="AB446">
        <v>18918.002</v>
      </c>
      <c r="AC446">
        <v>19591.705999999998</v>
      </c>
      <c r="AD446">
        <v>20278.735000000001</v>
      </c>
    </row>
    <row r="447" spans="2:30" x14ac:dyDescent="0.25">
      <c r="B447" t="s">
        <v>133</v>
      </c>
      <c r="C447" t="s">
        <v>3256</v>
      </c>
      <c r="D447" t="s">
        <v>5207</v>
      </c>
      <c r="E447" t="s">
        <v>5208</v>
      </c>
      <c r="F447" t="s">
        <v>5209</v>
      </c>
      <c r="G447" t="s">
        <v>3890</v>
      </c>
      <c r="H447" t="s">
        <v>109</v>
      </c>
      <c r="I447" t="s">
        <v>108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2:30" x14ac:dyDescent="0.25">
      <c r="B448" t="s">
        <v>133</v>
      </c>
      <c r="C448" t="s">
        <v>3256</v>
      </c>
      <c r="D448" t="s">
        <v>5210</v>
      </c>
      <c r="E448" t="s">
        <v>5125</v>
      </c>
      <c r="F448" t="s">
        <v>5126</v>
      </c>
      <c r="G448" t="s">
        <v>3890</v>
      </c>
      <c r="H448" t="s">
        <v>109</v>
      </c>
      <c r="I448" t="s">
        <v>108</v>
      </c>
      <c r="J448">
        <v>1</v>
      </c>
      <c r="K448">
        <v>7404.3140000000003</v>
      </c>
      <c r="L448">
        <v>7147.93</v>
      </c>
      <c r="M448">
        <v>7001.1750000000002</v>
      </c>
      <c r="N448">
        <v>6753.6639999999998</v>
      </c>
      <c r="O448">
        <v>6886.5370000000003</v>
      </c>
      <c r="P448">
        <v>7548.8450000000003</v>
      </c>
      <c r="Q448">
        <v>8264.5689999999995</v>
      </c>
      <c r="R448">
        <v>9039.0759999999991</v>
      </c>
      <c r="S448">
        <v>9962.8960000000006</v>
      </c>
      <c r="T448">
        <v>11055</v>
      </c>
      <c r="U448">
        <v>12234.907999999999</v>
      </c>
      <c r="V448">
        <v>13496.285</v>
      </c>
      <c r="W448">
        <v>14832.485000000001</v>
      </c>
      <c r="X448">
        <v>16236.275</v>
      </c>
      <c r="Y448">
        <v>17698.248</v>
      </c>
      <c r="Z448">
        <v>19231.596000000001</v>
      </c>
      <c r="AA448">
        <v>20833.882000000001</v>
      </c>
      <c r="AB448">
        <v>22502.595000000001</v>
      </c>
      <c r="AC448">
        <v>24236.026999999998</v>
      </c>
      <c r="AD448">
        <v>26000.758999999998</v>
      </c>
    </row>
    <row r="449" spans="2:30" x14ac:dyDescent="0.25">
      <c r="B449" t="s">
        <v>133</v>
      </c>
      <c r="C449" t="s">
        <v>3256</v>
      </c>
      <c r="D449" t="s">
        <v>5211</v>
      </c>
      <c r="E449" t="s">
        <v>5212</v>
      </c>
      <c r="F449" t="s">
        <v>5213</v>
      </c>
      <c r="G449" t="s">
        <v>3890</v>
      </c>
      <c r="H449" t="s">
        <v>109</v>
      </c>
      <c r="I449" t="s">
        <v>108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2:30" x14ac:dyDescent="0.25">
      <c r="B450" t="s">
        <v>133</v>
      </c>
      <c r="C450" t="s">
        <v>3256</v>
      </c>
      <c r="D450" t="s">
        <v>5214</v>
      </c>
      <c r="E450" t="s">
        <v>5215</v>
      </c>
      <c r="F450" t="s">
        <v>5216</v>
      </c>
      <c r="G450" t="s">
        <v>3890</v>
      </c>
      <c r="H450" t="s">
        <v>109</v>
      </c>
      <c r="I450" t="s">
        <v>108</v>
      </c>
      <c r="J450">
        <v>1</v>
      </c>
      <c r="K450">
        <v>7404.3140000000003</v>
      </c>
      <c r="L450">
        <v>7147.93</v>
      </c>
      <c r="M450">
        <v>7001.1750000000002</v>
      </c>
      <c r="N450">
        <v>6753.6639999999998</v>
      </c>
      <c r="O450">
        <v>6886.5370000000003</v>
      </c>
      <c r="P450">
        <v>7548.8450000000003</v>
      </c>
      <c r="Q450">
        <v>8264.5689999999995</v>
      </c>
      <c r="R450">
        <v>9039.0759999999991</v>
      </c>
      <c r="S450">
        <v>9962.8960000000006</v>
      </c>
      <c r="T450">
        <v>11055</v>
      </c>
      <c r="U450">
        <v>12234.907999999999</v>
      </c>
      <c r="V450">
        <v>13496.285</v>
      </c>
      <c r="W450">
        <v>14832.485000000001</v>
      </c>
      <c r="X450">
        <v>16236.275</v>
      </c>
      <c r="Y450">
        <v>17698.248</v>
      </c>
      <c r="Z450">
        <v>19231.596000000001</v>
      </c>
      <c r="AA450">
        <v>20833.882000000001</v>
      </c>
      <c r="AB450">
        <v>22502.595000000001</v>
      </c>
      <c r="AC450">
        <v>24236.026999999998</v>
      </c>
      <c r="AD450">
        <v>26000.758999999998</v>
      </c>
    </row>
    <row r="451" spans="2:30" x14ac:dyDescent="0.25">
      <c r="B451" t="s">
        <v>133</v>
      </c>
      <c r="C451" t="s">
        <v>3256</v>
      </c>
      <c r="D451" t="s">
        <v>5217</v>
      </c>
      <c r="E451" t="s">
        <v>5218</v>
      </c>
      <c r="F451" t="s">
        <v>5219</v>
      </c>
      <c r="G451" t="s">
        <v>3890</v>
      </c>
      <c r="H451" t="s">
        <v>109</v>
      </c>
      <c r="I451" t="s">
        <v>108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2:30" x14ac:dyDescent="0.25">
      <c r="B452" t="s">
        <v>133</v>
      </c>
      <c r="C452" t="s">
        <v>3256</v>
      </c>
      <c r="D452" t="s">
        <v>5220</v>
      </c>
      <c r="E452" t="s">
        <v>5221</v>
      </c>
      <c r="F452" t="s">
        <v>5222</v>
      </c>
      <c r="G452" t="s">
        <v>3890</v>
      </c>
      <c r="H452" t="s">
        <v>109</v>
      </c>
      <c r="I452" t="s">
        <v>108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2:30" x14ac:dyDescent="0.25">
      <c r="B453" t="s">
        <v>133</v>
      </c>
      <c r="C453" t="s">
        <v>3256</v>
      </c>
      <c r="D453" t="s">
        <v>5223</v>
      </c>
      <c r="E453" t="s">
        <v>5224</v>
      </c>
      <c r="F453" t="s">
        <v>5225</v>
      </c>
      <c r="G453" t="s">
        <v>3890</v>
      </c>
      <c r="H453" t="s">
        <v>109</v>
      </c>
      <c r="I453" t="s">
        <v>108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2:30" x14ac:dyDescent="0.25">
      <c r="B454" t="s">
        <v>133</v>
      </c>
      <c r="C454" t="s">
        <v>3256</v>
      </c>
      <c r="D454" t="s">
        <v>5226</v>
      </c>
      <c r="E454" t="s">
        <v>5128</v>
      </c>
      <c r="F454" t="s">
        <v>5129</v>
      </c>
      <c r="G454" t="s">
        <v>3890</v>
      </c>
      <c r="H454" t="s">
        <v>109</v>
      </c>
      <c r="I454" t="s">
        <v>108</v>
      </c>
      <c r="J454">
        <v>1</v>
      </c>
      <c r="K454">
        <v>15214.834999999999</v>
      </c>
      <c r="L454">
        <v>16168.272999999999</v>
      </c>
      <c r="M454">
        <v>17468.254000000001</v>
      </c>
      <c r="N454">
        <v>17210.601999999999</v>
      </c>
      <c r="O454">
        <v>17931.196</v>
      </c>
      <c r="P454">
        <v>19045.128000000001</v>
      </c>
      <c r="Q454">
        <v>20275.214</v>
      </c>
      <c r="R454">
        <v>21586.026999999998</v>
      </c>
      <c r="S454">
        <v>23101.032999999999</v>
      </c>
      <c r="T454">
        <v>24867.493999999999</v>
      </c>
      <c r="U454">
        <v>26778.224999999999</v>
      </c>
      <c r="V454">
        <v>28823.225999999999</v>
      </c>
      <c r="W454">
        <v>30976.754000000001</v>
      </c>
      <c r="X454">
        <v>33242.692000000003</v>
      </c>
      <c r="Y454">
        <v>35613.048000000003</v>
      </c>
      <c r="Z454">
        <v>38098.769</v>
      </c>
      <c r="AA454">
        <v>40699.949999999997</v>
      </c>
      <c r="AB454">
        <v>43420.855000000003</v>
      </c>
      <c r="AC454">
        <v>46267.17</v>
      </c>
      <c r="AD454">
        <v>49230.813000000002</v>
      </c>
    </row>
    <row r="455" spans="2:30" x14ac:dyDescent="0.25">
      <c r="B455" t="s">
        <v>133</v>
      </c>
      <c r="C455" t="s">
        <v>3256</v>
      </c>
      <c r="D455" t="s">
        <v>5227</v>
      </c>
      <c r="E455" t="s">
        <v>5228</v>
      </c>
      <c r="F455" t="s">
        <v>5229</v>
      </c>
      <c r="G455" t="s">
        <v>3890</v>
      </c>
      <c r="H455" t="s">
        <v>109</v>
      </c>
      <c r="I455" t="s">
        <v>108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2:30" x14ac:dyDescent="0.25">
      <c r="B456" t="s">
        <v>133</v>
      </c>
      <c r="C456" t="s">
        <v>3256</v>
      </c>
      <c r="D456" t="s">
        <v>5230</v>
      </c>
      <c r="E456" t="s">
        <v>5231</v>
      </c>
      <c r="F456" t="s">
        <v>5232</v>
      </c>
      <c r="G456" t="s">
        <v>3890</v>
      </c>
      <c r="H456" t="s">
        <v>109</v>
      </c>
      <c r="I456" t="s">
        <v>108</v>
      </c>
      <c r="J456">
        <v>1</v>
      </c>
      <c r="K456">
        <v>10010.589</v>
      </c>
      <c r="L456">
        <v>9837.6170000000002</v>
      </c>
      <c r="M456">
        <v>9543.0020000000004</v>
      </c>
      <c r="N456">
        <v>9122.26</v>
      </c>
      <c r="O456">
        <v>9684.2070000000003</v>
      </c>
      <c r="P456">
        <v>10613.831</v>
      </c>
      <c r="Q456">
        <v>11628.550999999999</v>
      </c>
      <c r="R456">
        <v>12733.902</v>
      </c>
      <c r="S456">
        <v>14057.061</v>
      </c>
      <c r="T456">
        <v>15631.088</v>
      </c>
      <c r="U456">
        <v>17348.161</v>
      </c>
      <c r="V456">
        <v>19198.324000000001</v>
      </c>
      <c r="W456">
        <v>21155.879000000001</v>
      </c>
      <c r="X456">
        <v>23224.756000000001</v>
      </c>
      <c r="Y456">
        <v>25397.007000000001</v>
      </c>
      <c r="Z456">
        <v>27683.625</v>
      </c>
      <c r="AA456">
        <v>30084.751</v>
      </c>
      <c r="AB456">
        <v>32604.694</v>
      </c>
      <c r="AC456">
        <v>35249.186000000002</v>
      </c>
      <c r="AD456">
        <v>38010.19</v>
      </c>
    </row>
    <row r="457" spans="2:30" x14ac:dyDescent="0.25">
      <c r="B457" t="s">
        <v>133</v>
      </c>
      <c r="C457" t="s">
        <v>3256</v>
      </c>
      <c r="D457" t="s">
        <v>5233</v>
      </c>
      <c r="E457" t="s">
        <v>5234</v>
      </c>
      <c r="F457" t="s">
        <v>5235</v>
      </c>
      <c r="G457" t="s">
        <v>3890</v>
      </c>
      <c r="H457" t="s">
        <v>109</v>
      </c>
      <c r="I457" t="s">
        <v>108</v>
      </c>
      <c r="J457">
        <v>1</v>
      </c>
      <c r="K457">
        <v>875.27200000000005</v>
      </c>
      <c r="L457">
        <v>1064.7159999999999</v>
      </c>
      <c r="M457">
        <v>1332.902</v>
      </c>
      <c r="N457">
        <v>1360.3309999999999</v>
      </c>
      <c r="O457">
        <v>1387.0129999999999</v>
      </c>
      <c r="P457">
        <v>1418.011</v>
      </c>
      <c r="Q457">
        <v>1454.232</v>
      </c>
      <c r="R457">
        <v>1488.788</v>
      </c>
      <c r="S457">
        <v>1521.0530000000001</v>
      </c>
      <c r="T457">
        <v>1553.4179999999999</v>
      </c>
      <c r="U457">
        <v>1585.9880000000001</v>
      </c>
      <c r="V457">
        <v>1618.7570000000001</v>
      </c>
      <c r="W457">
        <v>1651.7159999999999</v>
      </c>
      <c r="X457">
        <v>1684.8589999999999</v>
      </c>
      <c r="Y457">
        <v>1718.1769999999999</v>
      </c>
      <c r="Z457">
        <v>1751.663</v>
      </c>
      <c r="AA457">
        <v>1785.309</v>
      </c>
      <c r="AB457">
        <v>1819.1079999999999</v>
      </c>
      <c r="AC457">
        <v>1853.0509999999999</v>
      </c>
      <c r="AD457">
        <v>1887.1320000000001</v>
      </c>
    </row>
    <row r="458" spans="2:30" x14ac:dyDescent="0.25">
      <c r="B458" t="s">
        <v>133</v>
      </c>
      <c r="C458" t="s">
        <v>3256</v>
      </c>
      <c r="D458" t="s">
        <v>5236</v>
      </c>
      <c r="E458" t="s">
        <v>5237</v>
      </c>
      <c r="F458" t="s">
        <v>5238</v>
      </c>
      <c r="G458" t="s">
        <v>3890</v>
      </c>
      <c r="H458" t="s">
        <v>109</v>
      </c>
      <c r="I458" t="s">
        <v>108</v>
      </c>
      <c r="J458">
        <v>1</v>
      </c>
      <c r="K458">
        <v>4328.9740000000002</v>
      </c>
      <c r="L458">
        <v>5265.94</v>
      </c>
      <c r="M458">
        <v>6592.35</v>
      </c>
      <c r="N458">
        <v>6728.01</v>
      </c>
      <c r="O458">
        <v>6859.9750000000004</v>
      </c>
      <c r="P458">
        <v>7013.2860000000001</v>
      </c>
      <c r="Q458">
        <v>7192.4309999999996</v>
      </c>
      <c r="R458">
        <v>7363.3370000000004</v>
      </c>
      <c r="S458">
        <v>7522.9189999999999</v>
      </c>
      <c r="T458">
        <v>7682.9880000000003</v>
      </c>
      <c r="U458">
        <v>7844.076</v>
      </c>
      <c r="V458">
        <v>8006.1459999999997</v>
      </c>
      <c r="W458">
        <v>8169.1589999999997</v>
      </c>
      <c r="X458">
        <v>8333.0769999999993</v>
      </c>
      <c r="Y458">
        <v>8497.8639999999996</v>
      </c>
      <c r="Z458">
        <v>8663.4809999999998</v>
      </c>
      <c r="AA458">
        <v>8829.89</v>
      </c>
      <c r="AB458">
        <v>8997.0540000000001</v>
      </c>
      <c r="AC458">
        <v>9164.9339999999993</v>
      </c>
      <c r="AD458">
        <v>9333.4920000000002</v>
      </c>
    </row>
    <row r="459" spans="2:30" x14ac:dyDescent="0.25">
      <c r="B459" t="s">
        <v>133</v>
      </c>
      <c r="C459" t="s">
        <v>3256</v>
      </c>
      <c r="D459" t="s">
        <v>5239</v>
      </c>
      <c r="E459" t="s">
        <v>5240</v>
      </c>
      <c r="F459" t="s">
        <v>5241</v>
      </c>
      <c r="G459" t="s">
        <v>3890</v>
      </c>
      <c r="H459" t="s">
        <v>109</v>
      </c>
      <c r="I459" t="s">
        <v>108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2:30" x14ac:dyDescent="0.25">
      <c r="B460" t="s">
        <v>133</v>
      </c>
      <c r="C460" t="s">
        <v>3256</v>
      </c>
      <c r="D460" t="s">
        <v>5242</v>
      </c>
      <c r="E460" t="s">
        <v>5131</v>
      </c>
      <c r="F460" t="s">
        <v>5132</v>
      </c>
      <c r="G460" t="s">
        <v>3890</v>
      </c>
      <c r="H460" t="s">
        <v>109</v>
      </c>
      <c r="I460" t="s">
        <v>108</v>
      </c>
      <c r="J460">
        <v>1</v>
      </c>
      <c r="K460">
        <v>5389.2640000000001</v>
      </c>
      <c r="L460">
        <v>6059.357</v>
      </c>
      <c r="M460">
        <v>7304.8469999999998</v>
      </c>
      <c r="N460">
        <v>7485.0290000000005</v>
      </c>
      <c r="O460">
        <v>7660.826</v>
      </c>
      <c r="P460">
        <v>7867.7740000000003</v>
      </c>
      <c r="Q460">
        <v>8112.866</v>
      </c>
      <c r="R460">
        <v>8347.6450000000004</v>
      </c>
      <c r="S460">
        <v>8567.366</v>
      </c>
      <c r="T460">
        <v>8788.9699999999993</v>
      </c>
      <c r="U460">
        <v>9013.2360000000008</v>
      </c>
      <c r="V460">
        <v>9240.1190000000006</v>
      </c>
      <c r="W460">
        <v>9469.5740000000005</v>
      </c>
      <c r="X460">
        <v>9701.5529999999999</v>
      </c>
      <c r="Y460">
        <v>9936.0069999999996</v>
      </c>
      <c r="Z460">
        <v>10172.888000000001</v>
      </c>
      <c r="AA460">
        <v>10412.143</v>
      </c>
      <c r="AB460">
        <v>10653.721</v>
      </c>
      <c r="AC460">
        <v>10897.566999999999</v>
      </c>
      <c r="AD460">
        <v>11143.626</v>
      </c>
    </row>
    <row r="461" spans="2:30" x14ac:dyDescent="0.25">
      <c r="B461" t="s">
        <v>133</v>
      </c>
      <c r="C461" t="s">
        <v>3256</v>
      </c>
      <c r="D461" t="s">
        <v>5243</v>
      </c>
      <c r="E461" t="s">
        <v>5244</v>
      </c>
      <c r="F461" t="s">
        <v>5245</v>
      </c>
      <c r="G461" t="s">
        <v>3890</v>
      </c>
      <c r="H461" t="s">
        <v>109</v>
      </c>
      <c r="I461" t="s">
        <v>108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2:30" x14ac:dyDescent="0.25">
      <c r="B462" t="s">
        <v>133</v>
      </c>
      <c r="C462" t="s">
        <v>3256</v>
      </c>
      <c r="D462" t="s">
        <v>5246</v>
      </c>
      <c r="E462" t="s">
        <v>5247</v>
      </c>
      <c r="F462" t="s">
        <v>5248</v>
      </c>
      <c r="G462" t="s">
        <v>3890</v>
      </c>
      <c r="H462" t="s">
        <v>109</v>
      </c>
      <c r="I462" t="s">
        <v>108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2:30" x14ac:dyDescent="0.25">
      <c r="B463" t="s">
        <v>133</v>
      </c>
      <c r="C463" t="s">
        <v>3256</v>
      </c>
      <c r="D463" t="s">
        <v>5249</v>
      </c>
      <c r="E463" t="s">
        <v>5250</v>
      </c>
      <c r="F463" t="s">
        <v>5251</v>
      </c>
      <c r="G463" t="s">
        <v>3890</v>
      </c>
      <c r="H463" t="s">
        <v>109</v>
      </c>
      <c r="I463" t="s">
        <v>108</v>
      </c>
      <c r="J463">
        <v>1</v>
      </c>
      <c r="K463">
        <v>3107.4549999999999</v>
      </c>
      <c r="L463">
        <v>3427.6979999999999</v>
      </c>
      <c r="M463">
        <v>4102.9210000000003</v>
      </c>
      <c r="N463">
        <v>4179.0079999999998</v>
      </c>
      <c r="O463">
        <v>4252.4840000000004</v>
      </c>
      <c r="P463">
        <v>4338.8559999999998</v>
      </c>
      <c r="Q463">
        <v>4440.8180000000002</v>
      </c>
      <c r="R463">
        <v>4537.2790000000005</v>
      </c>
      <c r="S463">
        <v>4626.3739999999998</v>
      </c>
      <c r="T463">
        <v>4715.3950000000004</v>
      </c>
      <c r="U463">
        <v>4804.6670000000004</v>
      </c>
      <c r="V463">
        <v>4894.165</v>
      </c>
      <c r="W463">
        <v>4983.8620000000001</v>
      </c>
      <c r="X463">
        <v>5073.7340000000004</v>
      </c>
      <c r="Y463">
        <v>5163.7550000000001</v>
      </c>
      <c r="Z463">
        <v>5253.9</v>
      </c>
      <c r="AA463">
        <v>5344.1450000000004</v>
      </c>
      <c r="AB463">
        <v>5434.4660000000003</v>
      </c>
      <c r="AC463">
        <v>5524.8370000000004</v>
      </c>
      <c r="AD463">
        <v>5615.2340000000004</v>
      </c>
    </row>
    <row r="464" spans="2:30" x14ac:dyDescent="0.25">
      <c r="B464" t="s">
        <v>133</v>
      </c>
      <c r="C464" t="s">
        <v>3256</v>
      </c>
      <c r="D464" t="s">
        <v>5252</v>
      </c>
      <c r="E464" t="s">
        <v>5253</v>
      </c>
      <c r="F464" t="s">
        <v>5254</v>
      </c>
      <c r="G464" t="s">
        <v>3890</v>
      </c>
      <c r="H464" t="s">
        <v>109</v>
      </c>
      <c r="I464" t="s">
        <v>108</v>
      </c>
      <c r="J464">
        <v>1</v>
      </c>
      <c r="K464">
        <v>2281.8090000000002</v>
      </c>
      <c r="L464">
        <v>2631.6590000000001</v>
      </c>
      <c r="M464">
        <v>3201.9259999999999</v>
      </c>
      <c r="N464">
        <v>3306.0210000000002</v>
      </c>
      <c r="O464">
        <v>3408.3420000000001</v>
      </c>
      <c r="P464">
        <v>3528.9180000000001</v>
      </c>
      <c r="Q464">
        <v>3672.0479999999998</v>
      </c>
      <c r="R464">
        <v>3810.3670000000002</v>
      </c>
      <c r="S464">
        <v>3940.9920000000002</v>
      </c>
      <c r="T464">
        <v>4073.5749999999998</v>
      </c>
      <c r="U464">
        <v>4208.5680000000002</v>
      </c>
      <c r="V464">
        <v>4345.9539999999997</v>
      </c>
      <c r="W464">
        <v>4485.7120000000004</v>
      </c>
      <c r="X464">
        <v>4627.8190000000004</v>
      </c>
      <c r="Y464">
        <v>4772.2529999999997</v>
      </c>
      <c r="Z464">
        <v>4918.9880000000003</v>
      </c>
      <c r="AA464">
        <v>5067.9979999999996</v>
      </c>
      <c r="AB464">
        <v>5219.2550000000001</v>
      </c>
      <c r="AC464">
        <v>5372.73</v>
      </c>
      <c r="AD464">
        <v>5528.3919999999998</v>
      </c>
    </row>
    <row r="465" spans="2:30" x14ac:dyDescent="0.25">
      <c r="B465" t="s">
        <v>133</v>
      </c>
      <c r="C465" t="s">
        <v>3256</v>
      </c>
      <c r="D465" t="s">
        <v>5255</v>
      </c>
      <c r="E465" t="s">
        <v>5256</v>
      </c>
      <c r="F465" t="s">
        <v>5257</v>
      </c>
      <c r="G465" t="s">
        <v>3890</v>
      </c>
      <c r="H465" t="s">
        <v>109</v>
      </c>
      <c r="I465" t="s">
        <v>108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2:30" x14ac:dyDescent="0.25">
      <c r="B466" t="s">
        <v>133</v>
      </c>
      <c r="C466" t="s">
        <v>3256</v>
      </c>
      <c r="D466" t="s">
        <v>5258</v>
      </c>
      <c r="E466" t="s">
        <v>5134</v>
      </c>
      <c r="F466" t="s">
        <v>5135</v>
      </c>
      <c r="G466" t="s">
        <v>3890</v>
      </c>
      <c r="H466" t="s">
        <v>109</v>
      </c>
      <c r="I466" t="s">
        <v>108</v>
      </c>
      <c r="J466">
        <v>1</v>
      </c>
      <c r="K466">
        <v>659.322</v>
      </c>
      <c r="L466">
        <v>771.90700000000004</v>
      </c>
      <c r="M466">
        <v>857.73800000000006</v>
      </c>
      <c r="N466">
        <v>889.11699999999996</v>
      </c>
      <c r="O466">
        <v>920.298</v>
      </c>
      <c r="P466">
        <v>957.94299999999998</v>
      </c>
      <c r="Q466">
        <v>1003.823</v>
      </c>
      <c r="R466">
        <v>1048.83</v>
      </c>
      <c r="S466">
        <v>1091.8589999999999</v>
      </c>
      <c r="T466">
        <v>1136.079</v>
      </c>
      <c r="U466">
        <v>1181.4929999999999</v>
      </c>
      <c r="V466">
        <v>1228.1030000000001</v>
      </c>
      <c r="W466">
        <v>1275.9059999999999</v>
      </c>
      <c r="X466">
        <v>1324.8989999999999</v>
      </c>
      <c r="Y466">
        <v>1375.079</v>
      </c>
      <c r="Z466">
        <v>1426.4359999999999</v>
      </c>
      <c r="AA466">
        <v>1478.963</v>
      </c>
      <c r="AB466">
        <v>1532.6469999999999</v>
      </c>
      <c r="AC466">
        <v>1587.4749999999999</v>
      </c>
      <c r="AD466">
        <v>1643.43</v>
      </c>
    </row>
    <row r="467" spans="2:30" x14ac:dyDescent="0.25">
      <c r="B467" t="s">
        <v>133</v>
      </c>
      <c r="C467" t="s">
        <v>3256</v>
      </c>
      <c r="D467" t="s">
        <v>5259</v>
      </c>
      <c r="E467" t="s">
        <v>5260</v>
      </c>
      <c r="F467" t="s">
        <v>5261</v>
      </c>
      <c r="G467" t="s">
        <v>3890</v>
      </c>
      <c r="H467" t="s">
        <v>109</v>
      </c>
      <c r="I467" t="s">
        <v>108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2:30" x14ac:dyDescent="0.25">
      <c r="B468" t="s">
        <v>133</v>
      </c>
      <c r="C468" t="s">
        <v>3256</v>
      </c>
      <c r="D468" t="s">
        <v>5262</v>
      </c>
      <c r="E468" t="s">
        <v>5263</v>
      </c>
      <c r="F468" t="s">
        <v>5264</v>
      </c>
      <c r="G468" t="s">
        <v>3890</v>
      </c>
      <c r="H468" t="s">
        <v>109</v>
      </c>
      <c r="I468" t="s">
        <v>108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2:30" x14ac:dyDescent="0.25">
      <c r="B469" t="s">
        <v>133</v>
      </c>
      <c r="C469" t="s">
        <v>3256</v>
      </c>
      <c r="D469" t="s">
        <v>5265</v>
      </c>
      <c r="E469" t="s">
        <v>5266</v>
      </c>
      <c r="F469" t="s">
        <v>5267</v>
      </c>
      <c r="G469" t="s">
        <v>3890</v>
      </c>
      <c r="H469" t="s">
        <v>109</v>
      </c>
      <c r="I469" t="s">
        <v>108</v>
      </c>
      <c r="J469">
        <v>1</v>
      </c>
      <c r="K469">
        <v>3</v>
      </c>
      <c r="L469">
        <v>3.181</v>
      </c>
      <c r="M469">
        <v>3.6320000000000001</v>
      </c>
      <c r="N469">
        <v>3.7050000000000001</v>
      </c>
      <c r="O469">
        <v>3.7759999999999998</v>
      </c>
      <c r="P469">
        <v>3.859</v>
      </c>
      <c r="Q469">
        <v>3.9569999999999999</v>
      </c>
      <c r="R469">
        <v>4.0510000000000002</v>
      </c>
      <c r="S469">
        <v>4.1369999999999996</v>
      </c>
      <c r="T469">
        <v>4.2240000000000002</v>
      </c>
      <c r="U469">
        <v>4.3120000000000003</v>
      </c>
      <c r="V469">
        <v>4.399</v>
      </c>
      <c r="W469">
        <v>4.4880000000000004</v>
      </c>
      <c r="X469">
        <v>4.5759999999999996</v>
      </c>
      <c r="Y469">
        <v>4.665</v>
      </c>
      <c r="Z469">
        <v>4.7549999999999999</v>
      </c>
      <c r="AA469">
        <v>4.8449999999999998</v>
      </c>
      <c r="AB469">
        <v>4.9349999999999996</v>
      </c>
      <c r="AC469">
        <v>5.0259999999999998</v>
      </c>
      <c r="AD469">
        <v>5.117</v>
      </c>
    </row>
    <row r="470" spans="2:30" x14ac:dyDescent="0.25">
      <c r="B470" t="s">
        <v>133</v>
      </c>
      <c r="C470" t="s">
        <v>3256</v>
      </c>
      <c r="D470" t="s">
        <v>5268</v>
      </c>
      <c r="E470" t="s">
        <v>5269</v>
      </c>
      <c r="F470" t="s">
        <v>5270</v>
      </c>
      <c r="G470" t="s">
        <v>3890</v>
      </c>
      <c r="H470" t="s">
        <v>109</v>
      </c>
      <c r="I470" t="s">
        <v>108</v>
      </c>
      <c r="J470">
        <v>1</v>
      </c>
      <c r="K470">
        <v>4</v>
      </c>
      <c r="L470">
        <v>4.3959999999999999</v>
      </c>
      <c r="M470">
        <v>5.07</v>
      </c>
      <c r="N470">
        <v>5.234</v>
      </c>
      <c r="O470">
        <v>5.3959999999999999</v>
      </c>
      <c r="P470">
        <v>5.5869999999999997</v>
      </c>
      <c r="Q470">
        <v>5.8140000000000001</v>
      </c>
      <c r="R470">
        <v>6.0330000000000004</v>
      </c>
      <c r="S470">
        <v>6.24</v>
      </c>
      <c r="T470">
        <v>6.45</v>
      </c>
      <c r="U470">
        <v>6.6630000000000003</v>
      </c>
      <c r="V470">
        <v>6.8810000000000002</v>
      </c>
      <c r="W470">
        <v>7.1020000000000003</v>
      </c>
      <c r="X470">
        <v>7.327</v>
      </c>
      <c r="Y470">
        <v>7.556</v>
      </c>
      <c r="Z470">
        <v>7.7880000000000003</v>
      </c>
      <c r="AA470">
        <v>8.0239999999999991</v>
      </c>
      <c r="AB470">
        <v>8.2629999999999999</v>
      </c>
      <c r="AC470">
        <v>8.5060000000000002</v>
      </c>
      <c r="AD470">
        <v>8.7530000000000001</v>
      </c>
    </row>
    <row r="471" spans="2:30" x14ac:dyDescent="0.25">
      <c r="B471" t="s">
        <v>133</v>
      </c>
      <c r="C471" t="s">
        <v>3256</v>
      </c>
      <c r="D471" t="s">
        <v>5271</v>
      </c>
      <c r="E471" t="s">
        <v>5272</v>
      </c>
      <c r="F471" t="s">
        <v>5273</v>
      </c>
      <c r="G471" t="s">
        <v>3890</v>
      </c>
      <c r="H471" t="s">
        <v>109</v>
      </c>
      <c r="I471" t="s">
        <v>108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2:30" x14ac:dyDescent="0.25">
      <c r="B472" t="s">
        <v>133</v>
      </c>
      <c r="C472" t="s">
        <v>3256</v>
      </c>
      <c r="D472" t="s">
        <v>5274</v>
      </c>
      <c r="E472" t="s">
        <v>5122</v>
      </c>
      <c r="F472" t="s">
        <v>5123</v>
      </c>
      <c r="G472" t="s">
        <v>3890</v>
      </c>
      <c r="H472" t="s">
        <v>109</v>
      </c>
      <c r="I472" t="s">
        <v>108</v>
      </c>
      <c r="J472">
        <v>1</v>
      </c>
      <c r="K472">
        <v>7688.0550000000003</v>
      </c>
      <c r="L472">
        <v>7382.1220000000003</v>
      </c>
      <c r="M472">
        <v>7820.5169999999998</v>
      </c>
      <c r="N472">
        <v>9963.2890000000007</v>
      </c>
      <c r="O472">
        <v>9996.473</v>
      </c>
      <c r="P472">
        <v>10040.493</v>
      </c>
      <c r="Q472">
        <v>10104.35</v>
      </c>
      <c r="R472">
        <v>10170.476000000001</v>
      </c>
      <c r="S472">
        <v>10233.127</v>
      </c>
      <c r="T472">
        <v>10301.992</v>
      </c>
      <c r="U472">
        <v>10378.269</v>
      </c>
      <c r="V472">
        <v>10461.94</v>
      </c>
      <c r="W472">
        <v>10553.672</v>
      </c>
      <c r="X472">
        <v>10653.630999999999</v>
      </c>
      <c r="Y472">
        <v>10762.258</v>
      </c>
      <c r="Z472">
        <v>10879.782999999999</v>
      </c>
      <c r="AA472">
        <v>11006.638999999999</v>
      </c>
      <c r="AB472">
        <v>11143.370999999999</v>
      </c>
      <c r="AC472">
        <v>11290.245000000001</v>
      </c>
      <c r="AD472">
        <v>11447.72</v>
      </c>
    </row>
    <row r="473" spans="2:30" x14ac:dyDescent="0.25">
      <c r="B473" t="s">
        <v>133</v>
      </c>
      <c r="C473" t="s">
        <v>3256</v>
      </c>
      <c r="D473" t="s">
        <v>5275</v>
      </c>
      <c r="E473" t="s">
        <v>5276</v>
      </c>
      <c r="F473" t="s">
        <v>5277</v>
      </c>
      <c r="G473" t="s">
        <v>3890</v>
      </c>
      <c r="H473" t="s">
        <v>109</v>
      </c>
      <c r="I473" t="s">
        <v>108</v>
      </c>
      <c r="J473">
        <v>1</v>
      </c>
      <c r="K473">
        <v>4691.6719999999996</v>
      </c>
      <c r="L473">
        <v>4566.808</v>
      </c>
      <c r="M473">
        <v>4436.3280000000004</v>
      </c>
      <c r="N473">
        <v>5363.9560000000001</v>
      </c>
      <c r="O473">
        <v>5260.9070000000002</v>
      </c>
      <c r="P473">
        <v>5144.1360000000004</v>
      </c>
      <c r="Q473">
        <v>5016.8670000000002</v>
      </c>
      <c r="R473">
        <v>4898.4859999999999</v>
      </c>
      <c r="S473">
        <v>4787.1270000000004</v>
      </c>
      <c r="T473">
        <v>4679.4560000000001</v>
      </c>
      <c r="U473">
        <v>4576.0609999999997</v>
      </c>
      <c r="V473">
        <v>4476.9549999999999</v>
      </c>
      <c r="W473">
        <v>4382.8310000000001</v>
      </c>
      <c r="X473">
        <v>4293.8890000000001</v>
      </c>
      <c r="Y473">
        <v>4210.6049999999996</v>
      </c>
      <c r="Z473">
        <v>4133.2449999999999</v>
      </c>
      <c r="AA473">
        <v>4062.2779999999998</v>
      </c>
      <c r="AB473">
        <v>3998.2890000000002</v>
      </c>
      <c r="AC473">
        <v>3941.587</v>
      </c>
      <c r="AD473">
        <v>3892.674</v>
      </c>
    </row>
    <row r="474" spans="2:30" x14ac:dyDescent="0.25">
      <c r="B474" t="s">
        <v>133</v>
      </c>
      <c r="C474" t="s">
        <v>3256</v>
      </c>
      <c r="D474" t="s">
        <v>5278</v>
      </c>
      <c r="E474" t="s">
        <v>5279</v>
      </c>
      <c r="F474" t="s">
        <v>5280</v>
      </c>
      <c r="G474" t="s">
        <v>3890</v>
      </c>
      <c r="H474" t="s">
        <v>109</v>
      </c>
      <c r="I474" t="s">
        <v>108</v>
      </c>
      <c r="J474">
        <v>1</v>
      </c>
      <c r="K474">
        <v>271.34100000000001</v>
      </c>
      <c r="L474">
        <v>251.108</v>
      </c>
      <c r="M474">
        <v>298.85899999999998</v>
      </c>
      <c r="N474">
        <v>395.57299999999998</v>
      </c>
      <c r="O474">
        <v>406.19900000000001</v>
      </c>
      <c r="P474">
        <v>418.90199999999999</v>
      </c>
      <c r="Q474">
        <v>434.16399999999999</v>
      </c>
      <c r="R474">
        <v>448.73200000000003</v>
      </c>
      <c r="S474">
        <v>462.27499999999998</v>
      </c>
      <c r="T474">
        <v>475.93200000000002</v>
      </c>
      <c r="U474">
        <v>489.75400000000002</v>
      </c>
      <c r="V474">
        <v>503.73700000000002</v>
      </c>
      <c r="W474">
        <v>517.875</v>
      </c>
      <c r="X474">
        <v>532.16300000000001</v>
      </c>
      <c r="Y474">
        <v>546.59500000000003</v>
      </c>
      <c r="Z474">
        <v>561.16800000000001</v>
      </c>
      <c r="AA474">
        <v>575.875</v>
      </c>
      <c r="AB474">
        <v>590.71100000000001</v>
      </c>
      <c r="AC474">
        <v>605.66999999999996</v>
      </c>
      <c r="AD474">
        <v>620.74699999999996</v>
      </c>
    </row>
    <row r="475" spans="2:30" x14ac:dyDescent="0.25">
      <c r="B475" t="s">
        <v>133</v>
      </c>
      <c r="C475" t="s">
        <v>3256</v>
      </c>
      <c r="D475" t="s">
        <v>5281</v>
      </c>
      <c r="E475" t="s">
        <v>5282</v>
      </c>
      <c r="F475" t="s">
        <v>5283</v>
      </c>
      <c r="G475" t="s">
        <v>3890</v>
      </c>
      <c r="H475" t="s">
        <v>109</v>
      </c>
      <c r="I475" t="s">
        <v>108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2:30" x14ac:dyDescent="0.25">
      <c r="B476" t="s">
        <v>133</v>
      </c>
      <c r="C476" t="s">
        <v>3256</v>
      </c>
      <c r="D476" t="s">
        <v>5284</v>
      </c>
      <c r="E476" t="s">
        <v>5285</v>
      </c>
      <c r="F476" t="s">
        <v>5286</v>
      </c>
      <c r="G476" t="s">
        <v>3890</v>
      </c>
      <c r="H476" t="s">
        <v>109</v>
      </c>
      <c r="I476" t="s">
        <v>108</v>
      </c>
      <c r="J476">
        <v>1</v>
      </c>
      <c r="K476">
        <v>2631.7759999999998</v>
      </c>
      <c r="L476">
        <v>2478.98</v>
      </c>
      <c r="M476">
        <v>2984.6860000000001</v>
      </c>
      <c r="N476">
        <v>4071.1979999999999</v>
      </c>
      <c r="O476">
        <v>4197.2</v>
      </c>
      <c r="P476">
        <v>4345.6840000000002</v>
      </c>
      <c r="Q476">
        <v>4521.9409999999998</v>
      </c>
      <c r="R476">
        <v>4692.2730000000001</v>
      </c>
      <c r="S476">
        <v>4853.1319999999996</v>
      </c>
      <c r="T476">
        <v>5016.4009999999998</v>
      </c>
      <c r="U476">
        <v>5182.6390000000001</v>
      </c>
      <c r="V476">
        <v>5351.8220000000001</v>
      </c>
      <c r="W476">
        <v>5523.9269999999997</v>
      </c>
      <c r="X476">
        <v>5698.9250000000002</v>
      </c>
      <c r="Y476">
        <v>5876.7870000000003</v>
      </c>
      <c r="Z476">
        <v>6057.4840000000004</v>
      </c>
      <c r="AA476">
        <v>6240.982</v>
      </c>
      <c r="AB476">
        <v>6427.2479999999996</v>
      </c>
      <c r="AC476">
        <v>6616.2449999999999</v>
      </c>
      <c r="AD476">
        <v>6807.9340000000002</v>
      </c>
    </row>
    <row r="477" spans="2:30" x14ac:dyDescent="0.25">
      <c r="B477" t="s">
        <v>133</v>
      </c>
      <c r="C477" t="s">
        <v>3256</v>
      </c>
      <c r="D477" t="s">
        <v>5287</v>
      </c>
      <c r="E477" t="s">
        <v>5288</v>
      </c>
      <c r="F477" t="s">
        <v>5289</v>
      </c>
      <c r="G477" t="s">
        <v>3890</v>
      </c>
      <c r="H477" t="s">
        <v>109</v>
      </c>
      <c r="I477" t="s">
        <v>108</v>
      </c>
      <c r="J477">
        <v>1</v>
      </c>
      <c r="K477">
        <v>93.265000000000001</v>
      </c>
      <c r="L477">
        <v>85.225999999999999</v>
      </c>
      <c r="M477">
        <v>100.645</v>
      </c>
      <c r="N477">
        <v>132.56200000000001</v>
      </c>
      <c r="O477">
        <v>132.166</v>
      </c>
      <c r="P477">
        <v>131.77099999999999</v>
      </c>
      <c r="Q477">
        <v>131.37799999999999</v>
      </c>
      <c r="R477">
        <v>130.98500000000001</v>
      </c>
      <c r="S477">
        <v>130.59399999999999</v>
      </c>
      <c r="T477">
        <v>130.203</v>
      </c>
      <c r="U477">
        <v>129.81399999999999</v>
      </c>
      <c r="V477">
        <v>129.42599999999999</v>
      </c>
      <c r="W477">
        <v>129.04</v>
      </c>
      <c r="X477">
        <v>128.654</v>
      </c>
      <c r="Y477">
        <v>128.27000000000001</v>
      </c>
      <c r="Z477">
        <v>127.886</v>
      </c>
      <c r="AA477">
        <v>127.504</v>
      </c>
      <c r="AB477">
        <v>127.123</v>
      </c>
      <c r="AC477">
        <v>126.74299999999999</v>
      </c>
      <c r="AD477">
        <v>126.36499999999999</v>
      </c>
    </row>
    <row r="478" spans="2:30" x14ac:dyDescent="0.25">
      <c r="B478" t="s">
        <v>133</v>
      </c>
      <c r="C478" t="s">
        <v>3256</v>
      </c>
      <c r="D478" t="s">
        <v>5290</v>
      </c>
      <c r="E478" t="s">
        <v>5291</v>
      </c>
      <c r="F478" t="s">
        <v>5292</v>
      </c>
      <c r="G478" t="s">
        <v>3890</v>
      </c>
      <c r="H478" t="s">
        <v>109</v>
      </c>
      <c r="I478" t="s">
        <v>108</v>
      </c>
      <c r="J478">
        <v>1</v>
      </c>
      <c r="K478">
        <v>80943.887000000002</v>
      </c>
      <c r="L478">
        <v>79047.616999999998</v>
      </c>
      <c r="M478">
        <v>89450.361999999994</v>
      </c>
      <c r="N478">
        <v>92510.793000000005</v>
      </c>
      <c r="O478">
        <v>93065.717999999993</v>
      </c>
      <c r="P478">
        <v>95290.343999999997</v>
      </c>
      <c r="Q478">
        <v>99127.456999999995</v>
      </c>
      <c r="R478">
        <v>103229.95600000001</v>
      </c>
      <c r="S478">
        <v>107500.22100000001</v>
      </c>
      <c r="T478">
        <v>112251.38800000001</v>
      </c>
      <c r="U478">
        <v>117329.534</v>
      </c>
      <c r="V478">
        <v>122808.019</v>
      </c>
      <c r="W478">
        <v>128650.345</v>
      </c>
      <c r="X478">
        <v>134902.85999999999</v>
      </c>
      <c r="Y478">
        <v>141553.973</v>
      </c>
      <c r="Z478">
        <v>148684.76800000001</v>
      </c>
      <c r="AA478">
        <v>156335.72899999999</v>
      </c>
      <c r="AB478">
        <v>164572.45699999999</v>
      </c>
      <c r="AC478">
        <v>173473.253</v>
      </c>
      <c r="AD478">
        <v>182561.61</v>
      </c>
    </row>
    <row r="479" spans="2:30" x14ac:dyDescent="0.25">
      <c r="B479" t="s">
        <v>133</v>
      </c>
      <c r="C479" t="s">
        <v>3256</v>
      </c>
      <c r="D479" t="s">
        <v>5293</v>
      </c>
      <c r="E479" t="s">
        <v>5143</v>
      </c>
      <c r="F479" t="s">
        <v>5144</v>
      </c>
      <c r="G479" t="s">
        <v>3890</v>
      </c>
      <c r="H479" t="s">
        <v>109</v>
      </c>
      <c r="I479" t="s">
        <v>108</v>
      </c>
      <c r="J479">
        <v>1</v>
      </c>
      <c r="K479">
        <v>1529.27</v>
      </c>
      <c r="L479">
        <v>1206.73</v>
      </c>
      <c r="M479">
        <v>1313.405</v>
      </c>
      <c r="N479">
        <v>1308.827</v>
      </c>
      <c r="O479">
        <v>1304.2660000000001</v>
      </c>
      <c r="P479">
        <v>1299.72</v>
      </c>
      <c r="Q479">
        <v>1295.19</v>
      </c>
      <c r="R479">
        <v>1290.6759999999999</v>
      </c>
      <c r="S479">
        <v>1286.1780000000001</v>
      </c>
      <c r="T479">
        <v>1281.6949999999999</v>
      </c>
      <c r="U479">
        <v>1277.2280000000001</v>
      </c>
      <c r="V479">
        <v>1272.777</v>
      </c>
      <c r="W479">
        <v>1268.3409999999999</v>
      </c>
      <c r="X479">
        <v>1263.921</v>
      </c>
      <c r="Y479">
        <v>1259.5160000000001</v>
      </c>
      <c r="Z479">
        <v>1255.126</v>
      </c>
      <c r="AA479">
        <v>1250.752</v>
      </c>
      <c r="AB479">
        <v>1246.393</v>
      </c>
      <c r="AC479">
        <v>1242.049</v>
      </c>
      <c r="AD479">
        <v>1237.72</v>
      </c>
    </row>
    <row r="480" spans="2:30" x14ac:dyDescent="0.25">
      <c r="B480" t="s">
        <v>133</v>
      </c>
      <c r="C480" t="s">
        <v>3256</v>
      </c>
      <c r="D480" t="s">
        <v>5294</v>
      </c>
      <c r="E480" t="s">
        <v>5295</v>
      </c>
      <c r="F480" t="s">
        <v>5296</v>
      </c>
      <c r="G480" t="s">
        <v>3890</v>
      </c>
      <c r="H480" t="s">
        <v>109</v>
      </c>
      <c r="I480" t="s">
        <v>108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2:30" x14ac:dyDescent="0.25">
      <c r="B481" t="s">
        <v>133</v>
      </c>
      <c r="C481" t="s">
        <v>3256</v>
      </c>
      <c r="D481" t="s">
        <v>5297</v>
      </c>
      <c r="E481" t="s">
        <v>5298</v>
      </c>
      <c r="F481" t="s">
        <v>5299</v>
      </c>
      <c r="G481" t="s">
        <v>3890</v>
      </c>
      <c r="H481" t="s">
        <v>109</v>
      </c>
      <c r="I481" t="s">
        <v>108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2:30" x14ac:dyDescent="0.25">
      <c r="B482" t="s">
        <v>133</v>
      </c>
      <c r="C482" t="s">
        <v>3256</v>
      </c>
      <c r="D482" t="s">
        <v>5300</v>
      </c>
      <c r="E482" t="s">
        <v>5301</v>
      </c>
      <c r="F482" t="s">
        <v>5302</v>
      </c>
      <c r="G482" t="s">
        <v>3890</v>
      </c>
      <c r="H482" t="s">
        <v>109</v>
      </c>
      <c r="I482" t="s">
        <v>108</v>
      </c>
      <c r="J482">
        <v>1</v>
      </c>
      <c r="K482">
        <v>1529.27</v>
      </c>
      <c r="L482">
        <v>1206.73</v>
      </c>
      <c r="M482">
        <v>1313.405</v>
      </c>
      <c r="N482">
        <v>1308.827</v>
      </c>
      <c r="O482">
        <v>1304.2660000000001</v>
      </c>
      <c r="P482">
        <v>1299.72</v>
      </c>
      <c r="Q482">
        <v>1295.19</v>
      </c>
      <c r="R482">
        <v>1290.6759999999999</v>
      </c>
      <c r="S482">
        <v>1286.1780000000001</v>
      </c>
      <c r="T482">
        <v>1281.6949999999999</v>
      </c>
      <c r="U482">
        <v>1277.2280000000001</v>
      </c>
      <c r="V482">
        <v>1272.777</v>
      </c>
      <c r="W482">
        <v>1268.3409999999999</v>
      </c>
      <c r="X482">
        <v>1263.921</v>
      </c>
      <c r="Y482">
        <v>1259.5160000000001</v>
      </c>
      <c r="Z482">
        <v>1255.126</v>
      </c>
      <c r="AA482">
        <v>1250.752</v>
      </c>
      <c r="AB482">
        <v>1246.393</v>
      </c>
      <c r="AC482">
        <v>1242.049</v>
      </c>
      <c r="AD482">
        <v>1237.72</v>
      </c>
    </row>
    <row r="483" spans="2:30" x14ac:dyDescent="0.25">
      <c r="B483" t="s">
        <v>133</v>
      </c>
      <c r="C483" t="s">
        <v>3256</v>
      </c>
      <c r="D483" t="s">
        <v>5303</v>
      </c>
      <c r="E483" t="s">
        <v>5304</v>
      </c>
      <c r="F483" t="s">
        <v>5305</v>
      </c>
      <c r="G483" t="s">
        <v>3890</v>
      </c>
      <c r="H483" t="s">
        <v>109</v>
      </c>
      <c r="I483" t="s">
        <v>108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2:30" x14ac:dyDescent="0.25">
      <c r="B484" t="s">
        <v>133</v>
      </c>
      <c r="C484" t="s">
        <v>3256</v>
      </c>
      <c r="D484" t="s">
        <v>5306</v>
      </c>
      <c r="E484" t="s">
        <v>5307</v>
      </c>
      <c r="F484" t="s">
        <v>5308</v>
      </c>
      <c r="G484" t="s">
        <v>3890</v>
      </c>
      <c r="H484" t="s">
        <v>109</v>
      </c>
      <c r="I484" t="s">
        <v>108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2:30" x14ac:dyDescent="0.25">
      <c r="B485" t="s">
        <v>133</v>
      </c>
      <c r="C485" t="s">
        <v>3256</v>
      </c>
      <c r="D485" t="s">
        <v>5309</v>
      </c>
      <c r="E485" t="s">
        <v>5113</v>
      </c>
      <c r="F485" t="s">
        <v>5114</v>
      </c>
      <c r="G485" t="s">
        <v>3890</v>
      </c>
      <c r="H485" t="s">
        <v>109</v>
      </c>
      <c r="I485" t="s">
        <v>108</v>
      </c>
      <c r="J485">
        <v>1</v>
      </c>
      <c r="K485">
        <v>84652.786999999997</v>
      </c>
      <c r="L485">
        <v>82605.210000000006</v>
      </c>
      <c r="M485">
        <v>93076.263000000006</v>
      </c>
      <c r="N485">
        <v>97660.903999999995</v>
      </c>
      <c r="O485">
        <v>99883.266000000003</v>
      </c>
      <c r="P485">
        <v>102725.504</v>
      </c>
      <c r="Q485">
        <v>106869.443</v>
      </c>
      <c r="R485">
        <v>111405.026</v>
      </c>
      <c r="S485">
        <v>116204.06299999999</v>
      </c>
      <c r="T485">
        <v>121509.573</v>
      </c>
      <c r="U485">
        <v>127156.573</v>
      </c>
      <c r="V485">
        <v>133223.60800000001</v>
      </c>
      <c r="W485">
        <v>139695.67600000001</v>
      </c>
      <c r="X485">
        <v>146629.91699999999</v>
      </c>
      <c r="Y485">
        <v>154032.26300000001</v>
      </c>
      <c r="Z485">
        <v>161993.68299999999</v>
      </c>
      <c r="AA485">
        <v>170574.56899999999</v>
      </c>
      <c r="AB485">
        <v>179860.70300000001</v>
      </c>
      <c r="AC485">
        <v>189936.71599999999</v>
      </c>
      <c r="AD485">
        <v>200456.03200000001</v>
      </c>
    </row>
    <row r="486" spans="2:30" x14ac:dyDescent="0.25">
      <c r="B486" t="s">
        <v>133</v>
      </c>
      <c r="C486" t="s">
        <v>3256</v>
      </c>
      <c r="D486" t="s">
        <v>5310</v>
      </c>
      <c r="E486" t="s">
        <v>5116</v>
      </c>
      <c r="F486" t="s">
        <v>5117</v>
      </c>
      <c r="G486" t="s">
        <v>3890</v>
      </c>
      <c r="H486" t="s">
        <v>109</v>
      </c>
      <c r="I486" t="s">
        <v>108</v>
      </c>
      <c r="J486">
        <v>1</v>
      </c>
      <c r="K486">
        <v>1651.0930000000001</v>
      </c>
      <c r="L486">
        <v>1545.134</v>
      </c>
      <c r="M486">
        <v>1836.8230000000001</v>
      </c>
      <c r="N486">
        <v>1975.171</v>
      </c>
      <c r="O486">
        <v>2006.8579999999999</v>
      </c>
      <c r="P486">
        <v>2038.454</v>
      </c>
      <c r="Q486">
        <v>2090.7600000000002</v>
      </c>
      <c r="R486">
        <v>2141.0300000000002</v>
      </c>
      <c r="S486">
        <v>2188.41</v>
      </c>
      <c r="T486">
        <v>2235.8040000000001</v>
      </c>
      <c r="U486">
        <v>2278.1129999999998</v>
      </c>
      <c r="V486">
        <v>2320.529</v>
      </c>
      <c r="W486">
        <v>2363.0390000000002</v>
      </c>
      <c r="X486">
        <v>2405.6320000000001</v>
      </c>
      <c r="Y486">
        <v>2448.2950000000001</v>
      </c>
      <c r="Z486">
        <v>2491.0169999999998</v>
      </c>
      <c r="AA486">
        <v>2533.7860000000001</v>
      </c>
      <c r="AB486">
        <v>2576.5909999999999</v>
      </c>
      <c r="AC486">
        <v>2619.4189999999999</v>
      </c>
      <c r="AD486">
        <v>2662.26</v>
      </c>
    </row>
    <row r="487" spans="2:30" x14ac:dyDescent="0.25">
      <c r="B487" t="s">
        <v>133</v>
      </c>
      <c r="C487" t="s">
        <v>3256</v>
      </c>
      <c r="D487" t="s">
        <v>5311</v>
      </c>
      <c r="E487" t="s">
        <v>5119</v>
      </c>
      <c r="F487" t="s">
        <v>5120</v>
      </c>
      <c r="G487" t="s">
        <v>3890</v>
      </c>
      <c r="H487" t="s">
        <v>109</v>
      </c>
      <c r="I487" t="s">
        <v>108</v>
      </c>
      <c r="J487">
        <v>1</v>
      </c>
      <c r="K487">
        <v>42937.004999999997</v>
      </c>
      <c r="L487">
        <v>39972.894</v>
      </c>
      <c r="M487">
        <v>47161.006999999998</v>
      </c>
      <c r="N487">
        <v>48233.921000000002</v>
      </c>
      <c r="O487">
        <v>47663.53</v>
      </c>
      <c r="P487">
        <v>47791.707000000002</v>
      </c>
      <c r="Q487">
        <v>49275.875999999997</v>
      </c>
      <c r="R487">
        <v>50896.870999999999</v>
      </c>
      <c r="S487">
        <v>52355.53</v>
      </c>
      <c r="T487">
        <v>53866.05</v>
      </c>
      <c r="U487">
        <v>55465.29</v>
      </c>
      <c r="V487">
        <v>57237.817999999999</v>
      </c>
      <c r="W487">
        <v>59178.915000000001</v>
      </c>
      <c r="X487">
        <v>61338.178999999996</v>
      </c>
      <c r="Y487">
        <v>63721.038</v>
      </c>
      <c r="Z487">
        <v>66384.278999999995</v>
      </c>
      <c r="AA487">
        <v>69370.365999999995</v>
      </c>
      <c r="AB487">
        <v>72742.676000000007</v>
      </c>
      <c r="AC487">
        <v>76575.350000000006</v>
      </c>
      <c r="AD487">
        <v>80433.002999999997</v>
      </c>
    </row>
    <row r="488" spans="2:30" x14ac:dyDescent="0.25">
      <c r="B488" t="s">
        <v>133</v>
      </c>
      <c r="C488" t="s">
        <v>3256</v>
      </c>
      <c r="D488" t="s">
        <v>5312</v>
      </c>
      <c r="E488" t="s">
        <v>5122</v>
      </c>
      <c r="F488" t="s">
        <v>5123</v>
      </c>
      <c r="G488" t="s">
        <v>3890</v>
      </c>
      <c r="H488" t="s">
        <v>109</v>
      </c>
      <c r="I488" t="s">
        <v>108</v>
      </c>
      <c r="J488">
        <v>1</v>
      </c>
      <c r="K488">
        <v>7688.0550000000003</v>
      </c>
      <c r="L488">
        <v>7382.1220000000003</v>
      </c>
      <c r="M488">
        <v>7820.5169999999998</v>
      </c>
      <c r="N488">
        <v>9963.2890000000007</v>
      </c>
      <c r="O488">
        <v>9996.473</v>
      </c>
      <c r="P488">
        <v>10040.493</v>
      </c>
      <c r="Q488">
        <v>10104.35</v>
      </c>
      <c r="R488">
        <v>10170.476000000001</v>
      </c>
      <c r="S488">
        <v>10233.127</v>
      </c>
      <c r="T488">
        <v>10301.992</v>
      </c>
      <c r="U488">
        <v>10378.269</v>
      </c>
      <c r="V488">
        <v>10461.94</v>
      </c>
      <c r="W488">
        <v>10553.672</v>
      </c>
      <c r="X488">
        <v>10653.630999999999</v>
      </c>
      <c r="Y488">
        <v>10762.258</v>
      </c>
      <c r="Z488">
        <v>10879.782999999999</v>
      </c>
      <c r="AA488">
        <v>11006.638999999999</v>
      </c>
      <c r="AB488">
        <v>11143.370999999999</v>
      </c>
      <c r="AC488">
        <v>11290.245000000001</v>
      </c>
      <c r="AD488">
        <v>11447.72</v>
      </c>
    </row>
    <row r="489" spans="2:30" x14ac:dyDescent="0.25">
      <c r="B489" t="s">
        <v>133</v>
      </c>
      <c r="C489" t="s">
        <v>3256</v>
      </c>
      <c r="D489" t="s">
        <v>5313</v>
      </c>
      <c r="E489" t="s">
        <v>5125</v>
      </c>
      <c r="F489" t="s">
        <v>5126</v>
      </c>
      <c r="G489" t="s">
        <v>3890</v>
      </c>
      <c r="H489" t="s">
        <v>109</v>
      </c>
      <c r="I489" t="s">
        <v>108</v>
      </c>
      <c r="J489">
        <v>1</v>
      </c>
      <c r="K489">
        <v>7404.3140000000003</v>
      </c>
      <c r="L489">
        <v>7147.93</v>
      </c>
      <c r="M489">
        <v>7001.1750000000002</v>
      </c>
      <c r="N489">
        <v>6753.6639999999998</v>
      </c>
      <c r="O489">
        <v>6886.5370000000003</v>
      </c>
      <c r="P489">
        <v>7548.8450000000003</v>
      </c>
      <c r="Q489">
        <v>8264.5689999999995</v>
      </c>
      <c r="R489">
        <v>9039.0759999999991</v>
      </c>
      <c r="S489">
        <v>9962.8960000000006</v>
      </c>
      <c r="T489">
        <v>11055</v>
      </c>
      <c r="U489">
        <v>12234.907999999999</v>
      </c>
      <c r="V489">
        <v>13496.285</v>
      </c>
      <c r="W489">
        <v>14832.485000000001</v>
      </c>
      <c r="X489">
        <v>16236.275</v>
      </c>
      <c r="Y489">
        <v>17698.248</v>
      </c>
      <c r="Z489">
        <v>19231.596000000001</v>
      </c>
      <c r="AA489">
        <v>20833.882000000001</v>
      </c>
      <c r="AB489">
        <v>22502.595000000001</v>
      </c>
      <c r="AC489">
        <v>24236.026999999998</v>
      </c>
      <c r="AD489">
        <v>26000.758999999998</v>
      </c>
    </row>
    <row r="490" spans="2:30" x14ac:dyDescent="0.25">
      <c r="B490" t="s">
        <v>133</v>
      </c>
      <c r="C490" t="s">
        <v>3256</v>
      </c>
      <c r="D490" t="s">
        <v>5314</v>
      </c>
      <c r="E490" t="s">
        <v>5128</v>
      </c>
      <c r="F490" t="s">
        <v>5129</v>
      </c>
      <c r="G490" t="s">
        <v>3890</v>
      </c>
      <c r="H490" t="s">
        <v>109</v>
      </c>
      <c r="I490" t="s">
        <v>108</v>
      </c>
      <c r="J490">
        <v>1</v>
      </c>
      <c r="K490">
        <v>15214.834999999999</v>
      </c>
      <c r="L490">
        <v>16168.272999999999</v>
      </c>
      <c r="M490">
        <v>17468.254000000001</v>
      </c>
      <c r="N490">
        <v>17210.601999999999</v>
      </c>
      <c r="O490">
        <v>17931.196</v>
      </c>
      <c r="P490">
        <v>19045.128000000001</v>
      </c>
      <c r="Q490">
        <v>20275.214</v>
      </c>
      <c r="R490">
        <v>21586.026999999998</v>
      </c>
      <c r="S490">
        <v>23101.032999999999</v>
      </c>
      <c r="T490">
        <v>24867.493999999999</v>
      </c>
      <c r="U490">
        <v>26778.224999999999</v>
      </c>
      <c r="V490">
        <v>28823.225999999999</v>
      </c>
      <c r="W490">
        <v>30976.754000000001</v>
      </c>
      <c r="X490">
        <v>33242.692000000003</v>
      </c>
      <c r="Y490">
        <v>35613.048000000003</v>
      </c>
      <c r="Z490">
        <v>38098.769</v>
      </c>
      <c r="AA490">
        <v>40699.949999999997</v>
      </c>
      <c r="AB490">
        <v>43420.855000000003</v>
      </c>
      <c r="AC490">
        <v>46267.17</v>
      </c>
      <c r="AD490">
        <v>49230.813000000002</v>
      </c>
    </row>
    <row r="491" spans="2:30" x14ac:dyDescent="0.25">
      <c r="B491" t="s">
        <v>133</v>
      </c>
      <c r="C491" t="s">
        <v>3256</v>
      </c>
      <c r="D491" t="s">
        <v>5315</v>
      </c>
      <c r="E491" t="s">
        <v>5131</v>
      </c>
      <c r="F491" t="s">
        <v>5132</v>
      </c>
      <c r="G491" t="s">
        <v>3890</v>
      </c>
      <c r="H491" t="s">
        <v>109</v>
      </c>
      <c r="I491" t="s">
        <v>108</v>
      </c>
      <c r="J491">
        <v>1</v>
      </c>
      <c r="K491">
        <v>5389.2640000000001</v>
      </c>
      <c r="L491">
        <v>6059.357</v>
      </c>
      <c r="M491">
        <v>7304.8469999999998</v>
      </c>
      <c r="N491">
        <v>7485.0290000000005</v>
      </c>
      <c r="O491">
        <v>7660.826</v>
      </c>
      <c r="P491">
        <v>7867.7740000000003</v>
      </c>
      <c r="Q491">
        <v>8112.866</v>
      </c>
      <c r="R491">
        <v>8347.6450000000004</v>
      </c>
      <c r="S491">
        <v>8567.366</v>
      </c>
      <c r="T491">
        <v>8788.9699999999993</v>
      </c>
      <c r="U491">
        <v>9013.2360000000008</v>
      </c>
      <c r="V491">
        <v>9240.1190000000006</v>
      </c>
      <c r="W491" s="190">
        <v>9469.5740000000005</v>
      </c>
      <c r="X491">
        <v>9701.5529999999999</v>
      </c>
      <c r="Y491">
        <v>9936.0069999999996</v>
      </c>
      <c r="Z491">
        <v>10172.888000000001</v>
      </c>
      <c r="AA491">
        <v>10412.143</v>
      </c>
      <c r="AB491">
        <v>10653.721</v>
      </c>
      <c r="AC491">
        <v>10897.566999999999</v>
      </c>
      <c r="AD491">
        <v>11143.626</v>
      </c>
    </row>
    <row r="492" spans="2:30" x14ac:dyDescent="0.25">
      <c r="B492" t="s">
        <v>133</v>
      </c>
      <c r="C492" t="s">
        <v>3256</v>
      </c>
      <c r="D492" t="s">
        <v>5316</v>
      </c>
      <c r="E492" t="s">
        <v>5134</v>
      </c>
      <c r="F492" t="s">
        <v>5135</v>
      </c>
      <c r="G492" t="s">
        <v>3890</v>
      </c>
      <c r="H492" t="s">
        <v>109</v>
      </c>
      <c r="I492" t="s">
        <v>108</v>
      </c>
      <c r="J492">
        <v>1</v>
      </c>
      <c r="K492">
        <v>659.322</v>
      </c>
      <c r="L492">
        <v>771.90700000000004</v>
      </c>
      <c r="M492">
        <v>857.73800000000006</v>
      </c>
      <c r="N492">
        <v>889.11699999999996</v>
      </c>
      <c r="O492">
        <v>920.298</v>
      </c>
      <c r="P492">
        <v>957.94299999999998</v>
      </c>
      <c r="Q492">
        <v>1003.823</v>
      </c>
      <c r="R492">
        <v>1048.83</v>
      </c>
      <c r="S492">
        <v>1091.8589999999999</v>
      </c>
      <c r="T492">
        <v>1136.079</v>
      </c>
      <c r="U492">
        <v>1181.4929999999999</v>
      </c>
      <c r="V492">
        <v>1228.1030000000001</v>
      </c>
      <c r="W492">
        <v>1275.9059999999999</v>
      </c>
      <c r="X492">
        <v>1324.8989999999999</v>
      </c>
      <c r="Y492">
        <v>1375.079</v>
      </c>
      <c r="Z492">
        <v>1426.4359999999999</v>
      </c>
      <c r="AA492">
        <v>1478.963</v>
      </c>
      <c r="AB492">
        <v>1532.6469999999999</v>
      </c>
      <c r="AC492">
        <v>1587.4749999999999</v>
      </c>
      <c r="AD492">
        <v>1643.43</v>
      </c>
    </row>
    <row r="493" spans="2:30" x14ac:dyDescent="0.25">
      <c r="B493" t="s">
        <v>133</v>
      </c>
      <c r="C493" t="s">
        <v>3256</v>
      </c>
      <c r="D493" t="s">
        <v>5317</v>
      </c>
      <c r="E493" t="s">
        <v>5143</v>
      </c>
      <c r="F493" t="s">
        <v>5144</v>
      </c>
      <c r="G493" t="s">
        <v>3890</v>
      </c>
      <c r="H493" t="s">
        <v>109</v>
      </c>
      <c r="I493" t="s">
        <v>108</v>
      </c>
      <c r="J493">
        <v>1</v>
      </c>
      <c r="K493">
        <v>1529.27</v>
      </c>
      <c r="L493">
        <v>1206.73</v>
      </c>
      <c r="M493">
        <v>1313.405</v>
      </c>
      <c r="N493">
        <v>1308.827</v>
      </c>
      <c r="O493">
        <v>1304.2660000000001</v>
      </c>
      <c r="P493">
        <v>1299.72</v>
      </c>
      <c r="Q493">
        <v>1295.19</v>
      </c>
      <c r="R493">
        <v>1290.6759999999999</v>
      </c>
      <c r="S493">
        <v>1286.1780000000001</v>
      </c>
      <c r="T493">
        <v>1281.6949999999999</v>
      </c>
      <c r="U493">
        <v>1277.2280000000001</v>
      </c>
      <c r="V493">
        <v>1272.777</v>
      </c>
      <c r="W493">
        <v>1268.3409999999999</v>
      </c>
      <c r="X493">
        <v>1263.921</v>
      </c>
      <c r="Y493">
        <v>1259.5160000000001</v>
      </c>
      <c r="Z493">
        <v>1255.126</v>
      </c>
      <c r="AA493">
        <v>1250.752</v>
      </c>
      <c r="AB493">
        <v>1246.393</v>
      </c>
      <c r="AC493">
        <v>1242.049</v>
      </c>
      <c r="AD493">
        <v>1237.72</v>
      </c>
    </row>
    <row r="494" spans="2:30" x14ac:dyDescent="0.25">
      <c r="B494" t="s">
        <v>133</v>
      </c>
      <c r="C494" t="s">
        <v>3256</v>
      </c>
      <c r="D494" t="s">
        <v>5318</v>
      </c>
      <c r="E494" t="s">
        <v>5319</v>
      </c>
      <c r="F494" t="s">
        <v>5320</v>
      </c>
      <c r="G494" t="s">
        <v>3890</v>
      </c>
      <c r="H494" t="s">
        <v>109</v>
      </c>
      <c r="I494" t="s">
        <v>108</v>
      </c>
      <c r="J494">
        <v>1</v>
      </c>
      <c r="K494">
        <v>2179.63</v>
      </c>
      <c r="L494">
        <v>2350.8629999999998</v>
      </c>
      <c r="M494">
        <v>2312.4969999999998</v>
      </c>
      <c r="N494">
        <v>3841.2840000000001</v>
      </c>
      <c r="O494">
        <v>5513.2820000000002</v>
      </c>
      <c r="P494">
        <v>6135.44</v>
      </c>
      <c r="Q494">
        <v>6446.7960000000003</v>
      </c>
      <c r="R494">
        <v>6884.393</v>
      </c>
      <c r="S494">
        <v>7417.6629999999996</v>
      </c>
      <c r="T494">
        <v>7976.4889999999996</v>
      </c>
      <c r="U494">
        <v>8549.81</v>
      </c>
      <c r="V494">
        <v>9142.8109999999997</v>
      </c>
      <c r="W494">
        <v>9776.9889999999996</v>
      </c>
      <c r="X494">
        <v>10463.136</v>
      </c>
      <c r="Y494">
        <v>11218.773999999999</v>
      </c>
      <c r="Z494">
        <v>12053.789000000001</v>
      </c>
      <c r="AA494">
        <v>12988.088</v>
      </c>
      <c r="AB494">
        <v>14041.853999999999</v>
      </c>
      <c r="AC494">
        <v>15221.414000000001</v>
      </c>
      <c r="AD494">
        <v>16656.702000000001</v>
      </c>
    </row>
    <row r="495" spans="2:30" x14ac:dyDescent="0.25">
      <c r="B495" t="s">
        <v>133</v>
      </c>
      <c r="C495" t="s">
        <v>3256</v>
      </c>
      <c r="D495" t="s">
        <v>5321</v>
      </c>
      <c r="E495" t="s">
        <v>5149</v>
      </c>
      <c r="F495" t="s">
        <v>5150</v>
      </c>
      <c r="G495" t="s">
        <v>3890</v>
      </c>
      <c r="H495" t="s">
        <v>109</v>
      </c>
      <c r="I495" t="s">
        <v>108</v>
      </c>
      <c r="J495">
        <v>1</v>
      </c>
      <c r="K495">
        <v>1651.0930000000001</v>
      </c>
      <c r="L495">
        <v>1545.134</v>
      </c>
      <c r="M495">
        <v>1836.8230000000001</v>
      </c>
      <c r="N495">
        <v>1975.171</v>
      </c>
      <c r="O495">
        <v>1737.0450000000001</v>
      </c>
      <c r="P495">
        <v>1766.615</v>
      </c>
      <c r="Q495">
        <v>1810.433</v>
      </c>
      <c r="R495">
        <v>1852.6590000000001</v>
      </c>
      <c r="S495">
        <v>1891.768</v>
      </c>
      <c r="T495">
        <v>1931.5150000000001</v>
      </c>
      <c r="U495">
        <v>1968.87</v>
      </c>
      <c r="V495">
        <v>2007.11</v>
      </c>
      <c r="W495">
        <v>2046.4680000000001</v>
      </c>
      <c r="X495">
        <v>2087.5169999999998</v>
      </c>
      <c r="Y495">
        <v>2129.788</v>
      </c>
      <c r="Z495">
        <v>2173.1190000000001</v>
      </c>
      <c r="AA495">
        <v>2216.9659999999999</v>
      </c>
      <c r="AB495">
        <v>2261.2649999999999</v>
      </c>
      <c r="AC495">
        <v>2306.069</v>
      </c>
      <c r="AD495">
        <v>2351.3580000000002</v>
      </c>
    </row>
    <row r="496" spans="2:30" x14ac:dyDescent="0.25">
      <c r="B496" t="s">
        <v>133</v>
      </c>
      <c r="C496" t="s">
        <v>3256</v>
      </c>
      <c r="D496" t="s">
        <v>5322</v>
      </c>
      <c r="E496" t="s">
        <v>5323</v>
      </c>
      <c r="F496" t="s">
        <v>5324</v>
      </c>
      <c r="G496" t="s">
        <v>3890</v>
      </c>
      <c r="H496" t="s">
        <v>109</v>
      </c>
      <c r="I496" t="s">
        <v>108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2:30" x14ac:dyDescent="0.25">
      <c r="B497" t="s">
        <v>133</v>
      </c>
      <c r="C497" t="s">
        <v>3256</v>
      </c>
      <c r="D497" t="s">
        <v>5325</v>
      </c>
      <c r="E497" t="s">
        <v>5326</v>
      </c>
      <c r="F497" t="s">
        <v>5327</v>
      </c>
      <c r="G497" t="s">
        <v>3890</v>
      </c>
      <c r="H497" t="s">
        <v>109</v>
      </c>
      <c r="I497" t="s">
        <v>108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2:30" x14ac:dyDescent="0.25">
      <c r="B498" t="s">
        <v>133</v>
      </c>
      <c r="C498" t="s">
        <v>3256</v>
      </c>
      <c r="D498" t="s">
        <v>5328</v>
      </c>
      <c r="E498" t="s">
        <v>5329</v>
      </c>
      <c r="F498" t="s">
        <v>5330</v>
      </c>
      <c r="G498" t="s">
        <v>3890</v>
      </c>
      <c r="H498" t="s">
        <v>109</v>
      </c>
      <c r="I498" t="s">
        <v>108</v>
      </c>
      <c r="J498">
        <v>1</v>
      </c>
      <c r="K498">
        <v>1.6379999999999999</v>
      </c>
      <c r="L498">
        <v>1.6379999999999999</v>
      </c>
      <c r="M498">
        <v>1.8740000000000001</v>
      </c>
      <c r="N498">
        <v>1.978</v>
      </c>
      <c r="O498">
        <v>1.8320000000000001</v>
      </c>
      <c r="P498">
        <v>1.8460000000000001</v>
      </c>
      <c r="Q498">
        <v>1.8720000000000001</v>
      </c>
      <c r="R498">
        <v>1.8959999999999999</v>
      </c>
      <c r="S498">
        <v>1.919</v>
      </c>
      <c r="T498">
        <v>1.9410000000000001</v>
      </c>
      <c r="U498">
        <v>1.9610000000000001</v>
      </c>
      <c r="V498">
        <v>1.9810000000000001</v>
      </c>
      <c r="W498">
        <v>2.0009999999999999</v>
      </c>
      <c r="X498">
        <v>2.0230000000000001</v>
      </c>
      <c r="Y498">
        <v>2.044</v>
      </c>
      <c r="Z498">
        <v>2.0659999999999998</v>
      </c>
      <c r="AA498">
        <v>2.0880000000000001</v>
      </c>
      <c r="AB498">
        <v>2.11</v>
      </c>
      <c r="AC498">
        <v>2.1320000000000001</v>
      </c>
      <c r="AD498">
        <v>2.1539999999999999</v>
      </c>
    </row>
    <row r="499" spans="2:30" x14ac:dyDescent="0.25">
      <c r="B499" t="s">
        <v>133</v>
      </c>
      <c r="C499" t="s">
        <v>3256</v>
      </c>
      <c r="D499" t="s">
        <v>5331</v>
      </c>
      <c r="E499" t="s">
        <v>5332</v>
      </c>
      <c r="F499" t="s">
        <v>5333</v>
      </c>
      <c r="G499" t="s">
        <v>3890</v>
      </c>
      <c r="H499" t="s">
        <v>109</v>
      </c>
      <c r="I499" t="s">
        <v>108</v>
      </c>
      <c r="J499">
        <v>2</v>
      </c>
      <c r="K499">
        <v>1649.4549999999999</v>
      </c>
      <c r="L499">
        <v>1543.4960000000001</v>
      </c>
      <c r="M499">
        <v>1834.9490000000001</v>
      </c>
      <c r="N499">
        <v>1973.192</v>
      </c>
      <c r="O499">
        <v>1735.213</v>
      </c>
      <c r="P499">
        <v>1764.768</v>
      </c>
      <c r="Q499">
        <v>1808.5609999999999</v>
      </c>
      <c r="R499">
        <v>1850.7619999999999</v>
      </c>
      <c r="S499">
        <v>1889.8489999999999</v>
      </c>
      <c r="T499">
        <v>1929.5740000000001</v>
      </c>
      <c r="U499">
        <v>1966.9090000000001</v>
      </c>
      <c r="V499">
        <v>2005.1289999999999</v>
      </c>
      <c r="W499">
        <v>2044.4670000000001</v>
      </c>
      <c r="X499">
        <v>2085.4940000000001</v>
      </c>
      <c r="Y499">
        <v>2127.7440000000001</v>
      </c>
      <c r="Z499">
        <v>2171.0529999999999</v>
      </c>
      <c r="AA499">
        <v>2214.877</v>
      </c>
      <c r="AB499">
        <v>2259.154</v>
      </c>
      <c r="AC499">
        <v>2303.9360000000001</v>
      </c>
      <c r="AD499">
        <v>2349.2040000000002</v>
      </c>
    </row>
    <row r="500" spans="2:30" x14ac:dyDescent="0.25">
      <c r="B500" t="s">
        <v>133</v>
      </c>
      <c r="C500" t="s">
        <v>3256</v>
      </c>
      <c r="D500" t="s">
        <v>5334</v>
      </c>
      <c r="E500" t="s">
        <v>5335</v>
      </c>
      <c r="F500" t="s">
        <v>5336</v>
      </c>
      <c r="G500" t="s">
        <v>3890</v>
      </c>
      <c r="H500" t="s">
        <v>109</v>
      </c>
      <c r="I500" t="s">
        <v>108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2:30" x14ac:dyDescent="0.25">
      <c r="B501" t="s">
        <v>133</v>
      </c>
      <c r="C501" t="s">
        <v>3256</v>
      </c>
      <c r="D501" t="s">
        <v>5337</v>
      </c>
      <c r="E501" t="s">
        <v>5152</v>
      </c>
      <c r="F501" t="s">
        <v>5153</v>
      </c>
      <c r="G501" t="s">
        <v>3890</v>
      </c>
      <c r="H501" t="s">
        <v>109</v>
      </c>
      <c r="I501" t="s">
        <v>108</v>
      </c>
      <c r="J501">
        <v>2</v>
      </c>
      <c r="K501">
        <v>42937.004999999997</v>
      </c>
      <c r="L501">
        <v>39910.631000000001</v>
      </c>
      <c r="M501">
        <v>47100.464999999997</v>
      </c>
      <c r="N501">
        <v>48175</v>
      </c>
      <c r="O501">
        <v>45340.27</v>
      </c>
      <c r="P501">
        <v>41891.226000000002</v>
      </c>
      <c r="Q501">
        <v>44332.093000000001</v>
      </c>
      <c r="R501">
        <v>45574.97</v>
      </c>
      <c r="S501">
        <v>47100.256000000001</v>
      </c>
      <c r="T501">
        <v>48136.000999999997</v>
      </c>
      <c r="U501">
        <v>49431.972999999998</v>
      </c>
      <c r="V501">
        <v>50795.773999999998</v>
      </c>
      <c r="W501">
        <v>52432.379000000001</v>
      </c>
      <c r="X501">
        <v>54305.957000000002</v>
      </c>
      <c r="Y501">
        <v>56446.478999999999</v>
      </c>
      <c r="Z501">
        <v>58941.978000000003</v>
      </c>
      <c r="AA501">
        <v>61805.286</v>
      </c>
      <c r="AB501">
        <v>65111.531999999999</v>
      </c>
      <c r="AC501">
        <v>68976.445999999996</v>
      </c>
      <c r="AD501">
        <v>72873.505000000005</v>
      </c>
    </row>
    <row r="502" spans="2:30" x14ac:dyDescent="0.25">
      <c r="B502" t="s">
        <v>133</v>
      </c>
      <c r="C502" t="s">
        <v>3256</v>
      </c>
      <c r="D502" t="s">
        <v>5338</v>
      </c>
      <c r="E502" t="s">
        <v>5339</v>
      </c>
      <c r="F502" t="s">
        <v>5340</v>
      </c>
      <c r="G502" t="s">
        <v>3890</v>
      </c>
      <c r="H502" t="s">
        <v>109</v>
      </c>
      <c r="I502" t="s">
        <v>108</v>
      </c>
      <c r="J502">
        <v>2</v>
      </c>
      <c r="K502">
        <v>29443.696</v>
      </c>
      <c r="L502">
        <v>27943.609</v>
      </c>
      <c r="M502">
        <v>33458.533000000003</v>
      </c>
      <c r="N502">
        <v>34117.750999999997</v>
      </c>
      <c r="O502">
        <v>33134.351999999999</v>
      </c>
      <c r="P502">
        <v>29212.44</v>
      </c>
      <c r="Q502">
        <v>31102.884999999998</v>
      </c>
      <c r="R502">
        <v>31804.776999999998</v>
      </c>
      <c r="S502">
        <v>32814.928999999996</v>
      </c>
      <c r="T502">
        <v>33308.646999999997</v>
      </c>
      <c r="U502">
        <v>34033.002</v>
      </c>
      <c r="V502">
        <v>34798.042000000001</v>
      </c>
      <c r="W502">
        <v>35805.144999999997</v>
      </c>
      <c r="X502">
        <v>37009.752</v>
      </c>
      <c r="Y502">
        <v>38447.650999999998</v>
      </c>
      <c r="Z502">
        <v>40195.595000000001</v>
      </c>
      <c r="AA502">
        <v>42284.601000000002</v>
      </c>
      <c r="AB502">
        <v>44790.29</v>
      </c>
      <c r="AC502">
        <v>47827.076999999997</v>
      </c>
      <c r="AD502">
        <v>50869.991999999998</v>
      </c>
    </row>
    <row r="503" spans="2:30" x14ac:dyDescent="0.25">
      <c r="B503" t="s">
        <v>133</v>
      </c>
      <c r="C503" t="s">
        <v>3256</v>
      </c>
      <c r="D503" t="s">
        <v>5341</v>
      </c>
      <c r="E503" t="s">
        <v>5342</v>
      </c>
      <c r="F503" t="s">
        <v>5343</v>
      </c>
      <c r="G503" t="s">
        <v>3890</v>
      </c>
      <c r="H503" t="s">
        <v>109</v>
      </c>
      <c r="I503" t="s">
        <v>108</v>
      </c>
      <c r="J503">
        <v>2</v>
      </c>
      <c r="K503">
        <v>495.238</v>
      </c>
      <c r="L503">
        <v>484.52</v>
      </c>
      <c r="M503">
        <v>472.24900000000002</v>
      </c>
      <c r="N503">
        <v>454.66399999999999</v>
      </c>
      <c r="O503">
        <v>394.03699999999998</v>
      </c>
      <c r="P503">
        <v>431.12900000000002</v>
      </c>
      <c r="Q503">
        <v>471.60399999999998</v>
      </c>
      <c r="R503">
        <v>515.50599999999997</v>
      </c>
      <c r="S503">
        <v>567.83600000000001</v>
      </c>
      <c r="T503">
        <v>629.62099999999998</v>
      </c>
      <c r="U503">
        <v>696.35400000000004</v>
      </c>
      <c r="V503">
        <v>767.76199999999994</v>
      </c>
      <c r="W503">
        <v>843.40599999999995</v>
      </c>
      <c r="X503">
        <v>922.88199999999995</v>
      </c>
      <c r="Y503">
        <v>1005.655</v>
      </c>
      <c r="Z503">
        <v>1095.1969999999999</v>
      </c>
      <c r="AA503">
        <v>1189.222</v>
      </c>
      <c r="AB503">
        <v>1287.645</v>
      </c>
      <c r="AC503">
        <v>1390.4290000000001</v>
      </c>
      <c r="AD503">
        <v>1495.7639999999999</v>
      </c>
    </row>
    <row r="504" spans="2:30" x14ac:dyDescent="0.25">
      <c r="B504" t="s">
        <v>133</v>
      </c>
      <c r="C504" t="s">
        <v>3256</v>
      </c>
      <c r="D504" t="s">
        <v>5344</v>
      </c>
      <c r="E504" t="s">
        <v>5345</v>
      </c>
      <c r="F504" t="s">
        <v>5346</v>
      </c>
      <c r="G504" t="s">
        <v>3890</v>
      </c>
      <c r="H504" t="s">
        <v>109</v>
      </c>
      <c r="I504" t="s">
        <v>108</v>
      </c>
      <c r="J504">
        <v>2</v>
      </c>
      <c r="K504">
        <v>1921.182</v>
      </c>
      <c r="L504">
        <v>1978.2729999999999</v>
      </c>
      <c r="M504">
        <v>2706.33</v>
      </c>
      <c r="N504">
        <v>2725.7469999999998</v>
      </c>
      <c r="O504">
        <v>2086.4589999999998</v>
      </c>
      <c r="P504">
        <v>2097.2190000000001</v>
      </c>
      <c r="Q504">
        <v>2111.0039999999999</v>
      </c>
      <c r="R504">
        <v>2122.7080000000001</v>
      </c>
      <c r="S504">
        <v>2131.36</v>
      </c>
      <c r="T504">
        <v>2139.8150000000001</v>
      </c>
      <c r="U504">
        <v>2148.384</v>
      </c>
      <c r="V504">
        <v>2156.8910000000001</v>
      </c>
      <c r="W504">
        <v>2165.4609999999998</v>
      </c>
      <c r="X504">
        <v>2174.42</v>
      </c>
      <c r="Y504">
        <v>2183.4340000000002</v>
      </c>
      <c r="Z504">
        <v>2201.444</v>
      </c>
      <c r="AA504">
        <v>2219.3829999999998</v>
      </c>
      <c r="AB504">
        <v>2237.21</v>
      </c>
      <c r="AC504">
        <v>2254.9580000000001</v>
      </c>
      <c r="AD504">
        <v>2272.6129999999998</v>
      </c>
    </row>
    <row r="505" spans="2:30" x14ac:dyDescent="0.25">
      <c r="B505" t="s">
        <v>133</v>
      </c>
      <c r="C505" t="s">
        <v>3256</v>
      </c>
      <c r="D505" t="s">
        <v>5347</v>
      </c>
      <c r="E505" t="s">
        <v>5348</v>
      </c>
      <c r="F505" t="s">
        <v>5349</v>
      </c>
      <c r="G505" t="s">
        <v>3890</v>
      </c>
      <c r="H505" t="s">
        <v>109</v>
      </c>
      <c r="I505" t="s">
        <v>108</v>
      </c>
      <c r="J505">
        <v>2</v>
      </c>
      <c r="K505">
        <v>11076.89</v>
      </c>
      <c r="L505">
        <v>9504.23</v>
      </c>
      <c r="M505">
        <v>10463.352999999999</v>
      </c>
      <c r="N505">
        <v>10876.838</v>
      </c>
      <c r="O505">
        <v>9725.4230000000007</v>
      </c>
      <c r="P505">
        <v>10150.438</v>
      </c>
      <c r="Q505">
        <v>10646.599</v>
      </c>
      <c r="R505">
        <v>11131.978999999999</v>
      </c>
      <c r="S505">
        <v>11586.130999999999</v>
      </c>
      <c r="T505">
        <v>12057.918</v>
      </c>
      <c r="U505">
        <v>12554.233</v>
      </c>
      <c r="V505">
        <v>13073.079</v>
      </c>
      <c r="W505">
        <v>13618.368</v>
      </c>
      <c r="X505">
        <v>14198.902</v>
      </c>
      <c r="Y505">
        <v>14809.737999999999</v>
      </c>
      <c r="Z505">
        <v>15449.741</v>
      </c>
      <c r="AA505">
        <v>16112.08</v>
      </c>
      <c r="AB505">
        <v>16796.386999999999</v>
      </c>
      <c r="AC505">
        <v>17503.981</v>
      </c>
      <c r="AD505">
        <v>18235.135999999999</v>
      </c>
    </row>
    <row r="506" spans="2:30" x14ac:dyDescent="0.25">
      <c r="B506" t="s">
        <v>133</v>
      </c>
      <c r="C506" t="s">
        <v>3256</v>
      </c>
      <c r="D506" t="s">
        <v>5350</v>
      </c>
      <c r="E506" t="s">
        <v>5351</v>
      </c>
      <c r="F506" t="s">
        <v>5352</v>
      </c>
      <c r="G506" t="s">
        <v>3890</v>
      </c>
      <c r="H506" t="s">
        <v>109</v>
      </c>
      <c r="I506" t="s">
        <v>108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2:30" x14ac:dyDescent="0.25">
      <c r="B507" t="s">
        <v>133</v>
      </c>
      <c r="C507" t="s">
        <v>3256</v>
      </c>
      <c r="D507" t="s">
        <v>5353</v>
      </c>
      <c r="E507" t="s">
        <v>5158</v>
      </c>
      <c r="F507" t="s">
        <v>5159</v>
      </c>
      <c r="G507" t="s">
        <v>3890</v>
      </c>
      <c r="H507" t="s">
        <v>109</v>
      </c>
      <c r="I507" t="s">
        <v>108</v>
      </c>
      <c r="J507">
        <v>2</v>
      </c>
      <c r="K507">
        <v>7404.3140000000003</v>
      </c>
      <c r="L507">
        <v>7147.93</v>
      </c>
      <c r="M507">
        <v>7001.1750000000002</v>
      </c>
      <c r="N507">
        <v>6753.6639999999998</v>
      </c>
      <c r="O507">
        <v>6511.8810000000003</v>
      </c>
      <c r="P507">
        <v>7121.9089999999997</v>
      </c>
      <c r="Q507">
        <v>7780.3090000000002</v>
      </c>
      <c r="R507">
        <v>8491.4809999999998</v>
      </c>
      <c r="S507">
        <v>9339.8330000000005</v>
      </c>
      <c r="T507">
        <v>10342.116</v>
      </c>
      <c r="U507">
        <v>11423.17</v>
      </c>
      <c r="V507">
        <v>12578.305</v>
      </c>
      <c r="W507">
        <v>13801.087</v>
      </c>
      <c r="X507">
        <v>15085.098</v>
      </c>
      <c r="Y507">
        <v>16421.858</v>
      </c>
      <c r="Z507">
        <v>17823.852999999999</v>
      </c>
      <c r="AA507">
        <v>19288.914000000001</v>
      </c>
      <c r="AB507">
        <v>20814.904999999999</v>
      </c>
      <c r="AC507">
        <v>22400.510999999999</v>
      </c>
      <c r="AD507">
        <v>24015.206999999999</v>
      </c>
    </row>
    <row r="508" spans="2:30" x14ac:dyDescent="0.25">
      <c r="B508" t="s">
        <v>133</v>
      </c>
      <c r="C508" t="s">
        <v>3256</v>
      </c>
      <c r="D508" t="s">
        <v>5354</v>
      </c>
      <c r="E508" t="s">
        <v>5355</v>
      </c>
      <c r="F508" t="s">
        <v>5356</v>
      </c>
      <c r="G508" t="s">
        <v>3890</v>
      </c>
      <c r="H508" t="s">
        <v>109</v>
      </c>
      <c r="I508" t="s">
        <v>108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2:30" x14ac:dyDescent="0.25">
      <c r="B509" t="s">
        <v>133</v>
      </c>
      <c r="C509" t="s">
        <v>3256</v>
      </c>
      <c r="D509" t="s">
        <v>5357</v>
      </c>
      <c r="E509" t="s">
        <v>5358</v>
      </c>
      <c r="F509" t="s">
        <v>5359</v>
      </c>
      <c r="G509" t="s">
        <v>3890</v>
      </c>
      <c r="H509" t="s">
        <v>109</v>
      </c>
      <c r="I509" t="s">
        <v>108</v>
      </c>
      <c r="J509">
        <v>2</v>
      </c>
      <c r="K509">
        <v>7404.3140000000003</v>
      </c>
      <c r="L509">
        <v>7147.93</v>
      </c>
      <c r="M509">
        <v>7001.1750000000002</v>
      </c>
      <c r="N509">
        <v>6753.6639999999998</v>
      </c>
      <c r="O509">
        <v>6511.8810000000003</v>
      </c>
      <c r="P509">
        <v>7121.9089999999997</v>
      </c>
      <c r="Q509">
        <v>7780.3090000000002</v>
      </c>
      <c r="R509">
        <v>8491.4809999999998</v>
      </c>
      <c r="S509">
        <v>9339.8330000000005</v>
      </c>
      <c r="T509">
        <v>10342.116</v>
      </c>
      <c r="U509">
        <v>11423.17</v>
      </c>
      <c r="V509">
        <v>12578.305</v>
      </c>
      <c r="W509">
        <v>13801.087</v>
      </c>
      <c r="X509">
        <v>15085.098</v>
      </c>
      <c r="Y509">
        <v>16421.858</v>
      </c>
      <c r="Z509">
        <v>17823.852999999999</v>
      </c>
      <c r="AA509">
        <v>19288.914000000001</v>
      </c>
      <c r="AB509">
        <v>20814.904999999999</v>
      </c>
      <c r="AC509">
        <v>22400.510999999999</v>
      </c>
      <c r="AD509">
        <v>24015.206999999999</v>
      </c>
    </row>
    <row r="510" spans="2:30" x14ac:dyDescent="0.25">
      <c r="B510" t="s">
        <v>133</v>
      </c>
      <c r="C510" t="s">
        <v>3256</v>
      </c>
      <c r="D510" t="s">
        <v>5360</v>
      </c>
      <c r="E510" t="s">
        <v>5361</v>
      </c>
      <c r="F510" t="s">
        <v>5362</v>
      </c>
      <c r="G510" t="s">
        <v>3890</v>
      </c>
      <c r="H510" t="s">
        <v>109</v>
      </c>
      <c r="I510" t="s">
        <v>108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2:30" x14ac:dyDescent="0.25">
      <c r="B511" t="s">
        <v>133</v>
      </c>
      <c r="C511" t="s">
        <v>3256</v>
      </c>
      <c r="D511" t="s">
        <v>5363</v>
      </c>
      <c r="E511" t="s">
        <v>5364</v>
      </c>
      <c r="F511" t="s">
        <v>5365</v>
      </c>
      <c r="G511" t="s">
        <v>3890</v>
      </c>
      <c r="H511" t="s">
        <v>109</v>
      </c>
      <c r="I511" t="s">
        <v>108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2:30" x14ac:dyDescent="0.25">
      <c r="B512" t="s">
        <v>133</v>
      </c>
      <c r="C512" t="s">
        <v>3256</v>
      </c>
      <c r="D512" t="s">
        <v>5366</v>
      </c>
      <c r="E512" t="s">
        <v>5367</v>
      </c>
      <c r="F512" t="s">
        <v>5368</v>
      </c>
      <c r="G512" t="s">
        <v>3890</v>
      </c>
      <c r="H512" t="s">
        <v>109</v>
      </c>
      <c r="I512" t="s">
        <v>108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2:30" x14ac:dyDescent="0.25">
      <c r="B513" t="s">
        <v>133</v>
      </c>
      <c r="C513" t="s">
        <v>3256</v>
      </c>
      <c r="D513" t="s">
        <v>5369</v>
      </c>
      <c r="E513" t="s">
        <v>5161</v>
      </c>
      <c r="F513" t="s">
        <v>5162</v>
      </c>
      <c r="G513" t="s">
        <v>3890</v>
      </c>
      <c r="H513" t="s">
        <v>109</v>
      </c>
      <c r="I513" t="s">
        <v>108</v>
      </c>
      <c r="J513">
        <v>2</v>
      </c>
      <c r="K513">
        <v>15214.834999999999</v>
      </c>
      <c r="L513">
        <v>16168.272999999999</v>
      </c>
      <c r="M513">
        <v>17468.254000000001</v>
      </c>
      <c r="N513">
        <v>17210.601999999999</v>
      </c>
      <c r="O513">
        <v>15714.526</v>
      </c>
      <c r="P513">
        <v>16696.326000000001</v>
      </c>
      <c r="Q513">
        <v>17774.932000000001</v>
      </c>
      <c r="R513">
        <v>18926.732</v>
      </c>
      <c r="S513">
        <v>20261.609</v>
      </c>
      <c r="T513">
        <v>21823.646000000001</v>
      </c>
      <c r="U513">
        <v>23514.288</v>
      </c>
      <c r="V513">
        <v>25321.896000000001</v>
      </c>
      <c r="W513">
        <v>27221.609</v>
      </c>
      <c r="X513">
        <v>29221.98</v>
      </c>
      <c r="Y513">
        <v>31315.712</v>
      </c>
      <c r="Z513">
        <v>33515.872000000003</v>
      </c>
      <c r="AA513">
        <v>35819.688999999998</v>
      </c>
      <c r="AB513">
        <v>38232.093000000001</v>
      </c>
      <c r="AC513">
        <v>40759.364999999998</v>
      </c>
      <c r="AD513">
        <v>43395.336000000003</v>
      </c>
    </row>
    <row r="514" spans="2:30" x14ac:dyDescent="0.25">
      <c r="B514" t="s">
        <v>133</v>
      </c>
      <c r="C514" t="s">
        <v>3256</v>
      </c>
      <c r="D514" t="s">
        <v>5370</v>
      </c>
      <c r="E514" t="s">
        <v>5371</v>
      </c>
      <c r="F514" t="s">
        <v>5372</v>
      </c>
      <c r="G514" t="s">
        <v>3890</v>
      </c>
      <c r="H514" t="s">
        <v>109</v>
      </c>
      <c r="I514" t="s">
        <v>108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2:30" x14ac:dyDescent="0.25">
      <c r="B515" t="s">
        <v>133</v>
      </c>
      <c r="C515" t="s">
        <v>3256</v>
      </c>
      <c r="D515" t="s">
        <v>5373</v>
      </c>
      <c r="E515" t="s">
        <v>5374</v>
      </c>
      <c r="F515" t="s">
        <v>5375</v>
      </c>
      <c r="G515" t="s">
        <v>3890</v>
      </c>
      <c r="H515" t="s">
        <v>109</v>
      </c>
      <c r="I515" t="s">
        <v>108</v>
      </c>
      <c r="J515">
        <v>2</v>
      </c>
      <c r="K515">
        <v>10010.589</v>
      </c>
      <c r="L515">
        <v>9837.6170000000002</v>
      </c>
      <c r="M515">
        <v>9543.0020000000004</v>
      </c>
      <c r="N515">
        <v>9122.26</v>
      </c>
      <c r="O515">
        <v>8987.768</v>
      </c>
      <c r="P515">
        <v>9817.3389999999999</v>
      </c>
      <c r="Q515">
        <v>10722.838</v>
      </c>
      <c r="R515">
        <v>11708.525</v>
      </c>
      <c r="S515">
        <v>12890.329</v>
      </c>
      <c r="T515">
        <v>14296.325999999999</v>
      </c>
      <c r="U515">
        <v>15825.996999999999</v>
      </c>
      <c r="V515">
        <v>17468.560000000001</v>
      </c>
      <c r="W515">
        <v>19198.212</v>
      </c>
      <c r="X515">
        <v>21021.228999999999</v>
      </c>
      <c r="Y515">
        <v>22932.113000000001</v>
      </c>
      <c r="Z515">
        <v>24944.547999999999</v>
      </c>
      <c r="AA515">
        <v>27057.882000000001</v>
      </c>
      <c r="AB515">
        <v>29277.285</v>
      </c>
      <c r="AC515">
        <v>31608.812000000002</v>
      </c>
      <c r="AD515">
        <v>34046.362999999998</v>
      </c>
    </row>
    <row r="516" spans="2:30" x14ac:dyDescent="0.25">
      <c r="B516" t="s">
        <v>133</v>
      </c>
      <c r="C516" t="s">
        <v>3256</v>
      </c>
      <c r="D516" t="s">
        <v>5376</v>
      </c>
      <c r="E516" t="s">
        <v>5377</v>
      </c>
      <c r="F516" t="s">
        <v>5378</v>
      </c>
      <c r="G516" t="s">
        <v>3890</v>
      </c>
      <c r="H516" t="s">
        <v>109</v>
      </c>
      <c r="I516" t="s">
        <v>108</v>
      </c>
      <c r="J516">
        <v>2</v>
      </c>
      <c r="K516">
        <v>875.27200000000005</v>
      </c>
      <c r="L516">
        <v>1064.7159999999999</v>
      </c>
      <c r="M516">
        <v>1332.902</v>
      </c>
      <c r="N516">
        <v>1360.3309999999999</v>
      </c>
      <c r="O516">
        <v>1131.335</v>
      </c>
      <c r="P516">
        <v>1156.9369999999999</v>
      </c>
      <c r="Q516">
        <v>1186.0509999999999</v>
      </c>
      <c r="R516">
        <v>1213.9880000000001</v>
      </c>
      <c r="S516">
        <v>1239.7329999999999</v>
      </c>
      <c r="T516">
        <v>1265.9760000000001</v>
      </c>
      <c r="U516">
        <v>1293.049</v>
      </c>
      <c r="V516">
        <v>1320.807</v>
      </c>
      <c r="W516">
        <v>1349.4090000000001</v>
      </c>
      <c r="X516">
        <v>1379.2370000000001</v>
      </c>
      <c r="Y516">
        <v>1409.989</v>
      </c>
      <c r="Z516">
        <v>1441.5619999999999</v>
      </c>
      <c r="AA516">
        <v>1473.598</v>
      </c>
      <c r="AB516">
        <v>1506.057</v>
      </c>
      <c r="AC516">
        <v>1538.979</v>
      </c>
      <c r="AD516">
        <v>1572.35</v>
      </c>
    </row>
    <row r="517" spans="2:30" x14ac:dyDescent="0.25">
      <c r="B517" t="s">
        <v>133</v>
      </c>
      <c r="C517" t="s">
        <v>3256</v>
      </c>
      <c r="D517" t="s">
        <v>5379</v>
      </c>
      <c r="E517" t="s">
        <v>5380</v>
      </c>
      <c r="F517" t="s">
        <v>5381</v>
      </c>
      <c r="G517" t="s">
        <v>3890</v>
      </c>
      <c r="H517" t="s">
        <v>109</v>
      </c>
      <c r="I517" t="s">
        <v>108</v>
      </c>
      <c r="J517">
        <v>2</v>
      </c>
      <c r="K517">
        <v>4328.9740000000002</v>
      </c>
      <c r="L517">
        <v>5265.94</v>
      </c>
      <c r="M517">
        <v>6592.35</v>
      </c>
      <c r="N517">
        <v>6728.01</v>
      </c>
      <c r="O517">
        <v>5595.4229999999998</v>
      </c>
      <c r="P517">
        <v>5722.049</v>
      </c>
      <c r="Q517">
        <v>5866.0420000000004</v>
      </c>
      <c r="R517">
        <v>6004.2179999999998</v>
      </c>
      <c r="S517">
        <v>6131.5460000000003</v>
      </c>
      <c r="T517">
        <v>6261.3429999999998</v>
      </c>
      <c r="U517">
        <v>6395.241</v>
      </c>
      <c r="V517">
        <v>6532.5290000000005</v>
      </c>
      <c r="W517">
        <v>6673.9880000000003</v>
      </c>
      <c r="X517">
        <v>6821.5140000000001</v>
      </c>
      <c r="Y517">
        <v>6973.61</v>
      </c>
      <c r="Z517">
        <v>7129.7629999999999</v>
      </c>
      <c r="AA517">
        <v>7288.2089999999998</v>
      </c>
      <c r="AB517">
        <v>7448.7510000000002</v>
      </c>
      <c r="AC517">
        <v>7611.5739999999996</v>
      </c>
      <c r="AD517">
        <v>7776.6239999999998</v>
      </c>
    </row>
    <row r="518" spans="2:30" x14ac:dyDescent="0.25">
      <c r="B518" t="s">
        <v>133</v>
      </c>
      <c r="C518" t="s">
        <v>3256</v>
      </c>
      <c r="D518" t="s">
        <v>5382</v>
      </c>
      <c r="E518" t="s">
        <v>5383</v>
      </c>
      <c r="F518" t="s">
        <v>5384</v>
      </c>
      <c r="G518" t="s">
        <v>3890</v>
      </c>
      <c r="H518" t="s">
        <v>109</v>
      </c>
      <c r="I518" t="s">
        <v>108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2:30" x14ac:dyDescent="0.25">
      <c r="B519" t="s">
        <v>133</v>
      </c>
      <c r="C519" t="s">
        <v>3256</v>
      </c>
      <c r="D519" t="s">
        <v>5385</v>
      </c>
      <c r="E519" t="s">
        <v>5164</v>
      </c>
      <c r="F519" t="s">
        <v>5165</v>
      </c>
      <c r="G519" t="s">
        <v>3890</v>
      </c>
      <c r="H519" t="s">
        <v>109</v>
      </c>
      <c r="I519" t="s">
        <v>108</v>
      </c>
      <c r="J519">
        <v>2</v>
      </c>
      <c r="K519">
        <v>5389.2640000000001</v>
      </c>
      <c r="L519">
        <v>6059.357</v>
      </c>
      <c r="M519">
        <v>7304.8469999999998</v>
      </c>
      <c r="N519">
        <v>7485.0290000000005</v>
      </c>
      <c r="O519">
        <v>6241.5879999999997</v>
      </c>
      <c r="P519">
        <v>6411.9639999999999</v>
      </c>
      <c r="Q519">
        <v>6608.0619999999999</v>
      </c>
      <c r="R519">
        <v>6797.0190000000002</v>
      </c>
      <c r="S519">
        <v>6971.3710000000001</v>
      </c>
      <c r="T519">
        <v>7150.2039999999997</v>
      </c>
      <c r="U519">
        <v>7335.9639999999999</v>
      </c>
      <c r="V519">
        <v>7527.6959999999999</v>
      </c>
      <c r="W519">
        <v>7726.64</v>
      </c>
      <c r="X519">
        <v>7935.7280000000001</v>
      </c>
      <c r="Y519">
        <v>8152.8680000000004</v>
      </c>
      <c r="Z519">
        <v>8377.4050000000007</v>
      </c>
      <c r="AA519">
        <v>8606.7549999999992</v>
      </c>
      <c r="AB519">
        <v>8840.6679999999997</v>
      </c>
      <c r="AC519">
        <v>9079.4750000000004</v>
      </c>
      <c r="AD519">
        <v>9323.143</v>
      </c>
    </row>
    <row r="520" spans="2:30" x14ac:dyDescent="0.25">
      <c r="B520" t="s">
        <v>133</v>
      </c>
      <c r="C520" t="s">
        <v>3256</v>
      </c>
      <c r="D520" t="s">
        <v>5386</v>
      </c>
      <c r="E520" t="s">
        <v>5387</v>
      </c>
      <c r="F520" t="s">
        <v>5388</v>
      </c>
      <c r="G520" t="s">
        <v>3890</v>
      </c>
      <c r="H520" t="s">
        <v>109</v>
      </c>
      <c r="I520" t="s">
        <v>108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2:30" x14ac:dyDescent="0.25">
      <c r="B521" t="s">
        <v>133</v>
      </c>
      <c r="C521" t="s">
        <v>3256</v>
      </c>
      <c r="D521" t="s">
        <v>5389</v>
      </c>
      <c r="E521" t="s">
        <v>5390</v>
      </c>
      <c r="F521" t="s">
        <v>5391</v>
      </c>
      <c r="G521" t="s">
        <v>3890</v>
      </c>
      <c r="H521" t="s">
        <v>109</v>
      </c>
      <c r="I521" t="s">
        <v>108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2:30" x14ac:dyDescent="0.25">
      <c r="B522" t="s">
        <v>133</v>
      </c>
      <c r="C522" t="s">
        <v>3256</v>
      </c>
      <c r="D522" t="s">
        <v>5392</v>
      </c>
      <c r="E522" t="s">
        <v>5393</v>
      </c>
      <c r="F522" t="s">
        <v>5394</v>
      </c>
      <c r="G522" t="s">
        <v>3890</v>
      </c>
      <c r="H522" t="s">
        <v>109</v>
      </c>
      <c r="I522" t="s">
        <v>108</v>
      </c>
      <c r="J522">
        <v>2</v>
      </c>
      <c r="K522">
        <v>3107.4549999999999</v>
      </c>
      <c r="L522">
        <v>3427.6979999999999</v>
      </c>
      <c r="M522">
        <v>4102.9210000000003</v>
      </c>
      <c r="N522">
        <v>4179.0079999999998</v>
      </c>
      <c r="O522">
        <v>3495.877</v>
      </c>
      <c r="P522">
        <v>3567.8649999999998</v>
      </c>
      <c r="Q522">
        <v>3650.3589999999999</v>
      </c>
      <c r="R522">
        <v>3728.8980000000001</v>
      </c>
      <c r="S522">
        <v>3800.3850000000002</v>
      </c>
      <c r="T522">
        <v>3873.0990000000002</v>
      </c>
      <c r="U522">
        <v>3948.0410000000002</v>
      </c>
      <c r="V522">
        <v>4024.7559999999999</v>
      </c>
      <c r="W522">
        <v>4103.7160000000003</v>
      </c>
      <c r="X522">
        <v>4186.0680000000002</v>
      </c>
      <c r="Y522">
        <v>4270.8729999999996</v>
      </c>
      <c r="Z522">
        <v>4357.8040000000001</v>
      </c>
      <c r="AA522">
        <v>4445.7700000000004</v>
      </c>
      <c r="AB522">
        <v>4534.6440000000002</v>
      </c>
      <c r="AC522">
        <v>4624.5320000000002</v>
      </c>
      <c r="AD522">
        <v>4715.3940000000002</v>
      </c>
    </row>
    <row r="523" spans="2:30" x14ac:dyDescent="0.25">
      <c r="B523" t="s">
        <v>133</v>
      </c>
      <c r="C523" t="s">
        <v>3256</v>
      </c>
      <c r="D523" t="s">
        <v>5395</v>
      </c>
      <c r="E523" t="s">
        <v>5396</v>
      </c>
      <c r="F523" t="s">
        <v>5397</v>
      </c>
      <c r="G523" t="s">
        <v>3890</v>
      </c>
      <c r="H523" t="s">
        <v>109</v>
      </c>
      <c r="I523" t="s">
        <v>108</v>
      </c>
      <c r="J523">
        <v>2</v>
      </c>
      <c r="K523">
        <v>2281.8090000000002</v>
      </c>
      <c r="L523">
        <v>2631.6590000000001</v>
      </c>
      <c r="M523">
        <v>3201.9259999999999</v>
      </c>
      <c r="N523">
        <v>3306.0210000000002</v>
      </c>
      <c r="O523">
        <v>2745.71</v>
      </c>
      <c r="P523">
        <v>2844.0990000000002</v>
      </c>
      <c r="Q523">
        <v>2957.7020000000002</v>
      </c>
      <c r="R523">
        <v>3068.1219999999998</v>
      </c>
      <c r="S523">
        <v>3170.9859999999999</v>
      </c>
      <c r="T523">
        <v>3277.105</v>
      </c>
      <c r="U523">
        <v>3387.9229999999998</v>
      </c>
      <c r="V523">
        <v>3502.9389999999999</v>
      </c>
      <c r="W523">
        <v>3622.924</v>
      </c>
      <c r="X523">
        <v>3749.66</v>
      </c>
      <c r="Y523">
        <v>3881.9949999999999</v>
      </c>
      <c r="Z523">
        <v>4019.6010000000001</v>
      </c>
      <c r="AA523">
        <v>4160.9849999999997</v>
      </c>
      <c r="AB523">
        <v>4306.0240000000003</v>
      </c>
      <c r="AC523">
        <v>4454.9430000000002</v>
      </c>
      <c r="AD523">
        <v>4607.7489999999998</v>
      </c>
    </row>
    <row r="524" spans="2:30" x14ac:dyDescent="0.25">
      <c r="B524" t="s">
        <v>133</v>
      </c>
      <c r="C524" t="s">
        <v>3256</v>
      </c>
      <c r="D524" t="s">
        <v>5398</v>
      </c>
      <c r="E524" t="s">
        <v>5399</v>
      </c>
      <c r="F524" t="s">
        <v>5400</v>
      </c>
      <c r="G524" t="s">
        <v>3890</v>
      </c>
      <c r="H524" t="s">
        <v>109</v>
      </c>
      <c r="I524" t="s">
        <v>108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2:30" x14ac:dyDescent="0.25">
      <c r="B525" t="s">
        <v>133</v>
      </c>
      <c r="C525" t="s">
        <v>3256</v>
      </c>
      <c r="D525" t="s">
        <v>5401</v>
      </c>
      <c r="E525" t="s">
        <v>5167</v>
      </c>
      <c r="F525" t="s">
        <v>5168</v>
      </c>
      <c r="G525" t="s">
        <v>3890</v>
      </c>
      <c r="H525" t="s">
        <v>109</v>
      </c>
      <c r="I525" t="s">
        <v>108</v>
      </c>
      <c r="J525">
        <v>2</v>
      </c>
      <c r="K525">
        <v>659.322</v>
      </c>
      <c r="L525">
        <v>771.90700000000004</v>
      </c>
      <c r="M525">
        <v>857.73800000000006</v>
      </c>
      <c r="N525">
        <v>889.11699999999996</v>
      </c>
      <c r="O525">
        <v>823.97500000000002</v>
      </c>
      <c r="P525">
        <v>858.15200000000004</v>
      </c>
      <c r="Q525">
        <v>898.59299999999996</v>
      </c>
      <c r="R525">
        <v>938.48500000000001</v>
      </c>
      <c r="S525">
        <v>976.06500000000005</v>
      </c>
      <c r="T525">
        <v>1015.357</v>
      </c>
      <c r="U525">
        <v>1056.838</v>
      </c>
      <c r="V525">
        <v>1100.3489999999999</v>
      </c>
      <c r="W525">
        <v>1146.2349999999999</v>
      </c>
      <c r="X525">
        <v>1195.28</v>
      </c>
      <c r="Y525">
        <v>1247.0719999999999</v>
      </c>
      <c r="Z525">
        <v>1301.508</v>
      </c>
      <c r="AA525">
        <v>1357.98</v>
      </c>
      <c r="AB525">
        <v>1416.444</v>
      </c>
      <c r="AC525">
        <v>1477.01</v>
      </c>
      <c r="AD525">
        <v>1539.7</v>
      </c>
    </row>
    <row r="526" spans="2:30" x14ac:dyDescent="0.25">
      <c r="B526" t="s">
        <v>133</v>
      </c>
      <c r="C526" t="s">
        <v>3256</v>
      </c>
      <c r="D526" t="s">
        <v>5402</v>
      </c>
      <c r="E526" t="s">
        <v>5403</v>
      </c>
      <c r="F526" t="s">
        <v>5404</v>
      </c>
      <c r="G526" t="s">
        <v>3890</v>
      </c>
      <c r="H526" t="s">
        <v>109</v>
      </c>
      <c r="I526" t="s">
        <v>108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2:30" x14ac:dyDescent="0.25">
      <c r="B527" t="s">
        <v>133</v>
      </c>
      <c r="C527" t="s">
        <v>3256</v>
      </c>
      <c r="D527" t="s">
        <v>5405</v>
      </c>
      <c r="E527" t="s">
        <v>5406</v>
      </c>
      <c r="F527" t="s">
        <v>5407</v>
      </c>
      <c r="G527" t="s">
        <v>3890</v>
      </c>
      <c r="H527" t="s">
        <v>109</v>
      </c>
      <c r="I527" t="s">
        <v>108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2:30" x14ac:dyDescent="0.25">
      <c r="B528" t="s">
        <v>133</v>
      </c>
      <c r="C528" t="s">
        <v>3256</v>
      </c>
      <c r="D528" t="s">
        <v>5408</v>
      </c>
      <c r="E528" t="s">
        <v>5409</v>
      </c>
      <c r="F528" t="s">
        <v>5410</v>
      </c>
      <c r="G528" t="s">
        <v>3890</v>
      </c>
      <c r="H528" t="s">
        <v>109</v>
      </c>
      <c r="I528" t="s">
        <v>108</v>
      </c>
      <c r="J528">
        <v>2</v>
      </c>
      <c r="K528">
        <v>3</v>
      </c>
      <c r="L528">
        <v>3.181</v>
      </c>
      <c r="M528">
        <v>3.6320000000000001</v>
      </c>
      <c r="N528">
        <v>3.7050000000000001</v>
      </c>
      <c r="O528">
        <v>3.3759999999999999</v>
      </c>
      <c r="P528">
        <v>3.452</v>
      </c>
      <c r="Q528">
        <v>3.5379999999999998</v>
      </c>
      <c r="R528">
        <v>3.621</v>
      </c>
      <c r="S528">
        <v>3.6970000000000001</v>
      </c>
      <c r="T528">
        <v>3.774</v>
      </c>
      <c r="U528">
        <v>3.8530000000000002</v>
      </c>
      <c r="V528">
        <v>3.9350000000000001</v>
      </c>
      <c r="W528">
        <v>4.0190000000000001</v>
      </c>
      <c r="X528">
        <v>4.1079999999999997</v>
      </c>
      <c r="Y528">
        <v>4.1989999999999998</v>
      </c>
      <c r="Z528">
        <v>4.2919999999999998</v>
      </c>
      <c r="AA528">
        <v>4.3869999999999996</v>
      </c>
      <c r="AB528">
        <v>4.484</v>
      </c>
      <c r="AC528">
        <v>4.5819999999999999</v>
      </c>
      <c r="AD528">
        <v>4.681</v>
      </c>
    </row>
    <row r="529" spans="2:30" x14ac:dyDescent="0.25">
      <c r="B529" t="s">
        <v>133</v>
      </c>
      <c r="C529" t="s">
        <v>3256</v>
      </c>
      <c r="D529" t="s">
        <v>5411</v>
      </c>
      <c r="E529" t="s">
        <v>5412</v>
      </c>
      <c r="F529" t="s">
        <v>5413</v>
      </c>
      <c r="G529" t="s">
        <v>3890</v>
      </c>
      <c r="H529" t="s">
        <v>109</v>
      </c>
      <c r="I529" t="s">
        <v>108</v>
      </c>
      <c r="J529">
        <v>2</v>
      </c>
      <c r="K529">
        <v>4</v>
      </c>
      <c r="L529">
        <v>4.3959999999999999</v>
      </c>
      <c r="M529">
        <v>5.07</v>
      </c>
      <c r="N529">
        <v>5.234</v>
      </c>
      <c r="O529">
        <v>4.7770000000000001</v>
      </c>
      <c r="P529">
        <v>4.9480000000000004</v>
      </c>
      <c r="Q529">
        <v>5.1459999999999999</v>
      </c>
      <c r="R529">
        <v>5.3380000000000001</v>
      </c>
      <c r="S529">
        <v>5.5170000000000003</v>
      </c>
      <c r="T529">
        <v>5.7009999999999996</v>
      </c>
      <c r="U529">
        <v>5.8940000000000001</v>
      </c>
      <c r="V529">
        <v>6.0940000000000003</v>
      </c>
      <c r="W529">
        <v>6.3029999999999999</v>
      </c>
      <c r="X529">
        <v>6.524</v>
      </c>
      <c r="Y529">
        <v>6.7539999999999996</v>
      </c>
      <c r="Z529">
        <v>6.9930000000000003</v>
      </c>
      <c r="AA529">
        <v>7.2389999999999999</v>
      </c>
      <c r="AB529">
        <v>7.492</v>
      </c>
      <c r="AC529">
        <v>7.7510000000000003</v>
      </c>
      <c r="AD529">
        <v>8.0169999999999995</v>
      </c>
    </row>
    <row r="530" spans="2:30" x14ac:dyDescent="0.25">
      <c r="B530" t="s">
        <v>133</v>
      </c>
      <c r="C530" t="s">
        <v>3256</v>
      </c>
      <c r="D530" t="s">
        <v>5414</v>
      </c>
      <c r="E530" t="s">
        <v>5415</v>
      </c>
      <c r="F530" t="s">
        <v>5416</v>
      </c>
      <c r="G530" t="s">
        <v>3890</v>
      </c>
      <c r="H530" t="s">
        <v>109</v>
      </c>
      <c r="I530" t="s">
        <v>108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2:30" x14ac:dyDescent="0.25">
      <c r="B531" t="s">
        <v>133</v>
      </c>
      <c r="C531" t="s">
        <v>3256</v>
      </c>
      <c r="D531" t="s">
        <v>5417</v>
      </c>
      <c r="E531" t="s">
        <v>5155</v>
      </c>
      <c r="F531" t="s">
        <v>5156</v>
      </c>
      <c r="G531" t="s">
        <v>3890</v>
      </c>
      <c r="H531" t="s">
        <v>109</v>
      </c>
      <c r="I531" t="s">
        <v>108</v>
      </c>
      <c r="J531">
        <v>2</v>
      </c>
      <c r="K531">
        <v>7688.0550000000003</v>
      </c>
      <c r="L531">
        <v>7385.51</v>
      </c>
      <c r="M531">
        <v>7823.808</v>
      </c>
      <c r="N531">
        <v>9966.4969999999994</v>
      </c>
      <c r="O531">
        <v>8899.5939999999991</v>
      </c>
      <c r="P531">
        <v>9638.9959999999992</v>
      </c>
      <c r="Q531">
        <v>9936.6569999999992</v>
      </c>
      <c r="R531">
        <v>10155.475</v>
      </c>
      <c r="S531">
        <v>10264.432000000001</v>
      </c>
      <c r="T531">
        <v>10351.896000000001</v>
      </c>
      <c r="U531">
        <v>10449.357</v>
      </c>
      <c r="V531">
        <v>10559.489</v>
      </c>
      <c r="W531">
        <v>10682.744000000001</v>
      </c>
      <c r="X531">
        <v>10824.494000000001</v>
      </c>
      <c r="Y531">
        <v>10983.438</v>
      </c>
      <c r="Z531">
        <v>11159.768</v>
      </c>
      <c r="AA531">
        <v>11351.471</v>
      </c>
      <c r="AB531">
        <v>11558.987999999999</v>
      </c>
      <c r="AC531">
        <v>11783.161</v>
      </c>
      <c r="AD531">
        <v>12024.778</v>
      </c>
    </row>
    <row r="532" spans="2:30" x14ac:dyDescent="0.25">
      <c r="B532" t="s">
        <v>133</v>
      </c>
      <c r="C532" t="s">
        <v>3256</v>
      </c>
      <c r="D532" t="s">
        <v>5418</v>
      </c>
      <c r="E532" t="s">
        <v>5419</v>
      </c>
      <c r="F532" t="s">
        <v>5420</v>
      </c>
      <c r="G532" t="s">
        <v>3890</v>
      </c>
      <c r="H532" t="s">
        <v>109</v>
      </c>
      <c r="I532" t="s">
        <v>108</v>
      </c>
      <c r="J532">
        <v>2</v>
      </c>
      <c r="K532">
        <v>4691.6719999999996</v>
      </c>
      <c r="L532">
        <v>4570.1959999999999</v>
      </c>
      <c r="M532">
        <v>4439.6189999999997</v>
      </c>
      <c r="N532">
        <v>5367.1639999999998</v>
      </c>
      <c r="O532">
        <v>5290.8190000000004</v>
      </c>
      <c r="P532">
        <v>5193.4629999999997</v>
      </c>
      <c r="Q532">
        <v>5045.0789999999997</v>
      </c>
      <c r="R532">
        <v>4926.8689999999997</v>
      </c>
      <c r="S532">
        <v>4824.826</v>
      </c>
      <c r="T532">
        <v>4736.902</v>
      </c>
      <c r="U532">
        <v>4651.2280000000001</v>
      </c>
      <c r="V532">
        <v>4571.3209999999999</v>
      </c>
      <c r="W532">
        <v>4496.3519999999999</v>
      </c>
      <c r="X532">
        <v>4428.7219999999998</v>
      </c>
      <c r="Y532">
        <v>4369.0649999999996</v>
      </c>
      <c r="Z532">
        <v>4318.1310000000003</v>
      </c>
      <c r="AA532">
        <v>4276.4040000000005</v>
      </c>
      <c r="AB532">
        <v>4244.5389999999998</v>
      </c>
      <c r="AC532">
        <v>4223.009</v>
      </c>
      <c r="AD532">
        <v>4212.5919999999996</v>
      </c>
    </row>
    <row r="533" spans="2:30" x14ac:dyDescent="0.25">
      <c r="B533" t="s">
        <v>133</v>
      </c>
      <c r="C533" t="s">
        <v>3256</v>
      </c>
      <c r="D533" t="s">
        <v>5421</v>
      </c>
      <c r="E533" t="s">
        <v>5422</v>
      </c>
      <c r="F533" t="s">
        <v>5423</v>
      </c>
      <c r="G533" t="s">
        <v>3890</v>
      </c>
      <c r="H533" t="s">
        <v>109</v>
      </c>
      <c r="I533" t="s">
        <v>108</v>
      </c>
      <c r="J533">
        <v>2</v>
      </c>
      <c r="K533">
        <v>271.34100000000001</v>
      </c>
      <c r="L533">
        <v>251.108</v>
      </c>
      <c r="M533">
        <v>298.85899999999998</v>
      </c>
      <c r="N533">
        <v>395.57299999999998</v>
      </c>
      <c r="O533">
        <v>316.89299999999997</v>
      </c>
      <c r="P533">
        <v>383.53800000000001</v>
      </c>
      <c r="Q533">
        <v>418.858</v>
      </c>
      <c r="R533">
        <v>445.334</v>
      </c>
      <c r="S533">
        <v>461.71899999999999</v>
      </c>
      <c r="T533">
        <v>475.27800000000002</v>
      </c>
      <c r="U533">
        <v>489.40199999999999</v>
      </c>
      <c r="V533">
        <v>504.01100000000002</v>
      </c>
      <c r="W533">
        <v>519.20799999999997</v>
      </c>
      <c r="X533">
        <v>535.24</v>
      </c>
      <c r="Y533">
        <v>551.93299999999999</v>
      </c>
      <c r="Z533">
        <v>569.23099999999999</v>
      </c>
      <c r="AA533">
        <v>586.91700000000003</v>
      </c>
      <c r="AB533">
        <v>604.96699999999998</v>
      </c>
      <c r="AC533">
        <v>623.40700000000004</v>
      </c>
      <c r="AD533">
        <v>642.23400000000004</v>
      </c>
    </row>
    <row r="534" spans="2:30" x14ac:dyDescent="0.25">
      <c r="B534" t="s">
        <v>133</v>
      </c>
      <c r="C534" t="s">
        <v>3256</v>
      </c>
      <c r="D534" t="s">
        <v>5424</v>
      </c>
      <c r="E534" t="s">
        <v>5425</v>
      </c>
      <c r="F534" t="s">
        <v>5426</v>
      </c>
      <c r="G534" t="s">
        <v>3890</v>
      </c>
      <c r="H534" t="s">
        <v>109</v>
      </c>
      <c r="I534" t="s">
        <v>108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2:30" x14ac:dyDescent="0.25">
      <c r="B535" t="s">
        <v>133</v>
      </c>
      <c r="C535" t="s">
        <v>3256</v>
      </c>
      <c r="D535" t="s">
        <v>5427</v>
      </c>
      <c r="E535" t="s">
        <v>5428</v>
      </c>
      <c r="F535" t="s">
        <v>5429</v>
      </c>
      <c r="G535" t="s">
        <v>3890</v>
      </c>
      <c r="H535" t="s">
        <v>109</v>
      </c>
      <c r="I535" t="s">
        <v>108</v>
      </c>
      <c r="J535">
        <v>2</v>
      </c>
      <c r="K535">
        <v>2631.7759999999998</v>
      </c>
      <c r="L535">
        <v>2478.98</v>
      </c>
      <c r="M535">
        <v>2984.6860000000001</v>
      </c>
      <c r="N535">
        <v>4071.1979999999999</v>
      </c>
      <c r="O535">
        <v>3191.3879999999999</v>
      </c>
      <c r="P535">
        <v>3942.502</v>
      </c>
      <c r="Q535">
        <v>4346.4229999999998</v>
      </c>
      <c r="R535">
        <v>4653.3130000000001</v>
      </c>
      <c r="S535">
        <v>4847.2939999999999</v>
      </c>
      <c r="T535">
        <v>5009.5119999999997</v>
      </c>
      <c r="U535">
        <v>5178.9129999999996</v>
      </c>
      <c r="V535">
        <v>5354.7309999999998</v>
      </c>
      <c r="W535">
        <v>5538.1450000000004</v>
      </c>
      <c r="X535">
        <v>5731.8789999999999</v>
      </c>
      <c r="Y535">
        <v>5934.17</v>
      </c>
      <c r="Z535">
        <v>6144.52</v>
      </c>
      <c r="AA535">
        <v>6360.6459999999997</v>
      </c>
      <c r="AB535">
        <v>6582.3580000000002</v>
      </c>
      <c r="AC535">
        <v>6810.0020000000004</v>
      </c>
      <c r="AD535">
        <v>7043.5870000000004</v>
      </c>
    </row>
    <row r="536" spans="2:30" x14ac:dyDescent="0.25">
      <c r="B536" t="s">
        <v>133</v>
      </c>
      <c r="C536" t="s">
        <v>3256</v>
      </c>
      <c r="D536" t="s">
        <v>5430</v>
      </c>
      <c r="E536" t="s">
        <v>5431</v>
      </c>
      <c r="F536" t="s">
        <v>5432</v>
      </c>
      <c r="G536" t="s">
        <v>3890</v>
      </c>
      <c r="H536" t="s">
        <v>109</v>
      </c>
      <c r="I536" t="s">
        <v>108</v>
      </c>
      <c r="J536">
        <v>2</v>
      </c>
      <c r="K536">
        <v>93.265000000000001</v>
      </c>
      <c r="L536">
        <v>85.225999999999999</v>
      </c>
      <c r="M536">
        <v>100.645</v>
      </c>
      <c r="N536">
        <v>132.56200000000001</v>
      </c>
      <c r="O536">
        <v>100.494</v>
      </c>
      <c r="P536">
        <v>119.49299999999999</v>
      </c>
      <c r="Q536">
        <v>126.297</v>
      </c>
      <c r="R536">
        <v>129.959</v>
      </c>
      <c r="S536">
        <v>130.59399999999999</v>
      </c>
      <c r="T536">
        <v>130.203</v>
      </c>
      <c r="U536">
        <v>129.81399999999999</v>
      </c>
      <c r="V536">
        <v>129.42599999999999</v>
      </c>
      <c r="W536">
        <v>129.04</v>
      </c>
      <c r="X536">
        <v>128.654</v>
      </c>
      <c r="Y536">
        <v>128.27000000000001</v>
      </c>
      <c r="Z536">
        <v>127.886</v>
      </c>
      <c r="AA536">
        <v>127.504</v>
      </c>
      <c r="AB536">
        <v>127.123</v>
      </c>
      <c r="AC536">
        <v>126.74299999999999</v>
      </c>
      <c r="AD536">
        <v>126.36499999999999</v>
      </c>
    </row>
    <row r="537" spans="2:30" x14ac:dyDescent="0.25">
      <c r="B537" t="s">
        <v>133</v>
      </c>
      <c r="C537" t="s">
        <v>3256</v>
      </c>
      <c r="D537" t="s">
        <v>5433</v>
      </c>
      <c r="E537" t="s">
        <v>5434</v>
      </c>
      <c r="F537" t="s">
        <v>5435</v>
      </c>
      <c r="G537" t="s">
        <v>3890</v>
      </c>
      <c r="H537" t="s">
        <v>109</v>
      </c>
      <c r="I537" t="s">
        <v>108</v>
      </c>
      <c r="J537">
        <v>2</v>
      </c>
      <c r="K537">
        <v>80943.887000000002</v>
      </c>
      <c r="L537">
        <v>78988.741999999998</v>
      </c>
      <c r="M537">
        <v>89393.111000000004</v>
      </c>
      <c r="N537">
        <v>92455.08</v>
      </c>
      <c r="O537">
        <v>85268.879000000001</v>
      </c>
      <c r="P537">
        <v>84385.187000000005</v>
      </c>
      <c r="Q537">
        <v>89141.077999999994</v>
      </c>
      <c r="R537">
        <v>92736.82</v>
      </c>
      <c r="S537">
        <v>96805.334000000003</v>
      </c>
      <c r="T537">
        <v>100750.734</v>
      </c>
      <c r="U537">
        <v>105180.46</v>
      </c>
      <c r="V537">
        <v>109890.61900000001</v>
      </c>
      <c r="W537">
        <v>115057.163</v>
      </c>
      <c r="X537">
        <v>120656.05499999999</v>
      </c>
      <c r="Y537">
        <v>126697.215</v>
      </c>
      <c r="Z537">
        <v>133293.503</v>
      </c>
      <c r="AA537">
        <v>140447.06</v>
      </c>
      <c r="AB537">
        <v>148235.894</v>
      </c>
      <c r="AC537">
        <v>156782.03599999999</v>
      </c>
      <c r="AD537">
        <v>165523.027</v>
      </c>
    </row>
    <row r="538" spans="2:30" x14ac:dyDescent="0.25">
      <c r="B538" t="s">
        <v>133</v>
      </c>
      <c r="C538" t="s">
        <v>3256</v>
      </c>
      <c r="D538" t="s">
        <v>5436</v>
      </c>
      <c r="E538" t="s">
        <v>5176</v>
      </c>
      <c r="F538" t="s">
        <v>5177</v>
      </c>
      <c r="G538" t="s">
        <v>3890</v>
      </c>
      <c r="H538" t="s">
        <v>109</v>
      </c>
      <c r="I538" t="s">
        <v>108</v>
      </c>
      <c r="J538">
        <v>2</v>
      </c>
      <c r="K538">
        <v>1529.27</v>
      </c>
      <c r="L538">
        <v>1206.73</v>
      </c>
      <c r="M538">
        <v>1313.405</v>
      </c>
      <c r="N538">
        <v>1308.827</v>
      </c>
      <c r="O538">
        <v>1304.2660000000001</v>
      </c>
      <c r="P538">
        <v>1299.72</v>
      </c>
      <c r="Q538">
        <v>1295.19</v>
      </c>
      <c r="R538">
        <v>1290.6759999999999</v>
      </c>
      <c r="S538">
        <v>1286.1780000000001</v>
      </c>
      <c r="T538">
        <v>1281.6949999999999</v>
      </c>
      <c r="U538">
        <v>1277.2280000000001</v>
      </c>
      <c r="V538">
        <v>1272.777</v>
      </c>
      <c r="W538">
        <v>1268.3409999999999</v>
      </c>
      <c r="X538">
        <v>1263.921</v>
      </c>
      <c r="Y538">
        <v>1259.5160000000001</v>
      </c>
      <c r="Z538">
        <v>1255.126</v>
      </c>
      <c r="AA538">
        <v>1250.752</v>
      </c>
      <c r="AB538">
        <v>1246.393</v>
      </c>
      <c r="AC538">
        <v>1242.049</v>
      </c>
      <c r="AD538">
        <v>1237.72</v>
      </c>
    </row>
    <row r="539" spans="2:30" x14ac:dyDescent="0.25">
      <c r="B539" t="s">
        <v>133</v>
      </c>
      <c r="C539" t="s">
        <v>3256</v>
      </c>
      <c r="D539" t="s">
        <v>5437</v>
      </c>
      <c r="E539" t="s">
        <v>5438</v>
      </c>
      <c r="F539" t="s">
        <v>5439</v>
      </c>
      <c r="G539" t="s">
        <v>3890</v>
      </c>
      <c r="H539" t="s">
        <v>109</v>
      </c>
      <c r="I539" t="s">
        <v>108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2:30" x14ac:dyDescent="0.25">
      <c r="B540" t="s">
        <v>133</v>
      </c>
      <c r="C540" t="s">
        <v>3256</v>
      </c>
      <c r="D540" t="s">
        <v>5440</v>
      </c>
      <c r="E540" t="s">
        <v>5441</v>
      </c>
      <c r="F540" t="s">
        <v>5442</v>
      </c>
      <c r="G540" t="s">
        <v>3890</v>
      </c>
      <c r="H540" t="s">
        <v>109</v>
      </c>
      <c r="I540" t="s">
        <v>108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2:30" x14ac:dyDescent="0.25">
      <c r="B541" t="s">
        <v>133</v>
      </c>
      <c r="C541" t="s">
        <v>3256</v>
      </c>
      <c r="D541" t="s">
        <v>5443</v>
      </c>
      <c r="E541" t="s">
        <v>5444</v>
      </c>
      <c r="F541" t="s">
        <v>5445</v>
      </c>
      <c r="G541" t="s">
        <v>3890</v>
      </c>
      <c r="H541" t="s">
        <v>109</v>
      </c>
      <c r="I541" t="s">
        <v>108</v>
      </c>
      <c r="J541">
        <v>2</v>
      </c>
      <c r="K541">
        <v>1529.27</v>
      </c>
      <c r="L541">
        <v>1206.73</v>
      </c>
      <c r="M541">
        <v>1313.405</v>
      </c>
      <c r="N541">
        <v>1308.827</v>
      </c>
      <c r="O541">
        <v>1304.2660000000001</v>
      </c>
      <c r="P541">
        <v>1299.72</v>
      </c>
      <c r="Q541">
        <v>1295.19</v>
      </c>
      <c r="R541">
        <v>1290.6759999999999</v>
      </c>
      <c r="S541">
        <v>1286.1780000000001</v>
      </c>
      <c r="T541">
        <v>1281.6949999999999</v>
      </c>
      <c r="U541">
        <v>1277.2280000000001</v>
      </c>
      <c r="V541">
        <v>1272.777</v>
      </c>
      <c r="W541">
        <v>1268.3409999999999</v>
      </c>
      <c r="X541">
        <v>1263.921</v>
      </c>
      <c r="Y541">
        <v>1259.5160000000001</v>
      </c>
      <c r="Z541">
        <v>1255.126</v>
      </c>
      <c r="AA541">
        <v>1250.752</v>
      </c>
      <c r="AB541">
        <v>1246.393</v>
      </c>
      <c r="AC541">
        <v>1242.049</v>
      </c>
      <c r="AD541">
        <v>1237.72</v>
      </c>
    </row>
    <row r="542" spans="2:30" x14ac:dyDescent="0.25">
      <c r="B542" t="s">
        <v>133</v>
      </c>
      <c r="C542" t="s">
        <v>3256</v>
      </c>
      <c r="D542" t="s">
        <v>5446</v>
      </c>
      <c r="E542" t="s">
        <v>5447</v>
      </c>
      <c r="F542" t="s">
        <v>5448</v>
      </c>
      <c r="G542" t="s">
        <v>3890</v>
      </c>
      <c r="H542" t="s">
        <v>109</v>
      </c>
      <c r="I542" t="s">
        <v>108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2:30" x14ac:dyDescent="0.25">
      <c r="B543" t="s">
        <v>133</v>
      </c>
      <c r="C543" t="s">
        <v>3256</v>
      </c>
      <c r="D543" t="s">
        <v>5449</v>
      </c>
      <c r="E543" t="s">
        <v>5450</v>
      </c>
      <c r="F543" t="s">
        <v>5451</v>
      </c>
      <c r="G543" t="s">
        <v>3890</v>
      </c>
      <c r="H543" t="s">
        <v>109</v>
      </c>
      <c r="I543" t="s">
        <v>108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2:30" x14ac:dyDescent="0.25">
      <c r="B544" t="s">
        <v>133</v>
      </c>
      <c r="C544" t="s">
        <v>3256</v>
      </c>
      <c r="D544" t="s">
        <v>5452</v>
      </c>
      <c r="E544" t="s">
        <v>5146</v>
      </c>
      <c r="F544" t="s">
        <v>5147</v>
      </c>
      <c r="G544" t="s">
        <v>3890</v>
      </c>
      <c r="H544" t="s">
        <v>109</v>
      </c>
      <c r="I544" t="s">
        <v>108</v>
      </c>
      <c r="J544">
        <v>2</v>
      </c>
      <c r="K544">
        <v>84652.786999999997</v>
      </c>
      <c r="L544">
        <v>82575.288</v>
      </c>
      <c r="M544">
        <v>93047.167000000001</v>
      </c>
      <c r="N544">
        <v>97632.589000000007</v>
      </c>
      <c r="O544">
        <v>92104.058999999994</v>
      </c>
      <c r="P544">
        <v>91924.724000000002</v>
      </c>
      <c r="Q544">
        <v>96566.856</v>
      </c>
      <c r="R544">
        <v>100469.205</v>
      </c>
      <c r="S544">
        <v>105059.019</v>
      </c>
      <c r="T544">
        <v>109723.766</v>
      </c>
      <c r="U544">
        <v>114840.083</v>
      </c>
      <c r="V544">
        <v>120272.399</v>
      </c>
      <c r="W544">
        <v>126186.11900000001</v>
      </c>
      <c r="X544">
        <v>132604.72200000001</v>
      </c>
      <c r="Y544">
        <v>139549.17300000001</v>
      </c>
      <c r="Z544">
        <v>147120.67499999999</v>
      </c>
      <c r="AA544">
        <v>155334.70300000001</v>
      </c>
      <c r="AB544">
        <v>164282.481</v>
      </c>
      <c r="AC544">
        <v>174071.33900000001</v>
      </c>
      <c r="AD544">
        <v>184311.44399999999</v>
      </c>
    </row>
    <row r="545" spans="2:30" x14ac:dyDescent="0.25">
      <c r="B545" t="s">
        <v>133</v>
      </c>
      <c r="C545" t="s">
        <v>3256</v>
      </c>
      <c r="D545" t="s">
        <v>5453</v>
      </c>
      <c r="E545" t="s">
        <v>5149</v>
      </c>
      <c r="F545" t="s">
        <v>5150</v>
      </c>
      <c r="G545" t="s">
        <v>3890</v>
      </c>
      <c r="H545" t="s">
        <v>109</v>
      </c>
      <c r="I545" t="s">
        <v>108</v>
      </c>
      <c r="J545">
        <v>2</v>
      </c>
      <c r="K545">
        <v>1651.0930000000001</v>
      </c>
      <c r="L545">
        <v>1545.134</v>
      </c>
      <c r="M545">
        <v>1836.8230000000001</v>
      </c>
      <c r="N545">
        <v>1975.171</v>
      </c>
      <c r="O545">
        <v>1737.0450000000001</v>
      </c>
      <c r="P545">
        <v>1766.615</v>
      </c>
      <c r="Q545">
        <v>1810.433</v>
      </c>
      <c r="R545">
        <v>1852.6590000000001</v>
      </c>
      <c r="S545">
        <v>1891.768</v>
      </c>
      <c r="T545">
        <v>1931.5150000000001</v>
      </c>
      <c r="U545">
        <v>1968.87</v>
      </c>
      <c r="V545">
        <v>2007.11</v>
      </c>
      <c r="W545">
        <v>2046.4680000000001</v>
      </c>
      <c r="X545">
        <v>2087.5169999999998</v>
      </c>
      <c r="Y545">
        <v>2129.788</v>
      </c>
      <c r="Z545">
        <v>2173.1190000000001</v>
      </c>
      <c r="AA545">
        <v>2216.9659999999999</v>
      </c>
      <c r="AB545">
        <v>2261.2649999999999</v>
      </c>
      <c r="AC545">
        <v>2306.069</v>
      </c>
      <c r="AD545">
        <v>2351.3580000000002</v>
      </c>
    </row>
    <row r="546" spans="2:30" x14ac:dyDescent="0.25">
      <c r="B546" t="s">
        <v>133</v>
      </c>
      <c r="C546" t="s">
        <v>3256</v>
      </c>
      <c r="D546" t="s">
        <v>5454</v>
      </c>
      <c r="E546" t="s">
        <v>5152</v>
      </c>
      <c r="F546" t="s">
        <v>5153</v>
      </c>
      <c r="G546" t="s">
        <v>3890</v>
      </c>
      <c r="H546" t="s">
        <v>109</v>
      </c>
      <c r="I546" t="s">
        <v>108</v>
      </c>
      <c r="J546">
        <v>2</v>
      </c>
      <c r="K546">
        <v>42937.004999999997</v>
      </c>
      <c r="L546">
        <v>39910.631000000001</v>
      </c>
      <c r="M546">
        <v>47100.464999999997</v>
      </c>
      <c r="N546">
        <v>48175</v>
      </c>
      <c r="O546">
        <v>45340.27</v>
      </c>
      <c r="P546">
        <v>41891.226000000002</v>
      </c>
      <c r="Q546">
        <v>44332.093000000001</v>
      </c>
      <c r="R546">
        <v>45574.97</v>
      </c>
      <c r="S546">
        <v>47100.256000000001</v>
      </c>
      <c r="T546">
        <v>48136.000999999997</v>
      </c>
      <c r="U546">
        <v>49431.972999999998</v>
      </c>
      <c r="V546">
        <v>50795.773999999998</v>
      </c>
      <c r="W546">
        <v>52432.379000000001</v>
      </c>
      <c r="X546">
        <v>54305.957000000002</v>
      </c>
      <c r="Y546">
        <v>56446.478999999999</v>
      </c>
      <c r="Z546">
        <v>58941.978000000003</v>
      </c>
      <c r="AA546">
        <v>61805.286</v>
      </c>
      <c r="AB546">
        <v>65111.531999999999</v>
      </c>
      <c r="AC546">
        <v>68976.445999999996</v>
      </c>
      <c r="AD546">
        <v>72873.505000000005</v>
      </c>
    </row>
    <row r="547" spans="2:30" x14ac:dyDescent="0.25">
      <c r="B547" t="s">
        <v>133</v>
      </c>
      <c r="C547" t="s">
        <v>3256</v>
      </c>
      <c r="D547" t="s">
        <v>5455</v>
      </c>
      <c r="E547" t="s">
        <v>5155</v>
      </c>
      <c r="F547" t="s">
        <v>5156</v>
      </c>
      <c r="G547" t="s">
        <v>3890</v>
      </c>
      <c r="H547" t="s">
        <v>109</v>
      </c>
      <c r="I547" t="s">
        <v>108</v>
      </c>
      <c r="J547">
        <v>2</v>
      </c>
      <c r="K547">
        <v>7688.0550000000003</v>
      </c>
      <c r="L547">
        <v>7385.51</v>
      </c>
      <c r="M547">
        <v>7823.808</v>
      </c>
      <c r="N547">
        <v>9966.4969999999994</v>
      </c>
      <c r="O547">
        <v>8899.5939999999991</v>
      </c>
      <c r="P547">
        <v>9638.9959999999992</v>
      </c>
      <c r="Q547">
        <v>9936.6569999999992</v>
      </c>
      <c r="R547">
        <v>10155.475</v>
      </c>
      <c r="S547">
        <v>10264.432000000001</v>
      </c>
      <c r="T547">
        <v>10351.896000000001</v>
      </c>
      <c r="U547">
        <v>10449.357</v>
      </c>
      <c r="V547">
        <v>10559.489</v>
      </c>
      <c r="W547">
        <v>10682.744000000001</v>
      </c>
      <c r="X547">
        <v>10824.494000000001</v>
      </c>
      <c r="Y547">
        <v>10983.438</v>
      </c>
      <c r="Z547">
        <v>11159.768</v>
      </c>
      <c r="AA547">
        <v>11351.471</v>
      </c>
      <c r="AB547">
        <v>11558.987999999999</v>
      </c>
      <c r="AC547">
        <v>11783.161</v>
      </c>
      <c r="AD547">
        <v>12024.778</v>
      </c>
    </row>
    <row r="548" spans="2:30" x14ac:dyDescent="0.25">
      <c r="B548" t="s">
        <v>133</v>
      </c>
      <c r="C548" t="s">
        <v>3256</v>
      </c>
      <c r="D548" t="s">
        <v>5456</v>
      </c>
      <c r="E548" t="s">
        <v>5158</v>
      </c>
      <c r="F548" t="s">
        <v>5159</v>
      </c>
      <c r="G548" t="s">
        <v>3890</v>
      </c>
      <c r="H548" t="s">
        <v>109</v>
      </c>
      <c r="I548" t="s">
        <v>108</v>
      </c>
      <c r="J548">
        <v>2</v>
      </c>
      <c r="K548">
        <v>7404.3140000000003</v>
      </c>
      <c r="L548">
        <v>7147.93</v>
      </c>
      <c r="M548">
        <v>7001.1750000000002</v>
      </c>
      <c r="N548">
        <v>6753.6639999999998</v>
      </c>
      <c r="O548">
        <v>6511.8810000000003</v>
      </c>
      <c r="P548">
        <v>7121.9089999999997</v>
      </c>
      <c r="Q548">
        <v>7780.3090000000002</v>
      </c>
      <c r="R548">
        <v>8491.4809999999998</v>
      </c>
      <c r="S548">
        <v>9339.8330000000005</v>
      </c>
      <c r="T548">
        <v>10342.116</v>
      </c>
      <c r="U548">
        <v>11423.17</v>
      </c>
      <c r="V548">
        <v>12578.305</v>
      </c>
      <c r="W548">
        <v>13801.087</v>
      </c>
      <c r="X548">
        <v>15085.098</v>
      </c>
      <c r="Y548">
        <v>16421.858</v>
      </c>
      <c r="Z548">
        <v>17823.852999999999</v>
      </c>
      <c r="AA548">
        <v>19288.914000000001</v>
      </c>
      <c r="AB548">
        <v>20814.904999999999</v>
      </c>
      <c r="AC548">
        <v>22400.510999999999</v>
      </c>
      <c r="AD548">
        <v>24015.206999999999</v>
      </c>
    </row>
    <row r="549" spans="2:30" x14ac:dyDescent="0.25">
      <c r="B549" t="s">
        <v>133</v>
      </c>
      <c r="C549" t="s">
        <v>3256</v>
      </c>
      <c r="D549" t="s">
        <v>5457</v>
      </c>
      <c r="E549" t="s">
        <v>5161</v>
      </c>
      <c r="F549" t="s">
        <v>5162</v>
      </c>
      <c r="G549" t="s">
        <v>3890</v>
      </c>
      <c r="H549" t="s">
        <v>109</v>
      </c>
      <c r="I549" t="s">
        <v>108</v>
      </c>
      <c r="J549">
        <v>2</v>
      </c>
      <c r="K549">
        <v>15214.834999999999</v>
      </c>
      <c r="L549">
        <v>16168.272999999999</v>
      </c>
      <c r="M549">
        <v>17468.254000000001</v>
      </c>
      <c r="N549">
        <v>17210.601999999999</v>
      </c>
      <c r="O549">
        <v>15714.526</v>
      </c>
      <c r="P549">
        <v>16696.326000000001</v>
      </c>
      <c r="Q549">
        <v>17774.932000000001</v>
      </c>
      <c r="R549">
        <v>18926.732</v>
      </c>
      <c r="S549">
        <v>20261.609</v>
      </c>
      <c r="T549">
        <v>21823.646000000001</v>
      </c>
      <c r="U549">
        <v>23514.288</v>
      </c>
      <c r="V549">
        <v>25321.896000000001</v>
      </c>
      <c r="W549">
        <v>27221.609</v>
      </c>
      <c r="X549">
        <v>29221.98</v>
      </c>
      <c r="Y549">
        <v>31315.712</v>
      </c>
      <c r="Z549">
        <v>33515.872000000003</v>
      </c>
      <c r="AA549">
        <v>35819.688999999998</v>
      </c>
      <c r="AB549">
        <v>38232.093000000001</v>
      </c>
      <c r="AC549">
        <v>40759.364999999998</v>
      </c>
      <c r="AD549">
        <v>43395.336000000003</v>
      </c>
    </row>
    <row r="550" spans="2:30" x14ac:dyDescent="0.25">
      <c r="B550" t="s">
        <v>133</v>
      </c>
      <c r="C550" t="s">
        <v>3256</v>
      </c>
      <c r="D550" t="s">
        <v>5458</v>
      </c>
      <c r="E550" t="s">
        <v>5164</v>
      </c>
      <c r="F550" t="s">
        <v>5165</v>
      </c>
      <c r="G550" t="s">
        <v>3890</v>
      </c>
      <c r="H550" t="s">
        <v>109</v>
      </c>
      <c r="I550" t="s">
        <v>108</v>
      </c>
      <c r="J550">
        <v>2</v>
      </c>
      <c r="K550">
        <v>5389.2640000000001</v>
      </c>
      <c r="L550">
        <v>6059.357</v>
      </c>
      <c r="M550">
        <v>7304.8469999999998</v>
      </c>
      <c r="N550">
        <v>7485.0290000000005</v>
      </c>
      <c r="O550">
        <v>6241.5879999999997</v>
      </c>
      <c r="P550">
        <v>6411.9639999999999</v>
      </c>
      <c r="Q550">
        <v>6608.0619999999999</v>
      </c>
      <c r="R550">
        <v>6797.0190000000002</v>
      </c>
      <c r="S550">
        <v>6971.3710000000001</v>
      </c>
      <c r="T550">
        <v>7150.2039999999997</v>
      </c>
      <c r="U550">
        <v>7335.9639999999999</v>
      </c>
      <c r="V550">
        <v>7527.6959999999999</v>
      </c>
      <c r="W550">
        <v>7726.64</v>
      </c>
      <c r="X550">
        <v>7935.7280000000001</v>
      </c>
      <c r="Y550">
        <v>8152.8680000000004</v>
      </c>
      <c r="Z550">
        <v>8377.4050000000007</v>
      </c>
      <c r="AA550">
        <v>8606.7549999999992</v>
      </c>
      <c r="AB550">
        <v>8840.6679999999997</v>
      </c>
      <c r="AC550">
        <v>9079.4750000000004</v>
      </c>
      <c r="AD550">
        <v>9323.143</v>
      </c>
    </row>
    <row r="551" spans="2:30" x14ac:dyDescent="0.25">
      <c r="B551" t="s">
        <v>133</v>
      </c>
      <c r="C551" t="s">
        <v>3256</v>
      </c>
      <c r="D551" t="s">
        <v>5459</v>
      </c>
      <c r="E551" t="s">
        <v>5167</v>
      </c>
      <c r="F551" t="s">
        <v>5168</v>
      </c>
      <c r="G551" t="s">
        <v>3890</v>
      </c>
      <c r="H551" t="s">
        <v>109</v>
      </c>
      <c r="I551" t="s">
        <v>108</v>
      </c>
      <c r="J551">
        <v>2</v>
      </c>
      <c r="K551">
        <v>659.322</v>
      </c>
      <c r="L551">
        <v>771.90700000000004</v>
      </c>
      <c r="M551">
        <v>857.73800000000006</v>
      </c>
      <c r="N551">
        <v>889.11699999999996</v>
      </c>
      <c r="O551">
        <v>823.97500000000002</v>
      </c>
      <c r="P551">
        <v>858.15200000000004</v>
      </c>
      <c r="Q551">
        <v>898.59299999999996</v>
      </c>
      <c r="R551">
        <v>938.48500000000001</v>
      </c>
      <c r="S551">
        <v>976.06500000000005</v>
      </c>
      <c r="T551">
        <v>1015.357</v>
      </c>
      <c r="U551">
        <v>1056.838</v>
      </c>
      <c r="V551">
        <v>1100.3489999999999</v>
      </c>
      <c r="W551">
        <v>1146.2349999999999</v>
      </c>
      <c r="X551">
        <v>1195.28</v>
      </c>
      <c r="Y551">
        <v>1247.0719999999999</v>
      </c>
      <c r="Z551">
        <v>1301.508</v>
      </c>
      <c r="AA551">
        <v>1357.98</v>
      </c>
      <c r="AB551">
        <v>1416.444</v>
      </c>
      <c r="AC551">
        <v>1477.01</v>
      </c>
      <c r="AD551">
        <v>1539.7</v>
      </c>
    </row>
    <row r="552" spans="2:30" x14ac:dyDescent="0.25">
      <c r="B552" t="s">
        <v>133</v>
      </c>
      <c r="C552" t="s">
        <v>3256</v>
      </c>
      <c r="D552" t="s">
        <v>5460</v>
      </c>
      <c r="E552" t="s">
        <v>5176</v>
      </c>
      <c r="F552" t="s">
        <v>5177</v>
      </c>
      <c r="G552" t="s">
        <v>3890</v>
      </c>
      <c r="H552" t="s">
        <v>109</v>
      </c>
      <c r="I552" t="s">
        <v>108</v>
      </c>
      <c r="J552">
        <v>2</v>
      </c>
      <c r="K552">
        <v>1529.27</v>
      </c>
      <c r="L552">
        <v>1206.73</v>
      </c>
      <c r="M552">
        <v>1313.405</v>
      </c>
      <c r="N552">
        <v>1308.827</v>
      </c>
      <c r="O552">
        <v>1304.2660000000001</v>
      </c>
      <c r="P552">
        <v>1299.72</v>
      </c>
      <c r="Q552">
        <v>1295.19</v>
      </c>
      <c r="R552">
        <v>1290.6759999999999</v>
      </c>
      <c r="S552">
        <v>1286.1780000000001</v>
      </c>
      <c r="T552">
        <v>1281.6949999999999</v>
      </c>
      <c r="U552">
        <v>1277.2280000000001</v>
      </c>
      <c r="V552">
        <v>1272.777</v>
      </c>
      <c r="W552">
        <v>1268.3409999999999</v>
      </c>
      <c r="X552">
        <v>1263.921</v>
      </c>
      <c r="Y552">
        <v>1259.5160000000001</v>
      </c>
      <c r="Z552">
        <v>1255.126</v>
      </c>
      <c r="AA552">
        <v>1250.752</v>
      </c>
      <c r="AB552">
        <v>1246.393</v>
      </c>
      <c r="AC552">
        <v>1242.049</v>
      </c>
      <c r="AD552">
        <v>1237.72</v>
      </c>
    </row>
    <row r="553" spans="2:30" x14ac:dyDescent="0.25">
      <c r="B553" t="s">
        <v>133</v>
      </c>
      <c r="C553" t="s">
        <v>3256</v>
      </c>
      <c r="D553" t="s">
        <v>5461</v>
      </c>
      <c r="E553" t="s">
        <v>5462</v>
      </c>
      <c r="F553" t="s">
        <v>5463</v>
      </c>
      <c r="G553" t="s">
        <v>3890</v>
      </c>
      <c r="H553" t="s">
        <v>109</v>
      </c>
      <c r="I553" t="s">
        <v>108</v>
      </c>
      <c r="J553">
        <v>2</v>
      </c>
      <c r="K553">
        <v>2179.63</v>
      </c>
      <c r="L553">
        <v>2379.8159999999998</v>
      </c>
      <c r="M553">
        <v>2340.6509999999998</v>
      </c>
      <c r="N553">
        <v>3868.6819999999998</v>
      </c>
      <c r="O553">
        <v>5530.9139999999998</v>
      </c>
      <c r="P553">
        <v>6239.817</v>
      </c>
      <c r="Q553">
        <v>6130.5870000000004</v>
      </c>
      <c r="R553">
        <v>6441.7089999999998</v>
      </c>
      <c r="S553">
        <v>6967.5069999999996</v>
      </c>
      <c r="T553">
        <v>7691.3360000000002</v>
      </c>
      <c r="U553">
        <v>8382.3940000000002</v>
      </c>
      <c r="V553">
        <v>9109.0030000000006</v>
      </c>
      <c r="W553">
        <v>9860.6149999999998</v>
      </c>
      <c r="X553">
        <v>10684.745999999999</v>
      </c>
      <c r="Y553">
        <v>11592.441999999999</v>
      </c>
      <c r="Z553">
        <v>12572.046</v>
      </c>
      <c r="AA553">
        <v>13636.891</v>
      </c>
      <c r="AB553">
        <v>14800.194</v>
      </c>
      <c r="AC553">
        <v>16047.254000000001</v>
      </c>
      <c r="AD553">
        <v>17550.697</v>
      </c>
    </row>
    <row r="554" spans="2:30" x14ac:dyDescent="0.25">
      <c r="B554" t="s">
        <v>133</v>
      </c>
      <c r="C554" t="s">
        <v>3256</v>
      </c>
      <c r="D554" t="s">
        <v>5464</v>
      </c>
      <c r="E554" t="s">
        <v>5465</v>
      </c>
      <c r="F554" t="s">
        <v>5466</v>
      </c>
      <c r="G554" t="s">
        <v>3890</v>
      </c>
      <c r="H554" t="s">
        <v>5467</v>
      </c>
      <c r="I554" t="s">
        <v>5468</v>
      </c>
      <c r="J554">
        <v>1</v>
      </c>
      <c r="K554">
        <v>208.74</v>
      </c>
      <c r="L554">
        <v>202.17599999999999</v>
      </c>
      <c r="M554">
        <v>232.196</v>
      </c>
      <c r="N554">
        <v>257.23</v>
      </c>
      <c r="O554">
        <v>270.62900000000002</v>
      </c>
      <c r="P554">
        <v>275.02</v>
      </c>
      <c r="Q554">
        <v>282.76900000000001</v>
      </c>
      <c r="R554">
        <v>292.86900000000003</v>
      </c>
      <c r="S554">
        <v>303.31799999999998</v>
      </c>
      <c r="T554">
        <v>314.24099999999999</v>
      </c>
      <c r="U554">
        <v>325.73700000000002</v>
      </c>
      <c r="V554">
        <v>338.34100000000001</v>
      </c>
      <c r="W554">
        <v>352.28399999999999</v>
      </c>
      <c r="X554">
        <v>367.97300000000001</v>
      </c>
      <c r="Y554">
        <v>385.64800000000002</v>
      </c>
      <c r="Z554">
        <v>405.738</v>
      </c>
      <c r="AA554">
        <v>428.71600000000001</v>
      </c>
      <c r="AB554">
        <v>455.17599999999999</v>
      </c>
      <c r="AC554">
        <v>485.61</v>
      </c>
      <c r="AD554">
        <v>519.1</v>
      </c>
    </row>
    <row r="555" spans="2:30" x14ac:dyDescent="0.25">
      <c r="B555" t="s">
        <v>133</v>
      </c>
      <c r="C555" t="s">
        <v>3256</v>
      </c>
      <c r="D555" t="s">
        <v>5469</v>
      </c>
      <c r="E555" t="s">
        <v>5470</v>
      </c>
      <c r="F555" t="s">
        <v>5471</v>
      </c>
      <c r="G555" t="s">
        <v>3890</v>
      </c>
      <c r="H555" t="s">
        <v>5467</v>
      </c>
      <c r="I555" t="s">
        <v>5468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2:30" x14ac:dyDescent="0.25">
      <c r="B556" t="s">
        <v>133</v>
      </c>
      <c r="C556" t="s">
        <v>3256</v>
      </c>
      <c r="D556" t="s">
        <v>5472</v>
      </c>
      <c r="E556" t="s">
        <v>5473</v>
      </c>
      <c r="F556" t="s">
        <v>5474</v>
      </c>
      <c r="G556" t="s">
        <v>3890</v>
      </c>
      <c r="H556" t="s">
        <v>5467</v>
      </c>
      <c r="I556" t="s">
        <v>5468</v>
      </c>
      <c r="J556">
        <v>1</v>
      </c>
      <c r="K556">
        <v>165.38399999999999</v>
      </c>
      <c r="L556">
        <v>157.30799999999999</v>
      </c>
      <c r="M556">
        <v>188.27600000000001</v>
      </c>
      <c r="N556">
        <v>191.96899999999999</v>
      </c>
      <c r="O556">
        <v>186.31800000000001</v>
      </c>
      <c r="P556">
        <v>183.922</v>
      </c>
      <c r="Q556">
        <v>188.53800000000001</v>
      </c>
      <c r="R556">
        <v>194.00299999999999</v>
      </c>
      <c r="S556">
        <v>198.678</v>
      </c>
      <c r="T556">
        <v>203.51599999999999</v>
      </c>
      <c r="U556">
        <v>208.74</v>
      </c>
      <c r="V556">
        <v>214.828</v>
      </c>
      <c r="W556">
        <v>221.75700000000001</v>
      </c>
      <c r="X556">
        <v>229.80699999999999</v>
      </c>
      <c r="Y556">
        <v>239.01300000000001</v>
      </c>
      <c r="Z556">
        <v>249.68899999999999</v>
      </c>
      <c r="AA556">
        <v>262.07400000000001</v>
      </c>
      <c r="AB556">
        <v>276.524</v>
      </c>
      <c r="AC556">
        <v>293.45800000000003</v>
      </c>
      <c r="AD556">
        <v>310.44299999999998</v>
      </c>
    </row>
    <row r="557" spans="2:30" x14ac:dyDescent="0.25">
      <c r="B557" t="s">
        <v>133</v>
      </c>
      <c r="C557" t="s">
        <v>3256</v>
      </c>
      <c r="D557" t="s">
        <v>5475</v>
      </c>
      <c r="E557" t="s">
        <v>5476</v>
      </c>
      <c r="F557" t="s">
        <v>5477</v>
      </c>
      <c r="G557" t="s">
        <v>3890</v>
      </c>
      <c r="H557" t="s">
        <v>5467</v>
      </c>
      <c r="I557" t="s">
        <v>5468</v>
      </c>
      <c r="J557">
        <v>1</v>
      </c>
      <c r="K557">
        <v>18.006</v>
      </c>
      <c r="L557">
        <v>17.527000000000001</v>
      </c>
      <c r="M557">
        <v>17.026</v>
      </c>
      <c r="N557">
        <v>20.585999999999999</v>
      </c>
      <c r="O557">
        <v>20.190999999999999</v>
      </c>
      <c r="P557">
        <v>19.742999999999999</v>
      </c>
      <c r="Q557">
        <v>19.254000000000001</v>
      </c>
      <c r="R557">
        <v>18.8</v>
      </c>
      <c r="S557">
        <v>18.373000000000001</v>
      </c>
      <c r="T557">
        <v>17.959</v>
      </c>
      <c r="U557">
        <v>17.562000000000001</v>
      </c>
      <c r="V557">
        <v>17.181999999999999</v>
      </c>
      <c r="W557">
        <v>16.821000000000002</v>
      </c>
      <c r="X557">
        <v>16.48</v>
      </c>
      <c r="Y557">
        <v>16.16</v>
      </c>
      <c r="Z557">
        <v>15.863</v>
      </c>
      <c r="AA557">
        <v>15.590999999999999</v>
      </c>
      <c r="AB557">
        <v>15.345000000000001</v>
      </c>
      <c r="AC557">
        <v>15.127000000000001</v>
      </c>
      <c r="AD557">
        <v>14.94</v>
      </c>
    </row>
    <row r="558" spans="2:30" x14ac:dyDescent="0.25">
      <c r="B558" t="s">
        <v>133</v>
      </c>
      <c r="C558" t="s">
        <v>3256</v>
      </c>
      <c r="D558" t="s">
        <v>5478</v>
      </c>
      <c r="E558" t="s">
        <v>5479</v>
      </c>
      <c r="F558" t="s">
        <v>5480</v>
      </c>
      <c r="G558" t="s">
        <v>3890</v>
      </c>
      <c r="H558" t="s">
        <v>5467</v>
      </c>
      <c r="I558" t="s">
        <v>5468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2:30" x14ac:dyDescent="0.25">
      <c r="B559" t="s">
        <v>133</v>
      </c>
      <c r="C559" t="s">
        <v>3256</v>
      </c>
      <c r="D559" t="s">
        <v>5481</v>
      </c>
      <c r="E559" t="s">
        <v>5482</v>
      </c>
      <c r="F559" t="s">
        <v>5483</v>
      </c>
      <c r="G559" t="s">
        <v>3890</v>
      </c>
      <c r="H559" t="s">
        <v>5467</v>
      </c>
      <c r="I559" t="s">
        <v>5468</v>
      </c>
      <c r="J559">
        <v>1</v>
      </c>
      <c r="K559">
        <v>5.8109999999999999</v>
      </c>
      <c r="L559">
        <v>7.1920000000000002</v>
      </c>
      <c r="M559">
        <v>6.952</v>
      </c>
      <c r="N559">
        <v>10.766999999999999</v>
      </c>
      <c r="O559">
        <v>14.978</v>
      </c>
      <c r="P559">
        <v>19.523</v>
      </c>
      <c r="Q559">
        <v>21.742999999999999</v>
      </c>
      <c r="R559">
        <v>24.707999999999998</v>
      </c>
      <c r="S559">
        <v>28.148</v>
      </c>
      <c r="T559">
        <v>31.581</v>
      </c>
      <c r="U559">
        <v>35.052999999999997</v>
      </c>
      <c r="V559">
        <v>38.595999999999997</v>
      </c>
      <c r="W559">
        <v>42.343000000000004</v>
      </c>
      <c r="X559">
        <v>46.35</v>
      </c>
      <c r="Y559">
        <v>50.713999999999999</v>
      </c>
      <c r="Z559">
        <v>55.487000000000002</v>
      </c>
      <c r="AA559">
        <v>60.774999999999999</v>
      </c>
      <c r="AB559">
        <v>66.691000000000003</v>
      </c>
      <c r="AC559">
        <v>72.968000000000004</v>
      </c>
      <c r="AD559">
        <v>79.566000000000003</v>
      </c>
    </row>
    <row r="560" spans="2:30" x14ac:dyDescent="0.25">
      <c r="B560" t="s">
        <v>133</v>
      </c>
      <c r="C560" t="s">
        <v>3256</v>
      </c>
      <c r="D560" t="s">
        <v>5484</v>
      </c>
      <c r="E560" t="s">
        <v>5485</v>
      </c>
      <c r="F560" t="s">
        <v>5486</v>
      </c>
      <c r="G560" t="s">
        <v>3890</v>
      </c>
      <c r="H560" t="s">
        <v>5467</v>
      </c>
      <c r="I560" t="s">
        <v>5468</v>
      </c>
      <c r="J560">
        <v>1</v>
      </c>
      <c r="K560">
        <v>4.8929999999999998</v>
      </c>
      <c r="L560">
        <v>5.1619999999999999</v>
      </c>
      <c r="M560">
        <v>4.9550000000000001</v>
      </c>
      <c r="N560">
        <v>8.8030000000000008</v>
      </c>
      <c r="O560">
        <v>13.021000000000001</v>
      </c>
      <c r="P560">
        <v>14.672000000000001</v>
      </c>
      <c r="Q560">
        <v>15.468</v>
      </c>
      <c r="R560">
        <v>16.826000000000001</v>
      </c>
      <c r="S560">
        <v>18.71</v>
      </c>
      <c r="T560">
        <v>20.882999999999999</v>
      </c>
      <c r="U560">
        <v>23.148</v>
      </c>
      <c r="V560">
        <v>25.530999999999999</v>
      </c>
      <c r="W560">
        <v>28.122</v>
      </c>
      <c r="X560">
        <v>30.981999999999999</v>
      </c>
      <c r="Y560">
        <v>34.195999999999998</v>
      </c>
      <c r="Z560">
        <v>37.816000000000003</v>
      </c>
      <c r="AA560">
        <v>41.948</v>
      </c>
      <c r="AB560">
        <v>46.688000000000002</v>
      </c>
      <c r="AC560">
        <v>52.363</v>
      </c>
      <c r="AD560">
        <v>59.298000000000002</v>
      </c>
    </row>
    <row r="561" spans="2:30" x14ac:dyDescent="0.25">
      <c r="B561" t="s">
        <v>133</v>
      </c>
      <c r="C561" t="s">
        <v>3256</v>
      </c>
      <c r="D561" t="s">
        <v>5487</v>
      </c>
      <c r="E561" t="s">
        <v>5488</v>
      </c>
      <c r="F561" t="s">
        <v>5489</v>
      </c>
      <c r="G561" t="s">
        <v>3890</v>
      </c>
      <c r="H561" t="s">
        <v>5467</v>
      </c>
      <c r="I561" t="s">
        <v>5468</v>
      </c>
      <c r="J561">
        <v>1</v>
      </c>
      <c r="K561">
        <v>14.646000000000001</v>
      </c>
      <c r="L561">
        <v>14.987</v>
      </c>
      <c r="M561">
        <v>14.987</v>
      </c>
      <c r="N561">
        <v>25.103999999999999</v>
      </c>
      <c r="O561">
        <v>36.119999999999997</v>
      </c>
      <c r="P561">
        <v>37.161000000000001</v>
      </c>
      <c r="Q561">
        <v>37.765000000000001</v>
      </c>
      <c r="R561">
        <v>38.531999999999996</v>
      </c>
      <c r="S561">
        <v>39.408999999999999</v>
      </c>
      <c r="T561">
        <v>40.302999999999997</v>
      </c>
      <c r="U561">
        <v>41.232999999999997</v>
      </c>
      <c r="V561">
        <v>42.204000000000001</v>
      </c>
      <c r="W561">
        <v>43.241</v>
      </c>
      <c r="X561">
        <v>44.354999999999997</v>
      </c>
      <c r="Y561">
        <v>45.564</v>
      </c>
      <c r="Z561">
        <v>46.881999999999998</v>
      </c>
      <c r="AA561">
        <v>48.329000000000001</v>
      </c>
      <c r="AB561">
        <v>49.927</v>
      </c>
      <c r="AC561">
        <v>51.694000000000003</v>
      </c>
      <c r="AD561">
        <v>54.853000000000002</v>
      </c>
    </row>
    <row r="562" spans="2:30" x14ac:dyDescent="0.25">
      <c r="B562" t="s">
        <v>133</v>
      </c>
      <c r="C562" t="s">
        <v>3256</v>
      </c>
      <c r="D562" t="s">
        <v>5490</v>
      </c>
      <c r="E562" t="s">
        <v>5491</v>
      </c>
      <c r="F562" t="s">
        <v>5492</v>
      </c>
      <c r="G562" t="s">
        <v>3890</v>
      </c>
      <c r="H562" t="s">
        <v>5467</v>
      </c>
      <c r="I562" t="s">
        <v>5468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2:30" x14ac:dyDescent="0.25">
      <c r="B563" t="s">
        <v>133</v>
      </c>
      <c r="C563" t="s">
        <v>3256</v>
      </c>
      <c r="D563" t="s">
        <v>5493</v>
      </c>
      <c r="E563" t="s">
        <v>5494</v>
      </c>
      <c r="F563" t="s">
        <v>5495</v>
      </c>
      <c r="G563" t="s">
        <v>3890</v>
      </c>
      <c r="H563" t="s">
        <v>5467</v>
      </c>
      <c r="I563" t="s">
        <v>5468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2:30" x14ac:dyDescent="0.25">
      <c r="B564" t="s">
        <v>133</v>
      </c>
      <c r="C564" t="s">
        <v>3256</v>
      </c>
      <c r="D564" t="s">
        <v>5496</v>
      </c>
      <c r="E564" t="s">
        <v>5497</v>
      </c>
      <c r="F564" t="s">
        <v>5498</v>
      </c>
      <c r="G564" t="s">
        <v>3890</v>
      </c>
      <c r="H564" t="s">
        <v>5467</v>
      </c>
      <c r="I564" t="s">
        <v>5468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2:30" x14ac:dyDescent="0.25">
      <c r="B565" t="s">
        <v>133</v>
      </c>
      <c r="C565" t="s">
        <v>3256</v>
      </c>
      <c r="D565" t="s">
        <v>5499</v>
      </c>
      <c r="E565" t="s">
        <v>5500</v>
      </c>
      <c r="F565" t="s">
        <v>5501</v>
      </c>
      <c r="G565" t="s">
        <v>3890</v>
      </c>
      <c r="H565" t="s">
        <v>5467</v>
      </c>
      <c r="I565" t="s">
        <v>5468</v>
      </c>
      <c r="J565">
        <v>2</v>
      </c>
      <c r="K565">
        <v>208.74</v>
      </c>
      <c r="L565">
        <v>202.17599999999999</v>
      </c>
      <c r="M565">
        <v>232.196</v>
      </c>
      <c r="N565">
        <v>257.23</v>
      </c>
      <c r="O565">
        <v>270.745</v>
      </c>
      <c r="P565">
        <v>256.58699999999999</v>
      </c>
      <c r="Q565">
        <v>265.36500000000001</v>
      </c>
      <c r="R565">
        <v>272.47300000000001</v>
      </c>
      <c r="S565">
        <v>283.87</v>
      </c>
      <c r="T565">
        <v>294.72399999999999</v>
      </c>
      <c r="U565">
        <v>306.50099999999998</v>
      </c>
      <c r="V565">
        <v>318.94200000000001</v>
      </c>
      <c r="W565">
        <v>333.05200000000002</v>
      </c>
      <c r="X565">
        <v>349.14299999999997</v>
      </c>
      <c r="Y565">
        <v>367.548</v>
      </c>
      <c r="Z565">
        <v>388.56299999999999</v>
      </c>
      <c r="AA565">
        <v>412.52100000000002</v>
      </c>
      <c r="AB565">
        <v>440.00200000000001</v>
      </c>
      <c r="AC565">
        <v>471.48</v>
      </c>
      <c r="AD565">
        <v>506.01799999999997</v>
      </c>
    </row>
    <row r="566" spans="2:30" x14ac:dyDescent="0.25">
      <c r="B566" t="s">
        <v>133</v>
      </c>
      <c r="C566" t="s">
        <v>3256</v>
      </c>
      <c r="D566" t="s">
        <v>5502</v>
      </c>
      <c r="E566" t="s">
        <v>5503</v>
      </c>
      <c r="F566" t="s">
        <v>5504</v>
      </c>
      <c r="G566" t="s">
        <v>3890</v>
      </c>
      <c r="H566" t="s">
        <v>5467</v>
      </c>
      <c r="I566" t="s">
        <v>5468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2:30" x14ac:dyDescent="0.25">
      <c r="B567" t="s">
        <v>133</v>
      </c>
      <c r="C567" t="s">
        <v>3256</v>
      </c>
      <c r="D567" t="s">
        <v>5505</v>
      </c>
      <c r="E567" t="s">
        <v>5506</v>
      </c>
      <c r="F567" t="s">
        <v>5507</v>
      </c>
      <c r="G567" t="s">
        <v>3890</v>
      </c>
      <c r="H567" t="s">
        <v>5467</v>
      </c>
      <c r="I567" t="s">
        <v>5468</v>
      </c>
      <c r="J567">
        <v>2</v>
      </c>
      <c r="K567">
        <v>165.38399999999999</v>
      </c>
      <c r="L567">
        <v>156.959</v>
      </c>
      <c r="M567">
        <v>187.93600000000001</v>
      </c>
      <c r="N567">
        <v>191.63900000000001</v>
      </c>
      <c r="O567">
        <v>186.11500000000001</v>
      </c>
      <c r="P567">
        <v>164.08600000000001</v>
      </c>
      <c r="Q567">
        <v>174.70400000000001</v>
      </c>
      <c r="R567">
        <v>178.64699999999999</v>
      </c>
      <c r="S567">
        <v>184.321</v>
      </c>
      <c r="T567">
        <v>187.09399999999999</v>
      </c>
      <c r="U567">
        <v>191.16200000000001</v>
      </c>
      <c r="V567">
        <v>195.46</v>
      </c>
      <c r="W567">
        <v>201.11699999999999</v>
      </c>
      <c r="X567">
        <v>207.88300000000001</v>
      </c>
      <c r="Y567">
        <v>215.959</v>
      </c>
      <c r="Z567">
        <v>225.77799999999999</v>
      </c>
      <c r="AA567">
        <v>237.511</v>
      </c>
      <c r="AB567">
        <v>251.58600000000001</v>
      </c>
      <c r="AC567">
        <v>268.64299999999997</v>
      </c>
      <c r="AD567">
        <v>285.73500000000001</v>
      </c>
    </row>
    <row r="568" spans="2:30" x14ac:dyDescent="0.25">
      <c r="B568" t="s">
        <v>133</v>
      </c>
      <c r="C568" t="s">
        <v>3256</v>
      </c>
      <c r="D568" t="s">
        <v>5508</v>
      </c>
      <c r="E568" t="s">
        <v>5509</v>
      </c>
      <c r="F568" t="s">
        <v>5510</v>
      </c>
      <c r="G568" t="s">
        <v>3890</v>
      </c>
      <c r="H568" t="s">
        <v>5467</v>
      </c>
      <c r="I568" t="s">
        <v>5468</v>
      </c>
      <c r="J568">
        <v>2</v>
      </c>
      <c r="K568">
        <v>18.006</v>
      </c>
      <c r="L568">
        <v>17.54</v>
      </c>
      <c r="M568">
        <v>17.039000000000001</v>
      </c>
      <c r="N568">
        <v>20.599</v>
      </c>
      <c r="O568">
        <v>20.306000000000001</v>
      </c>
      <c r="P568">
        <v>19.931999999999999</v>
      </c>
      <c r="Q568">
        <v>19.363</v>
      </c>
      <c r="R568">
        <v>18.908999999999999</v>
      </c>
      <c r="S568">
        <v>18.516999999999999</v>
      </c>
      <c r="T568">
        <v>18.18</v>
      </c>
      <c r="U568">
        <v>17.850999999999999</v>
      </c>
      <c r="V568">
        <v>17.544</v>
      </c>
      <c r="W568">
        <v>17.257000000000001</v>
      </c>
      <c r="X568">
        <v>16.997</v>
      </c>
      <c r="Y568">
        <v>16.768000000000001</v>
      </c>
      <c r="Z568">
        <v>16.573</v>
      </c>
      <c r="AA568">
        <v>16.411999999999999</v>
      </c>
      <c r="AB568">
        <v>16.29</v>
      </c>
      <c r="AC568">
        <v>16.207000000000001</v>
      </c>
      <c r="AD568">
        <v>16.167999999999999</v>
      </c>
    </row>
    <row r="569" spans="2:30" x14ac:dyDescent="0.25">
      <c r="B569" t="s">
        <v>133</v>
      </c>
      <c r="C569" t="s">
        <v>3256</v>
      </c>
      <c r="D569" t="s">
        <v>5511</v>
      </c>
      <c r="E569" t="s">
        <v>5512</v>
      </c>
      <c r="F569" t="s">
        <v>5513</v>
      </c>
      <c r="G569" t="s">
        <v>3890</v>
      </c>
      <c r="H569" t="s">
        <v>5467</v>
      </c>
      <c r="I569" t="s">
        <v>5468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2:30" x14ac:dyDescent="0.25">
      <c r="B570" t="s">
        <v>133</v>
      </c>
      <c r="C570" t="s">
        <v>3256</v>
      </c>
      <c r="D570" t="s">
        <v>5514</v>
      </c>
      <c r="E570" t="s">
        <v>5515</v>
      </c>
      <c r="F570" t="s">
        <v>5516</v>
      </c>
      <c r="G570" t="s">
        <v>3890</v>
      </c>
      <c r="H570" t="s">
        <v>5467</v>
      </c>
      <c r="I570" t="s">
        <v>5468</v>
      </c>
      <c r="J570">
        <v>2</v>
      </c>
      <c r="K570">
        <v>5.8109999999999999</v>
      </c>
      <c r="L570">
        <v>7.36</v>
      </c>
      <c r="M570">
        <v>7.1150000000000002</v>
      </c>
      <c r="N570">
        <v>10.923999999999999</v>
      </c>
      <c r="O570">
        <v>15.13</v>
      </c>
      <c r="P570">
        <v>19.696999999999999</v>
      </c>
      <c r="Q570">
        <v>19.04</v>
      </c>
      <c r="R570">
        <v>21.07</v>
      </c>
      <c r="S570">
        <v>24.34</v>
      </c>
      <c r="T570">
        <v>28.654</v>
      </c>
      <c r="U570">
        <v>32.712000000000003</v>
      </c>
      <c r="V570">
        <v>36.921999999999997</v>
      </c>
      <c r="W570">
        <v>41.225999999999999</v>
      </c>
      <c r="X570">
        <v>45.893000000000001</v>
      </c>
      <c r="Y570">
        <v>50.951000000000001</v>
      </c>
      <c r="Z570">
        <v>56.161000000000001</v>
      </c>
      <c r="AA570">
        <v>61.567</v>
      </c>
      <c r="AB570">
        <v>67.212000000000003</v>
      </c>
      <c r="AC570">
        <v>73.147999999999996</v>
      </c>
      <c r="AD570">
        <v>79.436000000000007</v>
      </c>
    </row>
    <row r="571" spans="2:30" x14ac:dyDescent="0.25">
      <c r="B571" t="s">
        <v>133</v>
      </c>
      <c r="C571" t="s">
        <v>3256</v>
      </c>
      <c r="D571" t="s">
        <v>5517</v>
      </c>
      <c r="E571" t="s">
        <v>5518</v>
      </c>
      <c r="F571" t="s">
        <v>5519</v>
      </c>
      <c r="G571" t="s">
        <v>3890</v>
      </c>
      <c r="H571" t="s">
        <v>5467</v>
      </c>
      <c r="I571" t="s">
        <v>5468</v>
      </c>
      <c r="J571">
        <v>2</v>
      </c>
      <c r="K571">
        <v>4.8929999999999998</v>
      </c>
      <c r="L571">
        <v>5.2539999999999996</v>
      </c>
      <c r="M571">
        <v>5.0439999999999996</v>
      </c>
      <c r="N571">
        <v>8.8889999999999993</v>
      </c>
      <c r="O571">
        <v>13.103</v>
      </c>
      <c r="P571">
        <v>15.345000000000001</v>
      </c>
      <c r="Q571">
        <v>14.731</v>
      </c>
      <c r="R571">
        <v>15.669</v>
      </c>
      <c r="S571">
        <v>17.556999999999999</v>
      </c>
      <c r="T571">
        <v>20.433</v>
      </c>
      <c r="U571">
        <v>23.192</v>
      </c>
      <c r="V571">
        <v>26.131</v>
      </c>
      <c r="W571">
        <v>29.201000000000001</v>
      </c>
      <c r="X571">
        <v>32.625</v>
      </c>
      <c r="Y571">
        <v>36.481000000000002</v>
      </c>
      <c r="Z571">
        <v>40.847999999999999</v>
      </c>
      <c r="AA571">
        <v>45.822000000000003</v>
      </c>
      <c r="AB571">
        <v>51.487000000000002</v>
      </c>
      <c r="AC571">
        <v>57.604999999999997</v>
      </c>
      <c r="AD571">
        <v>64.027000000000001</v>
      </c>
    </row>
    <row r="572" spans="2:30" x14ac:dyDescent="0.25">
      <c r="B572" t="s">
        <v>133</v>
      </c>
      <c r="C572" t="s">
        <v>3256</v>
      </c>
      <c r="D572" t="s">
        <v>5520</v>
      </c>
      <c r="E572" t="s">
        <v>5521</v>
      </c>
      <c r="F572" t="s">
        <v>5522</v>
      </c>
      <c r="G572" t="s">
        <v>3890</v>
      </c>
      <c r="H572" t="s">
        <v>5467</v>
      </c>
      <c r="I572" t="s">
        <v>5468</v>
      </c>
      <c r="J572">
        <v>2</v>
      </c>
      <c r="K572">
        <v>14.646000000000001</v>
      </c>
      <c r="L572">
        <v>15.063000000000001</v>
      </c>
      <c r="M572">
        <v>15.063000000000001</v>
      </c>
      <c r="N572">
        <v>25.18</v>
      </c>
      <c r="O572">
        <v>36.091000000000001</v>
      </c>
      <c r="P572">
        <v>37.527999999999999</v>
      </c>
      <c r="Q572">
        <v>37.527999999999999</v>
      </c>
      <c r="R572">
        <v>38.177999999999997</v>
      </c>
      <c r="S572">
        <v>39.134999999999998</v>
      </c>
      <c r="T572">
        <v>40.363</v>
      </c>
      <c r="U572">
        <v>41.582999999999998</v>
      </c>
      <c r="V572">
        <v>42.884999999999998</v>
      </c>
      <c r="W572">
        <v>44.250999999999998</v>
      </c>
      <c r="X572">
        <v>45.746000000000002</v>
      </c>
      <c r="Y572">
        <v>47.387999999999998</v>
      </c>
      <c r="Z572">
        <v>49.203000000000003</v>
      </c>
      <c r="AA572">
        <v>51.209000000000003</v>
      </c>
      <c r="AB572">
        <v>53.427</v>
      </c>
      <c r="AC572">
        <v>55.877000000000002</v>
      </c>
      <c r="AD572">
        <v>60.651000000000003</v>
      </c>
    </row>
    <row r="573" spans="2:30" x14ac:dyDescent="0.25">
      <c r="B573" t="s">
        <v>133</v>
      </c>
      <c r="C573" t="s">
        <v>3256</v>
      </c>
      <c r="D573" t="s">
        <v>5523</v>
      </c>
      <c r="E573" t="s">
        <v>5524</v>
      </c>
      <c r="F573" t="s">
        <v>5525</v>
      </c>
      <c r="G573" t="s">
        <v>3890</v>
      </c>
      <c r="H573" t="s">
        <v>5467</v>
      </c>
      <c r="I573" t="s">
        <v>5468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2:30" x14ac:dyDescent="0.25">
      <c r="B574" t="s">
        <v>133</v>
      </c>
      <c r="C574" t="s">
        <v>3256</v>
      </c>
      <c r="D574" t="s">
        <v>5526</v>
      </c>
      <c r="E574" t="s">
        <v>5527</v>
      </c>
      <c r="F574" t="s">
        <v>5528</v>
      </c>
      <c r="G574" t="s">
        <v>3890</v>
      </c>
      <c r="H574" t="s">
        <v>5467</v>
      </c>
      <c r="I574" t="s">
        <v>5468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2:30" x14ac:dyDescent="0.25">
      <c r="B575" t="s">
        <v>133</v>
      </c>
      <c r="C575" t="s">
        <v>3256</v>
      </c>
      <c r="D575" t="s">
        <v>5529</v>
      </c>
      <c r="E575" t="s">
        <v>5530</v>
      </c>
      <c r="F575" t="s">
        <v>5531</v>
      </c>
      <c r="G575" t="s">
        <v>3890</v>
      </c>
      <c r="H575" t="s">
        <v>5467</v>
      </c>
      <c r="I575" t="s">
        <v>5468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2:30" x14ac:dyDescent="0.25">
      <c r="B576" t="s">
        <v>133</v>
      </c>
      <c r="C576" t="s">
        <v>3256</v>
      </c>
      <c r="D576" t="s">
        <v>5532</v>
      </c>
      <c r="E576" t="s">
        <v>5533</v>
      </c>
      <c r="F576" t="s">
        <v>5534</v>
      </c>
      <c r="G576" t="s">
        <v>3890</v>
      </c>
      <c r="H576" t="s">
        <v>109</v>
      </c>
      <c r="I576" t="s">
        <v>108</v>
      </c>
      <c r="J576">
        <v>2</v>
      </c>
      <c r="K576">
        <v>0.33900000000000002</v>
      </c>
      <c r="L576">
        <v>0.32700000000000001</v>
      </c>
      <c r="M576">
        <v>0.32</v>
      </c>
      <c r="N576">
        <v>0.309</v>
      </c>
      <c r="O576">
        <v>0.26600000000000001</v>
      </c>
      <c r="P576">
        <v>0.28899999999999998</v>
      </c>
      <c r="Q576">
        <v>0.314</v>
      </c>
      <c r="R576">
        <v>0.34100000000000003</v>
      </c>
      <c r="S576">
        <v>0.373</v>
      </c>
      <c r="T576">
        <v>0.41</v>
      </c>
      <c r="U576">
        <v>0.45100000000000001</v>
      </c>
      <c r="V576">
        <v>0.49399999999999999</v>
      </c>
      <c r="W576">
        <v>0.53900000000000003</v>
      </c>
      <c r="X576">
        <v>0.58599999999999997</v>
      </c>
      <c r="Y576">
        <v>0.63500000000000001</v>
      </c>
      <c r="Z576">
        <v>0.68700000000000006</v>
      </c>
      <c r="AA576">
        <v>0.74199999999999999</v>
      </c>
      <c r="AB576">
        <v>0.79900000000000004</v>
      </c>
      <c r="AC576">
        <v>0.85699999999999998</v>
      </c>
      <c r="AD576">
        <v>0.91700000000000004</v>
      </c>
    </row>
    <row r="577" spans="2:30" x14ac:dyDescent="0.25">
      <c r="B577" t="s">
        <v>133</v>
      </c>
      <c r="C577" t="s">
        <v>3256</v>
      </c>
      <c r="D577" t="s">
        <v>5535</v>
      </c>
      <c r="E577" t="s">
        <v>5536</v>
      </c>
      <c r="F577" t="s">
        <v>5537</v>
      </c>
      <c r="G577" t="s">
        <v>3890</v>
      </c>
      <c r="H577" t="s">
        <v>109</v>
      </c>
      <c r="I577" t="s">
        <v>108</v>
      </c>
      <c r="J577">
        <v>2</v>
      </c>
      <c r="K577">
        <v>495.238</v>
      </c>
      <c r="L577">
        <v>484.52</v>
      </c>
      <c r="M577">
        <v>472.24900000000002</v>
      </c>
      <c r="N577">
        <v>454.66399999999999</v>
      </c>
      <c r="O577">
        <v>394.03699999999998</v>
      </c>
      <c r="P577">
        <v>431.12900000000002</v>
      </c>
      <c r="Q577">
        <v>471.60399999999998</v>
      </c>
      <c r="R577">
        <v>515.50599999999997</v>
      </c>
      <c r="S577">
        <v>567.83600000000001</v>
      </c>
      <c r="T577">
        <v>629.62099999999998</v>
      </c>
      <c r="U577">
        <v>696.35400000000004</v>
      </c>
      <c r="V577">
        <v>767.76199999999994</v>
      </c>
      <c r="W577">
        <v>843.40599999999995</v>
      </c>
      <c r="X577">
        <v>922.88199999999995</v>
      </c>
      <c r="Y577">
        <v>1005.655</v>
      </c>
      <c r="Z577">
        <v>1095.1969999999999</v>
      </c>
      <c r="AA577">
        <v>1189.222</v>
      </c>
      <c r="AB577">
        <v>1287.645</v>
      </c>
      <c r="AC577">
        <v>1390.4290000000001</v>
      </c>
      <c r="AD577">
        <v>1495.7639999999999</v>
      </c>
    </row>
    <row r="578" spans="2:30" x14ac:dyDescent="0.25">
      <c r="B578" t="s">
        <v>133</v>
      </c>
      <c r="C578" t="s">
        <v>3256</v>
      </c>
      <c r="D578" t="s">
        <v>5538</v>
      </c>
      <c r="E578">
        <v>0</v>
      </c>
      <c r="F578" t="s">
        <v>5539</v>
      </c>
      <c r="G578" t="s">
        <v>3890</v>
      </c>
      <c r="H578" t="s">
        <v>109</v>
      </c>
      <c r="I578" t="s">
        <v>108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2:30" x14ac:dyDescent="0.25">
      <c r="B579" t="s">
        <v>133</v>
      </c>
      <c r="C579" t="s">
        <v>3256</v>
      </c>
      <c r="D579" t="s">
        <v>5540</v>
      </c>
      <c r="E579">
        <v>0</v>
      </c>
      <c r="F579" t="s">
        <v>5539</v>
      </c>
      <c r="G579" t="s">
        <v>3890</v>
      </c>
      <c r="H579" t="s">
        <v>109</v>
      </c>
      <c r="I579" t="s">
        <v>108</v>
      </c>
      <c r="J579">
        <v>2</v>
      </c>
      <c r="K579">
        <v>0.02</v>
      </c>
      <c r="L579">
        <v>2.5000000000000001E-2</v>
      </c>
      <c r="M579">
        <v>3.4000000000000002E-2</v>
      </c>
      <c r="N579">
        <v>4.3999999999999997E-2</v>
      </c>
      <c r="O579">
        <v>7.4999999999999997E-2</v>
      </c>
      <c r="P579">
        <v>0.13400000000000001</v>
      </c>
      <c r="Q579">
        <v>0.254</v>
      </c>
      <c r="R579">
        <v>0.47799999999999998</v>
      </c>
      <c r="S579">
        <v>0.91100000000000003</v>
      </c>
      <c r="T579">
        <v>1.6819999999999999</v>
      </c>
      <c r="U579">
        <v>2.9740000000000002</v>
      </c>
      <c r="V579">
        <v>5.0430000000000001</v>
      </c>
      <c r="W579">
        <v>8.0950000000000006</v>
      </c>
      <c r="X579">
        <v>12.397</v>
      </c>
      <c r="Y579">
        <v>18.154</v>
      </c>
      <c r="Z579">
        <v>25.678999999999998</v>
      </c>
      <c r="AA579">
        <v>35.345999999999997</v>
      </c>
      <c r="AB579">
        <v>47.603999999999999</v>
      </c>
      <c r="AC579">
        <v>62.814999999999998</v>
      </c>
      <c r="AD579">
        <v>80.221000000000004</v>
      </c>
    </row>
    <row r="580" spans="2:30" x14ac:dyDescent="0.25">
      <c r="B580" t="s">
        <v>133</v>
      </c>
      <c r="C580" t="s">
        <v>3256</v>
      </c>
      <c r="D580" t="s">
        <v>5541</v>
      </c>
      <c r="E580" t="s">
        <v>5542</v>
      </c>
      <c r="F580" t="s">
        <v>5543</v>
      </c>
      <c r="G580" t="s">
        <v>3890</v>
      </c>
      <c r="H580" t="s">
        <v>109</v>
      </c>
      <c r="I580" t="s">
        <v>108</v>
      </c>
      <c r="J580">
        <v>2</v>
      </c>
      <c r="K580">
        <v>1.6890000000000001</v>
      </c>
      <c r="L580">
        <v>2.1659999999999999</v>
      </c>
      <c r="M580">
        <v>2.9460000000000002</v>
      </c>
      <c r="N580">
        <v>3.7509999999999999</v>
      </c>
      <c r="O580">
        <v>6.4569999999999999</v>
      </c>
      <c r="P580">
        <v>11.539</v>
      </c>
      <c r="Q580">
        <v>21.867999999999999</v>
      </c>
      <c r="R580">
        <v>41.113</v>
      </c>
      <c r="S580">
        <v>78.293000000000006</v>
      </c>
      <c r="T580">
        <v>144.654</v>
      </c>
      <c r="U580">
        <v>255.68</v>
      </c>
      <c r="V580">
        <v>433.613</v>
      </c>
      <c r="W580">
        <v>696.01099999999997</v>
      </c>
      <c r="X580">
        <v>1065.954</v>
      </c>
      <c r="Y580">
        <v>1561.002</v>
      </c>
      <c r="Z580">
        <v>2207.96</v>
      </c>
      <c r="AA580">
        <v>3039.2330000000002</v>
      </c>
      <c r="AB580">
        <v>4093.2060000000001</v>
      </c>
      <c r="AC580">
        <v>5401.0940000000001</v>
      </c>
      <c r="AD580">
        <v>6897.8050000000003</v>
      </c>
    </row>
    <row r="581" spans="2:30" x14ac:dyDescent="0.25">
      <c r="B581" t="s">
        <v>133</v>
      </c>
      <c r="C581" t="s">
        <v>3256</v>
      </c>
      <c r="D581" t="s">
        <v>5544</v>
      </c>
      <c r="E581">
        <v>0</v>
      </c>
      <c r="F581" t="s">
        <v>5539</v>
      </c>
      <c r="G581" t="s">
        <v>3890</v>
      </c>
      <c r="H581" t="s">
        <v>109</v>
      </c>
      <c r="I581" t="s">
        <v>108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2:30" x14ac:dyDescent="0.25">
      <c r="B582" t="s">
        <v>133</v>
      </c>
      <c r="C582" t="s">
        <v>3256</v>
      </c>
      <c r="D582" t="s">
        <v>5545</v>
      </c>
      <c r="E582" t="s">
        <v>5546</v>
      </c>
      <c r="F582" t="s">
        <v>5547</v>
      </c>
      <c r="G582" t="s">
        <v>3890</v>
      </c>
      <c r="H582" t="s">
        <v>109</v>
      </c>
      <c r="I582" t="s">
        <v>108</v>
      </c>
      <c r="J582">
        <v>2</v>
      </c>
      <c r="K582">
        <v>197.274</v>
      </c>
      <c r="L582">
        <v>195.66</v>
      </c>
      <c r="M582">
        <v>189.69</v>
      </c>
      <c r="N582">
        <v>181.21199999999999</v>
      </c>
      <c r="O582">
        <v>174.07499999999999</v>
      </c>
      <c r="P582">
        <v>192.423</v>
      </c>
      <c r="Q582">
        <v>212.84800000000001</v>
      </c>
      <c r="R582">
        <v>235.62899999999999</v>
      </c>
      <c r="S582">
        <v>263.54300000000001</v>
      </c>
      <c r="T582">
        <v>297.70800000000003</v>
      </c>
      <c r="U582">
        <v>336.83199999999999</v>
      </c>
      <c r="V582">
        <v>381.76400000000001</v>
      </c>
      <c r="W582">
        <v>433.447</v>
      </c>
      <c r="X582">
        <v>493.07100000000003</v>
      </c>
      <c r="Y582">
        <v>561.44100000000003</v>
      </c>
      <c r="Z582">
        <v>640.64300000000003</v>
      </c>
      <c r="AA582">
        <v>732.70299999999997</v>
      </c>
      <c r="AB582">
        <v>840.11300000000006</v>
      </c>
      <c r="AC582">
        <v>965.03599999999994</v>
      </c>
      <c r="AD582">
        <v>1102.8720000000001</v>
      </c>
    </row>
    <row r="583" spans="2:30" x14ac:dyDescent="0.25">
      <c r="B583" t="s">
        <v>133</v>
      </c>
      <c r="C583" t="s">
        <v>3256</v>
      </c>
      <c r="D583" t="s">
        <v>5548</v>
      </c>
      <c r="E583" t="s">
        <v>5549</v>
      </c>
      <c r="F583" t="s">
        <v>5550</v>
      </c>
      <c r="G583" t="s">
        <v>3890</v>
      </c>
      <c r="H583" t="s">
        <v>109</v>
      </c>
      <c r="I583" t="s">
        <v>108</v>
      </c>
      <c r="J583">
        <v>2</v>
      </c>
      <c r="K583">
        <v>11.728</v>
      </c>
      <c r="L583">
        <v>11.728</v>
      </c>
      <c r="M583">
        <v>11.37</v>
      </c>
      <c r="N583">
        <v>10.861000000000001</v>
      </c>
      <c r="O583">
        <v>11.281000000000001</v>
      </c>
      <c r="P583">
        <v>12.461</v>
      </c>
      <c r="Q583">
        <v>13.765000000000001</v>
      </c>
      <c r="R583">
        <v>15.208</v>
      </c>
      <c r="S583">
        <v>16.956</v>
      </c>
      <c r="T583">
        <v>19.079999999999998</v>
      </c>
      <c r="U583">
        <v>21.492999999999999</v>
      </c>
      <c r="V583">
        <v>24.251000000000001</v>
      </c>
      <c r="W583">
        <v>27.32</v>
      </c>
      <c r="X583">
        <v>30.762</v>
      </c>
      <c r="Y583">
        <v>34.627000000000002</v>
      </c>
      <c r="Z583">
        <v>38.972000000000001</v>
      </c>
      <c r="AA583">
        <v>43.862000000000002</v>
      </c>
      <c r="AB583">
        <v>49.378999999999998</v>
      </c>
      <c r="AC583">
        <v>55.616999999999997</v>
      </c>
      <c r="AD583">
        <v>62.615000000000002</v>
      </c>
    </row>
    <row r="584" spans="2:30" x14ac:dyDescent="0.25">
      <c r="B584" t="s">
        <v>133</v>
      </c>
      <c r="C584" t="s">
        <v>3256</v>
      </c>
      <c r="D584" t="s">
        <v>5551</v>
      </c>
      <c r="E584" t="s">
        <v>5552</v>
      </c>
      <c r="F584" t="s">
        <v>5553</v>
      </c>
      <c r="G584" t="s">
        <v>3890</v>
      </c>
      <c r="H584" t="s">
        <v>109</v>
      </c>
      <c r="I584" t="s">
        <v>108</v>
      </c>
      <c r="J584">
        <v>2</v>
      </c>
      <c r="K584">
        <v>6.758</v>
      </c>
      <c r="L584">
        <v>7.0880000000000001</v>
      </c>
      <c r="M584">
        <v>7.0940000000000003</v>
      </c>
      <c r="N584">
        <v>7.0309999999999997</v>
      </c>
      <c r="O584">
        <v>7.234</v>
      </c>
      <c r="P584">
        <v>7.8639999999999999</v>
      </c>
      <c r="Q584">
        <v>8.15</v>
      </c>
      <c r="R584">
        <v>8.2609999999999992</v>
      </c>
      <c r="S584">
        <v>8.4860000000000007</v>
      </c>
      <c r="T584">
        <v>8.8450000000000006</v>
      </c>
      <c r="U584">
        <v>9.2370000000000001</v>
      </c>
      <c r="V584">
        <v>9.6709999999999994</v>
      </c>
      <c r="W584">
        <v>10.157</v>
      </c>
      <c r="X584">
        <v>10.702999999999999</v>
      </c>
      <c r="Y584">
        <v>11.329000000000001</v>
      </c>
      <c r="Z584">
        <v>12.037000000000001</v>
      </c>
      <c r="AA584">
        <v>12.845000000000001</v>
      </c>
      <c r="AB584">
        <v>13.773999999999999</v>
      </c>
      <c r="AC584">
        <v>14.846</v>
      </c>
      <c r="AD584">
        <v>16.067</v>
      </c>
    </row>
    <row r="585" spans="2:30" x14ac:dyDescent="0.25">
      <c r="B585" t="s">
        <v>133</v>
      </c>
      <c r="C585" t="s">
        <v>3256</v>
      </c>
      <c r="D585" t="s">
        <v>5554</v>
      </c>
      <c r="E585">
        <v>0</v>
      </c>
      <c r="F585" t="s">
        <v>5539</v>
      </c>
      <c r="G585" t="s">
        <v>3890</v>
      </c>
      <c r="H585" t="s">
        <v>109</v>
      </c>
      <c r="I585" t="s">
        <v>108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2:30" x14ac:dyDescent="0.25">
      <c r="B586" t="s">
        <v>133</v>
      </c>
      <c r="C586" t="s">
        <v>3256</v>
      </c>
      <c r="D586" t="s">
        <v>5555</v>
      </c>
      <c r="E586">
        <v>0</v>
      </c>
      <c r="F586" t="s">
        <v>5539</v>
      </c>
      <c r="G586" t="s">
        <v>3890</v>
      </c>
      <c r="H586" t="s">
        <v>109</v>
      </c>
      <c r="I586" t="s">
        <v>108</v>
      </c>
      <c r="J586">
        <v>2</v>
      </c>
      <c r="K586">
        <v>12.917999999999999</v>
      </c>
      <c r="L586">
        <v>13.292</v>
      </c>
      <c r="M586">
        <v>13.16</v>
      </c>
      <c r="N586">
        <v>13.037000000000001</v>
      </c>
      <c r="O586">
        <v>13.037000000000001</v>
      </c>
      <c r="P586">
        <v>13.178000000000001</v>
      </c>
      <c r="Q586">
        <v>13.32</v>
      </c>
      <c r="R586">
        <v>13.462</v>
      </c>
      <c r="S586">
        <v>13.605</v>
      </c>
      <c r="T586">
        <v>13.749000000000001</v>
      </c>
      <c r="U586">
        <v>13.894</v>
      </c>
      <c r="V586">
        <v>14.04</v>
      </c>
      <c r="W586">
        <v>14.186</v>
      </c>
      <c r="X586">
        <v>14.334</v>
      </c>
      <c r="Y586">
        <v>14.483000000000001</v>
      </c>
      <c r="Z586">
        <v>14.632</v>
      </c>
      <c r="AA586">
        <v>14.782999999999999</v>
      </c>
      <c r="AB586">
        <v>14.935</v>
      </c>
      <c r="AC586">
        <v>15.089</v>
      </c>
      <c r="AD586">
        <v>15.243</v>
      </c>
    </row>
    <row r="587" spans="2:30" x14ac:dyDescent="0.25">
      <c r="B587" t="s">
        <v>133</v>
      </c>
      <c r="C587" t="s">
        <v>3256</v>
      </c>
      <c r="D587" t="s">
        <v>5556</v>
      </c>
      <c r="E587">
        <v>0</v>
      </c>
      <c r="F587" t="s">
        <v>5539</v>
      </c>
      <c r="G587" t="s">
        <v>3890</v>
      </c>
      <c r="H587" t="s">
        <v>109</v>
      </c>
      <c r="I587" t="s">
        <v>108</v>
      </c>
      <c r="J587">
        <v>2</v>
      </c>
      <c r="K587">
        <v>1.83</v>
      </c>
      <c r="L587">
        <v>1.84</v>
      </c>
      <c r="M587">
        <v>1.85</v>
      </c>
      <c r="N587">
        <v>1.86</v>
      </c>
      <c r="O587">
        <v>1.86</v>
      </c>
      <c r="P587">
        <v>1.883</v>
      </c>
      <c r="Q587">
        <v>1.9059999999999999</v>
      </c>
      <c r="R587">
        <v>1.9279999999999999</v>
      </c>
      <c r="S587">
        <v>1.9510000000000001</v>
      </c>
      <c r="T587">
        <v>1.9730000000000001</v>
      </c>
      <c r="U587">
        <v>1.9950000000000001</v>
      </c>
      <c r="V587">
        <v>2.0179999999999998</v>
      </c>
      <c r="W587">
        <v>2.04</v>
      </c>
      <c r="X587">
        <v>2.0619999999999998</v>
      </c>
      <c r="Y587">
        <v>2.085</v>
      </c>
      <c r="Z587">
        <v>2.1070000000000002</v>
      </c>
      <c r="AA587">
        <v>2.129</v>
      </c>
      <c r="AB587">
        <v>2.1520000000000001</v>
      </c>
      <c r="AC587">
        <v>2.1749999999999998</v>
      </c>
      <c r="AD587">
        <v>2.1970000000000001</v>
      </c>
    </row>
    <row r="588" spans="2:30" x14ac:dyDescent="0.25">
      <c r="B588" t="s">
        <v>133</v>
      </c>
      <c r="C588" t="s">
        <v>3256</v>
      </c>
      <c r="D588" t="s">
        <v>5557</v>
      </c>
      <c r="E588" t="s">
        <v>5558</v>
      </c>
      <c r="F588" t="s">
        <v>5559</v>
      </c>
      <c r="G588" t="s">
        <v>3890</v>
      </c>
      <c r="H588" t="s">
        <v>109</v>
      </c>
      <c r="I588" t="s">
        <v>108</v>
      </c>
      <c r="J588">
        <v>2</v>
      </c>
      <c r="K588">
        <v>6.327</v>
      </c>
      <c r="L588">
        <v>6.3979999999999997</v>
      </c>
      <c r="M588">
        <v>6.3920000000000003</v>
      </c>
      <c r="N588">
        <v>6.3879999999999999</v>
      </c>
      <c r="O588">
        <v>6.1470000000000002</v>
      </c>
      <c r="P588">
        <v>6.2190000000000003</v>
      </c>
      <c r="Q588">
        <v>6.29</v>
      </c>
      <c r="R588">
        <v>6.359</v>
      </c>
      <c r="S588">
        <v>6.4260000000000002</v>
      </c>
      <c r="T588">
        <v>6.49</v>
      </c>
      <c r="U588">
        <v>6.55</v>
      </c>
      <c r="V588">
        <v>6.61</v>
      </c>
      <c r="W588">
        <v>6.673</v>
      </c>
      <c r="X588">
        <v>6.7359999999999998</v>
      </c>
      <c r="Y588">
        <v>6.7969999999999997</v>
      </c>
      <c r="Z588">
        <v>6.8579999999999997</v>
      </c>
      <c r="AA588">
        <v>6.9180000000000001</v>
      </c>
      <c r="AB588">
        <v>6.9770000000000003</v>
      </c>
      <c r="AC588">
        <v>7.0330000000000004</v>
      </c>
      <c r="AD588">
        <v>7.0819999999999999</v>
      </c>
    </row>
    <row r="589" spans="2:30" x14ac:dyDescent="0.25">
      <c r="B589" t="s">
        <v>133</v>
      </c>
      <c r="C589" t="s">
        <v>3256</v>
      </c>
      <c r="D589" t="s">
        <v>5560</v>
      </c>
      <c r="E589">
        <v>0</v>
      </c>
      <c r="F589" t="s">
        <v>5539</v>
      </c>
      <c r="G589" t="s">
        <v>3890</v>
      </c>
      <c r="H589" t="s">
        <v>109</v>
      </c>
      <c r="I589" t="s">
        <v>108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2:30" x14ac:dyDescent="0.25">
      <c r="B590" t="s">
        <v>133</v>
      </c>
      <c r="C590" t="s">
        <v>3256</v>
      </c>
      <c r="D590" t="s">
        <v>5561</v>
      </c>
      <c r="E590">
        <v>0</v>
      </c>
      <c r="F590" t="s">
        <v>5539</v>
      </c>
      <c r="G590" t="s">
        <v>3890</v>
      </c>
      <c r="H590" t="s">
        <v>109</v>
      </c>
      <c r="I590" t="s">
        <v>108</v>
      </c>
      <c r="J590">
        <v>2</v>
      </c>
      <c r="K590">
        <v>11.183999999999999</v>
      </c>
      <c r="L590">
        <v>11.509</v>
      </c>
      <c r="M590">
        <v>11.387</v>
      </c>
      <c r="N590">
        <v>11.282999999999999</v>
      </c>
      <c r="O590">
        <v>11.282999999999999</v>
      </c>
      <c r="P590">
        <v>11.462999999999999</v>
      </c>
      <c r="Q590">
        <v>11.638999999999999</v>
      </c>
      <c r="R590">
        <v>11.813000000000001</v>
      </c>
      <c r="S590">
        <v>11.984</v>
      </c>
      <c r="T590">
        <v>12.153</v>
      </c>
      <c r="U590">
        <v>12.32</v>
      </c>
      <c r="V590">
        <v>12.486000000000001</v>
      </c>
      <c r="W590">
        <v>12.648999999999999</v>
      </c>
      <c r="X590">
        <v>12.811999999999999</v>
      </c>
      <c r="Y590">
        <v>12.973000000000001</v>
      </c>
      <c r="Z590">
        <v>13.134</v>
      </c>
      <c r="AA590">
        <v>13.294</v>
      </c>
      <c r="AB590">
        <v>13.452999999999999</v>
      </c>
      <c r="AC590">
        <v>13.612</v>
      </c>
      <c r="AD590">
        <v>13.771000000000001</v>
      </c>
    </row>
    <row r="591" spans="2:30" x14ac:dyDescent="0.25">
      <c r="B591" t="s">
        <v>133</v>
      </c>
      <c r="C591" t="s">
        <v>3256</v>
      </c>
      <c r="D591" t="s">
        <v>5562</v>
      </c>
      <c r="E591">
        <v>0</v>
      </c>
      <c r="F591" t="s">
        <v>5539</v>
      </c>
      <c r="G591" t="s">
        <v>3890</v>
      </c>
      <c r="H591" t="s">
        <v>109</v>
      </c>
      <c r="I591" t="s">
        <v>108</v>
      </c>
      <c r="J591">
        <v>2</v>
      </c>
      <c r="K591">
        <v>1.31</v>
      </c>
      <c r="L591">
        <v>1.32</v>
      </c>
      <c r="M591">
        <v>1.32</v>
      </c>
      <c r="N591">
        <v>1.33</v>
      </c>
      <c r="O591">
        <v>1.33</v>
      </c>
      <c r="P591">
        <v>1.353</v>
      </c>
      <c r="Q591">
        <v>1.375</v>
      </c>
      <c r="R591">
        <v>1.397</v>
      </c>
      <c r="S591">
        <v>1.4179999999999999</v>
      </c>
      <c r="T591">
        <v>1.4390000000000001</v>
      </c>
      <c r="U591">
        <v>1.4590000000000001</v>
      </c>
      <c r="V591">
        <v>1.4790000000000001</v>
      </c>
      <c r="W591">
        <v>1.498</v>
      </c>
      <c r="X591">
        <v>1.5169999999999999</v>
      </c>
      <c r="Y591">
        <v>1.536</v>
      </c>
      <c r="Z591">
        <v>1.5549999999999999</v>
      </c>
      <c r="AA591">
        <v>1.5740000000000001</v>
      </c>
      <c r="AB591">
        <v>1.5920000000000001</v>
      </c>
      <c r="AC591">
        <v>1.611</v>
      </c>
      <c r="AD591">
        <v>1.629</v>
      </c>
    </row>
    <row r="592" spans="2:30" x14ac:dyDescent="0.25">
      <c r="B592" t="s">
        <v>133</v>
      </c>
      <c r="C592" t="s">
        <v>3256</v>
      </c>
      <c r="D592" t="s">
        <v>5563</v>
      </c>
      <c r="E592" t="s">
        <v>5564</v>
      </c>
      <c r="F592" t="s">
        <v>5565</v>
      </c>
      <c r="G592" t="s">
        <v>3890</v>
      </c>
      <c r="H592" t="s">
        <v>109</v>
      </c>
      <c r="I592" t="s">
        <v>108</v>
      </c>
      <c r="J592">
        <v>2</v>
      </c>
      <c r="K592">
        <v>6.2469999999999999</v>
      </c>
      <c r="L592">
        <v>6.415</v>
      </c>
      <c r="M592">
        <v>6.3540000000000001</v>
      </c>
      <c r="N592">
        <v>6.3070000000000004</v>
      </c>
      <c r="O592">
        <v>6.3070000000000004</v>
      </c>
      <c r="P592">
        <v>6.4080000000000004</v>
      </c>
      <c r="Q592">
        <v>6.5069999999999997</v>
      </c>
      <c r="R592">
        <v>6.6050000000000004</v>
      </c>
      <c r="S592">
        <v>6.7009999999999996</v>
      </c>
      <c r="T592">
        <v>6.7960000000000003</v>
      </c>
      <c r="U592">
        <v>6.89</v>
      </c>
      <c r="V592">
        <v>6.9820000000000002</v>
      </c>
      <c r="W592">
        <v>7.0739999999999998</v>
      </c>
      <c r="X592">
        <v>7.165</v>
      </c>
      <c r="Y592">
        <v>7.2549999999999999</v>
      </c>
      <c r="Z592">
        <v>7.3449999999999998</v>
      </c>
      <c r="AA592">
        <v>7.4340000000000002</v>
      </c>
      <c r="AB592">
        <v>7.5229999999999997</v>
      </c>
      <c r="AC592">
        <v>7.6120000000000001</v>
      </c>
      <c r="AD592">
        <v>7.7</v>
      </c>
    </row>
    <row r="593" spans="2:30" x14ac:dyDescent="0.25">
      <c r="B593" t="s">
        <v>133</v>
      </c>
      <c r="C593" t="s">
        <v>3256</v>
      </c>
      <c r="D593" t="s">
        <v>5566</v>
      </c>
      <c r="E593">
        <v>0</v>
      </c>
      <c r="F593" t="s">
        <v>5539</v>
      </c>
      <c r="G593" t="s">
        <v>3890</v>
      </c>
      <c r="H593" t="s">
        <v>109</v>
      </c>
      <c r="I593" t="s">
        <v>108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2:30" x14ac:dyDescent="0.25">
      <c r="B594" t="s">
        <v>133</v>
      </c>
      <c r="C594" t="s">
        <v>3256</v>
      </c>
      <c r="D594" t="s">
        <v>5567</v>
      </c>
      <c r="E594">
        <v>0</v>
      </c>
      <c r="F594" t="s">
        <v>5539</v>
      </c>
      <c r="G594" t="s">
        <v>3890</v>
      </c>
      <c r="H594" t="s">
        <v>109</v>
      </c>
      <c r="I594" t="s">
        <v>108</v>
      </c>
      <c r="J594">
        <v>2</v>
      </c>
      <c r="K594">
        <v>12.163</v>
      </c>
      <c r="L594">
        <v>12.509</v>
      </c>
      <c r="M594">
        <v>12.385999999999999</v>
      </c>
      <c r="N594">
        <v>12.263</v>
      </c>
      <c r="O594">
        <v>12.263</v>
      </c>
      <c r="P594">
        <v>12.483000000000001</v>
      </c>
      <c r="Q594">
        <v>12.699</v>
      </c>
      <c r="R594">
        <v>12.913</v>
      </c>
      <c r="S594">
        <v>13.125</v>
      </c>
      <c r="T594">
        <v>13.335000000000001</v>
      </c>
      <c r="U594">
        <v>13.544</v>
      </c>
      <c r="V594">
        <v>13.752000000000001</v>
      </c>
      <c r="W594">
        <v>13.959</v>
      </c>
      <c r="X594">
        <v>14.166</v>
      </c>
      <c r="Y594">
        <v>14.372</v>
      </c>
      <c r="Z594">
        <v>14.579000000000001</v>
      </c>
      <c r="AA594">
        <v>14.782999999999999</v>
      </c>
      <c r="AB594">
        <v>14.984999999999999</v>
      </c>
      <c r="AC594">
        <v>15.185</v>
      </c>
      <c r="AD594">
        <v>15.382999999999999</v>
      </c>
    </row>
    <row r="595" spans="2:30" x14ac:dyDescent="0.25">
      <c r="B595" t="s">
        <v>133</v>
      </c>
      <c r="C595" t="s">
        <v>3256</v>
      </c>
      <c r="D595" t="s">
        <v>5568</v>
      </c>
      <c r="E595">
        <v>0</v>
      </c>
      <c r="F595" t="s">
        <v>5539</v>
      </c>
      <c r="G595" t="s">
        <v>3890</v>
      </c>
      <c r="H595" t="s">
        <v>109</v>
      </c>
      <c r="I595" t="s">
        <v>108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2:30" x14ac:dyDescent="0.25">
      <c r="B596" t="s">
        <v>133</v>
      </c>
      <c r="C596" t="s">
        <v>3256</v>
      </c>
      <c r="D596" t="s">
        <v>5569</v>
      </c>
      <c r="E596">
        <v>0</v>
      </c>
      <c r="F596" t="s">
        <v>5539</v>
      </c>
      <c r="G596" t="s">
        <v>3890</v>
      </c>
      <c r="H596" t="s">
        <v>109</v>
      </c>
      <c r="I596" t="s">
        <v>108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2:30" x14ac:dyDescent="0.25">
      <c r="B597" t="s">
        <v>133</v>
      </c>
      <c r="C597" t="s">
        <v>3256</v>
      </c>
      <c r="D597" t="s">
        <v>5570</v>
      </c>
      <c r="E597">
        <v>0</v>
      </c>
      <c r="F597" t="s">
        <v>5539</v>
      </c>
      <c r="G597" t="s">
        <v>3890</v>
      </c>
      <c r="H597" t="s">
        <v>109</v>
      </c>
      <c r="I597" t="s">
        <v>108</v>
      </c>
      <c r="J597">
        <v>2</v>
      </c>
      <c r="K597">
        <v>17910.141</v>
      </c>
      <c r="L597">
        <v>17964.946</v>
      </c>
      <c r="M597">
        <v>21786.334999999999</v>
      </c>
      <c r="N597">
        <v>22261.268</v>
      </c>
      <c r="O597">
        <v>20630.850999999999</v>
      </c>
      <c r="P597">
        <v>21134.516</v>
      </c>
      <c r="Q597">
        <v>21719.628000000001</v>
      </c>
      <c r="R597">
        <v>22276.118999999999</v>
      </c>
      <c r="S597">
        <v>22779.669000000002</v>
      </c>
      <c r="T597">
        <v>23293.654999999999</v>
      </c>
      <c r="U597">
        <v>23825.891</v>
      </c>
      <c r="V597">
        <v>24372.982</v>
      </c>
      <c r="W597">
        <v>24938.701000000001</v>
      </c>
      <c r="X597">
        <v>25532.205999999998</v>
      </c>
      <c r="Y597">
        <v>26146.342000000001</v>
      </c>
      <c r="Z597">
        <v>26781.385999999999</v>
      </c>
      <c r="AA597">
        <v>27426.256000000001</v>
      </c>
      <c r="AB597">
        <v>28079.971000000001</v>
      </c>
      <c r="AC597">
        <v>28743.397000000001</v>
      </c>
      <c r="AD597">
        <v>29416.245999999999</v>
      </c>
    </row>
    <row r="598" spans="2:30" x14ac:dyDescent="0.25">
      <c r="B598" t="s">
        <v>133</v>
      </c>
      <c r="C598" t="s">
        <v>3256</v>
      </c>
      <c r="D598" t="s">
        <v>5571</v>
      </c>
      <c r="E598">
        <v>0</v>
      </c>
      <c r="F598" t="s">
        <v>5539</v>
      </c>
      <c r="G598" t="s">
        <v>3890</v>
      </c>
      <c r="H598" t="s">
        <v>109</v>
      </c>
      <c r="I598" t="s">
        <v>108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2:30" x14ac:dyDescent="0.25">
      <c r="B599" t="s">
        <v>133</v>
      </c>
      <c r="C599" t="s">
        <v>3256</v>
      </c>
      <c r="D599" t="s">
        <v>5572</v>
      </c>
      <c r="E599" t="s">
        <v>38</v>
      </c>
      <c r="F599" t="s">
        <v>5573</v>
      </c>
      <c r="G599" t="s">
        <v>3890</v>
      </c>
      <c r="H599" t="s">
        <v>109</v>
      </c>
      <c r="I599" t="s">
        <v>108</v>
      </c>
      <c r="J599">
        <v>2</v>
      </c>
      <c r="K599">
        <v>2022</v>
      </c>
      <c r="L599">
        <v>2023</v>
      </c>
      <c r="M599">
        <v>2024</v>
      </c>
      <c r="N599">
        <v>2025</v>
      </c>
      <c r="O599">
        <v>2026</v>
      </c>
      <c r="P599">
        <v>2027</v>
      </c>
      <c r="Q599">
        <v>2028</v>
      </c>
      <c r="R599">
        <v>2029</v>
      </c>
      <c r="S599">
        <v>2030</v>
      </c>
      <c r="T599">
        <v>2031</v>
      </c>
      <c r="U599">
        <v>2032</v>
      </c>
      <c r="V599">
        <v>2033</v>
      </c>
      <c r="W599">
        <v>2034</v>
      </c>
      <c r="X599">
        <v>2035</v>
      </c>
      <c r="Y599">
        <v>2036</v>
      </c>
      <c r="Z599">
        <v>2037</v>
      </c>
      <c r="AA599">
        <v>2038</v>
      </c>
      <c r="AB599">
        <v>2039</v>
      </c>
      <c r="AC599">
        <v>2040</v>
      </c>
      <c r="AD599">
        <v>2041</v>
      </c>
    </row>
    <row r="600" spans="2:30" x14ac:dyDescent="0.25">
      <c r="B600" t="s">
        <v>133</v>
      </c>
      <c r="C600" t="s">
        <v>3256</v>
      </c>
      <c r="D600" t="s">
        <v>5574</v>
      </c>
      <c r="E600">
        <v>0</v>
      </c>
      <c r="F600" t="s">
        <v>5539</v>
      </c>
      <c r="G600" t="s">
        <v>3890</v>
      </c>
      <c r="H600" t="s">
        <v>109</v>
      </c>
      <c r="I600" t="s">
        <v>108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2:30" x14ac:dyDescent="0.25">
      <c r="B601" t="s">
        <v>133</v>
      </c>
      <c r="C601" t="s">
        <v>3256</v>
      </c>
      <c r="D601" t="s">
        <v>5575</v>
      </c>
      <c r="E601" t="s">
        <v>5576</v>
      </c>
      <c r="F601" t="s">
        <v>5577</v>
      </c>
      <c r="G601" t="s">
        <v>3890</v>
      </c>
      <c r="H601" t="s">
        <v>109</v>
      </c>
      <c r="I601" t="s">
        <v>108</v>
      </c>
      <c r="J601">
        <v>2</v>
      </c>
      <c r="K601">
        <v>23.399000000000001</v>
      </c>
      <c r="L601">
        <v>15.864000000000001</v>
      </c>
      <c r="M601">
        <v>14.744</v>
      </c>
      <c r="N601">
        <v>13.651999999999999</v>
      </c>
      <c r="O601">
        <v>15.831</v>
      </c>
      <c r="P601">
        <v>15.917999999999999</v>
      </c>
      <c r="Q601">
        <v>15.877000000000001</v>
      </c>
      <c r="R601">
        <v>15.833</v>
      </c>
      <c r="S601">
        <v>15.786</v>
      </c>
      <c r="T601">
        <v>15.74</v>
      </c>
      <c r="U601">
        <v>15.74</v>
      </c>
      <c r="V601">
        <v>15.74</v>
      </c>
      <c r="W601">
        <v>15.74</v>
      </c>
      <c r="X601">
        <v>15.74</v>
      </c>
      <c r="Y601">
        <v>15.74</v>
      </c>
      <c r="Z601">
        <v>15.74</v>
      </c>
      <c r="AA601">
        <v>15.74</v>
      </c>
      <c r="AB601">
        <v>15.74</v>
      </c>
      <c r="AC601">
        <v>15.74</v>
      </c>
      <c r="AD601">
        <v>15.74</v>
      </c>
    </row>
    <row r="602" spans="2:30" x14ac:dyDescent="0.25">
      <c r="B602" t="s">
        <v>133</v>
      </c>
      <c r="C602" t="s">
        <v>3256</v>
      </c>
      <c r="D602" t="s">
        <v>5578</v>
      </c>
      <c r="E602" t="s">
        <v>5579</v>
      </c>
      <c r="F602" t="s">
        <v>5580</v>
      </c>
      <c r="G602" t="s">
        <v>3890</v>
      </c>
      <c r="H602" t="s">
        <v>109</v>
      </c>
      <c r="I602" t="s">
        <v>108</v>
      </c>
      <c r="J602">
        <v>2</v>
      </c>
      <c r="K602">
        <v>4.6340000000000003</v>
      </c>
      <c r="L602">
        <v>3.2090000000000001</v>
      </c>
      <c r="M602">
        <v>2.331</v>
      </c>
      <c r="N602">
        <v>2.331</v>
      </c>
      <c r="O602">
        <v>3.4470000000000001</v>
      </c>
      <c r="P602">
        <v>3.4630000000000001</v>
      </c>
      <c r="Q602">
        <v>3.4790000000000001</v>
      </c>
      <c r="R602">
        <v>3.496</v>
      </c>
      <c r="S602">
        <v>3.5129999999999999</v>
      </c>
      <c r="T602">
        <v>3.5310000000000001</v>
      </c>
      <c r="U602">
        <v>3.5489999999999999</v>
      </c>
      <c r="V602">
        <v>3.5680000000000001</v>
      </c>
      <c r="W602">
        <v>3.5880000000000001</v>
      </c>
      <c r="X602">
        <v>3.6080000000000001</v>
      </c>
      <c r="Y602">
        <v>3.629</v>
      </c>
      <c r="Z602">
        <v>3.629</v>
      </c>
      <c r="AA602">
        <v>3.629</v>
      </c>
      <c r="AB602">
        <v>3.629</v>
      </c>
      <c r="AC602">
        <v>3.629</v>
      </c>
      <c r="AD602">
        <v>3.629</v>
      </c>
    </row>
    <row r="603" spans="2:30" x14ac:dyDescent="0.25">
      <c r="B603" t="s">
        <v>133</v>
      </c>
      <c r="C603" t="s">
        <v>3256</v>
      </c>
      <c r="D603" t="s">
        <v>5581</v>
      </c>
      <c r="E603" t="s">
        <v>5582</v>
      </c>
      <c r="F603" t="s">
        <v>5583</v>
      </c>
      <c r="G603" t="s">
        <v>3890</v>
      </c>
      <c r="H603" t="s">
        <v>109</v>
      </c>
      <c r="I603" t="s">
        <v>108</v>
      </c>
      <c r="J603">
        <v>2</v>
      </c>
      <c r="K603">
        <v>0.6</v>
      </c>
      <c r="L603">
        <v>0.41099999999999998</v>
      </c>
      <c r="M603">
        <v>0.33500000000000002</v>
      </c>
      <c r="N603">
        <v>0.33500000000000002</v>
      </c>
      <c r="O603">
        <v>0.38100000000000001</v>
      </c>
      <c r="P603">
        <v>0.38100000000000001</v>
      </c>
      <c r="Q603">
        <v>0.38100000000000001</v>
      </c>
      <c r="R603">
        <v>0.38100000000000001</v>
      </c>
      <c r="S603">
        <v>0.38100000000000001</v>
      </c>
      <c r="T603">
        <v>0.38100000000000001</v>
      </c>
      <c r="U603">
        <v>0.38100000000000001</v>
      </c>
      <c r="V603">
        <v>0.38100000000000001</v>
      </c>
      <c r="W603">
        <v>0.38100000000000001</v>
      </c>
      <c r="X603">
        <v>0.38100000000000001</v>
      </c>
      <c r="Y603">
        <v>0.38100000000000001</v>
      </c>
      <c r="Z603">
        <v>0.38100000000000001</v>
      </c>
      <c r="AA603">
        <v>0.38100000000000001</v>
      </c>
      <c r="AB603">
        <v>0.38100000000000001</v>
      </c>
      <c r="AC603">
        <v>0.38100000000000001</v>
      </c>
      <c r="AD603">
        <v>0.38100000000000001</v>
      </c>
    </row>
    <row r="604" spans="2:30" x14ac:dyDescent="0.25">
      <c r="B604" t="s">
        <v>133</v>
      </c>
      <c r="C604" t="s">
        <v>3256</v>
      </c>
      <c r="D604" t="s">
        <v>5584</v>
      </c>
      <c r="E604">
        <v>0</v>
      </c>
      <c r="F604" t="s">
        <v>5539</v>
      </c>
      <c r="G604" t="s">
        <v>3890</v>
      </c>
      <c r="H604" t="s">
        <v>109</v>
      </c>
      <c r="I604" t="s">
        <v>108</v>
      </c>
      <c r="J604">
        <v>2</v>
      </c>
      <c r="K604">
        <v>4.6340000000000003</v>
      </c>
      <c r="L604">
        <v>3.2090000000000001</v>
      </c>
      <c r="M604">
        <v>2.331</v>
      </c>
      <c r="N604">
        <v>2.331</v>
      </c>
      <c r="O604">
        <v>3.4470000000000001</v>
      </c>
      <c r="P604">
        <v>3.4630000000000001</v>
      </c>
      <c r="Q604">
        <v>3.4790000000000001</v>
      </c>
      <c r="R604">
        <v>3.496</v>
      </c>
      <c r="S604">
        <v>3.5129999999999999</v>
      </c>
      <c r="T604">
        <v>3.5310000000000001</v>
      </c>
      <c r="U604">
        <v>3.5489999999999999</v>
      </c>
      <c r="V604">
        <v>3.5680000000000001</v>
      </c>
      <c r="W604">
        <v>3.5880000000000001</v>
      </c>
      <c r="X604">
        <v>3.6080000000000001</v>
      </c>
      <c r="Y604">
        <v>3.629</v>
      </c>
      <c r="Z604">
        <v>3.629</v>
      </c>
      <c r="AA604">
        <v>3.629</v>
      </c>
      <c r="AB604">
        <v>3.629</v>
      </c>
      <c r="AC604">
        <v>3.629</v>
      </c>
      <c r="AD604">
        <v>3.629</v>
      </c>
    </row>
    <row r="605" spans="2:30" x14ac:dyDescent="0.25">
      <c r="B605" t="s">
        <v>133</v>
      </c>
      <c r="C605" t="s">
        <v>3256</v>
      </c>
      <c r="D605" t="s">
        <v>5585</v>
      </c>
      <c r="E605">
        <v>0</v>
      </c>
      <c r="F605" t="s">
        <v>5539</v>
      </c>
      <c r="G605" t="s">
        <v>3890</v>
      </c>
      <c r="H605" t="s">
        <v>109</v>
      </c>
      <c r="I605" t="s">
        <v>108</v>
      </c>
      <c r="J605">
        <v>2</v>
      </c>
      <c r="K605">
        <v>0.6</v>
      </c>
      <c r="L605">
        <v>0.41099999999999998</v>
      </c>
      <c r="M605">
        <v>0.33500000000000002</v>
      </c>
      <c r="N605">
        <v>0.33500000000000002</v>
      </c>
      <c r="O605">
        <v>0.38100000000000001</v>
      </c>
      <c r="P605">
        <v>0.38100000000000001</v>
      </c>
      <c r="Q605">
        <v>0.38100000000000001</v>
      </c>
      <c r="R605">
        <v>0.38100000000000001</v>
      </c>
      <c r="S605">
        <v>0.38100000000000001</v>
      </c>
      <c r="T605">
        <v>0.38100000000000001</v>
      </c>
      <c r="U605">
        <v>0.38100000000000001</v>
      </c>
      <c r="V605">
        <v>0.38100000000000001</v>
      </c>
      <c r="W605">
        <v>0.38100000000000001</v>
      </c>
      <c r="X605">
        <v>0.38100000000000001</v>
      </c>
      <c r="Y605">
        <v>0.38100000000000001</v>
      </c>
      <c r="Z605">
        <v>0.38100000000000001</v>
      </c>
      <c r="AA605">
        <v>0.38100000000000001</v>
      </c>
      <c r="AB605">
        <v>0.38100000000000001</v>
      </c>
      <c r="AC605">
        <v>0.38100000000000001</v>
      </c>
      <c r="AD605">
        <v>0.38100000000000001</v>
      </c>
    </row>
    <row r="606" spans="2:30" x14ac:dyDescent="0.25">
      <c r="B606" t="s">
        <v>133</v>
      </c>
      <c r="C606" t="s">
        <v>3256</v>
      </c>
      <c r="D606" t="s">
        <v>5586</v>
      </c>
      <c r="E606">
        <v>0</v>
      </c>
      <c r="F606" t="s">
        <v>5539</v>
      </c>
      <c r="G606" t="s">
        <v>3890</v>
      </c>
      <c r="H606" t="s">
        <v>109</v>
      </c>
      <c r="I606" t="s">
        <v>108</v>
      </c>
      <c r="J606">
        <v>2</v>
      </c>
      <c r="K606">
        <v>0.41399999999999998</v>
      </c>
      <c r="L606">
        <v>0.28100000000000003</v>
      </c>
      <c r="M606">
        <v>0.249</v>
      </c>
      <c r="N606">
        <v>0.249</v>
      </c>
      <c r="O606">
        <v>0.30199999999999999</v>
      </c>
      <c r="P606">
        <v>0.30199999999999999</v>
      </c>
      <c r="Q606">
        <v>0.30199999999999999</v>
      </c>
      <c r="R606">
        <v>0.30199999999999999</v>
      </c>
      <c r="S606">
        <v>0.30199999999999999</v>
      </c>
      <c r="T606">
        <v>0.30199999999999999</v>
      </c>
      <c r="U606">
        <v>0.30199999999999999</v>
      </c>
      <c r="V606">
        <v>0.30199999999999999</v>
      </c>
      <c r="W606">
        <v>0.30199999999999999</v>
      </c>
      <c r="X606">
        <v>0.30199999999999999</v>
      </c>
      <c r="Y606">
        <v>0.30199999999999999</v>
      </c>
      <c r="Z606">
        <v>0.30199999999999999</v>
      </c>
      <c r="AA606">
        <v>0.30199999999999999</v>
      </c>
      <c r="AB606">
        <v>0.30199999999999999</v>
      </c>
      <c r="AC606">
        <v>0.30199999999999999</v>
      </c>
      <c r="AD606">
        <v>0.30199999999999999</v>
      </c>
    </row>
    <row r="607" spans="2:30" x14ac:dyDescent="0.25">
      <c r="B607" t="s">
        <v>133</v>
      </c>
      <c r="C607" t="s">
        <v>3256</v>
      </c>
      <c r="D607" t="s">
        <v>5587</v>
      </c>
      <c r="E607">
        <v>0</v>
      </c>
      <c r="F607" t="s">
        <v>5539</v>
      </c>
      <c r="G607" t="s">
        <v>3890</v>
      </c>
      <c r="H607" t="s">
        <v>109</v>
      </c>
      <c r="I607" t="s">
        <v>108</v>
      </c>
      <c r="J607">
        <v>2</v>
      </c>
      <c r="K607">
        <v>0.17499999999999999</v>
      </c>
      <c r="L607">
        <v>0.10199999999999999</v>
      </c>
      <c r="M607">
        <v>8.7999999999999995E-2</v>
      </c>
      <c r="N607">
        <v>8.7999999999999995E-2</v>
      </c>
      <c r="O607">
        <v>0.123</v>
      </c>
      <c r="P607">
        <v>0.123</v>
      </c>
      <c r="Q607">
        <v>0.123</v>
      </c>
      <c r="R607">
        <v>0.123</v>
      </c>
      <c r="S607">
        <v>0.123</v>
      </c>
      <c r="T607">
        <v>0.123</v>
      </c>
      <c r="U607">
        <v>0.123</v>
      </c>
      <c r="V607">
        <v>0.123</v>
      </c>
      <c r="W607">
        <v>0.123</v>
      </c>
      <c r="X607">
        <v>0.123</v>
      </c>
      <c r="Y607">
        <v>0.123</v>
      </c>
      <c r="Z607">
        <v>0.123</v>
      </c>
      <c r="AA607">
        <v>0.123</v>
      </c>
      <c r="AB607">
        <v>0.123</v>
      </c>
      <c r="AC607">
        <v>0.123</v>
      </c>
      <c r="AD607">
        <v>0.123</v>
      </c>
    </row>
    <row r="608" spans="2:30" x14ac:dyDescent="0.25">
      <c r="B608" t="s">
        <v>133</v>
      </c>
      <c r="C608" t="s">
        <v>3256</v>
      </c>
      <c r="D608" t="s">
        <v>5588</v>
      </c>
      <c r="E608">
        <v>0</v>
      </c>
      <c r="F608" t="s">
        <v>5539</v>
      </c>
      <c r="G608" t="s">
        <v>3890</v>
      </c>
      <c r="H608" t="s">
        <v>109</v>
      </c>
      <c r="I608" t="s">
        <v>108</v>
      </c>
      <c r="J608">
        <v>2</v>
      </c>
      <c r="K608">
        <v>0.41399999999999998</v>
      </c>
      <c r="L608">
        <v>0.25900000000000001</v>
      </c>
      <c r="M608">
        <v>0.24399999999999999</v>
      </c>
      <c r="N608">
        <v>0.24399999999999999</v>
      </c>
      <c r="O608">
        <v>0.29499999999999998</v>
      </c>
      <c r="P608">
        <v>0.29499999999999998</v>
      </c>
      <c r="Q608">
        <v>0.29499999999999998</v>
      </c>
      <c r="R608">
        <v>0.29499999999999998</v>
      </c>
      <c r="S608">
        <v>0.29499999999999998</v>
      </c>
      <c r="T608">
        <v>0.29499999999999998</v>
      </c>
      <c r="U608">
        <v>0.29499999999999998</v>
      </c>
      <c r="V608">
        <v>0.29499999999999998</v>
      </c>
      <c r="W608">
        <v>0.29499999999999998</v>
      </c>
      <c r="X608">
        <v>0.29499999999999998</v>
      </c>
      <c r="Y608">
        <v>0.29499999999999998</v>
      </c>
      <c r="Z608">
        <v>0.29499999999999998</v>
      </c>
      <c r="AA608">
        <v>0.29499999999999998</v>
      </c>
      <c r="AB608">
        <v>0.29499999999999998</v>
      </c>
      <c r="AC608">
        <v>0.29499999999999998</v>
      </c>
      <c r="AD608">
        <v>0.29499999999999998</v>
      </c>
    </row>
    <row r="609" spans="2:30" x14ac:dyDescent="0.25">
      <c r="B609" t="s">
        <v>133</v>
      </c>
      <c r="C609" t="s">
        <v>3256</v>
      </c>
      <c r="D609" t="s">
        <v>5589</v>
      </c>
      <c r="E609">
        <v>0</v>
      </c>
      <c r="F609" t="s">
        <v>5539</v>
      </c>
      <c r="G609" t="s">
        <v>3890</v>
      </c>
      <c r="H609" t="s">
        <v>109</v>
      </c>
      <c r="I609" t="s">
        <v>108</v>
      </c>
      <c r="J609">
        <v>2</v>
      </c>
      <c r="K609">
        <v>33.051000000000002</v>
      </c>
      <c r="L609">
        <v>26.300999999999998</v>
      </c>
      <c r="M609">
        <v>23.175999999999998</v>
      </c>
      <c r="N609">
        <v>15</v>
      </c>
      <c r="O609">
        <v>23.013999999999999</v>
      </c>
      <c r="P609">
        <v>17.477</v>
      </c>
      <c r="Q609">
        <v>15.952999999999999</v>
      </c>
      <c r="R609">
        <v>15.185</v>
      </c>
      <c r="S609">
        <v>15</v>
      </c>
      <c r="T609">
        <v>15</v>
      </c>
      <c r="U609">
        <v>15</v>
      </c>
      <c r="V609">
        <v>15</v>
      </c>
      <c r="W609">
        <v>15</v>
      </c>
      <c r="X609">
        <v>15</v>
      </c>
      <c r="Y609">
        <v>15</v>
      </c>
      <c r="Z609">
        <v>15</v>
      </c>
      <c r="AA609">
        <v>15</v>
      </c>
      <c r="AB609">
        <v>15</v>
      </c>
      <c r="AC609">
        <v>15</v>
      </c>
      <c r="AD609">
        <v>15</v>
      </c>
    </row>
    <row r="610" spans="2:30" x14ac:dyDescent="0.25">
      <c r="B610" t="s">
        <v>133</v>
      </c>
      <c r="C610" t="s">
        <v>3256</v>
      </c>
      <c r="D610" t="s">
        <v>5590</v>
      </c>
      <c r="E610">
        <v>0</v>
      </c>
      <c r="F610" t="s">
        <v>5539</v>
      </c>
      <c r="G610" t="s">
        <v>3890</v>
      </c>
      <c r="H610" t="s">
        <v>109</v>
      </c>
      <c r="I610" t="s">
        <v>108</v>
      </c>
      <c r="J610">
        <v>2</v>
      </c>
      <c r="K610">
        <v>14.471</v>
      </c>
      <c r="L610">
        <v>14.471</v>
      </c>
      <c r="M610">
        <v>14.476000000000001</v>
      </c>
      <c r="N610">
        <v>14.476000000000001</v>
      </c>
      <c r="O610">
        <v>14.476000000000001</v>
      </c>
      <c r="P610">
        <v>14.476000000000001</v>
      </c>
      <c r="Q610">
        <v>14.476000000000001</v>
      </c>
      <c r="R610">
        <v>14.476000000000001</v>
      </c>
      <c r="S610">
        <v>14.476000000000001</v>
      </c>
      <c r="T610">
        <v>14.476000000000001</v>
      </c>
      <c r="U610">
        <v>14.476000000000001</v>
      </c>
      <c r="V610">
        <v>14.476000000000001</v>
      </c>
      <c r="W610">
        <v>14.476000000000001</v>
      </c>
      <c r="X610">
        <v>14.476000000000001</v>
      </c>
      <c r="Y610">
        <v>14.476000000000001</v>
      </c>
      <c r="Z610">
        <v>14.476000000000001</v>
      </c>
      <c r="AA610">
        <v>14.476000000000001</v>
      </c>
      <c r="AB610">
        <v>14.476000000000001</v>
      </c>
      <c r="AC610">
        <v>14.476000000000001</v>
      </c>
      <c r="AD610">
        <v>14.476000000000001</v>
      </c>
    </row>
    <row r="611" spans="2:30" x14ac:dyDescent="0.25">
      <c r="B611" t="s">
        <v>133</v>
      </c>
      <c r="C611" t="s">
        <v>3256</v>
      </c>
      <c r="D611" t="s">
        <v>5591</v>
      </c>
      <c r="E611">
        <v>0</v>
      </c>
      <c r="F611" t="s">
        <v>5539</v>
      </c>
      <c r="G611" t="s">
        <v>3890</v>
      </c>
      <c r="H611" t="s">
        <v>109</v>
      </c>
      <c r="I611" t="s">
        <v>108</v>
      </c>
      <c r="J611">
        <v>2</v>
      </c>
      <c r="K611">
        <v>0.6</v>
      </c>
      <c r="L611">
        <v>0.41099999999999998</v>
      </c>
      <c r="M611">
        <v>0.33500000000000002</v>
      </c>
      <c r="N611">
        <v>0.33500000000000002</v>
      </c>
      <c r="O611">
        <v>0.38100000000000001</v>
      </c>
      <c r="P611">
        <v>0.38100000000000001</v>
      </c>
      <c r="Q611">
        <v>0.38100000000000001</v>
      </c>
      <c r="R611">
        <v>0.38100000000000001</v>
      </c>
      <c r="S611">
        <v>0.38100000000000001</v>
      </c>
      <c r="T611">
        <v>0.38100000000000001</v>
      </c>
      <c r="U611">
        <v>0.38100000000000001</v>
      </c>
      <c r="V611">
        <v>0.38100000000000001</v>
      </c>
      <c r="W611">
        <v>0.38100000000000001</v>
      </c>
      <c r="X611">
        <v>0.38100000000000001</v>
      </c>
      <c r="Y611">
        <v>0.38100000000000001</v>
      </c>
      <c r="Z611">
        <v>0.38100000000000001</v>
      </c>
      <c r="AA611">
        <v>0.38100000000000001</v>
      </c>
      <c r="AB611">
        <v>0.38100000000000001</v>
      </c>
      <c r="AC611">
        <v>0.38100000000000001</v>
      </c>
      <c r="AD611">
        <v>0.38100000000000001</v>
      </c>
    </row>
    <row r="612" spans="2:30" x14ac:dyDescent="0.25">
      <c r="B612" t="s">
        <v>133</v>
      </c>
      <c r="C612" t="s">
        <v>3256</v>
      </c>
      <c r="D612" t="s">
        <v>5592</v>
      </c>
      <c r="E612">
        <v>0</v>
      </c>
      <c r="F612" t="s">
        <v>5539</v>
      </c>
      <c r="G612" t="s">
        <v>3890</v>
      </c>
      <c r="H612" t="s">
        <v>109</v>
      </c>
      <c r="I612" t="s">
        <v>108</v>
      </c>
      <c r="J612">
        <v>2</v>
      </c>
      <c r="K612">
        <v>0.41399999999999998</v>
      </c>
      <c r="L612">
        <v>0.28100000000000003</v>
      </c>
      <c r="M612">
        <v>0.249</v>
      </c>
      <c r="N612">
        <v>0.249</v>
      </c>
      <c r="O612">
        <v>0.30199999999999999</v>
      </c>
      <c r="P612">
        <v>0.30199999999999999</v>
      </c>
      <c r="Q612">
        <v>0.30199999999999999</v>
      </c>
      <c r="R612">
        <v>0.30199999999999999</v>
      </c>
      <c r="S612">
        <v>0.30199999999999999</v>
      </c>
      <c r="T612">
        <v>0.30199999999999999</v>
      </c>
      <c r="U612">
        <v>0.30199999999999999</v>
      </c>
      <c r="V612">
        <v>0.30199999999999999</v>
      </c>
      <c r="W612">
        <v>0.30199999999999999</v>
      </c>
      <c r="X612">
        <v>0.30199999999999999</v>
      </c>
      <c r="Y612">
        <v>0.30199999999999999</v>
      </c>
      <c r="Z612">
        <v>0.30199999999999999</v>
      </c>
      <c r="AA612">
        <v>0.30199999999999999</v>
      </c>
      <c r="AB612">
        <v>0.30199999999999999</v>
      </c>
      <c r="AC612">
        <v>0.30199999999999999</v>
      </c>
      <c r="AD612">
        <v>0.30199999999999999</v>
      </c>
    </row>
    <row r="613" spans="2:30" x14ac:dyDescent="0.25">
      <c r="B613" t="s">
        <v>133</v>
      </c>
      <c r="C613" t="s">
        <v>3256</v>
      </c>
      <c r="D613" t="s">
        <v>5593</v>
      </c>
      <c r="E613">
        <v>0</v>
      </c>
      <c r="F613" t="s">
        <v>5539</v>
      </c>
      <c r="G613" t="s">
        <v>3890</v>
      </c>
      <c r="H613" t="s">
        <v>109</v>
      </c>
      <c r="I613" t="s">
        <v>108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2:30" x14ac:dyDescent="0.25">
      <c r="B614" t="s">
        <v>133</v>
      </c>
      <c r="C614" t="s">
        <v>3256</v>
      </c>
      <c r="D614" t="s">
        <v>5594</v>
      </c>
      <c r="E614">
        <v>0</v>
      </c>
      <c r="F614" t="s">
        <v>5539</v>
      </c>
      <c r="G614" t="s">
        <v>3890</v>
      </c>
      <c r="H614" t="s">
        <v>109</v>
      </c>
      <c r="I614" t="s">
        <v>108</v>
      </c>
      <c r="J614">
        <v>2</v>
      </c>
      <c r="K614">
        <v>6562.2219999999998</v>
      </c>
      <c r="L614">
        <v>6617.1670000000004</v>
      </c>
      <c r="M614">
        <v>8127.7539999999999</v>
      </c>
      <c r="N614">
        <v>8218.8449999999993</v>
      </c>
      <c r="O614">
        <v>6891.4269999999997</v>
      </c>
      <c r="P614">
        <v>6969.7049999999999</v>
      </c>
      <c r="Q614">
        <v>7061.55</v>
      </c>
      <c r="R614">
        <v>7147.37</v>
      </c>
      <c r="S614">
        <v>7223.0950000000003</v>
      </c>
      <c r="T614">
        <v>7299.866</v>
      </c>
      <c r="U614">
        <v>7378.9939999999997</v>
      </c>
      <c r="V614">
        <v>7459.85</v>
      </c>
      <c r="W614">
        <v>7543.0320000000002</v>
      </c>
      <c r="X614">
        <v>7630.0150000000003</v>
      </c>
      <c r="Y614">
        <v>7719.5230000000001</v>
      </c>
      <c r="Z614">
        <v>7820.17</v>
      </c>
      <c r="AA614">
        <v>7921.7979999999998</v>
      </c>
      <c r="AB614">
        <v>8024.2389999999996</v>
      </c>
      <c r="AC614">
        <v>8127.63</v>
      </c>
      <c r="AD614">
        <v>8231.9179999999997</v>
      </c>
    </row>
    <row r="615" spans="2:30" x14ac:dyDescent="0.25">
      <c r="B615" t="s">
        <v>133</v>
      </c>
      <c r="C615" t="s">
        <v>3256</v>
      </c>
      <c r="D615" t="s">
        <v>5595</v>
      </c>
      <c r="E615" t="s">
        <v>5596</v>
      </c>
      <c r="F615" t="s">
        <v>5597</v>
      </c>
      <c r="G615" t="s">
        <v>3890</v>
      </c>
      <c r="H615" t="s">
        <v>109</v>
      </c>
      <c r="I615" t="s">
        <v>108</v>
      </c>
      <c r="J615">
        <v>2</v>
      </c>
      <c r="K615">
        <v>33.051000000000002</v>
      </c>
      <c r="L615">
        <v>26.300999999999998</v>
      </c>
      <c r="M615">
        <v>23.175999999999998</v>
      </c>
      <c r="N615">
        <v>15</v>
      </c>
      <c r="O615">
        <v>23.013999999999999</v>
      </c>
      <c r="P615">
        <v>17.477</v>
      </c>
      <c r="Q615">
        <v>15.952999999999999</v>
      </c>
      <c r="R615">
        <v>15.185</v>
      </c>
      <c r="S615">
        <v>15</v>
      </c>
      <c r="T615">
        <v>15</v>
      </c>
      <c r="U615">
        <v>15</v>
      </c>
      <c r="V615">
        <v>15</v>
      </c>
      <c r="W615">
        <v>15</v>
      </c>
      <c r="X615">
        <v>15</v>
      </c>
      <c r="Y615">
        <v>15</v>
      </c>
      <c r="Z615">
        <v>15</v>
      </c>
      <c r="AA615">
        <v>15</v>
      </c>
      <c r="AB615">
        <v>15</v>
      </c>
      <c r="AC615">
        <v>15</v>
      </c>
      <c r="AD615">
        <v>15</v>
      </c>
    </row>
    <row r="616" spans="2:30" x14ac:dyDescent="0.25">
      <c r="B616" t="s">
        <v>133</v>
      </c>
      <c r="C616" t="s">
        <v>3256</v>
      </c>
      <c r="D616" t="s">
        <v>5598</v>
      </c>
      <c r="E616" t="s">
        <v>5599</v>
      </c>
      <c r="F616" t="s">
        <v>5600</v>
      </c>
      <c r="G616" t="s">
        <v>3890</v>
      </c>
      <c r="H616" t="s">
        <v>109</v>
      </c>
      <c r="I616" t="s">
        <v>108</v>
      </c>
      <c r="J616">
        <v>2</v>
      </c>
      <c r="K616">
        <v>14.471</v>
      </c>
      <c r="L616">
        <v>14.471</v>
      </c>
      <c r="M616">
        <v>14.476000000000001</v>
      </c>
      <c r="N616">
        <v>14.476000000000001</v>
      </c>
      <c r="O616">
        <v>14.476000000000001</v>
      </c>
      <c r="P616">
        <v>14.476000000000001</v>
      </c>
      <c r="Q616">
        <v>14.476000000000001</v>
      </c>
      <c r="R616">
        <v>14.476000000000001</v>
      </c>
      <c r="S616">
        <v>14.476000000000001</v>
      </c>
      <c r="T616">
        <v>14.476000000000001</v>
      </c>
      <c r="U616">
        <v>14.476000000000001</v>
      </c>
      <c r="V616">
        <v>14.476000000000001</v>
      </c>
      <c r="W616">
        <v>14.476000000000001</v>
      </c>
      <c r="X616">
        <v>14.476000000000001</v>
      </c>
      <c r="Y616">
        <v>14.476000000000001</v>
      </c>
      <c r="Z616">
        <v>14.476000000000001</v>
      </c>
      <c r="AA616">
        <v>14.476000000000001</v>
      </c>
      <c r="AB616">
        <v>14.476000000000001</v>
      </c>
      <c r="AC616">
        <v>14.476000000000001</v>
      </c>
      <c r="AD616">
        <v>14.476000000000001</v>
      </c>
    </row>
    <row r="617" spans="2:30" x14ac:dyDescent="0.25">
      <c r="B617" t="s">
        <v>133</v>
      </c>
      <c r="C617" t="s">
        <v>3256</v>
      </c>
      <c r="D617" t="s">
        <v>5601</v>
      </c>
      <c r="E617" t="s">
        <v>5602</v>
      </c>
      <c r="F617" t="s">
        <v>5603</v>
      </c>
      <c r="G617" t="s">
        <v>3890</v>
      </c>
      <c r="H617" t="s">
        <v>109</v>
      </c>
      <c r="I617" t="s">
        <v>108</v>
      </c>
      <c r="J617">
        <v>2</v>
      </c>
      <c r="K617">
        <v>0.14399999999999999</v>
      </c>
      <c r="L617">
        <v>0.14000000000000001</v>
      </c>
      <c r="M617">
        <v>0.13400000000000001</v>
      </c>
      <c r="N617">
        <v>0.13200000000000001</v>
      </c>
      <c r="O617">
        <v>0.129</v>
      </c>
      <c r="P617">
        <v>0.127</v>
      </c>
      <c r="Q617">
        <v>0.122</v>
      </c>
      <c r="R617">
        <v>0.11700000000000001</v>
      </c>
      <c r="S617">
        <v>0.113</v>
      </c>
      <c r="T617">
        <v>0.113</v>
      </c>
      <c r="U617">
        <v>0.112</v>
      </c>
      <c r="V617">
        <v>0.112</v>
      </c>
      <c r="W617">
        <v>0.111</v>
      </c>
      <c r="X617">
        <v>0.11</v>
      </c>
      <c r="Y617">
        <v>0.109</v>
      </c>
      <c r="Z617">
        <v>0.108</v>
      </c>
      <c r="AA617">
        <v>0.107</v>
      </c>
      <c r="AB617">
        <v>0.105</v>
      </c>
      <c r="AC617">
        <v>0.10299999999999999</v>
      </c>
      <c r="AD617">
        <v>0.10100000000000001</v>
      </c>
    </row>
    <row r="618" spans="2:30" x14ac:dyDescent="0.25">
      <c r="B618" t="s">
        <v>133</v>
      </c>
      <c r="C618" t="s">
        <v>3256</v>
      </c>
      <c r="D618" t="s">
        <v>5604</v>
      </c>
      <c r="E618">
        <v>0</v>
      </c>
      <c r="F618" t="s">
        <v>5539</v>
      </c>
      <c r="G618" t="s">
        <v>3890</v>
      </c>
      <c r="H618" t="s">
        <v>109</v>
      </c>
      <c r="I618" t="s">
        <v>108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2:30" x14ac:dyDescent="0.25">
      <c r="B619" t="s">
        <v>133</v>
      </c>
      <c r="C619" t="s">
        <v>3256</v>
      </c>
      <c r="D619" t="s">
        <v>5605</v>
      </c>
      <c r="E619">
        <v>0</v>
      </c>
      <c r="F619" t="s">
        <v>5539</v>
      </c>
      <c r="G619" t="s">
        <v>3890</v>
      </c>
      <c r="H619" t="s">
        <v>109</v>
      </c>
      <c r="I619" t="s">
        <v>108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2:30" x14ac:dyDescent="0.25">
      <c r="B620" t="s">
        <v>133</v>
      </c>
      <c r="C620" t="s">
        <v>3256</v>
      </c>
      <c r="D620" t="s">
        <v>5606</v>
      </c>
      <c r="E620" t="s">
        <v>5607</v>
      </c>
      <c r="F620" t="s">
        <v>5608</v>
      </c>
      <c r="G620" t="s">
        <v>3890</v>
      </c>
      <c r="H620" t="s">
        <v>109</v>
      </c>
      <c r="I620" t="s">
        <v>108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2:30" x14ac:dyDescent="0.25">
      <c r="B621" t="s">
        <v>133</v>
      </c>
      <c r="C621" t="s">
        <v>3256</v>
      </c>
      <c r="D621" t="s">
        <v>5609</v>
      </c>
      <c r="E621" t="s">
        <v>5610</v>
      </c>
      <c r="F621" t="s">
        <v>5611</v>
      </c>
      <c r="G621" t="s">
        <v>3890</v>
      </c>
      <c r="H621" t="s">
        <v>109</v>
      </c>
      <c r="I621" t="s">
        <v>108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2:30" x14ac:dyDescent="0.25">
      <c r="B622" t="s">
        <v>133</v>
      </c>
      <c r="C622" t="s">
        <v>3256</v>
      </c>
      <c r="D622" t="s">
        <v>5612</v>
      </c>
      <c r="E622" t="s">
        <v>5613</v>
      </c>
      <c r="F622" t="s">
        <v>5614</v>
      </c>
      <c r="G622" t="s">
        <v>3890</v>
      </c>
      <c r="H622" t="s">
        <v>109</v>
      </c>
      <c r="I622" t="s">
        <v>108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2:30" x14ac:dyDescent="0.25">
      <c r="B623" t="s">
        <v>133</v>
      </c>
      <c r="C623" t="s">
        <v>3256</v>
      </c>
      <c r="D623" t="s">
        <v>5615</v>
      </c>
      <c r="E623" t="s">
        <v>5616</v>
      </c>
      <c r="F623" t="s">
        <v>5617</v>
      </c>
      <c r="G623" t="s">
        <v>3890</v>
      </c>
      <c r="H623" t="s">
        <v>109</v>
      </c>
      <c r="I623" t="s">
        <v>108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2:30" x14ac:dyDescent="0.25">
      <c r="B624" t="s">
        <v>133</v>
      </c>
      <c r="C624" t="s">
        <v>3256</v>
      </c>
      <c r="D624" t="s">
        <v>5618</v>
      </c>
      <c r="E624" t="s">
        <v>5619</v>
      </c>
      <c r="F624" t="s">
        <v>5620</v>
      </c>
      <c r="G624" t="s">
        <v>3890</v>
      </c>
      <c r="H624" t="s">
        <v>109</v>
      </c>
      <c r="I624" t="s">
        <v>108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2:30" x14ac:dyDescent="0.25">
      <c r="B625" t="s">
        <v>133</v>
      </c>
      <c r="C625" t="s">
        <v>3256</v>
      </c>
      <c r="D625" t="s">
        <v>5621</v>
      </c>
      <c r="E625" t="s">
        <v>5622</v>
      </c>
      <c r="F625" t="s">
        <v>5623</v>
      </c>
      <c r="G625" t="s">
        <v>3890</v>
      </c>
      <c r="H625" t="s">
        <v>109</v>
      </c>
      <c r="I625" t="s">
        <v>108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2:30" x14ac:dyDescent="0.25">
      <c r="B626" t="s">
        <v>133</v>
      </c>
      <c r="C626" t="s">
        <v>3256</v>
      </c>
      <c r="D626" t="s">
        <v>5624</v>
      </c>
      <c r="E626" t="s">
        <v>5625</v>
      </c>
      <c r="F626" t="s">
        <v>5626</v>
      </c>
      <c r="G626" t="s">
        <v>3890</v>
      </c>
      <c r="H626" t="s">
        <v>109</v>
      </c>
      <c r="I626" t="s">
        <v>108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2:30" x14ac:dyDescent="0.25">
      <c r="B627" t="s">
        <v>133</v>
      </c>
      <c r="C627" t="s">
        <v>3256</v>
      </c>
      <c r="D627" t="s">
        <v>5627</v>
      </c>
      <c r="E627" t="s">
        <v>5628</v>
      </c>
      <c r="F627" t="s">
        <v>5629</v>
      </c>
      <c r="G627" t="s">
        <v>3890</v>
      </c>
      <c r="H627" t="s">
        <v>109</v>
      </c>
      <c r="I627" t="s">
        <v>108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2:30" x14ac:dyDescent="0.25">
      <c r="B628" t="s">
        <v>133</v>
      </c>
      <c r="C628" t="s">
        <v>3256</v>
      </c>
      <c r="D628" t="s">
        <v>5630</v>
      </c>
      <c r="E628" t="s">
        <v>5631</v>
      </c>
      <c r="F628" t="s">
        <v>5632</v>
      </c>
      <c r="G628" t="s">
        <v>3890</v>
      </c>
      <c r="H628" t="s">
        <v>109</v>
      </c>
      <c r="I628" t="s">
        <v>108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2:30" x14ac:dyDescent="0.25">
      <c r="B629" t="s">
        <v>133</v>
      </c>
      <c r="C629" t="s">
        <v>3256</v>
      </c>
      <c r="D629" t="s">
        <v>5633</v>
      </c>
      <c r="E629" t="s">
        <v>5634</v>
      </c>
      <c r="F629" t="s">
        <v>5635</v>
      </c>
      <c r="G629" t="s">
        <v>3890</v>
      </c>
      <c r="H629" t="s">
        <v>109</v>
      </c>
      <c r="I629" t="s">
        <v>108</v>
      </c>
      <c r="J629">
        <v>2</v>
      </c>
      <c r="K629">
        <v>271.34100000000001</v>
      </c>
      <c r="L629">
        <v>251.108</v>
      </c>
      <c r="M629">
        <v>298.85899999999998</v>
      </c>
      <c r="N629">
        <v>395.57299999999998</v>
      </c>
      <c r="O629">
        <v>316.89299999999997</v>
      </c>
      <c r="P629">
        <v>383.53800000000001</v>
      </c>
      <c r="Q629">
        <v>418.858</v>
      </c>
      <c r="R629">
        <v>445.334</v>
      </c>
      <c r="S629">
        <v>461.71899999999999</v>
      </c>
      <c r="T629">
        <v>475.27800000000002</v>
      </c>
      <c r="U629">
        <v>489.40199999999999</v>
      </c>
      <c r="V629">
        <v>504.01100000000002</v>
      </c>
      <c r="W629">
        <v>519.20799999999997</v>
      </c>
      <c r="X629">
        <v>535.24</v>
      </c>
      <c r="Y629">
        <v>551.93299999999999</v>
      </c>
      <c r="Z629">
        <v>569.23099999999999</v>
      </c>
      <c r="AA629">
        <v>586.91700000000003</v>
      </c>
      <c r="AB629">
        <v>604.96699999999998</v>
      </c>
      <c r="AC629">
        <v>623.40700000000004</v>
      </c>
      <c r="AD629">
        <v>642.23400000000004</v>
      </c>
    </row>
    <row r="630" spans="2:30" x14ac:dyDescent="0.25">
      <c r="B630" t="s">
        <v>133</v>
      </c>
      <c r="C630" t="s">
        <v>3256</v>
      </c>
      <c r="D630" t="s">
        <v>5636</v>
      </c>
      <c r="E630" t="s">
        <v>5637</v>
      </c>
      <c r="F630" t="s">
        <v>5638</v>
      </c>
      <c r="G630" t="s">
        <v>3890</v>
      </c>
      <c r="H630" t="s">
        <v>109</v>
      </c>
      <c r="I630" t="s">
        <v>108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2:30" x14ac:dyDescent="0.25">
      <c r="B631" t="s">
        <v>133</v>
      </c>
      <c r="C631" t="s">
        <v>3256</v>
      </c>
      <c r="D631" t="s">
        <v>5639</v>
      </c>
      <c r="E631" t="s">
        <v>5640</v>
      </c>
      <c r="F631" t="s">
        <v>5641</v>
      </c>
      <c r="G631" t="s">
        <v>3890</v>
      </c>
      <c r="H631" t="s">
        <v>109</v>
      </c>
      <c r="I631" t="s">
        <v>108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2:30" x14ac:dyDescent="0.25">
      <c r="B632" t="s">
        <v>133</v>
      </c>
      <c r="C632" t="s">
        <v>3256</v>
      </c>
      <c r="D632" t="s">
        <v>5642</v>
      </c>
      <c r="E632" t="s">
        <v>5643</v>
      </c>
      <c r="F632" t="s">
        <v>5644</v>
      </c>
      <c r="G632" t="s">
        <v>3890</v>
      </c>
      <c r="H632" t="s">
        <v>109</v>
      </c>
      <c r="I632" t="s">
        <v>108</v>
      </c>
      <c r="J632">
        <v>2</v>
      </c>
      <c r="K632">
        <v>271.34100000000001</v>
      </c>
      <c r="L632">
        <v>251.108</v>
      </c>
      <c r="M632">
        <v>298.85899999999998</v>
      </c>
      <c r="N632">
        <v>395.57299999999998</v>
      </c>
      <c r="O632">
        <v>316.89299999999997</v>
      </c>
      <c r="P632">
        <v>383.53800000000001</v>
      </c>
      <c r="Q632">
        <v>418.858</v>
      </c>
      <c r="R632">
        <v>445.334</v>
      </c>
      <c r="S632">
        <v>461.71899999999999</v>
      </c>
      <c r="T632">
        <v>475.27800000000002</v>
      </c>
      <c r="U632">
        <v>489.40199999999999</v>
      </c>
      <c r="V632">
        <v>504.01100000000002</v>
      </c>
      <c r="W632">
        <v>519.20799999999997</v>
      </c>
      <c r="X632">
        <v>535.24</v>
      </c>
      <c r="Y632">
        <v>551.93299999999999</v>
      </c>
      <c r="Z632">
        <v>569.23099999999999</v>
      </c>
      <c r="AA632">
        <v>586.91700000000003</v>
      </c>
      <c r="AB632">
        <v>604.96699999999998</v>
      </c>
      <c r="AC632">
        <v>623.40700000000004</v>
      </c>
      <c r="AD632">
        <v>642.23400000000004</v>
      </c>
    </row>
    <row r="633" spans="2:30" x14ac:dyDescent="0.25">
      <c r="B633" t="s">
        <v>133</v>
      </c>
      <c r="C633" t="s">
        <v>3256</v>
      </c>
      <c r="D633" t="s">
        <v>5645</v>
      </c>
      <c r="E633" t="s">
        <v>5646</v>
      </c>
      <c r="F633" t="s">
        <v>5647</v>
      </c>
      <c r="G633" t="s">
        <v>3890</v>
      </c>
      <c r="H633" t="s">
        <v>109</v>
      </c>
      <c r="I633" t="s">
        <v>108</v>
      </c>
      <c r="J633">
        <v>2</v>
      </c>
      <c r="K633">
        <v>18833.804</v>
      </c>
      <c r="L633">
        <v>18487.669999999998</v>
      </c>
      <c r="M633">
        <v>18167.267</v>
      </c>
      <c r="N633">
        <v>17610.09</v>
      </c>
      <c r="O633">
        <v>17032.858</v>
      </c>
      <c r="P633">
        <v>18615.205999999998</v>
      </c>
      <c r="Q633">
        <v>20305.385999999999</v>
      </c>
      <c r="R633">
        <v>22131.485000000001</v>
      </c>
      <c r="S633">
        <v>24304.862000000001</v>
      </c>
      <c r="T633">
        <v>26893.877</v>
      </c>
      <c r="U633">
        <v>29737.694</v>
      </c>
      <c r="V633">
        <v>32842.572</v>
      </c>
      <c r="W633">
        <v>36193.836000000003</v>
      </c>
      <c r="X633">
        <v>39815.052000000003</v>
      </c>
      <c r="Y633">
        <v>43708.68</v>
      </c>
      <c r="Z633">
        <v>47931.010999999999</v>
      </c>
      <c r="AA633">
        <v>52508.521999999997</v>
      </c>
      <c r="AB633">
        <v>57482.476000000002</v>
      </c>
      <c r="AC633">
        <v>62888.930999999997</v>
      </c>
      <c r="AD633">
        <v>68624.376000000004</v>
      </c>
    </row>
    <row r="634" spans="2:30" x14ac:dyDescent="0.25">
      <c r="B634" t="s">
        <v>133</v>
      </c>
      <c r="C634" t="s">
        <v>3256</v>
      </c>
      <c r="D634" t="s">
        <v>5648</v>
      </c>
      <c r="E634">
        <v>0</v>
      </c>
      <c r="F634" t="s">
        <v>5539</v>
      </c>
      <c r="G634" t="s">
        <v>3890</v>
      </c>
      <c r="H634" t="s">
        <v>109</v>
      </c>
      <c r="I634" t="s">
        <v>108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2:30" x14ac:dyDescent="0.25">
      <c r="B635" t="s">
        <v>133</v>
      </c>
      <c r="C635" t="s">
        <v>3256</v>
      </c>
      <c r="D635" t="s">
        <v>5649</v>
      </c>
      <c r="E635">
        <v>0</v>
      </c>
      <c r="F635" t="s">
        <v>5539</v>
      </c>
      <c r="G635" t="s">
        <v>3890</v>
      </c>
      <c r="H635" t="s">
        <v>109</v>
      </c>
      <c r="I635" t="s">
        <v>108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2:30" x14ac:dyDescent="0.25">
      <c r="B636" t="s">
        <v>133</v>
      </c>
      <c r="C636" t="s">
        <v>3256</v>
      </c>
      <c r="D636" t="s">
        <v>5650</v>
      </c>
      <c r="E636" t="s">
        <v>5646</v>
      </c>
      <c r="F636" t="s">
        <v>5647</v>
      </c>
      <c r="G636" t="s">
        <v>3890</v>
      </c>
      <c r="H636" t="s">
        <v>109</v>
      </c>
      <c r="I636" t="s">
        <v>108</v>
      </c>
      <c r="J636">
        <v>2</v>
      </c>
      <c r="K636">
        <v>18833.804</v>
      </c>
      <c r="L636">
        <v>18487.669999999998</v>
      </c>
      <c r="M636">
        <v>18167.267</v>
      </c>
      <c r="N636">
        <v>17610.09</v>
      </c>
      <c r="O636">
        <v>17032.858</v>
      </c>
      <c r="P636">
        <v>18615.205999999998</v>
      </c>
      <c r="Q636">
        <v>20305.385999999999</v>
      </c>
      <c r="R636">
        <v>22131.485000000001</v>
      </c>
      <c r="S636">
        <v>24304.862000000001</v>
      </c>
      <c r="T636">
        <v>26893.877</v>
      </c>
      <c r="U636">
        <v>29737.694</v>
      </c>
      <c r="V636">
        <v>32842.572</v>
      </c>
      <c r="W636">
        <v>36193.836000000003</v>
      </c>
      <c r="X636">
        <v>39815.052000000003</v>
      </c>
      <c r="Y636">
        <v>43708.68</v>
      </c>
      <c r="Z636">
        <v>47931.010999999999</v>
      </c>
      <c r="AA636">
        <v>52508.521999999997</v>
      </c>
      <c r="AB636">
        <v>57482.476000000002</v>
      </c>
      <c r="AC636">
        <v>62888.930999999997</v>
      </c>
      <c r="AD636">
        <v>68624.376000000004</v>
      </c>
    </row>
    <row r="637" spans="2:30" x14ac:dyDescent="0.25">
      <c r="B637" t="s">
        <v>133</v>
      </c>
      <c r="C637" t="s">
        <v>3256</v>
      </c>
      <c r="D637" t="s">
        <v>5651</v>
      </c>
      <c r="E637">
        <v>0</v>
      </c>
      <c r="F637" t="s">
        <v>5539</v>
      </c>
      <c r="G637" t="s">
        <v>3890</v>
      </c>
      <c r="H637" t="s">
        <v>109</v>
      </c>
      <c r="I637" t="s">
        <v>108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2:30" x14ac:dyDescent="0.25">
      <c r="B638" t="s">
        <v>133</v>
      </c>
      <c r="C638" t="s">
        <v>3256</v>
      </c>
      <c r="D638" t="s">
        <v>5652</v>
      </c>
      <c r="E638">
        <v>0</v>
      </c>
      <c r="F638" t="s">
        <v>5539</v>
      </c>
      <c r="G638" t="s">
        <v>3890</v>
      </c>
      <c r="H638" t="s">
        <v>109</v>
      </c>
      <c r="I638" t="s">
        <v>108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2:30" x14ac:dyDescent="0.25">
      <c r="B639" t="s">
        <v>133</v>
      </c>
      <c r="C639" t="s">
        <v>3256</v>
      </c>
      <c r="D639" t="s">
        <v>5653</v>
      </c>
      <c r="E639" t="s">
        <v>38</v>
      </c>
      <c r="F639" t="s">
        <v>5573</v>
      </c>
      <c r="G639" t="s">
        <v>3890</v>
      </c>
      <c r="H639" t="s">
        <v>109</v>
      </c>
      <c r="I639" t="s">
        <v>108</v>
      </c>
      <c r="J639">
        <v>2</v>
      </c>
      <c r="K639">
        <v>2022</v>
      </c>
      <c r="L639">
        <v>2023</v>
      </c>
      <c r="M639">
        <v>2024</v>
      </c>
      <c r="N639">
        <v>2025</v>
      </c>
      <c r="O639">
        <v>2026</v>
      </c>
      <c r="P639">
        <v>2027</v>
      </c>
      <c r="Q639">
        <v>2028</v>
      </c>
      <c r="R639">
        <v>2029</v>
      </c>
      <c r="S639">
        <v>2030</v>
      </c>
      <c r="T639">
        <v>2031</v>
      </c>
      <c r="U639">
        <v>2032</v>
      </c>
      <c r="V639">
        <v>2033</v>
      </c>
      <c r="W639">
        <v>2034</v>
      </c>
      <c r="X639">
        <v>2035</v>
      </c>
      <c r="Y639">
        <v>2036</v>
      </c>
      <c r="Z639">
        <v>2037</v>
      </c>
      <c r="AA639">
        <v>2038</v>
      </c>
      <c r="AB639">
        <v>2039</v>
      </c>
      <c r="AC639">
        <v>2040</v>
      </c>
      <c r="AD639">
        <v>2041</v>
      </c>
    </row>
    <row r="640" spans="2:30" x14ac:dyDescent="0.25">
      <c r="B640" t="s">
        <v>133</v>
      </c>
      <c r="C640" t="s">
        <v>3256</v>
      </c>
      <c r="D640" t="s">
        <v>5654</v>
      </c>
      <c r="E640">
        <v>0</v>
      </c>
      <c r="F640" t="s">
        <v>5539</v>
      </c>
      <c r="G640" t="s">
        <v>3890</v>
      </c>
      <c r="H640" t="s">
        <v>109</v>
      </c>
      <c r="I640" t="s">
        <v>108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2:30" x14ac:dyDescent="0.25">
      <c r="B641" t="s">
        <v>133</v>
      </c>
      <c r="C641" t="s">
        <v>3256</v>
      </c>
      <c r="D641" t="s">
        <v>5655</v>
      </c>
      <c r="E641" t="s">
        <v>5656</v>
      </c>
      <c r="F641" t="s">
        <v>5657</v>
      </c>
      <c r="G641" t="s">
        <v>3890</v>
      </c>
      <c r="H641" t="s">
        <v>109</v>
      </c>
      <c r="I641" t="s">
        <v>108</v>
      </c>
      <c r="J641">
        <v>2</v>
      </c>
      <c r="K641">
        <v>23.399000000000001</v>
      </c>
      <c r="L641">
        <v>15.864000000000001</v>
      </c>
      <c r="M641">
        <v>14.744</v>
      </c>
      <c r="N641">
        <v>13.651999999999999</v>
      </c>
      <c r="O641">
        <v>15.831</v>
      </c>
      <c r="P641">
        <v>15.917999999999999</v>
      </c>
      <c r="Q641">
        <v>15.877000000000001</v>
      </c>
      <c r="R641">
        <v>15.833</v>
      </c>
      <c r="S641">
        <v>15.786</v>
      </c>
      <c r="T641">
        <v>15.74</v>
      </c>
      <c r="U641">
        <v>15.74</v>
      </c>
      <c r="V641">
        <v>15.74</v>
      </c>
      <c r="W641">
        <v>15.74</v>
      </c>
      <c r="X641">
        <v>15.74</v>
      </c>
      <c r="Y641">
        <v>15.74</v>
      </c>
      <c r="Z641">
        <v>15.74</v>
      </c>
      <c r="AA641">
        <v>15.74</v>
      </c>
      <c r="AB641">
        <v>15.74</v>
      </c>
      <c r="AC641">
        <v>15.74</v>
      </c>
      <c r="AD641">
        <v>15.74</v>
      </c>
    </row>
    <row r="642" spans="2:30" x14ac:dyDescent="0.25">
      <c r="B642" t="s">
        <v>133</v>
      </c>
      <c r="C642" t="s">
        <v>3256</v>
      </c>
      <c r="D642" t="s">
        <v>5658</v>
      </c>
      <c r="E642">
        <v>0</v>
      </c>
      <c r="F642" t="s">
        <v>5539</v>
      </c>
      <c r="G642" t="s">
        <v>3890</v>
      </c>
      <c r="H642" t="s">
        <v>109</v>
      </c>
      <c r="I642" t="s">
        <v>108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2:30" x14ac:dyDescent="0.25">
      <c r="B643" t="s">
        <v>133</v>
      </c>
      <c r="C643" t="s">
        <v>3256</v>
      </c>
      <c r="D643" t="s">
        <v>5659</v>
      </c>
      <c r="E643">
        <v>0</v>
      </c>
      <c r="F643" t="s">
        <v>5539</v>
      </c>
      <c r="G643" t="s">
        <v>3890</v>
      </c>
      <c r="H643" t="s">
        <v>109</v>
      </c>
      <c r="I643" t="s">
        <v>108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2:30" x14ac:dyDescent="0.25">
      <c r="B644" t="s">
        <v>133</v>
      </c>
      <c r="C644" t="s">
        <v>3256</v>
      </c>
      <c r="D644" t="s">
        <v>5660</v>
      </c>
      <c r="E644">
        <v>0</v>
      </c>
      <c r="F644" t="s">
        <v>5539</v>
      </c>
      <c r="G644" t="s">
        <v>3890</v>
      </c>
      <c r="H644" t="s">
        <v>109</v>
      </c>
      <c r="I644" t="s">
        <v>108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3.5000000000000003E-2</v>
      </c>
      <c r="P644">
        <v>3.5000000000000003E-2</v>
      </c>
      <c r="Q644">
        <v>3.5000000000000003E-2</v>
      </c>
      <c r="R644">
        <v>3.5000000000000003E-2</v>
      </c>
      <c r="S644">
        <v>3.5000000000000003E-2</v>
      </c>
      <c r="T644">
        <v>3.5000000000000003E-2</v>
      </c>
      <c r="U644">
        <v>3.5000000000000003E-2</v>
      </c>
      <c r="V644">
        <v>3.5000000000000003E-2</v>
      </c>
      <c r="W644">
        <v>3.5000000000000003E-2</v>
      </c>
      <c r="X644">
        <v>3.5000000000000003E-2</v>
      </c>
      <c r="Y644">
        <v>3.5000000000000003E-2</v>
      </c>
      <c r="Z644">
        <v>3.5000000000000003E-2</v>
      </c>
      <c r="AA644">
        <v>3.5000000000000003E-2</v>
      </c>
      <c r="AB644">
        <v>3.5000000000000003E-2</v>
      </c>
      <c r="AC644">
        <v>3.5000000000000003E-2</v>
      </c>
      <c r="AD644">
        <v>3.5000000000000003E-2</v>
      </c>
    </row>
    <row r="645" spans="2:30" x14ac:dyDescent="0.25">
      <c r="B645" t="s">
        <v>133</v>
      </c>
      <c r="C645" t="s">
        <v>3256</v>
      </c>
      <c r="D645" t="s">
        <v>5661</v>
      </c>
      <c r="E645">
        <v>0</v>
      </c>
      <c r="F645" t="s">
        <v>5539</v>
      </c>
      <c r="G645" t="s">
        <v>3890</v>
      </c>
      <c r="H645" t="s">
        <v>109</v>
      </c>
      <c r="I645" t="s">
        <v>108</v>
      </c>
      <c r="J645">
        <v>2</v>
      </c>
      <c r="K645">
        <v>0</v>
      </c>
      <c r="L645">
        <v>1</v>
      </c>
      <c r="M645">
        <v>1</v>
      </c>
      <c r="N645">
        <v>1</v>
      </c>
      <c r="O645">
        <v>1.4019999999999999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</row>
    <row r="646" spans="2:30" x14ac:dyDescent="0.25">
      <c r="B646" t="s">
        <v>133</v>
      </c>
      <c r="C646" t="s">
        <v>3256</v>
      </c>
      <c r="D646" t="s">
        <v>5662</v>
      </c>
      <c r="E646">
        <v>0</v>
      </c>
      <c r="F646" t="s">
        <v>5539</v>
      </c>
      <c r="G646" t="s">
        <v>3890</v>
      </c>
      <c r="H646" t="s">
        <v>109</v>
      </c>
      <c r="I646" t="s">
        <v>108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3.1E-2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2:30" x14ac:dyDescent="0.25">
      <c r="B647" t="s">
        <v>133</v>
      </c>
      <c r="C647" t="s">
        <v>3256</v>
      </c>
      <c r="D647" t="s">
        <v>5663</v>
      </c>
      <c r="E647">
        <v>0</v>
      </c>
      <c r="F647" t="s">
        <v>5539</v>
      </c>
      <c r="G647" t="s">
        <v>3890</v>
      </c>
      <c r="H647" t="s">
        <v>109</v>
      </c>
      <c r="I647" t="s">
        <v>108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2:30" x14ac:dyDescent="0.25">
      <c r="B648" t="s">
        <v>133</v>
      </c>
      <c r="C648" t="s">
        <v>3256</v>
      </c>
      <c r="D648" t="s">
        <v>5664</v>
      </c>
      <c r="E648">
        <v>0</v>
      </c>
      <c r="F648" t="s">
        <v>5539</v>
      </c>
      <c r="G648" t="s">
        <v>3890</v>
      </c>
      <c r="H648" t="s">
        <v>109</v>
      </c>
      <c r="I648" t="s">
        <v>108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2:30" x14ac:dyDescent="0.25">
      <c r="B649" t="s">
        <v>133</v>
      </c>
      <c r="C649" t="s">
        <v>3256</v>
      </c>
      <c r="D649" t="s">
        <v>5665</v>
      </c>
      <c r="E649">
        <v>0</v>
      </c>
      <c r="F649" t="s">
        <v>5539</v>
      </c>
      <c r="G649" t="s">
        <v>3890</v>
      </c>
      <c r="H649" t="s">
        <v>109</v>
      </c>
      <c r="I649" t="s">
        <v>108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2:30" x14ac:dyDescent="0.25">
      <c r="B650" t="s">
        <v>133</v>
      </c>
      <c r="C650" t="s">
        <v>3256</v>
      </c>
      <c r="D650" t="s">
        <v>5666</v>
      </c>
      <c r="E650">
        <v>0</v>
      </c>
      <c r="F650" t="s">
        <v>5539</v>
      </c>
      <c r="G650" t="s">
        <v>3890</v>
      </c>
      <c r="H650" t="s">
        <v>109</v>
      </c>
      <c r="I650" t="s">
        <v>108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5.0999999999999997E-2</v>
      </c>
      <c r="P650">
        <v>5.0999999999999997E-2</v>
      </c>
      <c r="Q650">
        <v>5.0999999999999997E-2</v>
      </c>
      <c r="R650">
        <v>5.0999999999999997E-2</v>
      </c>
      <c r="S650">
        <v>5.0999999999999997E-2</v>
      </c>
      <c r="T650">
        <v>5.0999999999999997E-2</v>
      </c>
      <c r="U650">
        <v>5.0999999999999997E-2</v>
      </c>
      <c r="V650">
        <v>5.0999999999999997E-2</v>
      </c>
      <c r="W650">
        <v>5.0999999999999997E-2</v>
      </c>
      <c r="X650">
        <v>5.0999999999999997E-2</v>
      </c>
      <c r="Y650">
        <v>5.0999999999999997E-2</v>
      </c>
      <c r="Z650">
        <v>5.0999999999999997E-2</v>
      </c>
      <c r="AA650">
        <v>5.0999999999999997E-2</v>
      </c>
      <c r="AB650">
        <v>5.0999999999999997E-2</v>
      </c>
      <c r="AC650">
        <v>5.0999999999999997E-2</v>
      </c>
      <c r="AD650">
        <v>5.0999999999999997E-2</v>
      </c>
    </row>
    <row r="651" spans="2:30" x14ac:dyDescent="0.25">
      <c r="B651" t="s">
        <v>133</v>
      </c>
      <c r="C651" t="s">
        <v>3256</v>
      </c>
      <c r="D651" t="s">
        <v>5667</v>
      </c>
      <c r="E651">
        <v>0</v>
      </c>
      <c r="F651" t="s">
        <v>5539</v>
      </c>
      <c r="G651" t="s">
        <v>3890</v>
      </c>
      <c r="H651" t="s">
        <v>109</v>
      </c>
      <c r="I651" t="s">
        <v>108</v>
      </c>
      <c r="J651">
        <v>2</v>
      </c>
      <c r="K651">
        <v>0</v>
      </c>
      <c r="L651">
        <v>1</v>
      </c>
      <c r="M651">
        <v>1</v>
      </c>
      <c r="N651">
        <v>1</v>
      </c>
      <c r="O651">
        <v>1.581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</row>
    <row r="652" spans="2:30" x14ac:dyDescent="0.25">
      <c r="B652" t="s">
        <v>133</v>
      </c>
      <c r="C652" t="s">
        <v>3256</v>
      </c>
      <c r="D652" t="s">
        <v>5668</v>
      </c>
      <c r="E652" t="s">
        <v>5669</v>
      </c>
      <c r="F652" t="s">
        <v>5670</v>
      </c>
      <c r="G652" t="s">
        <v>3890</v>
      </c>
      <c r="H652" t="s">
        <v>109</v>
      </c>
      <c r="I652" t="s">
        <v>108</v>
      </c>
      <c r="J652">
        <v>2</v>
      </c>
      <c r="K652">
        <v>33.051000000000002</v>
      </c>
      <c r="L652">
        <v>26.300999999999998</v>
      </c>
      <c r="M652">
        <v>23.175999999999998</v>
      </c>
      <c r="N652">
        <v>15</v>
      </c>
      <c r="O652">
        <v>23.013999999999999</v>
      </c>
      <c r="P652">
        <v>17.477</v>
      </c>
      <c r="Q652">
        <v>15.952999999999999</v>
      </c>
      <c r="R652">
        <v>15.185</v>
      </c>
      <c r="S652">
        <v>15</v>
      </c>
      <c r="T652">
        <v>15</v>
      </c>
      <c r="U652">
        <v>15</v>
      </c>
      <c r="V652">
        <v>15</v>
      </c>
      <c r="W652">
        <v>15</v>
      </c>
      <c r="X652">
        <v>15</v>
      </c>
      <c r="Y652">
        <v>15</v>
      </c>
      <c r="Z652">
        <v>15</v>
      </c>
      <c r="AA652">
        <v>15</v>
      </c>
      <c r="AB652">
        <v>15</v>
      </c>
      <c r="AC652">
        <v>15</v>
      </c>
      <c r="AD652">
        <v>15</v>
      </c>
    </row>
    <row r="653" spans="2:30" x14ac:dyDescent="0.25">
      <c r="B653" t="s">
        <v>133</v>
      </c>
      <c r="C653" t="s">
        <v>3256</v>
      </c>
      <c r="D653" t="s">
        <v>5671</v>
      </c>
      <c r="E653" t="s">
        <v>5672</v>
      </c>
      <c r="F653" t="s">
        <v>5673</v>
      </c>
      <c r="G653" t="s">
        <v>3890</v>
      </c>
      <c r="H653" t="s">
        <v>109</v>
      </c>
      <c r="I653" t="s">
        <v>108</v>
      </c>
      <c r="J653">
        <v>2</v>
      </c>
      <c r="K653">
        <v>14.471</v>
      </c>
      <c r="L653">
        <v>14.471</v>
      </c>
      <c r="M653">
        <v>14.476000000000001</v>
      </c>
      <c r="N653">
        <v>14.476000000000001</v>
      </c>
      <c r="O653">
        <v>14.476000000000001</v>
      </c>
      <c r="P653">
        <v>14.476000000000001</v>
      </c>
      <c r="Q653">
        <v>14.476000000000001</v>
      </c>
      <c r="R653">
        <v>14.476000000000001</v>
      </c>
      <c r="S653">
        <v>14.476000000000001</v>
      </c>
      <c r="T653">
        <v>14.476000000000001</v>
      </c>
      <c r="U653">
        <v>14.476000000000001</v>
      </c>
      <c r="V653">
        <v>14.476000000000001</v>
      </c>
      <c r="W653">
        <v>14.476000000000001</v>
      </c>
      <c r="X653">
        <v>14.476000000000001</v>
      </c>
      <c r="Y653">
        <v>14.476000000000001</v>
      </c>
      <c r="Z653">
        <v>14.476000000000001</v>
      </c>
      <c r="AA653">
        <v>14.476000000000001</v>
      </c>
      <c r="AB653">
        <v>14.476000000000001</v>
      </c>
      <c r="AC653">
        <v>14.476000000000001</v>
      </c>
      <c r="AD653">
        <v>14.476000000000001</v>
      </c>
    </row>
    <row r="654" spans="2:30" x14ac:dyDescent="0.25">
      <c r="B654" t="s">
        <v>133</v>
      </c>
      <c r="C654" t="s">
        <v>3256</v>
      </c>
      <c r="D654" t="s">
        <v>5674</v>
      </c>
      <c r="E654" t="s">
        <v>5675</v>
      </c>
      <c r="F654" t="s">
        <v>5676</v>
      </c>
      <c r="G654" t="s">
        <v>3890</v>
      </c>
      <c r="H654" t="s">
        <v>109</v>
      </c>
      <c r="I654" t="s">
        <v>108</v>
      </c>
      <c r="J654">
        <v>2</v>
      </c>
      <c r="K654">
        <v>0.14399999999999999</v>
      </c>
      <c r="L654">
        <v>0.14000000000000001</v>
      </c>
      <c r="M654">
        <v>0.13400000000000001</v>
      </c>
      <c r="N654">
        <v>0.13200000000000001</v>
      </c>
      <c r="O654">
        <v>0.129</v>
      </c>
      <c r="P654">
        <v>0.127</v>
      </c>
      <c r="Q654">
        <v>0.122</v>
      </c>
      <c r="R654">
        <v>0.11700000000000001</v>
      </c>
      <c r="S654">
        <v>0.113</v>
      </c>
      <c r="T654">
        <v>0.113</v>
      </c>
      <c r="U654">
        <v>0.112</v>
      </c>
      <c r="V654">
        <v>0.112</v>
      </c>
      <c r="W654">
        <v>0.111</v>
      </c>
      <c r="X654">
        <v>0.11</v>
      </c>
      <c r="Y654">
        <v>0.109</v>
      </c>
      <c r="Z654">
        <v>0.108</v>
      </c>
      <c r="AA654">
        <v>0.107</v>
      </c>
      <c r="AB654">
        <v>0.105</v>
      </c>
      <c r="AC654">
        <v>0.10299999999999999</v>
      </c>
      <c r="AD654">
        <v>0.10100000000000001</v>
      </c>
    </row>
    <row r="655" spans="2:30" x14ac:dyDescent="0.25">
      <c r="B655" t="s">
        <v>133</v>
      </c>
      <c r="C655" t="s">
        <v>3256</v>
      </c>
      <c r="D655" t="s">
        <v>5677</v>
      </c>
      <c r="E655">
        <v>0</v>
      </c>
      <c r="F655" t="s">
        <v>5539</v>
      </c>
      <c r="G655" t="s">
        <v>3890</v>
      </c>
      <c r="H655" t="s">
        <v>109</v>
      </c>
      <c r="I655" t="s">
        <v>108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2:30" x14ac:dyDescent="0.25">
      <c r="B656" t="s">
        <v>133</v>
      </c>
      <c r="C656" t="s">
        <v>3256</v>
      </c>
      <c r="D656" t="s">
        <v>5678</v>
      </c>
      <c r="E656">
        <v>0</v>
      </c>
      <c r="F656" t="s">
        <v>5539</v>
      </c>
      <c r="G656" t="s">
        <v>3890</v>
      </c>
      <c r="H656" t="s">
        <v>109</v>
      </c>
      <c r="I656" t="s">
        <v>108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2:30" x14ac:dyDescent="0.25">
      <c r="B657" t="s">
        <v>133</v>
      </c>
      <c r="C657" t="s">
        <v>3256</v>
      </c>
      <c r="D657" t="s">
        <v>5679</v>
      </c>
      <c r="E657" t="s">
        <v>5680</v>
      </c>
      <c r="F657" t="s">
        <v>5681</v>
      </c>
      <c r="G657" t="s">
        <v>3890</v>
      </c>
      <c r="H657" t="s">
        <v>109</v>
      </c>
      <c r="I657" t="s">
        <v>108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2:30" x14ac:dyDescent="0.25">
      <c r="B658" t="s">
        <v>133</v>
      </c>
      <c r="C658" t="s">
        <v>3256</v>
      </c>
      <c r="D658" t="s">
        <v>5682</v>
      </c>
      <c r="E658" t="s">
        <v>5683</v>
      </c>
      <c r="F658" t="s">
        <v>5684</v>
      </c>
      <c r="G658" t="s">
        <v>3890</v>
      </c>
      <c r="H658" t="s">
        <v>109</v>
      </c>
      <c r="I658" t="s">
        <v>108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2:30" x14ac:dyDescent="0.25">
      <c r="B659" t="s">
        <v>133</v>
      </c>
      <c r="C659" t="s">
        <v>3256</v>
      </c>
      <c r="D659" t="s">
        <v>5685</v>
      </c>
      <c r="E659" t="s">
        <v>5686</v>
      </c>
      <c r="F659" t="s">
        <v>5687</v>
      </c>
      <c r="G659" t="s">
        <v>3890</v>
      </c>
      <c r="H659" t="s">
        <v>109</v>
      </c>
      <c r="I659" t="s">
        <v>108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2:30" x14ac:dyDescent="0.25">
      <c r="B660" t="s">
        <v>133</v>
      </c>
      <c r="C660" t="s">
        <v>3256</v>
      </c>
      <c r="D660" t="s">
        <v>5688</v>
      </c>
      <c r="E660" t="s">
        <v>5689</v>
      </c>
      <c r="F660" t="s">
        <v>5690</v>
      </c>
      <c r="G660" t="s">
        <v>3890</v>
      </c>
      <c r="H660" t="s">
        <v>109</v>
      </c>
      <c r="I660" t="s">
        <v>108</v>
      </c>
      <c r="J660">
        <v>2</v>
      </c>
      <c r="K660">
        <v>875.27200000000005</v>
      </c>
      <c r="L660">
        <v>1064.7159999999999</v>
      </c>
      <c r="M660">
        <v>1332.902</v>
      </c>
      <c r="N660">
        <v>1360.3309999999999</v>
      </c>
      <c r="O660">
        <v>1131.335</v>
      </c>
      <c r="P660">
        <v>1156.9369999999999</v>
      </c>
      <c r="Q660">
        <v>1186.0509999999999</v>
      </c>
      <c r="R660">
        <v>1213.9880000000001</v>
      </c>
      <c r="S660">
        <v>1239.7329999999999</v>
      </c>
      <c r="T660">
        <v>1265.9760000000001</v>
      </c>
      <c r="U660">
        <v>1293.049</v>
      </c>
      <c r="V660">
        <v>1320.807</v>
      </c>
      <c r="W660">
        <v>1349.4090000000001</v>
      </c>
      <c r="X660">
        <v>1379.2370000000001</v>
      </c>
      <c r="Y660">
        <v>1409.989</v>
      </c>
      <c r="Z660">
        <v>1441.5619999999999</v>
      </c>
      <c r="AA660">
        <v>1473.598</v>
      </c>
      <c r="AB660">
        <v>1506.057</v>
      </c>
      <c r="AC660">
        <v>1538.979</v>
      </c>
      <c r="AD660">
        <v>1572.35</v>
      </c>
    </row>
    <row r="661" spans="2:30" x14ac:dyDescent="0.25">
      <c r="B661" t="s">
        <v>133</v>
      </c>
      <c r="C661" t="s">
        <v>3256</v>
      </c>
      <c r="D661" t="s">
        <v>5691</v>
      </c>
      <c r="E661" t="s">
        <v>5692</v>
      </c>
      <c r="F661" t="s">
        <v>5693</v>
      </c>
      <c r="G661" t="s">
        <v>3890</v>
      </c>
      <c r="H661" t="s">
        <v>109</v>
      </c>
      <c r="I661" t="s">
        <v>108</v>
      </c>
      <c r="J661">
        <v>2</v>
      </c>
      <c r="K661">
        <v>33.051000000000002</v>
      </c>
      <c r="L661">
        <v>26.300999999999998</v>
      </c>
      <c r="M661">
        <v>23.175999999999998</v>
      </c>
      <c r="N661">
        <v>15</v>
      </c>
      <c r="O661">
        <v>23.013999999999999</v>
      </c>
      <c r="P661">
        <v>17.477</v>
      </c>
      <c r="Q661">
        <v>15.952999999999999</v>
      </c>
      <c r="R661">
        <v>15.185</v>
      </c>
      <c r="S661">
        <v>15</v>
      </c>
      <c r="T661">
        <v>15</v>
      </c>
      <c r="U661">
        <v>15</v>
      </c>
      <c r="V661">
        <v>15</v>
      </c>
      <c r="W661">
        <v>15</v>
      </c>
      <c r="X661">
        <v>15</v>
      </c>
      <c r="Y661">
        <v>15</v>
      </c>
      <c r="Z661">
        <v>15</v>
      </c>
      <c r="AA661">
        <v>15</v>
      </c>
      <c r="AB661">
        <v>15</v>
      </c>
      <c r="AC661">
        <v>15</v>
      </c>
      <c r="AD661">
        <v>15</v>
      </c>
    </row>
    <row r="662" spans="2:30" x14ac:dyDescent="0.25">
      <c r="B662" t="s">
        <v>133</v>
      </c>
      <c r="C662" t="s">
        <v>3256</v>
      </c>
      <c r="D662" t="s">
        <v>5694</v>
      </c>
      <c r="E662" t="s">
        <v>5695</v>
      </c>
      <c r="F662" t="s">
        <v>5696</v>
      </c>
      <c r="G662" t="s">
        <v>3890</v>
      </c>
      <c r="H662" t="s">
        <v>109</v>
      </c>
      <c r="I662" t="s">
        <v>108</v>
      </c>
      <c r="J662">
        <v>2</v>
      </c>
      <c r="K662">
        <v>14.471</v>
      </c>
      <c r="L662">
        <v>14.471</v>
      </c>
      <c r="M662">
        <v>14.476000000000001</v>
      </c>
      <c r="N662">
        <v>14.476000000000001</v>
      </c>
      <c r="O662">
        <v>14.476000000000001</v>
      </c>
      <c r="P662">
        <v>14.476000000000001</v>
      </c>
      <c r="Q662">
        <v>14.476000000000001</v>
      </c>
      <c r="R662">
        <v>14.476000000000001</v>
      </c>
      <c r="S662">
        <v>14.476000000000001</v>
      </c>
      <c r="T662">
        <v>14.476000000000001</v>
      </c>
      <c r="U662">
        <v>14.476000000000001</v>
      </c>
      <c r="V662">
        <v>14.476000000000001</v>
      </c>
      <c r="W662">
        <v>14.476000000000001</v>
      </c>
      <c r="X662">
        <v>14.476000000000001</v>
      </c>
      <c r="Y662">
        <v>14.476000000000001</v>
      </c>
      <c r="Z662">
        <v>14.476000000000001</v>
      </c>
      <c r="AA662">
        <v>14.476000000000001</v>
      </c>
      <c r="AB662">
        <v>14.476000000000001</v>
      </c>
      <c r="AC662">
        <v>14.476000000000001</v>
      </c>
      <c r="AD662">
        <v>14.476000000000001</v>
      </c>
    </row>
    <row r="663" spans="2:30" x14ac:dyDescent="0.25">
      <c r="B663" t="s">
        <v>133</v>
      </c>
      <c r="C663" t="s">
        <v>3256</v>
      </c>
      <c r="D663" t="s">
        <v>5697</v>
      </c>
      <c r="E663" t="s">
        <v>5698</v>
      </c>
      <c r="F663" t="s">
        <v>5699</v>
      </c>
      <c r="G663" t="s">
        <v>3890</v>
      </c>
      <c r="H663" t="s">
        <v>109</v>
      </c>
      <c r="I663" t="s">
        <v>108</v>
      </c>
      <c r="J663">
        <v>2</v>
      </c>
      <c r="K663">
        <v>0.14399999999999999</v>
      </c>
      <c r="L663">
        <v>0.14000000000000001</v>
      </c>
      <c r="M663">
        <v>0.13400000000000001</v>
      </c>
      <c r="N663">
        <v>0.13200000000000001</v>
      </c>
      <c r="O663">
        <v>0.129</v>
      </c>
      <c r="P663">
        <v>0.127</v>
      </c>
      <c r="Q663">
        <v>0.122</v>
      </c>
      <c r="R663">
        <v>0.11700000000000001</v>
      </c>
      <c r="S663">
        <v>0.113</v>
      </c>
      <c r="T663">
        <v>0.113</v>
      </c>
      <c r="U663">
        <v>0.112</v>
      </c>
      <c r="V663">
        <v>0.112</v>
      </c>
      <c r="W663">
        <v>0.111</v>
      </c>
      <c r="X663">
        <v>0.11</v>
      </c>
      <c r="Y663">
        <v>0.109</v>
      </c>
      <c r="Z663">
        <v>0.108</v>
      </c>
      <c r="AA663">
        <v>0.107</v>
      </c>
      <c r="AB663">
        <v>0.105</v>
      </c>
      <c r="AC663">
        <v>0.10299999999999999</v>
      </c>
      <c r="AD663">
        <v>0.10100000000000001</v>
      </c>
    </row>
    <row r="664" spans="2:30" x14ac:dyDescent="0.25">
      <c r="B664" t="s">
        <v>133</v>
      </c>
      <c r="C664" t="s">
        <v>3256</v>
      </c>
      <c r="D664" t="s">
        <v>5700</v>
      </c>
      <c r="E664">
        <v>0</v>
      </c>
      <c r="F664" t="s">
        <v>5539</v>
      </c>
      <c r="G664" t="s">
        <v>3890</v>
      </c>
      <c r="H664" t="s">
        <v>109</v>
      </c>
      <c r="I664" t="s">
        <v>108</v>
      </c>
      <c r="J664">
        <v>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2:30" x14ac:dyDescent="0.25">
      <c r="B665" t="s">
        <v>133</v>
      </c>
      <c r="C665" t="s">
        <v>3256</v>
      </c>
      <c r="D665" t="s">
        <v>5701</v>
      </c>
      <c r="E665">
        <v>0</v>
      </c>
      <c r="F665" t="s">
        <v>5539</v>
      </c>
      <c r="G665" t="s">
        <v>3890</v>
      </c>
      <c r="H665" t="s">
        <v>109</v>
      </c>
      <c r="I665" t="s">
        <v>108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2:30" x14ac:dyDescent="0.25">
      <c r="B666" t="s">
        <v>133</v>
      </c>
      <c r="C666" t="s">
        <v>3256</v>
      </c>
      <c r="D666" t="s">
        <v>5702</v>
      </c>
      <c r="E666" t="s">
        <v>5703</v>
      </c>
      <c r="F666" t="s">
        <v>5704</v>
      </c>
      <c r="G666" t="s">
        <v>3890</v>
      </c>
      <c r="H666" t="s">
        <v>109</v>
      </c>
      <c r="I666" t="s">
        <v>108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2:30" x14ac:dyDescent="0.25">
      <c r="B667" t="s">
        <v>133</v>
      </c>
      <c r="C667" t="s">
        <v>3256</v>
      </c>
      <c r="D667" t="s">
        <v>5705</v>
      </c>
      <c r="E667" t="s">
        <v>5706</v>
      </c>
      <c r="F667" t="s">
        <v>5707</v>
      </c>
      <c r="G667" t="s">
        <v>3890</v>
      </c>
      <c r="H667" t="s">
        <v>109</v>
      </c>
      <c r="I667" t="s">
        <v>108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2:30" x14ac:dyDescent="0.25">
      <c r="B668" t="s">
        <v>133</v>
      </c>
      <c r="C668" t="s">
        <v>3256</v>
      </c>
      <c r="D668" t="s">
        <v>5708</v>
      </c>
      <c r="E668" t="s">
        <v>5709</v>
      </c>
      <c r="F668" t="s">
        <v>5710</v>
      </c>
      <c r="G668" t="s">
        <v>3890</v>
      </c>
      <c r="H668" t="s">
        <v>109</v>
      </c>
      <c r="I668" t="s">
        <v>108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2:30" x14ac:dyDescent="0.25">
      <c r="B669" t="s">
        <v>133</v>
      </c>
      <c r="C669" t="s">
        <v>3256</v>
      </c>
      <c r="D669" t="s">
        <v>5711</v>
      </c>
      <c r="E669" t="s">
        <v>5712</v>
      </c>
      <c r="F669" t="s">
        <v>5713</v>
      </c>
      <c r="G669" t="s">
        <v>3890</v>
      </c>
      <c r="H669" t="s">
        <v>109</v>
      </c>
      <c r="I669" t="s">
        <v>108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2:30" x14ac:dyDescent="0.25">
      <c r="B670" t="s">
        <v>133</v>
      </c>
      <c r="C670" t="s">
        <v>3256</v>
      </c>
      <c r="D670" t="s">
        <v>5714</v>
      </c>
      <c r="E670">
        <v>0</v>
      </c>
      <c r="F670" t="s">
        <v>5539</v>
      </c>
      <c r="G670" t="s">
        <v>3890</v>
      </c>
      <c r="H670" t="s">
        <v>109</v>
      </c>
      <c r="I670" t="s">
        <v>108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2:30" x14ac:dyDescent="0.25">
      <c r="B671" t="s">
        <v>133</v>
      </c>
      <c r="C671" t="s">
        <v>3256</v>
      </c>
      <c r="D671" t="s">
        <v>5715</v>
      </c>
      <c r="E671">
        <v>0</v>
      </c>
      <c r="F671" t="s">
        <v>5539</v>
      </c>
      <c r="G671" t="s">
        <v>3890</v>
      </c>
      <c r="H671" t="s">
        <v>109</v>
      </c>
      <c r="I671" t="s">
        <v>108</v>
      </c>
      <c r="J671">
        <v>2</v>
      </c>
      <c r="K671">
        <v>7437.8159999999998</v>
      </c>
      <c r="L671">
        <v>7682.2370000000001</v>
      </c>
      <c r="M671">
        <v>9461.0640000000003</v>
      </c>
      <c r="N671">
        <v>9579.5969999999998</v>
      </c>
      <c r="O671">
        <v>8023.1450000000004</v>
      </c>
      <c r="P671">
        <v>8127.0389999999998</v>
      </c>
      <c r="Q671">
        <v>8248.0149999999994</v>
      </c>
      <c r="R671">
        <v>8361.7880000000005</v>
      </c>
      <c r="S671">
        <v>8463.2710000000006</v>
      </c>
      <c r="T671">
        <v>8566.3009999999995</v>
      </c>
      <c r="U671">
        <v>8672.5169999999998</v>
      </c>
      <c r="V671">
        <v>8781.1470000000008</v>
      </c>
      <c r="W671">
        <v>8892.9470000000001</v>
      </c>
      <c r="X671">
        <v>9009.7759999999998</v>
      </c>
      <c r="Y671">
        <v>9130.0550000000003</v>
      </c>
      <c r="Z671">
        <v>9262.2939999999999</v>
      </c>
      <c r="AA671">
        <v>9395.9770000000008</v>
      </c>
      <c r="AB671">
        <v>9530.8979999999992</v>
      </c>
      <c r="AC671">
        <v>9667.2309999999998</v>
      </c>
      <c r="AD671">
        <v>9804.9120000000003</v>
      </c>
    </row>
    <row r="672" spans="2:30" x14ac:dyDescent="0.25">
      <c r="B672" t="s">
        <v>133</v>
      </c>
      <c r="C672" t="s">
        <v>3256</v>
      </c>
      <c r="D672" t="s">
        <v>5716</v>
      </c>
      <c r="E672">
        <v>0</v>
      </c>
      <c r="F672" t="s">
        <v>5539</v>
      </c>
      <c r="G672" t="s">
        <v>3890</v>
      </c>
      <c r="H672" t="s">
        <v>109</v>
      </c>
      <c r="I672" t="s">
        <v>108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2:30" x14ac:dyDescent="0.25">
      <c r="B673" t="s">
        <v>133</v>
      </c>
      <c r="C673" t="s">
        <v>3256</v>
      </c>
      <c r="D673" t="s">
        <v>5717</v>
      </c>
      <c r="E673">
        <v>0</v>
      </c>
      <c r="F673" t="s">
        <v>5539</v>
      </c>
      <c r="G673" t="s">
        <v>3890</v>
      </c>
      <c r="H673" t="s">
        <v>109</v>
      </c>
      <c r="I673" t="s">
        <v>108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2:30" x14ac:dyDescent="0.25">
      <c r="B674" t="s">
        <v>133</v>
      </c>
      <c r="C674" t="s">
        <v>3256</v>
      </c>
      <c r="D674" t="s">
        <v>5718</v>
      </c>
      <c r="E674">
        <v>0</v>
      </c>
      <c r="F674" t="s">
        <v>5539</v>
      </c>
      <c r="G674" t="s">
        <v>3890</v>
      </c>
      <c r="H674" t="s">
        <v>109</v>
      </c>
      <c r="I674" t="s">
        <v>108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2:30" x14ac:dyDescent="0.25">
      <c r="B675" t="s">
        <v>133</v>
      </c>
      <c r="C675" t="s">
        <v>3256</v>
      </c>
      <c r="D675" t="s">
        <v>5719</v>
      </c>
      <c r="E675" t="s">
        <v>5720</v>
      </c>
      <c r="F675" t="s">
        <v>5721</v>
      </c>
      <c r="G675" t="s">
        <v>3890</v>
      </c>
      <c r="H675" t="s">
        <v>109</v>
      </c>
      <c r="I675" t="s">
        <v>108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2:30" x14ac:dyDescent="0.25">
      <c r="B676" t="s">
        <v>133</v>
      </c>
      <c r="C676" t="s">
        <v>3256</v>
      </c>
      <c r="D676" t="s">
        <v>5722</v>
      </c>
      <c r="E676" t="s">
        <v>5723</v>
      </c>
      <c r="F676" t="s">
        <v>5724</v>
      </c>
      <c r="G676" t="s">
        <v>3890</v>
      </c>
      <c r="H676" t="s">
        <v>109</v>
      </c>
      <c r="I676" t="s">
        <v>108</v>
      </c>
      <c r="J676">
        <v>2</v>
      </c>
      <c r="K676">
        <v>6562.2219999999998</v>
      </c>
      <c r="L676">
        <v>6617.1670000000004</v>
      </c>
      <c r="M676">
        <v>8127.7539999999999</v>
      </c>
      <c r="N676">
        <v>8218.8449999999993</v>
      </c>
      <c r="O676">
        <v>6891.4269999999997</v>
      </c>
      <c r="P676">
        <v>6969.7049999999999</v>
      </c>
      <c r="Q676">
        <v>7061.55</v>
      </c>
      <c r="R676">
        <v>7147.37</v>
      </c>
      <c r="S676">
        <v>7223.0950000000003</v>
      </c>
      <c r="T676">
        <v>7299.866</v>
      </c>
      <c r="U676">
        <v>7378.9939999999997</v>
      </c>
      <c r="V676">
        <v>7459.85</v>
      </c>
      <c r="W676">
        <v>7543.0320000000002</v>
      </c>
      <c r="X676">
        <v>7630.0150000000003</v>
      </c>
      <c r="Y676">
        <v>7719.5230000000001</v>
      </c>
      <c r="Z676">
        <v>7820.17</v>
      </c>
      <c r="AA676">
        <v>7921.7979999999998</v>
      </c>
      <c r="AB676">
        <v>8024.2389999999996</v>
      </c>
      <c r="AC676">
        <v>8127.63</v>
      </c>
      <c r="AD676">
        <v>8231.9179999999997</v>
      </c>
    </row>
    <row r="677" spans="2:30" x14ac:dyDescent="0.25">
      <c r="B677" t="s">
        <v>133</v>
      </c>
      <c r="C677" t="s">
        <v>3256</v>
      </c>
      <c r="D677" t="s">
        <v>5725</v>
      </c>
      <c r="E677">
        <v>0</v>
      </c>
      <c r="F677" t="s">
        <v>5539</v>
      </c>
      <c r="G677" t="s">
        <v>3890</v>
      </c>
      <c r="H677" t="s">
        <v>109</v>
      </c>
      <c r="I677" t="s">
        <v>108</v>
      </c>
      <c r="J677">
        <v>2</v>
      </c>
      <c r="K677">
        <v>7437.8159999999998</v>
      </c>
      <c r="L677">
        <v>7682.2370000000001</v>
      </c>
      <c r="M677">
        <v>9461.0640000000003</v>
      </c>
      <c r="N677">
        <v>9579.5969999999998</v>
      </c>
      <c r="O677">
        <v>8023.1450000000004</v>
      </c>
      <c r="P677">
        <v>8127.0389999999998</v>
      </c>
      <c r="Q677">
        <v>8248.0149999999994</v>
      </c>
      <c r="R677">
        <v>8361.7880000000005</v>
      </c>
      <c r="S677">
        <v>8463.2710000000006</v>
      </c>
      <c r="T677">
        <v>8566.3009999999995</v>
      </c>
      <c r="U677">
        <v>8672.5169999999998</v>
      </c>
      <c r="V677">
        <v>8781.1470000000008</v>
      </c>
      <c r="W677">
        <v>8892.9470000000001</v>
      </c>
      <c r="X677">
        <v>9009.7759999999998</v>
      </c>
      <c r="Y677">
        <v>9130.0550000000003</v>
      </c>
      <c r="Z677">
        <v>9262.2939999999999</v>
      </c>
      <c r="AA677">
        <v>9395.9770000000008</v>
      </c>
      <c r="AB677">
        <v>9530.8979999999992</v>
      </c>
      <c r="AC677">
        <v>9667.2309999999998</v>
      </c>
      <c r="AD677">
        <v>9804.9120000000003</v>
      </c>
    </row>
    <row r="678" spans="2:30" x14ac:dyDescent="0.25">
      <c r="B678" t="s">
        <v>133</v>
      </c>
      <c r="C678" t="s">
        <v>3256</v>
      </c>
      <c r="D678" t="s">
        <v>5726</v>
      </c>
      <c r="E678">
        <v>0</v>
      </c>
      <c r="F678" t="s">
        <v>5539</v>
      </c>
      <c r="G678" t="s">
        <v>3890</v>
      </c>
      <c r="H678" t="s">
        <v>109</v>
      </c>
      <c r="I678" t="s">
        <v>108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2:30" x14ac:dyDescent="0.25">
      <c r="B679" t="s">
        <v>133</v>
      </c>
      <c r="C679" t="s">
        <v>3256</v>
      </c>
      <c r="D679" t="s">
        <v>5727</v>
      </c>
      <c r="E679" t="s">
        <v>1224</v>
      </c>
      <c r="F679" t="s">
        <v>5728</v>
      </c>
      <c r="G679" t="s">
        <v>3890</v>
      </c>
      <c r="H679" t="s">
        <v>109</v>
      </c>
      <c r="I679" t="s">
        <v>108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2:30" x14ac:dyDescent="0.25">
      <c r="B680" t="s">
        <v>133</v>
      </c>
      <c r="C680" t="s">
        <v>3256</v>
      </c>
      <c r="D680" t="s">
        <v>5729</v>
      </c>
      <c r="E680" t="s">
        <v>1225</v>
      </c>
      <c r="F680" t="s">
        <v>5730</v>
      </c>
      <c r="G680" t="s">
        <v>3890</v>
      </c>
      <c r="H680" t="s">
        <v>109</v>
      </c>
      <c r="I680" t="s">
        <v>108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2:30" x14ac:dyDescent="0.25">
      <c r="B681" t="s">
        <v>133</v>
      </c>
      <c r="C681" t="s">
        <v>3256</v>
      </c>
      <c r="D681" t="s">
        <v>5731</v>
      </c>
      <c r="E681" t="s">
        <v>1226</v>
      </c>
      <c r="F681" t="s">
        <v>5732</v>
      </c>
      <c r="G681" t="s">
        <v>3890</v>
      </c>
      <c r="H681" t="s">
        <v>109</v>
      </c>
      <c r="I681" t="s">
        <v>108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2:30" x14ac:dyDescent="0.25">
      <c r="B682" t="s">
        <v>133</v>
      </c>
      <c r="C682" t="s">
        <v>3256</v>
      </c>
      <c r="D682" t="s">
        <v>5733</v>
      </c>
      <c r="E682" t="s">
        <v>1227</v>
      </c>
      <c r="F682" t="s">
        <v>5734</v>
      </c>
      <c r="G682" t="s">
        <v>3890</v>
      </c>
      <c r="H682" t="s">
        <v>109</v>
      </c>
      <c r="I682" t="s">
        <v>108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2:30" x14ac:dyDescent="0.25">
      <c r="B683" t="s">
        <v>133</v>
      </c>
      <c r="C683" t="s">
        <v>3256</v>
      </c>
      <c r="D683" t="s">
        <v>5735</v>
      </c>
      <c r="E683" t="s">
        <v>1228</v>
      </c>
      <c r="F683" t="s">
        <v>5736</v>
      </c>
      <c r="G683" t="s">
        <v>3890</v>
      </c>
      <c r="H683" t="s">
        <v>109</v>
      </c>
      <c r="I683" t="s">
        <v>108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2:30" x14ac:dyDescent="0.25">
      <c r="B684" t="s">
        <v>133</v>
      </c>
      <c r="C684" t="s">
        <v>3256</v>
      </c>
      <c r="D684" t="s">
        <v>5737</v>
      </c>
      <c r="E684" t="s">
        <v>1229</v>
      </c>
      <c r="F684" t="s">
        <v>5738</v>
      </c>
      <c r="G684" t="s">
        <v>3890</v>
      </c>
      <c r="H684" t="s">
        <v>109</v>
      </c>
      <c r="I684" t="s">
        <v>108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2:30" x14ac:dyDescent="0.25">
      <c r="B685" t="s">
        <v>133</v>
      </c>
      <c r="C685" t="s">
        <v>3256</v>
      </c>
      <c r="D685" t="s">
        <v>5739</v>
      </c>
      <c r="E685" t="s">
        <v>1230</v>
      </c>
      <c r="F685" t="s">
        <v>5740</v>
      </c>
      <c r="G685" t="s">
        <v>3890</v>
      </c>
      <c r="H685" t="s">
        <v>109</v>
      </c>
      <c r="I685" t="s">
        <v>108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2:30" x14ac:dyDescent="0.25">
      <c r="B686" t="s">
        <v>133</v>
      </c>
      <c r="C686" t="s">
        <v>3256</v>
      </c>
      <c r="D686" t="s">
        <v>5741</v>
      </c>
      <c r="E686" t="s">
        <v>1231</v>
      </c>
      <c r="F686" t="s">
        <v>5742</v>
      </c>
      <c r="G686" t="s">
        <v>3890</v>
      </c>
      <c r="H686" t="s">
        <v>109</v>
      </c>
      <c r="I686" t="s">
        <v>108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2:30" x14ac:dyDescent="0.25">
      <c r="B687" t="s">
        <v>133</v>
      </c>
      <c r="C687" t="s">
        <v>3256</v>
      </c>
      <c r="D687" t="s">
        <v>5743</v>
      </c>
      <c r="E687" t="s">
        <v>1232</v>
      </c>
      <c r="F687" t="s">
        <v>5744</v>
      </c>
      <c r="G687" t="s">
        <v>3890</v>
      </c>
      <c r="H687" t="s">
        <v>109</v>
      </c>
      <c r="I687" t="s">
        <v>108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2:30" x14ac:dyDescent="0.25">
      <c r="B688" t="s">
        <v>133</v>
      </c>
      <c r="C688" t="s">
        <v>3256</v>
      </c>
      <c r="D688" t="s">
        <v>5745</v>
      </c>
      <c r="E688" t="s">
        <v>1197</v>
      </c>
      <c r="F688" t="s">
        <v>5746</v>
      </c>
      <c r="G688" t="s">
        <v>3890</v>
      </c>
      <c r="H688" t="s">
        <v>109</v>
      </c>
      <c r="I688" t="s">
        <v>108</v>
      </c>
      <c r="J688">
        <v>2</v>
      </c>
      <c r="K688">
        <v>227.214</v>
      </c>
      <c r="L688">
        <v>212.61799999999999</v>
      </c>
      <c r="M688">
        <v>252.76599999999999</v>
      </c>
      <c r="N688">
        <v>271.80900000000003</v>
      </c>
      <c r="O688">
        <v>239.02699999999999</v>
      </c>
      <c r="P688">
        <v>243.09800000000001</v>
      </c>
      <c r="Q688">
        <v>249.131</v>
      </c>
      <c r="R688">
        <v>254.94399999999999</v>
      </c>
      <c r="S688">
        <v>260.32799999999997</v>
      </c>
      <c r="T688">
        <v>265.8</v>
      </c>
      <c r="U688">
        <v>270.94400000000002</v>
      </c>
      <c r="V688">
        <v>276.20800000000003</v>
      </c>
      <c r="W688">
        <v>281.62700000000001</v>
      </c>
      <c r="X688">
        <v>287.279</v>
      </c>
      <c r="Y688">
        <v>293.09899999999999</v>
      </c>
      <c r="Z688">
        <v>299.06400000000002</v>
      </c>
      <c r="AA688">
        <v>305.101</v>
      </c>
      <c r="AB688">
        <v>311.20100000000002</v>
      </c>
      <c r="AC688">
        <v>317.36900000000003</v>
      </c>
      <c r="AD688">
        <v>323.60500000000002</v>
      </c>
    </row>
    <row r="689" spans="2:30" x14ac:dyDescent="0.25">
      <c r="B689" t="s">
        <v>133</v>
      </c>
      <c r="C689" t="s">
        <v>3256</v>
      </c>
      <c r="D689" t="s">
        <v>5747</v>
      </c>
      <c r="E689" t="s">
        <v>1198</v>
      </c>
      <c r="F689" t="s">
        <v>5748</v>
      </c>
      <c r="G689" t="s">
        <v>3890</v>
      </c>
      <c r="H689" t="s">
        <v>109</v>
      </c>
      <c r="I689" t="s">
        <v>108</v>
      </c>
      <c r="J689">
        <v>2</v>
      </c>
      <c r="K689">
        <v>1528.7239999999999</v>
      </c>
      <c r="L689">
        <v>1311.681</v>
      </c>
      <c r="M689">
        <v>1444.05</v>
      </c>
      <c r="N689">
        <v>1501.115</v>
      </c>
      <c r="O689">
        <v>1342.2080000000001</v>
      </c>
      <c r="P689">
        <v>1400.864</v>
      </c>
      <c r="Q689">
        <v>1469.34</v>
      </c>
      <c r="R689">
        <v>1536.327</v>
      </c>
      <c r="S689">
        <v>1599.0050000000001</v>
      </c>
      <c r="T689">
        <v>1664.116</v>
      </c>
      <c r="U689">
        <v>1732.6130000000001</v>
      </c>
      <c r="V689">
        <v>1804.2190000000001</v>
      </c>
      <c r="W689">
        <v>1879.4739999999999</v>
      </c>
      <c r="X689">
        <v>1959.5940000000001</v>
      </c>
      <c r="Y689">
        <v>2043.896</v>
      </c>
      <c r="Z689">
        <v>2132.223</v>
      </c>
      <c r="AA689">
        <v>2223.6320000000001</v>
      </c>
      <c r="AB689">
        <v>2318.0740000000001</v>
      </c>
      <c r="AC689">
        <v>2415.7289999999998</v>
      </c>
      <c r="AD689">
        <v>2516.636</v>
      </c>
    </row>
    <row r="690" spans="2:30" x14ac:dyDescent="0.25">
      <c r="B690" t="s">
        <v>133</v>
      </c>
      <c r="C690" t="s">
        <v>3256</v>
      </c>
      <c r="D690" t="s">
        <v>5749</v>
      </c>
      <c r="E690" t="s">
        <v>1199</v>
      </c>
      <c r="F690" t="s">
        <v>5750</v>
      </c>
      <c r="G690" t="s">
        <v>3890</v>
      </c>
      <c r="H690" t="s">
        <v>109</v>
      </c>
      <c r="I690" t="s">
        <v>108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2:30" x14ac:dyDescent="0.25">
      <c r="B691" t="s">
        <v>133</v>
      </c>
      <c r="C691" t="s">
        <v>3256</v>
      </c>
      <c r="D691" t="s">
        <v>5751</v>
      </c>
      <c r="E691" t="s">
        <v>1200</v>
      </c>
      <c r="F691" t="s">
        <v>5752</v>
      </c>
      <c r="G691" t="s">
        <v>3890</v>
      </c>
      <c r="H691" t="s">
        <v>109</v>
      </c>
      <c r="I691" t="s">
        <v>108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2:30" x14ac:dyDescent="0.25">
      <c r="B692" t="s">
        <v>133</v>
      </c>
      <c r="C692" t="s">
        <v>3256</v>
      </c>
      <c r="D692" t="s">
        <v>5753</v>
      </c>
      <c r="E692" t="s">
        <v>1201</v>
      </c>
      <c r="F692" t="s">
        <v>5754</v>
      </c>
      <c r="G692" t="s">
        <v>3890</v>
      </c>
      <c r="H692" t="s">
        <v>109</v>
      </c>
      <c r="I692" t="s">
        <v>108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2:30" x14ac:dyDescent="0.25">
      <c r="B693" t="s">
        <v>133</v>
      </c>
      <c r="C693" t="s">
        <v>3256</v>
      </c>
      <c r="D693" t="s">
        <v>5755</v>
      </c>
      <c r="E693" t="s">
        <v>1202</v>
      </c>
      <c r="F693" t="s">
        <v>5756</v>
      </c>
      <c r="G693" t="s">
        <v>3890</v>
      </c>
      <c r="H693" t="s">
        <v>109</v>
      </c>
      <c r="I693" t="s">
        <v>108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2:30" x14ac:dyDescent="0.25">
      <c r="B694" t="s">
        <v>133</v>
      </c>
      <c r="C694" t="s">
        <v>3256</v>
      </c>
      <c r="D694" t="s">
        <v>5757</v>
      </c>
      <c r="E694" t="s">
        <v>1203</v>
      </c>
      <c r="F694" t="s">
        <v>5758</v>
      </c>
      <c r="G694" t="s">
        <v>3890</v>
      </c>
      <c r="H694" t="s">
        <v>109</v>
      </c>
      <c r="I694" t="s">
        <v>108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2:30" x14ac:dyDescent="0.25">
      <c r="B695" t="s">
        <v>133</v>
      </c>
      <c r="C695" t="s">
        <v>3256</v>
      </c>
      <c r="D695" t="s">
        <v>5759</v>
      </c>
      <c r="E695" t="s">
        <v>1204</v>
      </c>
      <c r="F695" t="s">
        <v>5760</v>
      </c>
      <c r="G695" t="s">
        <v>3890</v>
      </c>
      <c r="H695" t="s">
        <v>109</v>
      </c>
      <c r="I695" t="s">
        <v>108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s="130">
        <v>0</v>
      </c>
      <c r="X695" s="130">
        <v>0</v>
      </c>
      <c r="Y695" s="130">
        <v>0</v>
      </c>
      <c r="Z695" s="130">
        <v>0</v>
      </c>
      <c r="AA695" s="130">
        <v>0</v>
      </c>
      <c r="AB695" s="130">
        <v>0</v>
      </c>
      <c r="AC695" s="130">
        <v>0</v>
      </c>
      <c r="AD695" s="130">
        <v>0</v>
      </c>
    </row>
    <row r="696" spans="2:30" x14ac:dyDescent="0.25">
      <c r="B696" t="s">
        <v>133</v>
      </c>
      <c r="C696" t="s">
        <v>3256</v>
      </c>
      <c r="D696" t="s">
        <v>5761</v>
      </c>
      <c r="E696" t="s">
        <v>1205</v>
      </c>
      <c r="F696" t="s">
        <v>5762</v>
      </c>
      <c r="G696" t="s">
        <v>3890</v>
      </c>
      <c r="H696" t="s">
        <v>109</v>
      </c>
      <c r="I696" t="s">
        <v>108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s="130">
        <v>0</v>
      </c>
      <c r="X696" s="130">
        <v>0</v>
      </c>
      <c r="Y696" s="130">
        <v>0</v>
      </c>
      <c r="Z696" s="130">
        <v>0</v>
      </c>
      <c r="AA696" s="130">
        <v>0</v>
      </c>
      <c r="AB696" s="130">
        <v>0</v>
      </c>
      <c r="AC696" s="130">
        <v>0</v>
      </c>
      <c r="AD696" s="130">
        <v>0</v>
      </c>
    </row>
    <row r="697" spans="2:30" x14ac:dyDescent="0.25">
      <c r="B697" t="s">
        <v>133</v>
      </c>
      <c r="C697" t="s">
        <v>3256</v>
      </c>
      <c r="D697" t="s">
        <v>5763</v>
      </c>
      <c r="E697" t="s">
        <v>1215</v>
      </c>
      <c r="F697" t="s">
        <v>5764</v>
      </c>
      <c r="G697" t="s">
        <v>3890</v>
      </c>
      <c r="H697" t="s">
        <v>109</v>
      </c>
      <c r="I697" t="s">
        <v>108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2:30" x14ac:dyDescent="0.25">
      <c r="B698" t="s">
        <v>133</v>
      </c>
      <c r="C698" t="s">
        <v>3256</v>
      </c>
      <c r="D698" t="s">
        <v>5765</v>
      </c>
      <c r="E698" t="s">
        <v>1216</v>
      </c>
      <c r="F698" t="s">
        <v>5766</v>
      </c>
      <c r="G698" t="s">
        <v>3890</v>
      </c>
      <c r="H698" t="s">
        <v>109</v>
      </c>
      <c r="I698" t="s">
        <v>108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2:30" x14ac:dyDescent="0.25">
      <c r="B699" t="s">
        <v>133</v>
      </c>
      <c r="C699" t="s">
        <v>3256</v>
      </c>
      <c r="D699" t="s">
        <v>5767</v>
      </c>
      <c r="E699" t="s">
        <v>1217</v>
      </c>
      <c r="F699" t="s">
        <v>5768</v>
      </c>
      <c r="G699" t="s">
        <v>3890</v>
      </c>
      <c r="H699" t="s">
        <v>109</v>
      </c>
      <c r="I699" t="s">
        <v>108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2:30" x14ac:dyDescent="0.25">
      <c r="B700" t="s">
        <v>133</v>
      </c>
      <c r="C700" t="s">
        <v>3256</v>
      </c>
      <c r="D700" t="s">
        <v>5769</v>
      </c>
      <c r="E700" t="s">
        <v>1218</v>
      </c>
      <c r="F700" t="s">
        <v>5770</v>
      </c>
      <c r="G700" t="s">
        <v>3890</v>
      </c>
      <c r="H700" t="s">
        <v>109</v>
      </c>
      <c r="I700" t="s">
        <v>108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2:30" x14ac:dyDescent="0.25">
      <c r="B701" t="s">
        <v>133</v>
      </c>
      <c r="C701" t="s">
        <v>3256</v>
      </c>
      <c r="D701" t="s">
        <v>5771</v>
      </c>
      <c r="E701" t="s">
        <v>1219</v>
      </c>
      <c r="F701" t="s">
        <v>5772</v>
      </c>
      <c r="G701" t="s">
        <v>3890</v>
      </c>
      <c r="H701" t="s">
        <v>109</v>
      </c>
      <c r="I701" t="s">
        <v>108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2:30" x14ac:dyDescent="0.25">
      <c r="B702" t="s">
        <v>133</v>
      </c>
      <c r="C702" t="s">
        <v>3256</v>
      </c>
      <c r="D702" t="s">
        <v>5773</v>
      </c>
      <c r="E702" t="s">
        <v>1220</v>
      </c>
      <c r="F702" t="s">
        <v>5774</v>
      </c>
      <c r="G702" t="s">
        <v>3890</v>
      </c>
      <c r="H702" t="s">
        <v>109</v>
      </c>
      <c r="I702" t="s">
        <v>108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2:30" x14ac:dyDescent="0.25">
      <c r="B703" t="s">
        <v>133</v>
      </c>
      <c r="C703" t="s">
        <v>3256</v>
      </c>
      <c r="D703" t="s">
        <v>5775</v>
      </c>
      <c r="E703" t="s">
        <v>1221</v>
      </c>
      <c r="F703" t="s">
        <v>5776</v>
      </c>
      <c r="G703" t="s">
        <v>3890</v>
      </c>
      <c r="H703" t="s">
        <v>109</v>
      </c>
      <c r="I703" t="s">
        <v>108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2:30" x14ac:dyDescent="0.25">
      <c r="B704" t="s">
        <v>133</v>
      </c>
      <c r="C704" t="s">
        <v>3256</v>
      </c>
      <c r="D704" t="s">
        <v>5777</v>
      </c>
      <c r="E704" t="s">
        <v>1222</v>
      </c>
      <c r="F704" t="s">
        <v>5778</v>
      </c>
      <c r="G704" t="s">
        <v>3890</v>
      </c>
      <c r="H704" t="s">
        <v>109</v>
      </c>
      <c r="I704" t="s">
        <v>108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2:30" x14ac:dyDescent="0.25">
      <c r="B705" t="s">
        <v>133</v>
      </c>
      <c r="C705" t="s">
        <v>3256</v>
      </c>
      <c r="D705" t="s">
        <v>5779</v>
      </c>
      <c r="E705" t="s">
        <v>1223</v>
      </c>
      <c r="F705" t="s">
        <v>5780</v>
      </c>
      <c r="G705" t="s">
        <v>3890</v>
      </c>
      <c r="H705" t="s">
        <v>109</v>
      </c>
      <c r="I705" t="s">
        <v>108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2:30" x14ac:dyDescent="0.25">
      <c r="B706" t="s">
        <v>133</v>
      </c>
      <c r="C706" t="s">
        <v>3256</v>
      </c>
      <c r="D706" t="s">
        <v>5781</v>
      </c>
      <c r="E706" t="s">
        <v>5782</v>
      </c>
      <c r="F706" t="s">
        <v>5783</v>
      </c>
      <c r="G706" t="s">
        <v>3890</v>
      </c>
      <c r="H706" t="s">
        <v>109</v>
      </c>
      <c r="I706" t="s">
        <v>108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2:30" x14ac:dyDescent="0.25">
      <c r="B707" t="s">
        <v>133</v>
      </c>
      <c r="C707" t="s">
        <v>3256</v>
      </c>
      <c r="D707" t="s">
        <v>5784</v>
      </c>
      <c r="E707" t="s">
        <v>5785</v>
      </c>
      <c r="F707" t="s">
        <v>5786</v>
      </c>
      <c r="G707" t="s">
        <v>3890</v>
      </c>
      <c r="H707" t="s">
        <v>109</v>
      </c>
      <c r="I707" t="s">
        <v>108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2:30" x14ac:dyDescent="0.25">
      <c r="B708" t="s">
        <v>133</v>
      </c>
      <c r="C708" t="s">
        <v>3256</v>
      </c>
      <c r="D708" t="s">
        <v>5787</v>
      </c>
      <c r="E708" t="s">
        <v>5788</v>
      </c>
      <c r="F708" t="s">
        <v>5789</v>
      </c>
      <c r="G708" t="s">
        <v>3890</v>
      </c>
      <c r="H708" t="s">
        <v>109</v>
      </c>
      <c r="I708" t="s">
        <v>108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2:30" x14ac:dyDescent="0.25">
      <c r="B709" t="s">
        <v>133</v>
      </c>
      <c r="C709" t="s">
        <v>3256</v>
      </c>
      <c r="D709" t="s">
        <v>5790</v>
      </c>
      <c r="E709" t="s">
        <v>5791</v>
      </c>
      <c r="F709" t="s">
        <v>5792</v>
      </c>
      <c r="G709" t="s">
        <v>3890</v>
      </c>
      <c r="H709" t="s">
        <v>109</v>
      </c>
      <c r="I709" t="s">
        <v>108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2:30" x14ac:dyDescent="0.25">
      <c r="B710" t="s">
        <v>133</v>
      </c>
      <c r="C710" t="s">
        <v>3256</v>
      </c>
      <c r="D710" t="s">
        <v>5793</v>
      </c>
      <c r="E710" t="s">
        <v>5794</v>
      </c>
      <c r="F710" t="s">
        <v>5795</v>
      </c>
      <c r="G710" t="s">
        <v>3890</v>
      </c>
      <c r="H710" t="s">
        <v>109</v>
      </c>
      <c r="I710" t="s">
        <v>108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2:30" x14ac:dyDescent="0.25">
      <c r="B711" t="s">
        <v>133</v>
      </c>
      <c r="C711" t="s">
        <v>3256</v>
      </c>
      <c r="D711" t="s">
        <v>5796</v>
      </c>
      <c r="E711" t="s">
        <v>5797</v>
      </c>
      <c r="F711" t="s">
        <v>5798</v>
      </c>
      <c r="G711" t="s">
        <v>3890</v>
      </c>
      <c r="H711" t="s">
        <v>109</v>
      </c>
      <c r="I711" t="s">
        <v>108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 s="169">
        <v>0</v>
      </c>
      <c r="Y711" s="169">
        <v>0</v>
      </c>
      <c r="Z711" s="169">
        <v>0</v>
      </c>
      <c r="AA711" s="169">
        <v>0</v>
      </c>
      <c r="AB711" s="169">
        <v>0</v>
      </c>
      <c r="AC711" s="169">
        <v>0</v>
      </c>
      <c r="AD711" s="169">
        <v>0</v>
      </c>
    </row>
    <row r="712" spans="2:30" x14ac:dyDescent="0.25">
      <c r="B712" t="s">
        <v>133</v>
      </c>
      <c r="C712" t="s">
        <v>3256</v>
      </c>
      <c r="D712" t="s">
        <v>5799</v>
      </c>
      <c r="E712" t="s">
        <v>5800</v>
      </c>
      <c r="F712" t="s">
        <v>5801</v>
      </c>
      <c r="G712" t="s">
        <v>3890</v>
      </c>
      <c r="H712" t="s">
        <v>109</v>
      </c>
      <c r="I712" t="s">
        <v>108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s="169">
        <v>0</v>
      </c>
      <c r="Y712" s="169">
        <v>0</v>
      </c>
      <c r="Z712" s="169">
        <v>0</v>
      </c>
      <c r="AA712" s="169">
        <v>0</v>
      </c>
      <c r="AB712" s="169">
        <v>0</v>
      </c>
      <c r="AC712" s="169">
        <v>0</v>
      </c>
      <c r="AD712" s="169">
        <v>0</v>
      </c>
    </row>
    <row r="713" spans="2:30" x14ac:dyDescent="0.25">
      <c r="B713" t="s">
        <v>133</v>
      </c>
      <c r="C713" t="s">
        <v>3256</v>
      </c>
      <c r="D713" t="s">
        <v>5802</v>
      </c>
      <c r="E713" t="s">
        <v>5803</v>
      </c>
      <c r="F713" t="s">
        <v>5804</v>
      </c>
      <c r="G713" t="s">
        <v>3890</v>
      </c>
      <c r="H713" t="s">
        <v>109</v>
      </c>
      <c r="I713" t="s">
        <v>108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2:30" x14ac:dyDescent="0.25">
      <c r="B714" t="s">
        <v>133</v>
      </c>
      <c r="C714" t="s">
        <v>3256</v>
      </c>
      <c r="D714" t="s">
        <v>5805</v>
      </c>
      <c r="E714" t="s">
        <v>5806</v>
      </c>
      <c r="F714" t="s">
        <v>5807</v>
      </c>
      <c r="G714" t="s">
        <v>3890</v>
      </c>
      <c r="H714" t="s">
        <v>109</v>
      </c>
      <c r="I714" t="s">
        <v>108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2:30" x14ac:dyDescent="0.25">
      <c r="B715" t="s">
        <v>133</v>
      </c>
      <c r="C715" t="s">
        <v>3256</v>
      </c>
      <c r="D715" t="s">
        <v>5808</v>
      </c>
      <c r="E715" t="s">
        <v>5809</v>
      </c>
      <c r="F715" t="s">
        <v>5810</v>
      </c>
      <c r="G715" t="s">
        <v>3890</v>
      </c>
      <c r="H715" t="s">
        <v>109</v>
      </c>
      <c r="I715" t="s">
        <v>108</v>
      </c>
      <c r="J715">
        <v>2</v>
      </c>
      <c r="K715">
        <v>1223.682</v>
      </c>
      <c r="L715">
        <v>1135.251</v>
      </c>
      <c r="M715">
        <v>1271.8219999999999</v>
      </c>
      <c r="N715">
        <v>1419.712</v>
      </c>
      <c r="O715">
        <v>1493.4860000000001</v>
      </c>
      <c r="P715">
        <v>1420.4269999999999</v>
      </c>
      <c r="Q715">
        <v>1468.078</v>
      </c>
      <c r="R715">
        <v>1506.4280000000001</v>
      </c>
      <c r="S715">
        <v>1565.8969999999999</v>
      </c>
      <c r="T715">
        <v>1620.5</v>
      </c>
      <c r="U715">
        <v>1676.6410000000001</v>
      </c>
      <c r="V715">
        <v>1731.172</v>
      </c>
      <c r="W715">
        <v>1788.2139999999999</v>
      </c>
      <c r="X715">
        <v>1847.672</v>
      </c>
      <c r="Y715">
        <v>1909.97</v>
      </c>
      <c r="Z715">
        <v>1974.633</v>
      </c>
      <c r="AA715">
        <v>2040.925</v>
      </c>
      <c r="AB715">
        <v>2109.009</v>
      </c>
      <c r="AC715">
        <v>2179.0250000000001</v>
      </c>
      <c r="AD715">
        <v>2250.9589999999998</v>
      </c>
    </row>
    <row r="716" spans="2:30" x14ac:dyDescent="0.25">
      <c r="B716" t="s">
        <v>133</v>
      </c>
      <c r="C716" t="s">
        <v>3256</v>
      </c>
      <c r="D716" t="s">
        <v>5811</v>
      </c>
      <c r="E716">
        <v>0</v>
      </c>
      <c r="F716" t="s">
        <v>5539</v>
      </c>
      <c r="G716" t="s">
        <v>3890</v>
      </c>
      <c r="H716" t="s">
        <v>109</v>
      </c>
      <c r="I716" t="s">
        <v>108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2:30" x14ac:dyDescent="0.25">
      <c r="B717" t="s">
        <v>133</v>
      </c>
      <c r="C717" t="s">
        <v>3256</v>
      </c>
      <c r="D717" t="s">
        <v>5812</v>
      </c>
      <c r="E717">
        <v>0</v>
      </c>
      <c r="F717" t="s">
        <v>5539</v>
      </c>
      <c r="G717" t="s">
        <v>3890</v>
      </c>
      <c r="H717" t="s">
        <v>109</v>
      </c>
      <c r="I717" t="s">
        <v>108</v>
      </c>
      <c r="J717">
        <v>2</v>
      </c>
      <c r="K717">
        <v>0</v>
      </c>
      <c r="L717">
        <v>0.96899999999999997</v>
      </c>
      <c r="M717">
        <v>1.1479999999999999</v>
      </c>
      <c r="N717">
        <v>1.1080000000000001</v>
      </c>
      <c r="O717">
        <v>1.0529999999999999</v>
      </c>
      <c r="P717">
        <v>0.94799999999999995</v>
      </c>
      <c r="Q717">
        <v>1.034</v>
      </c>
      <c r="R717">
        <v>1.0269999999999999</v>
      </c>
      <c r="S717">
        <v>1.042</v>
      </c>
      <c r="T717">
        <v>1.038</v>
      </c>
      <c r="U717">
        <v>1.04</v>
      </c>
      <c r="V717">
        <v>1.0409999999999999</v>
      </c>
      <c r="W717">
        <v>1.044</v>
      </c>
      <c r="X717">
        <v>1.048</v>
      </c>
      <c r="Y717">
        <v>1.0529999999999999</v>
      </c>
      <c r="Z717">
        <v>1.0569999999999999</v>
      </c>
      <c r="AA717">
        <v>1.0620000000000001</v>
      </c>
      <c r="AB717">
        <v>1.0669999999999999</v>
      </c>
      <c r="AC717">
        <v>1.0720000000000001</v>
      </c>
      <c r="AD717">
        <v>1.073</v>
      </c>
    </row>
    <row r="718" spans="2:30" x14ac:dyDescent="0.25">
      <c r="B718" t="s">
        <v>133</v>
      </c>
      <c r="C718" t="s">
        <v>3256</v>
      </c>
      <c r="D718" t="s">
        <v>5813</v>
      </c>
      <c r="E718">
        <v>0</v>
      </c>
      <c r="F718" t="s">
        <v>5539</v>
      </c>
      <c r="G718" t="s">
        <v>3890</v>
      </c>
      <c r="H718" t="s">
        <v>109</v>
      </c>
      <c r="I718" t="s">
        <v>108</v>
      </c>
      <c r="J718">
        <v>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2:30" x14ac:dyDescent="0.25">
      <c r="B719" t="s">
        <v>133</v>
      </c>
      <c r="C719" t="s">
        <v>3256</v>
      </c>
      <c r="D719" t="s">
        <v>5814</v>
      </c>
      <c r="E719">
        <v>0</v>
      </c>
      <c r="F719" t="s">
        <v>5539</v>
      </c>
      <c r="G719" t="s">
        <v>3890</v>
      </c>
      <c r="H719" t="s">
        <v>109</v>
      </c>
      <c r="I719" t="s">
        <v>108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2:30" x14ac:dyDescent="0.25">
      <c r="B720" t="s">
        <v>133</v>
      </c>
      <c r="C720" t="s">
        <v>3256</v>
      </c>
      <c r="D720" t="s">
        <v>5815</v>
      </c>
      <c r="E720">
        <v>0</v>
      </c>
      <c r="F720" t="s">
        <v>5539</v>
      </c>
      <c r="G720" t="s">
        <v>3890</v>
      </c>
      <c r="H720" t="s">
        <v>109</v>
      </c>
      <c r="I720" t="s">
        <v>108</v>
      </c>
      <c r="J720">
        <v>2</v>
      </c>
      <c r="K720" t="e">
        <v>#VALUE!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2:30" x14ac:dyDescent="0.25">
      <c r="B721" t="s">
        <v>133</v>
      </c>
      <c r="C721" t="s">
        <v>3256</v>
      </c>
      <c r="D721" t="s">
        <v>5816</v>
      </c>
      <c r="E721" t="s">
        <v>5817</v>
      </c>
      <c r="F721" t="s">
        <v>5818</v>
      </c>
      <c r="G721" t="s">
        <v>3890</v>
      </c>
      <c r="H721" t="s">
        <v>109</v>
      </c>
      <c r="I721" t="s">
        <v>108</v>
      </c>
      <c r="J721">
        <v>2</v>
      </c>
      <c r="K721" t="e">
        <v>#VALUE!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2:30" x14ac:dyDescent="0.25">
      <c r="B722" t="s">
        <v>133</v>
      </c>
      <c r="C722" t="s">
        <v>3256</v>
      </c>
      <c r="D722" t="s">
        <v>5819</v>
      </c>
      <c r="E722" t="s">
        <v>5820</v>
      </c>
      <c r="F722" t="s">
        <v>5821</v>
      </c>
      <c r="G722" t="s">
        <v>3890</v>
      </c>
      <c r="H722" t="s">
        <v>109</v>
      </c>
      <c r="I722" t="s">
        <v>108</v>
      </c>
      <c r="J722">
        <v>2</v>
      </c>
      <c r="K722" t="e">
        <v>#VALUE!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2:30" x14ac:dyDescent="0.25">
      <c r="B723" t="s">
        <v>133</v>
      </c>
      <c r="C723" t="s">
        <v>3256</v>
      </c>
      <c r="D723" t="s">
        <v>5822</v>
      </c>
      <c r="E723" t="s">
        <v>5823</v>
      </c>
      <c r="F723" t="s">
        <v>5824</v>
      </c>
      <c r="G723" t="s">
        <v>3890</v>
      </c>
      <c r="H723" t="s">
        <v>109</v>
      </c>
      <c r="I723" t="s">
        <v>108</v>
      </c>
      <c r="J723">
        <v>2</v>
      </c>
      <c r="K723" t="e">
        <v>#VALUE!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2:30" x14ac:dyDescent="0.25">
      <c r="B724" t="s">
        <v>133</v>
      </c>
      <c r="C724" t="s">
        <v>3256</v>
      </c>
      <c r="D724" t="s">
        <v>5825</v>
      </c>
      <c r="E724">
        <v>0</v>
      </c>
      <c r="F724" t="s">
        <v>5539</v>
      </c>
      <c r="G724" t="s">
        <v>3890</v>
      </c>
      <c r="H724" t="s">
        <v>109</v>
      </c>
      <c r="I724" t="s">
        <v>108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2:30" x14ac:dyDescent="0.25">
      <c r="B725" t="s">
        <v>133</v>
      </c>
      <c r="C725" t="s">
        <v>3256</v>
      </c>
      <c r="D725" t="s">
        <v>5826</v>
      </c>
      <c r="E725">
        <v>0</v>
      </c>
      <c r="F725" t="s">
        <v>5539</v>
      </c>
      <c r="G725" t="s">
        <v>3890</v>
      </c>
      <c r="H725" t="s">
        <v>109</v>
      </c>
      <c r="I725" t="s">
        <v>108</v>
      </c>
      <c r="J725">
        <v>2</v>
      </c>
      <c r="K725">
        <v>0</v>
      </c>
      <c r="L725">
        <v>1</v>
      </c>
      <c r="M725">
        <v>2</v>
      </c>
      <c r="N725">
        <v>3</v>
      </c>
      <c r="O725">
        <v>4</v>
      </c>
      <c r="P725">
        <v>5</v>
      </c>
      <c r="Q725">
        <v>6</v>
      </c>
      <c r="R725">
        <v>7</v>
      </c>
      <c r="S725">
        <v>8</v>
      </c>
      <c r="T725">
        <v>9</v>
      </c>
      <c r="U725">
        <v>10</v>
      </c>
      <c r="V725">
        <v>11</v>
      </c>
      <c r="W725">
        <v>12</v>
      </c>
      <c r="X725">
        <v>13</v>
      </c>
      <c r="Y725">
        <v>14</v>
      </c>
      <c r="Z725">
        <v>15</v>
      </c>
      <c r="AA725">
        <v>16</v>
      </c>
      <c r="AB725">
        <v>17</v>
      </c>
      <c r="AC725">
        <v>18</v>
      </c>
      <c r="AD725">
        <v>19</v>
      </c>
    </row>
    <row r="726" spans="2:30" x14ac:dyDescent="0.25">
      <c r="B726" t="s">
        <v>133</v>
      </c>
      <c r="C726" t="s">
        <v>3256</v>
      </c>
      <c r="D726" t="s">
        <v>5827</v>
      </c>
      <c r="E726" t="s">
        <v>5828</v>
      </c>
      <c r="F726" t="s">
        <v>5829</v>
      </c>
      <c r="G726" t="s">
        <v>3890</v>
      </c>
      <c r="H726" t="s">
        <v>109</v>
      </c>
      <c r="I726" t="s">
        <v>108</v>
      </c>
      <c r="J726">
        <v>2</v>
      </c>
      <c r="K726">
        <v>2022</v>
      </c>
      <c r="L726">
        <v>2023</v>
      </c>
      <c r="M726">
        <v>2024</v>
      </c>
      <c r="N726">
        <v>2025</v>
      </c>
      <c r="O726">
        <v>2026</v>
      </c>
      <c r="P726">
        <v>2027</v>
      </c>
      <c r="Q726">
        <v>2028</v>
      </c>
      <c r="R726">
        <v>2029</v>
      </c>
      <c r="S726">
        <v>2030</v>
      </c>
      <c r="T726">
        <v>2031</v>
      </c>
      <c r="U726">
        <v>2032</v>
      </c>
      <c r="V726">
        <v>2033</v>
      </c>
      <c r="W726">
        <v>2034</v>
      </c>
      <c r="X726">
        <v>2035</v>
      </c>
      <c r="Y726">
        <v>2036</v>
      </c>
      <c r="Z726">
        <v>2037</v>
      </c>
      <c r="AA726">
        <v>2038</v>
      </c>
      <c r="AB726">
        <v>2039</v>
      </c>
      <c r="AC726">
        <v>2040</v>
      </c>
      <c r="AD726">
        <v>2041</v>
      </c>
    </row>
    <row r="727" spans="2:30" x14ac:dyDescent="0.25">
      <c r="B727" t="s">
        <v>133</v>
      </c>
      <c r="C727" t="s">
        <v>3256</v>
      </c>
      <c r="D727" t="s">
        <v>5830</v>
      </c>
      <c r="E727" t="s">
        <v>5831</v>
      </c>
      <c r="F727" t="s">
        <v>5832</v>
      </c>
      <c r="G727" t="s">
        <v>3890</v>
      </c>
      <c r="H727" t="s">
        <v>109</v>
      </c>
      <c r="I727" t="s">
        <v>108</v>
      </c>
      <c r="J727">
        <v>2</v>
      </c>
      <c r="K727">
        <v>0</v>
      </c>
      <c r="L727">
        <v>2.1659999999999999</v>
      </c>
      <c r="M727">
        <v>2.9460000000000002</v>
      </c>
      <c r="N727">
        <v>3.7509999999999999</v>
      </c>
      <c r="O727">
        <v>6.4569999999999999</v>
      </c>
      <c r="P727">
        <v>11.539</v>
      </c>
      <c r="Q727">
        <v>21.867999999999999</v>
      </c>
      <c r="R727">
        <v>41.113</v>
      </c>
      <c r="S727">
        <v>78.293000000000006</v>
      </c>
      <c r="T727">
        <v>144.654</v>
      </c>
      <c r="U727">
        <v>255.68</v>
      </c>
      <c r="V727">
        <v>433.613</v>
      </c>
      <c r="W727">
        <v>696.01099999999997</v>
      </c>
      <c r="X727">
        <v>1065.954</v>
      </c>
      <c r="Y727">
        <v>1561.002</v>
      </c>
      <c r="Z727">
        <v>2207.96</v>
      </c>
      <c r="AA727">
        <v>3039.2330000000002</v>
      </c>
      <c r="AB727">
        <v>4093.2060000000001</v>
      </c>
      <c r="AC727">
        <v>5401.0940000000001</v>
      </c>
      <c r="AD727">
        <v>6897.8050000000003</v>
      </c>
    </row>
    <row r="728" spans="2:30" x14ac:dyDescent="0.25">
      <c r="B728" t="s">
        <v>133</v>
      </c>
      <c r="C728" t="s">
        <v>3256</v>
      </c>
      <c r="D728" t="s">
        <v>5833</v>
      </c>
      <c r="E728" t="s">
        <v>5834</v>
      </c>
      <c r="F728" t="s">
        <v>5835</v>
      </c>
      <c r="G728" t="s">
        <v>3890</v>
      </c>
      <c r="H728" t="s">
        <v>109</v>
      </c>
      <c r="I728" t="s">
        <v>108</v>
      </c>
      <c r="J728">
        <v>2</v>
      </c>
      <c r="K728">
        <v>44.354999999999997</v>
      </c>
      <c r="L728">
        <v>41.411000000000001</v>
      </c>
      <c r="M728">
        <v>47.658999999999999</v>
      </c>
      <c r="N728">
        <v>52.780999999999999</v>
      </c>
      <c r="O728">
        <v>56.015999999999998</v>
      </c>
      <c r="P728">
        <v>54.689</v>
      </c>
      <c r="Q728">
        <v>57.499000000000002</v>
      </c>
      <c r="R728">
        <v>59.956000000000003</v>
      </c>
      <c r="S728">
        <v>63.064999999999998</v>
      </c>
      <c r="T728">
        <v>66.061999999999998</v>
      </c>
      <c r="U728">
        <v>69.2</v>
      </c>
      <c r="V728">
        <v>72.364999999999995</v>
      </c>
      <c r="W728">
        <v>75.709000000000003</v>
      </c>
      <c r="X728">
        <v>79.257000000000005</v>
      </c>
      <c r="Y728">
        <v>83.013000000000005</v>
      </c>
      <c r="Z728">
        <v>86.959000000000003</v>
      </c>
      <c r="AA728">
        <v>91.054000000000002</v>
      </c>
      <c r="AB728">
        <v>95.302000000000007</v>
      </c>
      <c r="AC728">
        <v>99.716999999999999</v>
      </c>
      <c r="AD728">
        <v>104.29900000000001</v>
      </c>
    </row>
    <row r="729" spans="2:30" x14ac:dyDescent="0.25">
      <c r="B729" t="s">
        <v>133</v>
      </c>
      <c r="C729" t="s">
        <v>3256</v>
      </c>
      <c r="D729" t="s">
        <v>5836</v>
      </c>
      <c r="E729" t="s">
        <v>5837</v>
      </c>
      <c r="F729" t="s">
        <v>5838</v>
      </c>
      <c r="G729" t="s">
        <v>3890</v>
      </c>
      <c r="H729" t="s">
        <v>109</v>
      </c>
      <c r="I729" t="s">
        <v>108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2:30" x14ac:dyDescent="0.25">
      <c r="B730" t="s">
        <v>133</v>
      </c>
      <c r="C730" t="s">
        <v>3256</v>
      </c>
      <c r="D730" t="s">
        <v>5839</v>
      </c>
      <c r="E730">
        <v>0</v>
      </c>
      <c r="F730" t="s">
        <v>5539</v>
      </c>
      <c r="G730" t="s">
        <v>3890</v>
      </c>
      <c r="H730" t="s">
        <v>109</v>
      </c>
      <c r="I730" t="s">
        <v>108</v>
      </c>
      <c r="J730">
        <v>2</v>
      </c>
      <c r="K730">
        <v>563.20899999999995</v>
      </c>
      <c r="L730">
        <v>545.49800000000005</v>
      </c>
      <c r="M730">
        <v>626.49800000000005</v>
      </c>
      <c r="N730">
        <v>694.04200000000003</v>
      </c>
      <c r="O730">
        <v>730.50699999999995</v>
      </c>
      <c r="P730">
        <v>692.30600000000004</v>
      </c>
      <c r="Q730">
        <v>715.99300000000005</v>
      </c>
      <c r="R730">
        <v>735.16899999999998</v>
      </c>
      <c r="S730">
        <v>765.92</v>
      </c>
      <c r="T730">
        <v>795.20600000000002</v>
      </c>
      <c r="U730">
        <v>826.98099999999999</v>
      </c>
      <c r="V730">
        <v>860.54899999999998</v>
      </c>
      <c r="W730">
        <v>898.62099999999998</v>
      </c>
      <c r="X730">
        <v>942.03700000000003</v>
      </c>
      <c r="Y730">
        <v>991.69399999999996</v>
      </c>
      <c r="Z730">
        <v>1048.3969999999999</v>
      </c>
      <c r="AA730">
        <v>1113.039</v>
      </c>
      <c r="AB730">
        <v>1187.1869999999999</v>
      </c>
      <c r="AC730">
        <v>1272.1199999999999</v>
      </c>
      <c r="AD730">
        <v>1365.306</v>
      </c>
    </row>
    <row r="731" spans="2:30" x14ac:dyDescent="0.25">
      <c r="B731" t="s">
        <v>133</v>
      </c>
      <c r="C731" t="s">
        <v>3256</v>
      </c>
      <c r="D731" t="s">
        <v>5840</v>
      </c>
      <c r="E731" t="s">
        <v>5841</v>
      </c>
      <c r="F731" t="s">
        <v>5842</v>
      </c>
      <c r="G731" t="s">
        <v>3890</v>
      </c>
      <c r="H731" t="s">
        <v>109</v>
      </c>
      <c r="I731" t="s">
        <v>108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2:30" x14ac:dyDescent="0.25">
      <c r="B732" t="s">
        <v>133</v>
      </c>
      <c r="C732" t="s">
        <v>3256</v>
      </c>
      <c r="D732" t="s">
        <v>5843</v>
      </c>
      <c r="E732" t="s">
        <v>5844</v>
      </c>
      <c r="F732" t="s">
        <v>5845</v>
      </c>
      <c r="G732" t="s">
        <v>3890</v>
      </c>
      <c r="H732" t="s">
        <v>109</v>
      </c>
      <c r="I732" t="s">
        <v>108</v>
      </c>
      <c r="J732">
        <v>2</v>
      </c>
      <c r="K732">
        <v>3770.7730000000001</v>
      </c>
      <c r="L732">
        <v>3829.1619999999998</v>
      </c>
      <c r="M732">
        <v>4289.8119999999999</v>
      </c>
      <c r="N732">
        <v>4788.6419999999998</v>
      </c>
      <c r="O732">
        <v>5037.4780000000001</v>
      </c>
      <c r="P732">
        <v>4791.0519999999997</v>
      </c>
      <c r="Q732">
        <v>4951.7780000000002</v>
      </c>
      <c r="R732">
        <v>5081.1310000000003</v>
      </c>
      <c r="S732">
        <v>5281.7169999999996</v>
      </c>
      <c r="T732">
        <v>5465.8909999999996</v>
      </c>
      <c r="U732">
        <v>5655.2520000000004</v>
      </c>
      <c r="V732">
        <v>5839.1840000000002</v>
      </c>
      <c r="W732">
        <v>6031.5870000000004</v>
      </c>
      <c r="X732">
        <v>6232.1350000000002</v>
      </c>
      <c r="Y732">
        <v>6442.2640000000001</v>
      </c>
      <c r="Z732">
        <v>6660.3710000000001</v>
      </c>
      <c r="AA732">
        <v>6883.9719999999998</v>
      </c>
      <c r="AB732">
        <v>7113.616</v>
      </c>
      <c r="AC732">
        <v>7349.7759999999998</v>
      </c>
      <c r="AD732">
        <v>7592.4080000000004</v>
      </c>
    </row>
    <row r="733" spans="2:30" x14ac:dyDescent="0.25">
      <c r="B733" t="s">
        <v>133</v>
      </c>
      <c r="C733" t="s">
        <v>3256</v>
      </c>
      <c r="D733" t="s">
        <v>5846</v>
      </c>
      <c r="E733">
        <v>0</v>
      </c>
      <c r="F733" t="s">
        <v>5539</v>
      </c>
      <c r="G733" t="s">
        <v>3890</v>
      </c>
      <c r="H733" t="s">
        <v>109</v>
      </c>
      <c r="I733" t="s">
        <v>108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2:30" x14ac:dyDescent="0.25">
      <c r="B734" t="s">
        <v>133</v>
      </c>
      <c r="C734" t="s">
        <v>3256</v>
      </c>
      <c r="D734" t="s">
        <v>5847</v>
      </c>
      <c r="E734">
        <v>0</v>
      </c>
      <c r="F734" t="s">
        <v>5539</v>
      </c>
      <c r="G734" t="s">
        <v>3890</v>
      </c>
      <c r="H734" t="s">
        <v>109</v>
      </c>
      <c r="I734" t="s">
        <v>108</v>
      </c>
      <c r="J734">
        <v>2</v>
      </c>
      <c r="K734">
        <v>2.8000000000000001E-2</v>
      </c>
      <c r="L734">
        <v>3.5999999999999997E-2</v>
      </c>
      <c r="M734">
        <v>3.1E-2</v>
      </c>
      <c r="N734">
        <v>4.2000000000000003E-2</v>
      </c>
      <c r="O734">
        <v>5.6000000000000001E-2</v>
      </c>
      <c r="P734">
        <v>7.6999999999999999E-2</v>
      </c>
      <c r="Q734">
        <v>7.1999999999999995E-2</v>
      </c>
      <c r="R734">
        <v>7.6999999999999999E-2</v>
      </c>
      <c r="S734">
        <v>8.5999999999999993E-2</v>
      </c>
      <c r="T734">
        <v>9.7000000000000003E-2</v>
      </c>
      <c r="U734">
        <v>0.107</v>
      </c>
      <c r="V734">
        <v>0.11600000000000001</v>
      </c>
      <c r="W734">
        <v>0.124</v>
      </c>
      <c r="X734">
        <v>0.13100000000000001</v>
      </c>
      <c r="Y734">
        <v>0.13900000000000001</v>
      </c>
      <c r="Z734">
        <v>0.14499999999999999</v>
      </c>
      <c r="AA734">
        <v>0.14899999999999999</v>
      </c>
      <c r="AB734">
        <v>0.153</v>
      </c>
      <c r="AC734">
        <v>0.155</v>
      </c>
      <c r="AD734">
        <v>0.157</v>
      </c>
    </row>
    <row r="735" spans="2:30" x14ac:dyDescent="0.25">
      <c r="B735" t="s">
        <v>133</v>
      </c>
      <c r="C735" t="s">
        <v>3256</v>
      </c>
      <c r="D735" t="s">
        <v>5848</v>
      </c>
      <c r="E735">
        <v>0</v>
      </c>
      <c r="F735" t="s">
        <v>5539</v>
      </c>
      <c r="G735" t="s">
        <v>3890</v>
      </c>
      <c r="H735" t="s">
        <v>109</v>
      </c>
      <c r="I735" t="s">
        <v>108</v>
      </c>
      <c r="J735">
        <v>2</v>
      </c>
      <c r="K735">
        <v>2.3E-2</v>
      </c>
      <c r="L735">
        <v>2.5999999999999999E-2</v>
      </c>
      <c r="M735">
        <v>2.1999999999999999E-2</v>
      </c>
      <c r="N735">
        <v>3.5000000000000003E-2</v>
      </c>
      <c r="O735">
        <v>4.8000000000000001E-2</v>
      </c>
      <c r="P735">
        <v>0.06</v>
      </c>
      <c r="Q735">
        <v>5.6000000000000001E-2</v>
      </c>
      <c r="R735">
        <v>5.8000000000000003E-2</v>
      </c>
      <c r="S735">
        <v>6.2E-2</v>
      </c>
      <c r="T735">
        <v>6.9000000000000006E-2</v>
      </c>
      <c r="U735">
        <v>7.5999999999999998E-2</v>
      </c>
      <c r="V735">
        <v>8.2000000000000003E-2</v>
      </c>
      <c r="W735">
        <v>8.7999999999999995E-2</v>
      </c>
      <c r="X735">
        <v>9.2999999999999999E-2</v>
      </c>
      <c r="Y735">
        <v>9.9000000000000005E-2</v>
      </c>
      <c r="Z735">
        <v>0.105</v>
      </c>
      <c r="AA735">
        <v>0.111</v>
      </c>
      <c r="AB735">
        <v>0.11700000000000001</v>
      </c>
      <c r="AC735">
        <v>0.122</v>
      </c>
      <c r="AD735">
        <v>0.127</v>
      </c>
    </row>
    <row r="736" spans="2:30" x14ac:dyDescent="0.25">
      <c r="B736" t="s">
        <v>133</v>
      </c>
      <c r="C736" t="s">
        <v>3256</v>
      </c>
      <c r="D736" t="s">
        <v>5849</v>
      </c>
      <c r="E736">
        <v>0</v>
      </c>
      <c r="F736" t="s">
        <v>5539</v>
      </c>
      <c r="G736" t="s">
        <v>3890</v>
      </c>
      <c r="H736" t="s">
        <v>109</v>
      </c>
      <c r="I736" t="s">
        <v>108</v>
      </c>
      <c r="J736">
        <v>2</v>
      </c>
      <c r="K736">
        <v>7.0000000000000007E-2</v>
      </c>
      <c r="L736">
        <v>7.4999999999999997E-2</v>
      </c>
      <c r="M736">
        <v>6.5000000000000002E-2</v>
      </c>
      <c r="N736">
        <v>9.8000000000000004E-2</v>
      </c>
      <c r="O736">
        <v>0.13300000000000001</v>
      </c>
      <c r="P736">
        <v>0.14599999999999999</v>
      </c>
      <c r="Q736">
        <v>0.14099999999999999</v>
      </c>
      <c r="R736">
        <v>0.14000000000000001</v>
      </c>
      <c r="S736">
        <v>0.13800000000000001</v>
      </c>
      <c r="T736">
        <v>0.13700000000000001</v>
      </c>
      <c r="U736">
        <v>0.13600000000000001</v>
      </c>
      <c r="V736">
        <v>0.13400000000000001</v>
      </c>
      <c r="W736">
        <v>0.13300000000000001</v>
      </c>
      <c r="X736">
        <v>0.13100000000000001</v>
      </c>
      <c r="Y736">
        <v>0.129</v>
      </c>
      <c r="Z736">
        <v>0.127</v>
      </c>
      <c r="AA736">
        <v>0.124</v>
      </c>
      <c r="AB736">
        <v>0.121</v>
      </c>
      <c r="AC736">
        <v>0.11899999999999999</v>
      </c>
      <c r="AD736">
        <v>0.12</v>
      </c>
    </row>
    <row r="737" spans="2:30" x14ac:dyDescent="0.25">
      <c r="B737" t="s">
        <v>133</v>
      </c>
      <c r="C737" t="s">
        <v>3256</v>
      </c>
      <c r="D737" t="s">
        <v>5850</v>
      </c>
      <c r="E737">
        <v>0</v>
      </c>
      <c r="F737" t="s">
        <v>5539</v>
      </c>
      <c r="G737" t="s">
        <v>3890</v>
      </c>
      <c r="H737" t="s">
        <v>109</v>
      </c>
      <c r="I737" t="s">
        <v>108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2:30" x14ac:dyDescent="0.25">
      <c r="B738" t="s">
        <v>133</v>
      </c>
      <c r="C738" t="s">
        <v>3256</v>
      </c>
      <c r="D738" t="s">
        <v>5851</v>
      </c>
      <c r="E738">
        <v>0</v>
      </c>
      <c r="F738" t="s">
        <v>5539</v>
      </c>
      <c r="G738" t="s">
        <v>3890</v>
      </c>
      <c r="H738" t="s">
        <v>109</v>
      </c>
      <c r="I738" t="s">
        <v>108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2:30" x14ac:dyDescent="0.25">
      <c r="B739" t="s">
        <v>133</v>
      </c>
      <c r="C739" t="s">
        <v>3256</v>
      </c>
      <c r="D739" t="s">
        <v>5852</v>
      </c>
      <c r="E739">
        <v>0</v>
      </c>
      <c r="F739" t="s">
        <v>5539</v>
      </c>
      <c r="G739" t="s">
        <v>3890</v>
      </c>
      <c r="H739" t="s">
        <v>109</v>
      </c>
      <c r="I739" t="s">
        <v>108</v>
      </c>
      <c r="J739">
        <v>2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</row>
    <row r="740" spans="2:30" x14ac:dyDescent="0.25">
      <c r="B740" t="s">
        <v>133</v>
      </c>
      <c r="C740" t="s">
        <v>3256</v>
      </c>
      <c r="D740" t="s">
        <v>5853</v>
      </c>
      <c r="E740">
        <v>0</v>
      </c>
      <c r="F740" t="s">
        <v>5539</v>
      </c>
      <c r="G740" t="s">
        <v>3890</v>
      </c>
      <c r="H740" t="s">
        <v>109</v>
      </c>
      <c r="I740" t="s">
        <v>108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2:30" x14ac:dyDescent="0.25">
      <c r="B741" t="s">
        <v>133</v>
      </c>
      <c r="C741" t="s">
        <v>3256</v>
      </c>
      <c r="D741" t="s">
        <v>5854</v>
      </c>
      <c r="E741">
        <v>0</v>
      </c>
      <c r="F741" t="s">
        <v>5539</v>
      </c>
      <c r="G741" t="s">
        <v>3890</v>
      </c>
      <c r="H741" t="s">
        <v>109</v>
      </c>
      <c r="I741" t="s">
        <v>108</v>
      </c>
      <c r="J741">
        <v>2</v>
      </c>
      <c r="K741">
        <v>5.0999999999999997E-2</v>
      </c>
      <c r="L741">
        <v>6.2E-2</v>
      </c>
      <c r="M741">
        <v>5.1999999999999998E-2</v>
      </c>
      <c r="N741">
        <v>7.6999999999999999E-2</v>
      </c>
      <c r="O741">
        <v>0.104</v>
      </c>
      <c r="P741">
        <v>0.13700000000000001</v>
      </c>
      <c r="Q741">
        <v>0.127</v>
      </c>
      <c r="R741">
        <v>0.13500000000000001</v>
      </c>
      <c r="S741">
        <v>0.14799999999999999</v>
      </c>
      <c r="T741">
        <v>0.16700000000000001</v>
      </c>
      <c r="U741">
        <v>0.182</v>
      </c>
      <c r="V741">
        <v>0.19800000000000001</v>
      </c>
      <c r="W741">
        <v>0.21099999999999999</v>
      </c>
      <c r="X741">
        <v>0.22500000000000001</v>
      </c>
      <c r="Y741">
        <v>0.23799999999999999</v>
      </c>
      <c r="Z741">
        <v>0.25</v>
      </c>
      <c r="AA741">
        <v>0.26</v>
      </c>
      <c r="AB741">
        <v>0.27</v>
      </c>
      <c r="AC741">
        <v>0.27700000000000002</v>
      </c>
      <c r="AD741">
        <v>0.28399999999999997</v>
      </c>
    </row>
    <row r="742" spans="2:30" x14ac:dyDescent="0.25">
      <c r="B742" t="s">
        <v>133</v>
      </c>
      <c r="C742" t="s">
        <v>3256</v>
      </c>
      <c r="D742" t="s">
        <v>5855</v>
      </c>
      <c r="E742">
        <v>0</v>
      </c>
      <c r="F742" t="s">
        <v>5539</v>
      </c>
      <c r="G742" t="s">
        <v>3890</v>
      </c>
      <c r="H742" t="s">
        <v>109</v>
      </c>
      <c r="I742" t="s">
        <v>108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2:30" x14ac:dyDescent="0.25">
      <c r="B743" t="s">
        <v>133</v>
      </c>
      <c r="C743" t="s">
        <v>3256</v>
      </c>
      <c r="D743" t="s">
        <v>5856</v>
      </c>
      <c r="E743">
        <v>0</v>
      </c>
      <c r="F743" t="s">
        <v>5539</v>
      </c>
      <c r="G743" t="s">
        <v>3890</v>
      </c>
      <c r="H743" t="s">
        <v>109</v>
      </c>
      <c r="I743" t="s">
        <v>108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2:30" x14ac:dyDescent="0.25">
      <c r="B744" t="s">
        <v>133</v>
      </c>
      <c r="C744" t="s">
        <v>3256</v>
      </c>
      <c r="D744" t="s">
        <v>5847</v>
      </c>
      <c r="E744">
        <v>0</v>
      </c>
      <c r="F744" t="s">
        <v>5539</v>
      </c>
      <c r="G744" t="s">
        <v>3890</v>
      </c>
      <c r="H744" t="s">
        <v>109</v>
      </c>
      <c r="I744" t="s">
        <v>108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2:30" x14ac:dyDescent="0.25">
      <c r="B745" t="s">
        <v>133</v>
      </c>
      <c r="C745" t="s">
        <v>3256</v>
      </c>
      <c r="D745" t="s">
        <v>5848</v>
      </c>
      <c r="E745">
        <v>0</v>
      </c>
      <c r="F745" t="s">
        <v>5539</v>
      </c>
      <c r="G745" t="s">
        <v>3890</v>
      </c>
      <c r="H745" t="s">
        <v>109</v>
      </c>
      <c r="I745" t="s">
        <v>108</v>
      </c>
      <c r="J745">
        <v>2</v>
      </c>
      <c r="K745">
        <v>5.3999999999999999E-2</v>
      </c>
      <c r="L745">
        <v>5.3999999999999999E-2</v>
      </c>
      <c r="M745">
        <v>5.5E-2</v>
      </c>
      <c r="N745">
        <v>5.5E-2</v>
      </c>
      <c r="O745">
        <v>5.5E-2</v>
      </c>
      <c r="P745">
        <v>5.5E-2</v>
      </c>
      <c r="Q745">
        <v>5.5E-2</v>
      </c>
      <c r="R745">
        <v>5.5E-2</v>
      </c>
      <c r="S745">
        <v>5.5E-2</v>
      </c>
      <c r="T745">
        <v>5.5E-2</v>
      </c>
      <c r="U745">
        <v>5.5E-2</v>
      </c>
      <c r="V745">
        <v>5.5E-2</v>
      </c>
      <c r="W745">
        <v>5.3999999999999999E-2</v>
      </c>
      <c r="X745">
        <v>5.3999999999999999E-2</v>
      </c>
      <c r="Y745">
        <v>5.3999999999999999E-2</v>
      </c>
      <c r="Z745">
        <v>5.2999999999999999E-2</v>
      </c>
      <c r="AA745">
        <v>5.2999999999999999E-2</v>
      </c>
      <c r="AB745">
        <v>5.1999999999999998E-2</v>
      </c>
      <c r="AC745">
        <v>5.1999999999999998E-2</v>
      </c>
      <c r="AD745">
        <v>5.1999999999999998E-2</v>
      </c>
    </row>
    <row r="746" spans="2:30" x14ac:dyDescent="0.25">
      <c r="B746" t="s">
        <v>133</v>
      </c>
      <c r="C746" t="s">
        <v>3256</v>
      </c>
      <c r="D746" t="s">
        <v>5849</v>
      </c>
      <c r="E746">
        <v>0</v>
      </c>
      <c r="F746" t="s">
        <v>5539</v>
      </c>
      <c r="G746" t="s">
        <v>3890</v>
      </c>
      <c r="H746" t="s">
        <v>109</v>
      </c>
      <c r="I746" t="s">
        <v>108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2:30" x14ac:dyDescent="0.25">
      <c r="B747" t="s">
        <v>133</v>
      </c>
      <c r="C747" t="s">
        <v>3256</v>
      </c>
      <c r="D747" t="s">
        <v>5850</v>
      </c>
      <c r="E747" t="s">
        <v>5857</v>
      </c>
      <c r="F747" t="s">
        <v>5858</v>
      </c>
      <c r="G747" t="s">
        <v>3890</v>
      </c>
      <c r="H747" t="s">
        <v>109</v>
      </c>
      <c r="I747" t="s">
        <v>108</v>
      </c>
      <c r="J747">
        <v>2</v>
      </c>
      <c r="K747">
        <v>5.3999999999999999E-2</v>
      </c>
      <c r="L747">
        <v>5.3999999999999999E-2</v>
      </c>
      <c r="M747">
        <v>5.5E-2</v>
      </c>
      <c r="N747">
        <v>5.5E-2</v>
      </c>
      <c r="O747">
        <v>5.5E-2</v>
      </c>
      <c r="P747">
        <v>5.5E-2</v>
      </c>
      <c r="Q747">
        <v>5.5E-2</v>
      </c>
      <c r="R747">
        <v>5.5E-2</v>
      </c>
      <c r="S747">
        <v>5.5E-2</v>
      </c>
      <c r="T747">
        <v>5.5E-2</v>
      </c>
      <c r="U747">
        <v>5.5E-2</v>
      </c>
      <c r="V747">
        <v>5.5E-2</v>
      </c>
      <c r="W747">
        <v>5.3999999999999999E-2</v>
      </c>
      <c r="X747">
        <v>5.3999999999999999E-2</v>
      </c>
      <c r="Y747">
        <v>5.3999999999999999E-2</v>
      </c>
      <c r="Z747">
        <v>5.2999999999999999E-2</v>
      </c>
      <c r="AA747">
        <v>5.2999999999999999E-2</v>
      </c>
      <c r="AB747">
        <v>5.1999999999999998E-2</v>
      </c>
      <c r="AC747">
        <v>5.1999999999999998E-2</v>
      </c>
      <c r="AD747">
        <v>5.1999999999999998E-2</v>
      </c>
    </row>
    <row r="748" spans="2:30" x14ac:dyDescent="0.25">
      <c r="B748" t="s">
        <v>133</v>
      </c>
      <c r="C748" t="s">
        <v>3256</v>
      </c>
      <c r="D748" t="s">
        <v>5851</v>
      </c>
      <c r="E748">
        <v>0</v>
      </c>
      <c r="F748" t="s">
        <v>5539</v>
      </c>
      <c r="G748" t="s">
        <v>3890</v>
      </c>
      <c r="H748" t="s">
        <v>109</v>
      </c>
      <c r="I748" t="s">
        <v>108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2:30" x14ac:dyDescent="0.25">
      <c r="B749" t="s">
        <v>133</v>
      </c>
      <c r="C749" t="s">
        <v>3256</v>
      </c>
      <c r="D749" t="s">
        <v>5852</v>
      </c>
      <c r="E749">
        <v>0</v>
      </c>
      <c r="F749" t="s">
        <v>5539</v>
      </c>
      <c r="G749" t="s">
        <v>3890</v>
      </c>
      <c r="H749" t="s">
        <v>109</v>
      </c>
      <c r="I749" t="s">
        <v>108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2:30" x14ac:dyDescent="0.25">
      <c r="B750" t="s">
        <v>133</v>
      </c>
      <c r="C750" t="s">
        <v>3256</v>
      </c>
      <c r="D750" t="s">
        <v>5853</v>
      </c>
      <c r="E750" t="s">
        <v>5859</v>
      </c>
      <c r="F750" t="s">
        <v>5860</v>
      </c>
      <c r="G750" t="s">
        <v>3890</v>
      </c>
      <c r="H750" t="s">
        <v>109</v>
      </c>
      <c r="I750" t="s">
        <v>108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2:30" x14ac:dyDescent="0.25">
      <c r="B751" t="s">
        <v>133</v>
      </c>
      <c r="C751" t="s">
        <v>3256</v>
      </c>
      <c r="D751" t="s">
        <v>5854</v>
      </c>
      <c r="E751">
        <v>0</v>
      </c>
      <c r="F751" t="s">
        <v>5539</v>
      </c>
      <c r="G751" t="s">
        <v>3890</v>
      </c>
      <c r="H751" t="s">
        <v>109</v>
      </c>
      <c r="I751" t="s">
        <v>108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2:30" x14ac:dyDescent="0.25">
      <c r="B752" t="s">
        <v>133</v>
      </c>
      <c r="C752" t="s">
        <v>3256</v>
      </c>
      <c r="D752" t="s">
        <v>5855</v>
      </c>
      <c r="E752">
        <v>0</v>
      </c>
      <c r="F752" t="s">
        <v>5539</v>
      </c>
      <c r="G752" t="s">
        <v>3890</v>
      </c>
      <c r="H752" t="s">
        <v>109</v>
      </c>
      <c r="I752" t="s">
        <v>108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2:30" x14ac:dyDescent="0.25">
      <c r="B753" t="s">
        <v>133</v>
      </c>
      <c r="C753" t="s">
        <v>3256</v>
      </c>
      <c r="D753" t="s">
        <v>5861</v>
      </c>
      <c r="E753" t="e">
        <v>#REF!</v>
      </c>
      <c r="F753" t="e">
        <v>#REF!</v>
      </c>
      <c r="G753" t="s">
        <v>3890</v>
      </c>
      <c r="H753" t="s">
        <v>109</v>
      </c>
      <c r="I753" t="s">
        <v>108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2:30" x14ac:dyDescent="0.25">
      <c r="B754" t="s">
        <v>133</v>
      </c>
      <c r="C754" t="s">
        <v>3256</v>
      </c>
      <c r="D754" t="s">
        <v>5847</v>
      </c>
      <c r="E754" t="e">
        <v>#REF!</v>
      </c>
      <c r="F754" t="e">
        <v>#REF!</v>
      </c>
      <c r="G754" t="s">
        <v>3890</v>
      </c>
      <c r="H754" t="s">
        <v>109</v>
      </c>
      <c r="I754" t="s">
        <v>108</v>
      </c>
      <c r="J754">
        <v>2</v>
      </c>
      <c r="K754">
        <v>1.4E-2</v>
      </c>
      <c r="L754">
        <v>1.7999999999999999E-2</v>
      </c>
      <c r="M754">
        <v>1.55E-2</v>
      </c>
      <c r="N754">
        <v>2.1000000000000001E-2</v>
      </c>
      <c r="O754">
        <v>2.8000000000000001E-2</v>
      </c>
      <c r="P754">
        <v>3.85E-2</v>
      </c>
      <c r="Q754">
        <v>3.5999999999999997E-2</v>
      </c>
      <c r="R754">
        <v>3.85E-2</v>
      </c>
      <c r="S754">
        <v>4.2999999999999997E-2</v>
      </c>
      <c r="T754">
        <v>4.8500000000000001E-2</v>
      </c>
      <c r="U754">
        <v>5.3499999999999999E-2</v>
      </c>
      <c r="V754">
        <v>5.8000000000000003E-2</v>
      </c>
      <c r="W754">
        <v>6.2E-2</v>
      </c>
      <c r="X754">
        <v>6.5500000000000003E-2</v>
      </c>
      <c r="Y754">
        <v>6.9500000000000006E-2</v>
      </c>
      <c r="Z754">
        <v>7.2499999999999995E-2</v>
      </c>
      <c r="AA754">
        <v>7.4499999999999997E-2</v>
      </c>
      <c r="AB754">
        <v>7.6499999999999999E-2</v>
      </c>
      <c r="AC754">
        <v>7.7499999999999999E-2</v>
      </c>
      <c r="AD754">
        <v>7.85E-2</v>
      </c>
    </row>
    <row r="755" spans="2:30" x14ac:dyDescent="0.25">
      <c r="B755" t="s">
        <v>133</v>
      </c>
      <c r="C755" t="s">
        <v>3256</v>
      </c>
      <c r="D755" t="s">
        <v>5848</v>
      </c>
      <c r="E755" t="e">
        <v>#REF!</v>
      </c>
      <c r="F755" t="e">
        <v>#REF!</v>
      </c>
      <c r="G755" t="s">
        <v>3890</v>
      </c>
      <c r="H755" t="s">
        <v>109</v>
      </c>
      <c r="I755" t="s">
        <v>108</v>
      </c>
      <c r="J755">
        <v>2</v>
      </c>
      <c r="K755">
        <v>3.85E-2</v>
      </c>
      <c r="L755">
        <v>0.04</v>
      </c>
      <c r="M755">
        <v>3.85E-2</v>
      </c>
      <c r="N755">
        <v>4.4999999999999998E-2</v>
      </c>
      <c r="O755">
        <v>5.1500000000000004E-2</v>
      </c>
      <c r="P755">
        <v>5.7499999999999996E-2</v>
      </c>
      <c r="Q755">
        <v>5.5500000000000001E-2</v>
      </c>
      <c r="R755">
        <v>5.6500000000000002E-2</v>
      </c>
      <c r="S755">
        <v>5.8499999999999996E-2</v>
      </c>
      <c r="T755">
        <v>6.2E-2</v>
      </c>
      <c r="U755">
        <v>6.5500000000000003E-2</v>
      </c>
      <c r="V755">
        <v>6.8500000000000005E-2</v>
      </c>
      <c r="W755">
        <v>7.0999999999999994E-2</v>
      </c>
      <c r="X755">
        <v>7.3499999999999996E-2</v>
      </c>
      <c r="Y755">
        <v>7.6499999999999999E-2</v>
      </c>
      <c r="Z755">
        <v>7.9000000000000001E-2</v>
      </c>
      <c r="AA755">
        <v>8.2000000000000003E-2</v>
      </c>
      <c r="AB755">
        <v>8.4500000000000006E-2</v>
      </c>
      <c r="AC755">
        <v>8.6999999999999994E-2</v>
      </c>
      <c r="AD755">
        <v>8.9499999999999996E-2</v>
      </c>
    </row>
    <row r="756" spans="2:30" x14ac:dyDescent="0.25">
      <c r="B756" t="s">
        <v>133</v>
      </c>
      <c r="C756" t="s">
        <v>3256</v>
      </c>
      <c r="D756" t="s">
        <v>5849</v>
      </c>
      <c r="E756" t="e">
        <v>#REF!</v>
      </c>
      <c r="F756" t="e">
        <v>#REF!</v>
      </c>
      <c r="G756" t="s">
        <v>3890</v>
      </c>
      <c r="H756" t="s">
        <v>109</v>
      </c>
      <c r="I756" t="s">
        <v>108</v>
      </c>
      <c r="J756">
        <v>2</v>
      </c>
      <c r="K756">
        <v>3.5000000000000003E-2</v>
      </c>
      <c r="L756">
        <v>3.7499999999999999E-2</v>
      </c>
      <c r="M756">
        <v>3.2500000000000001E-2</v>
      </c>
      <c r="N756">
        <v>4.9000000000000002E-2</v>
      </c>
      <c r="O756">
        <v>6.6500000000000004E-2</v>
      </c>
      <c r="P756">
        <v>7.2999999999999995E-2</v>
      </c>
      <c r="Q756">
        <v>7.0499999999999993E-2</v>
      </c>
      <c r="R756">
        <v>7.0000000000000007E-2</v>
      </c>
      <c r="S756">
        <v>6.9000000000000006E-2</v>
      </c>
      <c r="T756">
        <v>6.8500000000000005E-2</v>
      </c>
      <c r="U756">
        <v>6.8000000000000005E-2</v>
      </c>
      <c r="V756">
        <v>6.7000000000000004E-2</v>
      </c>
      <c r="W756">
        <v>6.6500000000000004E-2</v>
      </c>
      <c r="X756">
        <v>6.5500000000000003E-2</v>
      </c>
      <c r="Y756">
        <v>6.4500000000000002E-2</v>
      </c>
      <c r="Z756">
        <v>6.3500000000000001E-2</v>
      </c>
      <c r="AA756">
        <v>6.2E-2</v>
      </c>
      <c r="AB756">
        <v>6.0499999999999998E-2</v>
      </c>
      <c r="AC756">
        <v>5.9499999999999997E-2</v>
      </c>
      <c r="AD756">
        <v>0.06</v>
      </c>
    </row>
    <row r="757" spans="2:30" x14ac:dyDescent="0.25">
      <c r="B757" t="s">
        <v>133</v>
      </c>
      <c r="C757" t="s">
        <v>3256</v>
      </c>
      <c r="D757" t="s">
        <v>5850</v>
      </c>
      <c r="E757" t="e">
        <v>#REF!</v>
      </c>
      <c r="F757" t="e">
        <v>#REF!</v>
      </c>
      <c r="G757" t="s">
        <v>3890</v>
      </c>
      <c r="H757" t="s">
        <v>109</v>
      </c>
      <c r="I757" t="s">
        <v>108</v>
      </c>
      <c r="J757">
        <v>2</v>
      </c>
      <c r="K757">
        <v>2.7E-2</v>
      </c>
      <c r="L757">
        <v>2.7E-2</v>
      </c>
      <c r="M757">
        <v>2.75E-2</v>
      </c>
      <c r="N757">
        <v>2.75E-2</v>
      </c>
      <c r="O757">
        <v>2.75E-2</v>
      </c>
      <c r="P757">
        <v>2.75E-2</v>
      </c>
      <c r="Q757">
        <v>2.75E-2</v>
      </c>
      <c r="R757">
        <v>2.75E-2</v>
      </c>
      <c r="S757">
        <v>2.75E-2</v>
      </c>
      <c r="T757">
        <v>2.75E-2</v>
      </c>
      <c r="U757">
        <v>2.75E-2</v>
      </c>
      <c r="V757">
        <v>2.75E-2</v>
      </c>
      <c r="W757">
        <v>2.7E-2</v>
      </c>
      <c r="X757">
        <v>2.7E-2</v>
      </c>
      <c r="Y757">
        <v>2.7E-2</v>
      </c>
      <c r="Z757">
        <v>2.6499999999999999E-2</v>
      </c>
      <c r="AA757">
        <v>2.6499999999999999E-2</v>
      </c>
      <c r="AB757">
        <v>2.5999999999999999E-2</v>
      </c>
      <c r="AC757">
        <v>2.5999999999999999E-2</v>
      </c>
      <c r="AD757">
        <v>2.5999999999999999E-2</v>
      </c>
    </row>
    <row r="758" spans="2:30" x14ac:dyDescent="0.25">
      <c r="B758" t="s">
        <v>133</v>
      </c>
      <c r="C758" t="s">
        <v>3256</v>
      </c>
      <c r="D758" t="s">
        <v>5851</v>
      </c>
      <c r="E758" t="e">
        <v>#REF!</v>
      </c>
      <c r="F758" t="e">
        <v>#REF!</v>
      </c>
      <c r="G758" t="s">
        <v>3890</v>
      </c>
      <c r="H758" t="s">
        <v>109</v>
      </c>
      <c r="I758" t="s">
        <v>108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2:30" x14ac:dyDescent="0.25">
      <c r="B759" t="s">
        <v>133</v>
      </c>
      <c r="C759" t="s">
        <v>3256</v>
      </c>
      <c r="D759" t="s">
        <v>5852</v>
      </c>
      <c r="E759" t="e">
        <v>#REF!</v>
      </c>
      <c r="F759" t="e">
        <v>#REF!</v>
      </c>
      <c r="G759" t="s">
        <v>3890</v>
      </c>
      <c r="H759" t="s">
        <v>109</v>
      </c>
      <c r="I759" t="s">
        <v>108</v>
      </c>
      <c r="J759">
        <v>2</v>
      </c>
      <c r="K759">
        <v>0.5</v>
      </c>
      <c r="L759">
        <v>0.5</v>
      </c>
      <c r="M759">
        <v>0.5</v>
      </c>
      <c r="N759">
        <v>0.5</v>
      </c>
      <c r="O759">
        <v>0.5</v>
      </c>
      <c r="P759">
        <v>0.5</v>
      </c>
      <c r="Q759">
        <v>0.5</v>
      </c>
      <c r="R759">
        <v>0.5</v>
      </c>
      <c r="S759">
        <v>0.5</v>
      </c>
      <c r="T759">
        <v>0.5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</row>
    <row r="760" spans="2:30" x14ac:dyDescent="0.25">
      <c r="B760" t="s">
        <v>133</v>
      </c>
      <c r="C760" t="s">
        <v>3256</v>
      </c>
      <c r="D760" t="s">
        <v>5853</v>
      </c>
      <c r="E760" t="e">
        <v>#REF!</v>
      </c>
      <c r="F760" t="e">
        <v>#REF!</v>
      </c>
      <c r="G760" t="s">
        <v>3890</v>
      </c>
      <c r="H760" t="s">
        <v>109</v>
      </c>
      <c r="I760" t="s">
        <v>108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2:30" x14ac:dyDescent="0.25">
      <c r="B761" t="s">
        <v>133</v>
      </c>
      <c r="C761" t="s">
        <v>3256</v>
      </c>
      <c r="D761" t="s">
        <v>5854</v>
      </c>
      <c r="E761" t="e">
        <v>#REF!</v>
      </c>
      <c r="F761" t="e">
        <v>#REF!</v>
      </c>
      <c r="G761" t="s">
        <v>3890</v>
      </c>
      <c r="H761" t="s">
        <v>109</v>
      </c>
      <c r="I761" t="s">
        <v>108</v>
      </c>
      <c r="J761">
        <v>2</v>
      </c>
      <c r="K761">
        <v>2.5499999999999998E-2</v>
      </c>
      <c r="L761">
        <v>3.1E-2</v>
      </c>
      <c r="M761">
        <v>2.5999999999999999E-2</v>
      </c>
      <c r="N761">
        <v>3.85E-2</v>
      </c>
      <c r="O761">
        <v>5.1999999999999998E-2</v>
      </c>
      <c r="P761">
        <v>6.8500000000000005E-2</v>
      </c>
      <c r="Q761">
        <v>6.3500000000000001E-2</v>
      </c>
      <c r="R761">
        <v>6.7500000000000004E-2</v>
      </c>
      <c r="S761">
        <v>7.3999999999999996E-2</v>
      </c>
      <c r="T761">
        <v>8.3500000000000005E-2</v>
      </c>
      <c r="U761">
        <v>9.0999999999999998E-2</v>
      </c>
      <c r="V761">
        <v>9.9000000000000005E-2</v>
      </c>
      <c r="W761">
        <v>0.1055</v>
      </c>
      <c r="X761">
        <v>0.1125</v>
      </c>
      <c r="Y761">
        <v>0.11899999999999999</v>
      </c>
      <c r="Z761">
        <v>0.125</v>
      </c>
      <c r="AA761">
        <v>0.13</v>
      </c>
      <c r="AB761">
        <v>0.13500000000000001</v>
      </c>
      <c r="AC761">
        <v>0.13850000000000001</v>
      </c>
      <c r="AD761">
        <v>0.14199999999999999</v>
      </c>
    </row>
    <row r="762" spans="2:30" x14ac:dyDescent="0.25">
      <c r="B762" t="s">
        <v>133</v>
      </c>
      <c r="C762" t="s">
        <v>3256</v>
      </c>
      <c r="D762" t="s">
        <v>5855</v>
      </c>
      <c r="E762" t="e">
        <v>#REF!</v>
      </c>
      <c r="F762" t="e">
        <v>#REF!</v>
      </c>
      <c r="G762" t="s">
        <v>3890</v>
      </c>
      <c r="H762" t="s">
        <v>109</v>
      </c>
      <c r="I762" t="s">
        <v>108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2:30" x14ac:dyDescent="0.25">
      <c r="B763" t="s">
        <v>133</v>
      </c>
      <c r="C763" t="s">
        <v>3256</v>
      </c>
      <c r="D763" t="s">
        <v>3436</v>
      </c>
      <c r="E763" t="s">
        <v>3437</v>
      </c>
      <c r="F763" t="s">
        <v>3937</v>
      </c>
      <c r="G763" t="s">
        <v>3890</v>
      </c>
      <c r="H763" t="s">
        <v>2308</v>
      </c>
      <c r="I763" t="s">
        <v>5862</v>
      </c>
      <c r="J763">
        <v>1</v>
      </c>
      <c r="K763">
        <v>-31.97</v>
      </c>
      <c r="L763">
        <v>-26.57</v>
      </c>
      <c r="M763">
        <v>-38.700000000000003</v>
      </c>
      <c r="N763">
        <v>-37.520000000000003</v>
      </c>
      <c r="O763">
        <v>-39.340000000000003</v>
      </c>
      <c r="P763">
        <v>-38.21</v>
      </c>
      <c r="Q763">
        <v>-38.520000000000003</v>
      </c>
      <c r="R763">
        <v>-39.229999999999997</v>
      </c>
      <c r="S763">
        <v>-39.94</v>
      </c>
      <c r="T763">
        <v>-40.520000000000003</v>
      </c>
      <c r="U763">
        <v>-41.25</v>
      </c>
      <c r="V763">
        <v>-41.92</v>
      </c>
      <c r="W763">
        <v>-42.48</v>
      </c>
      <c r="X763">
        <v>-42.9</v>
      </c>
      <c r="Y763">
        <v>-43.07</v>
      </c>
      <c r="Z763">
        <v>-43.04</v>
      </c>
      <c r="AA763">
        <v>-42.79</v>
      </c>
      <c r="AB763">
        <v>-42.3</v>
      </c>
      <c r="AC763">
        <v>-41.94</v>
      </c>
      <c r="AD763">
        <v>-43.65</v>
      </c>
    </row>
    <row r="764" spans="2:30" x14ac:dyDescent="0.25">
      <c r="B764" t="s">
        <v>133</v>
      </c>
      <c r="C764" t="s">
        <v>3256</v>
      </c>
      <c r="D764" t="s">
        <v>5863</v>
      </c>
      <c r="E764">
        <v>0</v>
      </c>
      <c r="F764" t="s">
        <v>5539</v>
      </c>
      <c r="G764" t="s">
        <v>3890</v>
      </c>
      <c r="H764" t="s">
        <v>2308</v>
      </c>
      <c r="I764" t="s">
        <v>5862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2:30" x14ac:dyDescent="0.25">
      <c r="B765" t="s">
        <v>133</v>
      </c>
      <c r="C765" t="s">
        <v>3256</v>
      </c>
      <c r="D765" t="s">
        <v>5864</v>
      </c>
      <c r="E765">
        <v>0</v>
      </c>
      <c r="F765" t="s">
        <v>5539</v>
      </c>
      <c r="G765" t="s">
        <v>3890</v>
      </c>
      <c r="H765" t="s">
        <v>2308</v>
      </c>
      <c r="I765" t="s">
        <v>5862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2:30" x14ac:dyDescent="0.25">
      <c r="B766" t="s">
        <v>133</v>
      </c>
      <c r="C766" t="s">
        <v>3256</v>
      </c>
      <c r="D766" t="s">
        <v>5865</v>
      </c>
      <c r="E766">
        <v>0</v>
      </c>
      <c r="F766" t="s">
        <v>5539</v>
      </c>
      <c r="G766" t="s">
        <v>3890</v>
      </c>
      <c r="H766" t="s">
        <v>2308</v>
      </c>
      <c r="I766" t="s">
        <v>5862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2:30" x14ac:dyDescent="0.25">
      <c r="B767" t="s">
        <v>133</v>
      </c>
      <c r="C767" t="s">
        <v>3256</v>
      </c>
      <c r="D767" t="s">
        <v>5866</v>
      </c>
      <c r="E767">
        <v>0</v>
      </c>
      <c r="F767" t="s">
        <v>5539</v>
      </c>
      <c r="G767" t="s">
        <v>3890</v>
      </c>
      <c r="H767" t="s">
        <v>2308</v>
      </c>
      <c r="I767" t="s">
        <v>5862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2:30" x14ac:dyDescent="0.25">
      <c r="B768" t="s">
        <v>133</v>
      </c>
      <c r="C768" t="s">
        <v>3256</v>
      </c>
      <c r="D768" t="s">
        <v>5867</v>
      </c>
      <c r="E768">
        <v>0</v>
      </c>
      <c r="F768" t="s">
        <v>5539</v>
      </c>
      <c r="G768" t="s">
        <v>3890</v>
      </c>
      <c r="H768" t="s">
        <v>2308</v>
      </c>
      <c r="I768" t="s">
        <v>5862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2:30" x14ac:dyDescent="0.25">
      <c r="B769" t="s">
        <v>133</v>
      </c>
      <c r="C769" t="s">
        <v>3256</v>
      </c>
      <c r="D769" t="s">
        <v>5868</v>
      </c>
      <c r="E769">
        <v>0</v>
      </c>
      <c r="F769" t="s">
        <v>5539</v>
      </c>
      <c r="G769" t="s">
        <v>3890</v>
      </c>
      <c r="H769" t="s">
        <v>2308</v>
      </c>
      <c r="I769" t="s">
        <v>5862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2:30" x14ac:dyDescent="0.25">
      <c r="B770" t="s">
        <v>133</v>
      </c>
      <c r="C770" t="s">
        <v>3256</v>
      </c>
      <c r="D770" t="s">
        <v>3442</v>
      </c>
      <c r="E770" t="s">
        <v>3443</v>
      </c>
      <c r="F770" t="s">
        <v>3940</v>
      </c>
      <c r="G770" t="s">
        <v>3890</v>
      </c>
      <c r="H770" t="s">
        <v>2308</v>
      </c>
      <c r="I770" t="s">
        <v>5862</v>
      </c>
      <c r="J770">
        <v>2</v>
      </c>
      <c r="K770">
        <v>-31.97</v>
      </c>
      <c r="L770">
        <v>-26.55</v>
      </c>
      <c r="M770">
        <v>-38.69</v>
      </c>
      <c r="N770">
        <v>-37.5</v>
      </c>
      <c r="O770">
        <v>-31.56</v>
      </c>
      <c r="P770">
        <v>-29.08</v>
      </c>
      <c r="Q770">
        <v>-29.49</v>
      </c>
      <c r="R770">
        <v>-29.76</v>
      </c>
      <c r="S770">
        <v>-30.23</v>
      </c>
      <c r="T770">
        <v>-30.37</v>
      </c>
      <c r="U770">
        <v>-30.65</v>
      </c>
      <c r="V770">
        <v>-30.81</v>
      </c>
      <c r="W770">
        <v>-30.87</v>
      </c>
      <c r="X770">
        <v>-30.78</v>
      </c>
      <c r="Y770">
        <v>-30.45</v>
      </c>
      <c r="Z770">
        <v>-29.93</v>
      </c>
      <c r="AA770">
        <v>-29.16</v>
      </c>
      <c r="AB770">
        <v>-28.14</v>
      </c>
      <c r="AC770">
        <v>-27.26</v>
      </c>
      <c r="AD770">
        <v>-28.42</v>
      </c>
    </row>
    <row r="771" spans="2:30" x14ac:dyDescent="0.25">
      <c r="B771" t="s">
        <v>133</v>
      </c>
      <c r="C771" t="s">
        <v>3256</v>
      </c>
      <c r="D771" t="s">
        <v>3399</v>
      </c>
      <c r="E771" t="s">
        <v>3401</v>
      </c>
      <c r="F771" t="s">
        <v>5869</v>
      </c>
      <c r="G771" t="s">
        <v>3890</v>
      </c>
      <c r="H771" t="s">
        <v>2308</v>
      </c>
      <c r="I771" t="s">
        <v>5862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0.14000000000000001</v>
      </c>
      <c r="P771">
        <v>0.15</v>
      </c>
      <c r="Q771">
        <v>0.15</v>
      </c>
      <c r="R771">
        <v>0.15</v>
      </c>
      <c r="S771">
        <v>0.16</v>
      </c>
      <c r="T771">
        <v>0.16</v>
      </c>
      <c r="U771">
        <v>0.16</v>
      </c>
      <c r="V771">
        <v>0.16</v>
      </c>
      <c r="W771">
        <v>0.17</v>
      </c>
      <c r="X771">
        <v>0.17</v>
      </c>
      <c r="Y771">
        <v>0.17</v>
      </c>
      <c r="Z771">
        <v>0.18</v>
      </c>
      <c r="AA771">
        <v>0.18</v>
      </c>
      <c r="AB771">
        <v>0.19</v>
      </c>
      <c r="AC771">
        <v>0.19</v>
      </c>
      <c r="AD771">
        <v>0.19</v>
      </c>
    </row>
    <row r="772" spans="2:30" x14ac:dyDescent="0.25">
      <c r="B772" t="s">
        <v>133</v>
      </c>
      <c r="C772" t="s">
        <v>3256</v>
      </c>
      <c r="D772" t="s">
        <v>3424</v>
      </c>
      <c r="E772" t="s">
        <v>3425</v>
      </c>
      <c r="F772" t="s">
        <v>5870</v>
      </c>
      <c r="G772" t="s">
        <v>3890</v>
      </c>
      <c r="H772" t="s">
        <v>2308</v>
      </c>
      <c r="I772" t="s">
        <v>5862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2.08</v>
      </c>
      <c r="P772">
        <v>1.92</v>
      </c>
      <c r="Q772">
        <v>2.0299999999999998</v>
      </c>
      <c r="R772">
        <v>2.09</v>
      </c>
      <c r="S772">
        <v>2.16</v>
      </c>
      <c r="T772">
        <v>2.21</v>
      </c>
      <c r="U772">
        <v>2.2599999999999998</v>
      </c>
      <c r="V772">
        <v>2.33</v>
      </c>
      <c r="W772">
        <v>2.4</v>
      </c>
      <c r="X772">
        <v>2.4900000000000002</v>
      </c>
      <c r="Y772">
        <v>2.59</v>
      </c>
      <c r="Z772">
        <v>2.7</v>
      </c>
      <c r="AA772">
        <v>2.83</v>
      </c>
      <c r="AB772">
        <v>2.98</v>
      </c>
      <c r="AC772">
        <v>3.16</v>
      </c>
      <c r="AD772">
        <v>3.34</v>
      </c>
    </row>
    <row r="773" spans="2:30" x14ac:dyDescent="0.25">
      <c r="B773" t="s">
        <v>133</v>
      </c>
      <c r="C773" t="s">
        <v>3256</v>
      </c>
      <c r="D773" t="s">
        <v>3430</v>
      </c>
      <c r="E773" t="s">
        <v>3431</v>
      </c>
      <c r="F773" t="s">
        <v>5871</v>
      </c>
      <c r="G773" t="s">
        <v>3890</v>
      </c>
      <c r="H773" t="s">
        <v>2308</v>
      </c>
      <c r="I773" t="s">
        <v>5862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0.55000000000000004</v>
      </c>
      <c r="P773">
        <v>0.6</v>
      </c>
      <c r="Q773">
        <v>0.62</v>
      </c>
      <c r="R773">
        <v>0.63</v>
      </c>
      <c r="S773">
        <v>0.64</v>
      </c>
      <c r="T773">
        <v>0.64</v>
      </c>
      <c r="U773">
        <v>0.65</v>
      </c>
      <c r="V773">
        <v>0.65</v>
      </c>
      <c r="W773">
        <v>0.66</v>
      </c>
      <c r="X773">
        <v>0.67</v>
      </c>
      <c r="Y773">
        <v>0.68</v>
      </c>
      <c r="Z773">
        <v>0.69</v>
      </c>
      <c r="AA773">
        <v>0.7</v>
      </c>
      <c r="AB773">
        <v>0.72</v>
      </c>
      <c r="AC773">
        <v>0.73</v>
      </c>
      <c r="AD773">
        <v>0.75</v>
      </c>
    </row>
    <row r="774" spans="2:30" x14ac:dyDescent="0.25">
      <c r="B774" t="s">
        <v>133</v>
      </c>
      <c r="C774" t="s">
        <v>3256</v>
      </c>
      <c r="D774" t="s">
        <v>3412</v>
      </c>
      <c r="E774" t="s">
        <v>3413</v>
      </c>
      <c r="F774" t="s">
        <v>5872</v>
      </c>
      <c r="G774" t="s">
        <v>3890</v>
      </c>
      <c r="H774" t="s">
        <v>2308</v>
      </c>
      <c r="I774" t="s">
        <v>5862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0.35</v>
      </c>
      <c r="P774">
        <v>0.39</v>
      </c>
      <c r="Q774">
        <v>0.42</v>
      </c>
      <c r="R774">
        <v>0.46</v>
      </c>
      <c r="S774">
        <v>0.51</v>
      </c>
      <c r="T774">
        <v>0.56000000000000005</v>
      </c>
      <c r="U774">
        <v>0.62</v>
      </c>
      <c r="V774">
        <v>0.68</v>
      </c>
      <c r="W774">
        <v>0.75</v>
      </c>
      <c r="X774">
        <v>0.82</v>
      </c>
      <c r="Y774">
        <v>0.89</v>
      </c>
      <c r="Z774">
        <v>0.97</v>
      </c>
      <c r="AA774">
        <v>1.05</v>
      </c>
      <c r="AB774">
        <v>1.1299999999999999</v>
      </c>
      <c r="AC774">
        <v>1.22</v>
      </c>
      <c r="AD774">
        <v>1.3</v>
      </c>
    </row>
    <row r="775" spans="2:30" x14ac:dyDescent="0.25">
      <c r="B775" t="s">
        <v>133</v>
      </c>
      <c r="C775" t="s">
        <v>3256</v>
      </c>
      <c r="D775" t="s">
        <v>3406</v>
      </c>
      <c r="E775" t="s">
        <v>3407</v>
      </c>
      <c r="F775" t="s">
        <v>5873</v>
      </c>
      <c r="G775" t="s">
        <v>3890</v>
      </c>
      <c r="H775" t="s">
        <v>2308</v>
      </c>
      <c r="I775" t="s">
        <v>5862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0.92</v>
      </c>
      <c r="P775">
        <v>0.98</v>
      </c>
      <c r="Q775">
        <v>1.04</v>
      </c>
      <c r="R775">
        <v>1.1100000000000001</v>
      </c>
      <c r="S775">
        <v>1.19</v>
      </c>
      <c r="T775">
        <v>1.28</v>
      </c>
      <c r="U775">
        <v>1.38</v>
      </c>
      <c r="V775">
        <v>1.48</v>
      </c>
      <c r="W775">
        <v>1.59</v>
      </c>
      <c r="X775">
        <v>1.71</v>
      </c>
      <c r="Y775">
        <v>1.83</v>
      </c>
      <c r="Z775">
        <v>1.96</v>
      </c>
      <c r="AA775">
        <v>2.09</v>
      </c>
      <c r="AB775">
        <v>2.23</v>
      </c>
      <c r="AC775">
        <v>2.38</v>
      </c>
      <c r="AD775">
        <v>2.5299999999999998</v>
      </c>
    </row>
    <row r="776" spans="2:30" x14ac:dyDescent="0.25">
      <c r="B776" t="s">
        <v>133</v>
      </c>
      <c r="C776" t="s">
        <v>3256</v>
      </c>
      <c r="D776" t="s">
        <v>3418</v>
      </c>
      <c r="E776" t="s">
        <v>3419</v>
      </c>
      <c r="F776" t="s">
        <v>5874</v>
      </c>
      <c r="G776" t="s">
        <v>3890</v>
      </c>
      <c r="H776" t="s">
        <v>2308</v>
      </c>
      <c r="I776" t="s">
        <v>5862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0.35</v>
      </c>
      <c r="P776">
        <v>0.36</v>
      </c>
      <c r="Q776">
        <v>0.37</v>
      </c>
      <c r="R776">
        <v>0.38</v>
      </c>
      <c r="S776">
        <v>0.39</v>
      </c>
      <c r="T776">
        <v>0.4</v>
      </c>
      <c r="U776">
        <v>0.41</v>
      </c>
      <c r="V776">
        <v>0.42</v>
      </c>
      <c r="W776">
        <v>0.44</v>
      </c>
      <c r="X776">
        <v>0.45</v>
      </c>
      <c r="Y776">
        <v>0.46</v>
      </c>
      <c r="Z776">
        <v>0.47</v>
      </c>
      <c r="AA776">
        <v>0.49</v>
      </c>
      <c r="AB776">
        <v>0.5</v>
      </c>
      <c r="AC776">
        <v>0.51</v>
      </c>
      <c r="AD776">
        <v>0.53</v>
      </c>
    </row>
    <row r="777" spans="2:30" x14ac:dyDescent="0.25">
      <c r="B777" t="s">
        <v>133</v>
      </c>
      <c r="C777" t="s">
        <v>3256</v>
      </c>
      <c r="D777" t="s">
        <v>5875</v>
      </c>
      <c r="E777" t="s">
        <v>5876</v>
      </c>
      <c r="F777" t="s">
        <v>5877</v>
      </c>
      <c r="G777" t="s">
        <v>3890</v>
      </c>
      <c r="H777" t="s">
        <v>2308</v>
      </c>
      <c r="I777" t="s">
        <v>5862</v>
      </c>
      <c r="J777">
        <v>1</v>
      </c>
      <c r="K777">
        <v>-31.97</v>
      </c>
      <c r="L777">
        <v>-26.57</v>
      </c>
      <c r="M777">
        <v>-38.700000000000003</v>
      </c>
      <c r="N777">
        <v>-37.520000000000003</v>
      </c>
      <c r="O777">
        <v>-39.340000000000003</v>
      </c>
      <c r="P777">
        <v>-38.21</v>
      </c>
      <c r="Q777">
        <v>-38.520000000000003</v>
      </c>
      <c r="R777">
        <v>-39.229999999999997</v>
      </c>
      <c r="S777">
        <v>-39.94</v>
      </c>
      <c r="T777">
        <v>-40.520000000000003</v>
      </c>
      <c r="U777">
        <v>-41.25</v>
      </c>
      <c r="V777">
        <v>-41.92</v>
      </c>
      <c r="W777">
        <v>-42.48</v>
      </c>
      <c r="X777">
        <v>-42.9</v>
      </c>
      <c r="Y777">
        <v>-43.07</v>
      </c>
      <c r="Z777">
        <v>-43.04</v>
      </c>
      <c r="AA777">
        <v>-42.79</v>
      </c>
      <c r="AB777">
        <v>-42.3</v>
      </c>
      <c r="AC777">
        <v>-41.94</v>
      </c>
      <c r="AD777">
        <v>-43.65</v>
      </c>
    </row>
    <row r="778" spans="2:30" x14ac:dyDescent="0.25">
      <c r="B778" t="s">
        <v>133</v>
      </c>
      <c r="C778" t="s">
        <v>3256</v>
      </c>
      <c r="D778" t="s">
        <v>5878</v>
      </c>
      <c r="E778" t="s">
        <v>5879</v>
      </c>
      <c r="F778" t="s">
        <v>5880</v>
      </c>
      <c r="G778" t="s">
        <v>3890</v>
      </c>
      <c r="H778" t="s">
        <v>2308</v>
      </c>
      <c r="I778" t="s">
        <v>5862</v>
      </c>
      <c r="J778">
        <v>1</v>
      </c>
      <c r="K778">
        <v>0.02</v>
      </c>
      <c r="L778">
        <v>0.01</v>
      </c>
      <c r="M778">
        <v>0.01</v>
      </c>
      <c r="N778">
        <v>0.01</v>
      </c>
      <c r="O778">
        <v>0.01</v>
      </c>
      <c r="P778">
        <v>0.01</v>
      </c>
      <c r="Q778">
        <v>0.01</v>
      </c>
      <c r="R778">
        <v>0.02</v>
      </c>
      <c r="S778">
        <v>0.02</v>
      </c>
      <c r="T778">
        <v>0.02</v>
      </c>
      <c r="U778">
        <v>0.02</v>
      </c>
      <c r="V778">
        <v>0.02</v>
      </c>
      <c r="W778">
        <v>0.02</v>
      </c>
      <c r="X778">
        <v>0.02</v>
      </c>
      <c r="Y778">
        <v>0.02</v>
      </c>
      <c r="Z778">
        <v>0.02</v>
      </c>
      <c r="AA778">
        <v>0.02</v>
      </c>
      <c r="AB778">
        <v>0.02</v>
      </c>
      <c r="AC778">
        <v>0.02</v>
      </c>
      <c r="AD778">
        <v>0.02</v>
      </c>
    </row>
    <row r="779" spans="2:30" x14ac:dyDescent="0.25">
      <c r="B779" t="s">
        <v>133</v>
      </c>
      <c r="C779" t="s">
        <v>3256</v>
      </c>
      <c r="D779" t="s">
        <v>5881</v>
      </c>
      <c r="E779" t="s">
        <v>5882</v>
      </c>
      <c r="F779" t="s">
        <v>5883</v>
      </c>
      <c r="G779" t="s">
        <v>3890</v>
      </c>
      <c r="H779" t="s">
        <v>2308</v>
      </c>
      <c r="I779" t="s">
        <v>5862</v>
      </c>
      <c r="J779">
        <v>1</v>
      </c>
      <c r="K779">
        <v>-15.07</v>
      </c>
      <c r="L779">
        <v>-11.09</v>
      </c>
      <c r="M779">
        <v>-12</v>
      </c>
      <c r="N779">
        <v>-12.4</v>
      </c>
      <c r="O779">
        <v>-12.32</v>
      </c>
      <c r="P779">
        <v>-12.09</v>
      </c>
      <c r="Q779">
        <v>-12.16</v>
      </c>
      <c r="R779">
        <v>-12.42</v>
      </c>
      <c r="S779">
        <v>-12.72</v>
      </c>
      <c r="T779">
        <v>-13.04</v>
      </c>
      <c r="U779">
        <v>-13.4</v>
      </c>
      <c r="V779">
        <v>-13.8</v>
      </c>
      <c r="W779">
        <v>-14.24</v>
      </c>
      <c r="X779">
        <v>-14.73</v>
      </c>
      <c r="Y779">
        <v>-15.27</v>
      </c>
      <c r="Z779">
        <v>-15.89</v>
      </c>
      <c r="AA779">
        <v>-16.579999999999998</v>
      </c>
      <c r="AB779">
        <v>-17.36</v>
      </c>
      <c r="AC779">
        <v>-18.260000000000002</v>
      </c>
      <c r="AD779">
        <v>-19.170000000000002</v>
      </c>
    </row>
    <row r="780" spans="2:30" x14ac:dyDescent="0.25">
      <c r="B780" t="s">
        <v>133</v>
      </c>
      <c r="C780" t="s">
        <v>3256</v>
      </c>
      <c r="D780" t="s">
        <v>5884</v>
      </c>
      <c r="E780" t="s">
        <v>5885</v>
      </c>
      <c r="F780" t="s">
        <v>5886</v>
      </c>
      <c r="G780" t="s">
        <v>3890</v>
      </c>
      <c r="H780" t="s">
        <v>2308</v>
      </c>
      <c r="I780" t="s">
        <v>5862</v>
      </c>
      <c r="J780">
        <v>1</v>
      </c>
      <c r="K780">
        <v>-4.13</v>
      </c>
      <c r="L780">
        <v>-3.27</v>
      </c>
      <c r="M780">
        <v>-3.44</v>
      </c>
      <c r="N780">
        <v>-4.3899999999999997</v>
      </c>
      <c r="O780">
        <v>-4.4000000000000004</v>
      </c>
      <c r="P780">
        <v>-4.42</v>
      </c>
      <c r="Q780">
        <v>-4.45</v>
      </c>
      <c r="R780">
        <v>-4.4800000000000004</v>
      </c>
      <c r="S780">
        <v>-4.51</v>
      </c>
      <c r="T780">
        <v>-4.54</v>
      </c>
      <c r="U780">
        <v>-4.57</v>
      </c>
      <c r="V780">
        <v>-4.6100000000000003</v>
      </c>
      <c r="W780">
        <v>-4.6500000000000004</v>
      </c>
      <c r="X780">
        <v>-4.6900000000000004</v>
      </c>
      <c r="Y780">
        <v>-4.74</v>
      </c>
      <c r="Z780">
        <v>-4.8</v>
      </c>
      <c r="AA780">
        <v>-4.8499999999999996</v>
      </c>
      <c r="AB780">
        <v>-4.91</v>
      </c>
      <c r="AC780">
        <v>-4.9800000000000004</v>
      </c>
      <c r="AD780">
        <v>-5.05</v>
      </c>
    </row>
    <row r="781" spans="2:30" x14ac:dyDescent="0.25">
      <c r="B781" t="s">
        <v>133</v>
      </c>
      <c r="C781" t="s">
        <v>3256</v>
      </c>
      <c r="D781" t="s">
        <v>5887</v>
      </c>
      <c r="E781" t="s">
        <v>5888</v>
      </c>
      <c r="F781" t="s">
        <v>5889</v>
      </c>
      <c r="G781" t="s">
        <v>3890</v>
      </c>
      <c r="H781" t="s">
        <v>2308</v>
      </c>
      <c r="I781" t="s">
        <v>5862</v>
      </c>
      <c r="J781">
        <v>1</v>
      </c>
      <c r="K781">
        <v>-3.22</v>
      </c>
      <c r="L781">
        <v>-3.49</v>
      </c>
      <c r="M781">
        <v>-3.59</v>
      </c>
      <c r="N781">
        <v>-2.72</v>
      </c>
      <c r="O781">
        <v>-2.98</v>
      </c>
      <c r="P781">
        <v>-2.92</v>
      </c>
      <c r="Q781">
        <v>-3.09</v>
      </c>
      <c r="R781">
        <v>-3.32</v>
      </c>
      <c r="S781">
        <v>-3.61</v>
      </c>
      <c r="T781">
        <v>-3.94</v>
      </c>
      <c r="U781">
        <v>-4.3600000000000003</v>
      </c>
      <c r="V781">
        <v>-4.8</v>
      </c>
      <c r="W781">
        <v>-5.28</v>
      </c>
      <c r="X781">
        <v>-5.78</v>
      </c>
      <c r="Y781">
        <v>-6.3</v>
      </c>
      <c r="Z781">
        <v>-6.85</v>
      </c>
      <c r="AA781">
        <v>-7.42</v>
      </c>
      <c r="AB781">
        <v>-8.01</v>
      </c>
      <c r="AC781">
        <v>-8.6300000000000008</v>
      </c>
      <c r="AD781">
        <v>-9.26</v>
      </c>
    </row>
    <row r="782" spans="2:30" x14ac:dyDescent="0.25">
      <c r="B782" t="s">
        <v>133</v>
      </c>
      <c r="C782" t="s">
        <v>3256</v>
      </c>
      <c r="D782" t="s">
        <v>5890</v>
      </c>
      <c r="E782" t="s">
        <v>5891</v>
      </c>
      <c r="F782" t="s">
        <v>5892</v>
      </c>
      <c r="G782" t="s">
        <v>3890</v>
      </c>
      <c r="H782" t="s">
        <v>2308</v>
      </c>
      <c r="I782" t="s">
        <v>5862</v>
      </c>
      <c r="J782">
        <v>1</v>
      </c>
      <c r="K782">
        <v>-11.33</v>
      </c>
      <c r="L782">
        <v>-10.43</v>
      </c>
      <c r="M782">
        <v>-10.38</v>
      </c>
      <c r="N782">
        <v>-8.4</v>
      </c>
      <c r="O782">
        <v>-9.2799999999999994</v>
      </c>
      <c r="P782">
        <v>-9.01</v>
      </c>
      <c r="Q782">
        <v>-9.35</v>
      </c>
      <c r="R782">
        <v>-9.82</v>
      </c>
      <c r="S782">
        <v>-10.38</v>
      </c>
      <c r="T782">
        <v>-11.03</v>
      </c>
      <c r="U782">
        <v>-11.88</v>
      </c>
      <c r="V782">
        <v>-12.78</v>
      </c>
      <c r="W782">
        <v>-13.74</v>
      </c>
      <c r="X782">
        <v>-14.75</v>
      </c>
      <c r="Y782">
        <v>-15.8</v>
      </c>
      <c r="Z782">
        <v>-16.899999999999999</v>
      </c>
      <c r="AA782">
        <v>-18.05</v>
      </c>
      <c r="AB782">
        <v>-19.260000000000002</v>
      </c>
      <c r="AC782">
        <v>-20.52</v>
      </c>
      <c r="AD782">
        <v>-21.84</v>
      </c>
    </row>
    <row r="783" spans="2:30" x14ac:dyDescent="0.25">
      <c r="B783" t="s">
        <v>133</v>
      </c>
      <c r="C783" t="s">
        <v>3256</v>
      </c>
      <c r="D783" t="s">
        <v>5893</v>
      </c>
      <c r="E783" t="s">
        <v>5894</v>
      </c>
      <c r="F783" t="s">
        <v>5895</v>
      </c>
      <c r="G783" t="s">
        <v>3890</v>
      </c>
      <c r="H783" t="s">
        <v>2308</v>
      </c>
      <c r="I783" t="s">
        <v>5862</v>
      </c>
      <c r="J783">
        <v>1</v>
      </c>
      <c r="K783">
        <v>-4.34</v>
      </c>
      <c r="L783">
        <v>-4.6900000000000004</v>
      </c>
      <c r="M783">
        <v>-5.41</v>
      </c>
      <c r="N783">
        <v>-4.8</v>
      </c>
      <c r="O783">
        <v>-5.12</v>
      </c>
      <c r="P783">
        <v>-4.9400000000000004</v>
      </c>
      <c r="Q783">
        <v>-5</v>
      </c>
      <c r="R783">
        <v>-5.0999999999999996</v>
      </c>
      <c r="S783">
        <v>-5.19</v>
      </c>
      <c r="T783">
        <v>-5.27</v>
      </c>
      <c r="U783">
        <v>-5.41</v>
      </c>
      <c r="V783">
        <v>-5.54</v>
      </c>
      <c r="W783">
        <v>-5.68</v>
      </c>
      <c r="X783">
        <v>-5.82</v>
      </c>
      <c r="Y783">
        <v>-5.96</v>
      </c>
      <c r="Z783">
        <v>-6.1</v>
      </c>
      <c r="AA783">
        <v>-6.25</v>
      </c>
      <c r="AB783">
        <v>-6.39</v>
      </c>
      <c r="AC783">
        <v>-6.54</v>
      </c>
      <c r="AD783">
        <v>-6.69</v>
      </c>
    </row>
    <row r="784" spans="2:30" x14ac:dyDescent="0.25">
      <c r="B784" t="s">
        <v>133</v>
      </c>
      <c r="C784" t="s">
        <v>3256</v>
      </c>
      <c r="D784" t="s">
        <v>5896</v>
      </c>
      <c r="E784" t="s">
        <v>5897</v>
      </c>
      <c r="F784" t="s">
        <v>5898</v>
      </c>
      <c r="G784" t="s">
        <v>3890</v>
      </c>
      <c r="H784" t="s">
        <v>5899</v>
      </c>
      <c r="I784" t="s">
        <v>5862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2:30" x14ac:dyDescent="0.25">
      <c r="B785" t="s">
        <v>133</v>
      </c>
      <c r="C785" t="s">
        <v>3256</v>
      </c>
      <c r="D785" t="s">
        <v>5900</v>
      </c>
      <c r="E785" t="s">
        <v>5901</v>
      </c>
      <c r="F785" t="s">
        <v>5902</v>
      </c>
      <c r="G785" t="s">
        <v>3890</v>
      </c>
      <c r="H785" t="s">
        <v>2308</v>
      </c>
      <c r="I785" t="s">
        <v>5862</v>
      </c>
      <c r="J785">
        <v>1</v>
      </c>
      <c r="K785">
        <v>0.14000000000000001</v>
      </c>
      <c r="L785">
        <v>0.08</v>
      </c>
      <c r="M785">
        <v>-10.34</v>
      </c>
      <c r="N785">
        <v>-11.45</v>
      </c>
      <c r="O785">
        <v>-12.05</v>
      </c>
      <c r="P785">
        <v>-12.24</v>
      </c>
      <c r="Q785">
        <v>-12.58</v>
      </c>
      <c r="R785">
        <v>-13.02</v>
      </c>
      <c r="S785">
        <v>-13.46</v>
      </c>
      <c r="T785">
        <v>-13.91</v>
      </c>
      <c r="U785">
        <v>-14.35</v>
      </c>
      <c r="V785">
        <v>-14.8</v>
      </c>
      <c r="W785">
        <v>-15.26</v>
      </c>
      <c r="X785">
        <v>-15.72</v>
      </c>
      <c r="Y785">
        <v>-16.2</v>
      </c>
      <c r="Z785">
        <v>-16.68</v>
      </c>
      <c r="AA785">
        <v>-17.170000000000002</v>
      </c>
      <c r="AB785">
        <v>-17.670000000000002</v>
      </c>
      <c r="AC785">
        <v>-18.170000000000002</v>
      </c>
      <c r="AD785">
        <v>-18.690000000000001</v>
      </c>
    </row>
    <row r="786" spans="2:30" x14ac:dyDescent="0.25">
      <c r="B786" t="s">
        <v>133</v>
      </c>
      <c r="C786" t="s">
        <v>3256</v>
      </c>
      <c r="D786" t="s">
        <v>5903</v>
      </c>
      <c r="E786" t="s">
        <v>5904</v>
      </c>
      <c r="F786" t="s">
        <v>5905</v>
      </c>
      <c r="G786" t="s">
        <v>3890</v>
      </c>
      <c r="H786" t="s">
        <v>2308</v>
      </c>
      <c r="I786" t="s">
        <v>5862</v>
      </c>
      <c r="J786">
        <v>2</v>
      </c>
      <c r="K786">
        <v>-31.97</v>
      </c>
      <c r="L786">
        <v>-26.55</v>
      </c>
      <c r="M786">
        <v>-38.69</v>
      </c>
      <c r="N786">
        <v>-37.5</v>
      </c>
      <c r="O786">
        <v>-31.56</v>
      </c>
      <c r="P786">
        <v>-29.08</v>
      </c>
      <c r="Q786">
        <v>-29.49</v>
      </c>
      <c r="R786">
        <v>-29.76</v>
      </c>
      <c r="S786">
        <v>-30.23</v>
      </c>
      <c r="T786">
        <v>-30.37</v>
      </c>
      <c r="U786">
        <v>-30.65</v>
      </c>
      <c r="V786">
        <v>-30.81</v>
      </c>
      <c r="W786">
        <v>-30.87</v>
      </c>
      <c r="X786">
        <v>-30.78</v>
      </c>
      <c r="Y786">
        <v>-30.45</v>
      </c>
      <c r="Z786">
        <v>-29.93</v>
      </c>
      <c r="AA786">
        <v>-29.16</v>
      </c>
      <c r="AB786">
        <v>-28.14</v>
      </c>
      <c r="AC786">
        <v>-27.26</v>
      </c>
      <c r="AD786">
        <v>-28.42</v>
      </c>
    </row>
    <row r="787" spans="2:30" x14ac:dyDescent="0.25">
      <c r="B787" t="s">
        <v>133</v>
      </c>
      <c r="C787" t="s">
        <v>3256</v>
      </c>
      <c r="D787" t="s">
        <v>5906</v>
      </c>
      <c r="E787" t="s">
        <v>5907</v>
      </c>
      <c r="F787" t="s">
        <v>5908</v>
      </c>
      <c r="G787" t="s">
        <v>3890</v>
      </c>
      <c r="H787" t="s">
        <v>2308</v>
      </c>
      <c r="I787" t="s">
        <v>5862</v>
      </c>
      <c r="J787">
        <v>2</v>
      </c>
      <c r="K787">
        <v>0.02</v>
      </c>
      <c r="L787">
        <v>0.01</v>
      </c>
      <c r="M787">
        <v>0.01</v>
      </c>
      <c r="N787">
        <v>0.01</v>
      </c>
      <c r="O787">
        <v>0.16</v>
      </c>
      <c r="P787">
        <v>0.16</v>
      </c>
      <c r="Q787">
        <v>0.16</v>
      </c>
      <c r="R787">
        <v>0.17</v>
      </c>
      <c r="S787">
        <v>0.17</v>
      </c>
      <c r="T787">
        <v>0.17</v>
      </c>
      <c r="U787">
        <v>0.18</v>
      </c>
      <c r="V787">
        <v>0.18</v>
      </c>
      <c r="W787">
        <v>0.18</v>
      </c>
      <c r="X787">
        <v>0.19</v>
      </c>
      <c r="Y787">
        <v>0.19</v>
      </c>
      <c r="Z787">
        <v>0.19</v>
      </c>
      <c r="AA787">
        <v>0.2</v>
      </c>
      <c r="AB787">
        <v>0.2</v>
      </c>
      <c r="AC787">
        <v>0.21</v>
      </c>
      <c r="AD787">
        <v>0.21</v>
      </c>
    </row>
    <row r="788" spans="2:30" x14ac:dyDescent="0.25">
      <c r="B788" t="s">
        <v>133</v>
      </c>
      <c r="C788" t="s">
        <v>3256</v>
      </c>
      <c r="D788" t="s">
        <v>5909</v>
      </c>
      <c r="E788" t="s">
        <v>5910</v>
      </c>
      <c r="F788" t="s">
        <v>5911</v>
      </c>
      <c r="G788" t="s">
        <v>3890</v>
      </c>
      <c r="H788" t="s">
        <v>2308</v>
      </c>
      <c r="I788" t="s">
        <v>5862</v>
      </c>
      <c r="J788">
        <v>2</v>
      </c>
      <c r="K788">
        <v>-15.07</v>
      </c>
      <c r="L788">
        <v>-11.07</v>
      </c>
      <c r="M788">
        <v>-11.98</v>
      </c>
      <c r="N788">
        <v>-12.39</v>
      </c>
      <c r="O788">
        <v>-9.59</v>
      </c>
      <c r="P788">
        <v>-8.61</v>
      </c>
      <c r="Q788">
        <v>-8.84</v>
      </c>
      <c r="R788">
        <v>-8.9700000000000006</v>
      </c>
      <c r="S788">
        <v>-9.2200000000000006</v>
      </c>
      <c r="T788">
        <v>-9.3800000000000008</v>
      </c>
      <c r="U788">
        <v>-9.6</v>
      </c>
      <c r="V788">
        <v>-9.84</v>
      </c>
      <c r="W788">
        <v>-10.130000000000001</v>
      </c>
      <c r="X788">
        <v>-10.47</v>
      </c>
      <c r="Y788">
        <v>-10.85</v>
      </c>
      <c r="Z788">
        <v>-11.31</v>
      </c>
      <c r="AA788">
        <v>-11.84</v>
      </c>
      <c r="AB788">
        <v>-12.46</v>
      </c>
      <c r="AC788">
        <v>-13.19</v>
      </c>
      <c r="AD788">
        <v>-13.92</v>
      </c>
    </row>
    <row r="789" spans="2:30" x14ac:dyDescent="0.25">
      <c r="B789" t="s">
        <v>133</v>
      </c>
      <c r="C789" t="s">
        <v>3256</v>
      </c>
      <c r="D789" t="s">
        <v>5912</v>
      </c>
      <c r="E789" t="s">
        <v>5913</v>
      </c>
      <c r="F789" t="s">
        <v>5914</v>
      </c>
      <c r="G789" t="s">
        <v>3890</v>
      </c>
      <c r="H789" t="s">
        <v>2308</v>
      </c>
      <c r="I789" t="s">
        <v>5862</v>
      </c>
      <c r="J789">
        <v>2</v>
      </c>
      <c r="K789">
        <v>-4.13</v>
      </c>
      <c r="L789">
        <v>-3.27</v>
      </c>
      <c r="M789">
        <v>-3.44</v>
      </c>
      <c r="N789">
        <v>-4.3899999999999997</v>
      </c>
      <c r="O789">
        <v>-3.37</v>
      </c>
      <c r="P789">
        <v>-3.65</v>
      </c>
      <c r="Q789">
        <v>-3.76</v>
      </c>
      <c r="R789">
        <v>-3.84</v>
      </c>
      <c r="S789">
        <v>-3.88</v>
      </c>
      <c r="T789">
        <v>-3.92</v>
      </c>
      <c r="U789">
        <v>-3.96</v>
      </c>
      <c r="V789">
        <v>-4</v>
      </c>
      <c r="W789">
        <v>-4.05</v>
      </c>
      <c r="X789">
        <v>-4.0999999999999996</v>
      </c>
      <c r="Y789">
        <v>-4.16</v>
      </c>
      <c r="Z789">
        <v>-4.2300000000000004</v>
      </c>
      <c r="AA789">
        <v>-4.3</v>
      </c>
      <c r="AB789">
        <v>-4.38</v>
      </c>
      <c r="AC789">
        <v>-4.47</v>
      </c>
      <c r="AD789">
        <v>-4.5599999999999996</v>
      </c>
    </row>
    <row r="790" spans="2:30" x14ac:dyDescent="0.25">
      <c r="B790" t="s">
        <v>133</v>
      </c>
      <c r="C790" t="s">
        <v>3256</v>
      </c>
      <c r="D790" t="s">
        <v>5915</v>
      </c>
      <c r="E790" t="s">
        <v>5916</v>
      </c>
      <c r="F790" t="s">
        <v>5917</v>
      </c>
      <c r="G790" t="s">
        <v>3890</v>
      </c>
      <c r="H790" t="s">
        <v>2308</v>
      </c>
      <c r="I790" t="s">
        <v>5862</v>
      </c>
      <c r="J790">
        <v>2</v>
      </c>
      <c r="K790">
        <v>-3.22</v>
      </c>
      <c r="L790">
        <v>-3.49</v>
      </c>
      <c r="M790">
        <v>-3.59</v>
      </c>
      <c r="N790">
        <v>-2.72</v>
      </c>
      <c r="O790">
        <v>-2.4700000000000002</v>
      </c>
      <c r="P790">
        <v>-2.37</v>
      </c>
      <c r="Q790">
        <v>-2.4900000000000002</v>
      </c>
      <c r="R790">
        <v>-2.66</v>
      </c>
      <c r="S790">
        <v>-2.87</v>
      </c>
      <c r="T790">
        <v>-3.12</v>
      </c>
      <c r="U790">
        <v>-3.45</v>
      </c>
      <c r="V790">
        <v>-3.79</v>
      </c>
      <c r="W790">
        <v>-4.16</v>
      </c>
      <c r="X790">
        <v>-4.55</v>
      </c>
      <c r="Y790">
        <v>-4.95</v>
      </c>
      <c r="Z790">
        <v>-5.38</v>
      </c>
      <c r="AA790">
        <v>-5.82</v>
      </c>
      <c r="AB790">
        <v>-6.28</v>
      </c>
      <c r="AC790">
        <v>-6.76</v>
      </c>
      <c r="AD790">
        <v>-7.24</v>
      </c>
    </row>
    <row r="791" spans="2:30" x14ac:dyDescent="0.25">
      <c r="B791" t="s">
        <v>133</v>
      </c>
      <c r="C791" t="s">
        <v>3256</v>
      </c>
      <c r="D791" t="s">
        <v>5918</v>
      </c>
      <c r="E791" t="s">
        <v>5919</v>
      </c>
      <c r="F791" t="s">
        <v>5920</v>
      </c>
      <c r="G791" t="s">
        <v>3890</v>
      </c>
      <c r="H791" t="s">
        <v>2308</v>
      </c>
      <c r="I791" t="s">
        <v>5862</v>
      </c>
      <c r="J791">
        <v>2</v>
      </c>
      <c r="K791">
        <v>-11.33</v>
      </c>
      <c r="L791">
        <v>-10.43</v>
      </c>
      <c r="M791">
        <v>-10.38</v>
      </c>
      <c r="N791">
        <v>-8.4</v>
      </c>
      <c r="O791">
        <v>-7.22</v>
      </c>
      <c r="P791">
        <v>-6.92</v>
      </c>
      <c r="Q791">
        <v>-7.15</v>
      </c>
      <c r="R791">
        <v>-7.5</v>
      </c>
      <c r="S791">
        <v>-7.92</v>
      </c>
      <c r="T791">
        <v>-8.4</v>
      </c>
      <c r="U791">
        <v>-9.0500000000000007</v>
      </c>
      <c r="V791">
        <v>-9.75</v>
      </c>
      <c r="W791">
        <v>-10.48</v>
      </c>
      <c r="X791">
        <v>-11.25</v>
      </c>
      <c r="Y791">
        <v>-12.06</v>
      </c>
      <c r="Z791">
        <v>-12.91</v>
      </c>
      <c r="AA791">
        <v>-13.8</v>
      </c>
      <c r="AB791">
        <v>-14.73</v>
      </c>
      <c r="AC791">
        <v>-15.7</v>
      </c>
      <c r="AD791">
        <v>-16.72</v>
      </c>
    </row>
    <row r="792" spans="2:30" x14ac:dyDescent="0.25">
      <c r="B792" t="s">
        <v>133</v>
      </c>
      <c r="C792" t="s">
        <v>3256</v>
      </c>
      <c r="D792" t="s">
        <v>5921</v>
      </c>
      <c r="E792" t="s">
        <v>5922</v>
      </c>
      <c r="F792" t="s">
        <v>5923</v>
      </c>
      <c r="G792" t="s">
        <v>3890</v>
      </c>
      <c r="H792" t="s">
        <v>2308</v>
      </c>
      <c r="I792" t="s">
        <v>5862</v>
      </c>
      <c r="J792">
        <v>2</v>
      </c>
      <c r="K792">
        <v>-4.34</v>
      </c>
      <c r="L792">
        <v>-4.6900000000000004</v>
      </c>
      <c r="M792">
        <v>-5.41</v>
      </c>
      <c r="N792">
        <v>-4.8</v>
      </c>
      <c r="O792">
        <v>-3.82</v>
      </c>
      <c r="P792">
        <v>-3.66</v>
      </c>
      <c r="Q792">
        <v>-3.7</v>
      </c>
      <c r="R792">
        <v>-3.77</v>
      </c>
      <c r="S792">
        <v>-3.83</v>
      </c>
      <c r="T792">
        <v>-3.89</v>
      </c>
      <c r="U792">
        <v>-3.99</v>
      </c>
      <c r="V792">
        <v>-4.09</v>
      </c>
      <c r="W792">
        <v>-4.2</v>
      </c>
      <c r="X792">
        <v>-4.3099999999999996</v>
      </c>
      <c r="Y792">
        <v>-4.43</v>
      </c>
      <c r="Z792">
        <v>-4.55</v>
      </c>
      <c r="AA792">
        <v>-4.68</v>
      </c>
      <c r="AB792">
        <v>-4.8099999999999996</v>
      </c>
      <c r="AC792">
        <v>-4.9400000000000004</v>
      </c>
      <c r="AD792">
        <v>-5.07</v>
      </c>
    </row>
    <row r="793" spans="2:30" x14ac:dyDescent="0.25">
      <c r="B793" t="s">
        <v>133</v>
      </c>
      <c r="C793" t="s">
        <v>3256</v>
      </c>
      <c r="D793" t="s">
        <v>5924</v>
      </c>
      <c r="E793" t="s">
        <v>5925</v>
      </c>
      <c r="F793" t="s">
        <v>5926</v>
      </c>
      <c r="G793" t="s">
        <v>3890</v>
      </c>
      <c r="H793" t="s">
        <v>5899</v>
      </c>
      <c r="I793" t="s">
        <v>5862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2:30" x14ac:dyDescent="0.25">
      <c r="B794" t="s">
        <v>133</v>
      </c>
      <c r="C794" t="s">
        <v>3256</v>
      </c>
      <c r="D794" t="s">
        <v>5927</v>
      </c>
      <c r="E794" t="s">
        <v>5928</v>
      </c>
      <c r="F794" t="s">
        <v>5929</v>
      </c>
      <c r="G794" t="s">
        <v>3890</v>
      </c>
      <c r="H794" t="s">
        <v>2308</v>
      </c>
      <c r="I794" t="s">
        <v>5862</v>
      </c>
      <c r="J794">
        <v>2</v>
      </c>
      <c r="K794">
        <v>0.14000000000000001</v>
      </c>
      <c r="L794">
        <v>0.08</v>
      </c>
      <c r="M794">
        <v>-10.34</v>
      </c>
      <c r="N794">
        <v>-11.45</v>
      </c>
      <c r="O794">
        <v>-12.05</v>
      </c>
      <c r="P794">
        <v>-11.42</v>
      </c>
      <c r="Q794">
        <v>-11.8</v>
      </c>
      <c r="R794">
        <v>-12.1</v>
      </c>
      <c r="S794">
        <v>-12.59</v>
      </c>
      <c r="T794">
        <v>-13.03</v>
      </c>
      <c r="U794">
        <v>-13.48</v>
      </c>
      <c r="V794">
        <v>-13.92</v>
      </c>
      <c r="W794">
        <v>-14.38</v>
      </c>
      <c r="X794">
        <v>-14.86</v>
      </c>
      <c r="Y794">
        <v>-15.36</v>
      </c>
      <c r="Z794">
        <v>-15.88</v>
      </c>
      <c r="AA794">
        <v>-16.420000000000002</v>
      </c>
      <c r="AB794">
        <v>-16.96</v>
      </c>
      <c r="AC794">
        <v>-17.53</v>
      </c>
      <c r="AD794">
        <v>-18.11</v>
      </c>
    </row>
    <row r="795" spans="2:30" x14ac:dyDescent="0.25">
      <c r="B795" t="s">
        <v>133</v>
      </c>
      <c r="C795" t="s">
        <v>3256</v>
      </c>
      <c r="D795" t="s">
        <v>5930</v>
      </c>
      <c r="E795" t="s">
        <v>5931</v>
      </c>
      <c r="F795" t="s">
        <v>5932</v>
      </c>
      <c r="G795" t="s">
        <v>5933</v>
      </c>
      <c r="H795" t="s">
        <v>5934</v>
      </c>
      <c r="J795">
        <v>1</v>
      </c>
      <c r="K795">
        <v>55.675159999999998</v>
      </c>
      <c r="L795">
        <v>55.377510000000001</v>
      </c>
      <c r="M795">
        <v>56.988480000000003</v>
      </c>
      <c r="N795">
        <v>59.04712</v>
      </c>
      <c r="O795">
        <v>59.183799999999998</v>
      </c>
      <c r="P795">
        <v>59.514490000000002</v>
      </c>
      <c r="Q795">
        <v>59.95505</v>
      </c>
      <c r="R795">
        <v>60.429819999999999</v>
      </c>
      <c r="S795">
        <v>60.96405</v>
      </c>
      <c r="T795">
        <v>61.59111</v>
      </c>
      <c r="U795">
        <v>62.275260000000003</v>
      </c>
      <c r="V795">
        <v>63.016210000000001</v>
      </c>
      <c r="W795">
        <v>63.806130000000003</v>
      </c>
      <c r="X795">
        <v>64.647210000000001</v>
      </c>
      <c r="Y795">
        <v>65.536709999999999</v>
      </c>
      <c r="Z795">
        <v>66.480680000000007</v>
      </c>
      <c r="AA795">
        <v>67.480549999999994</v>
      </c>
      <c r="AB795">
        <v>68.539810000000003</v>
      </c>
      <c r="AC795">
        <v>69.662480000000002</v>
      </c>
      <c r="AD795">
        <v>0</v>
      </c>
    </row>
    <row r="796" spans="2:30" x14ac:dyDescent="0.25">
      <c r="B796" t="s">
        <v>133</v>
      </c>
      <c r="C796" t="s">
        <v>3256</v>
      </c>
      <c r="D796" t="s">
        <v>5935</v>
      </c>
      <c r="E796" t="s">
        <v>5936</v>
      </c>
      <c r="F796" t="s">
        <v>5937</v>
      </c>
      <c r="G796" t="s">
        <v>5933</v>
      </c>
      <c r="H796" t="s">
        <v>5934</v>
      </c>
      <c r="J796">
        <v>1</v>
      </c>
      <c r="K796">
        <v>40.588149999999999</v>
      </c>
      <c r="L796">
        <v>40.290489999999998</v>
      </c>
      <c r="M796">
        <v>41.901470000000003</v>
      </c>
      <c r="N796">
        <v>43.96011</v>
      </c>
      <c r="O796">
        <v>44.096780000000003</v>
      </c>
      <c r="P796">
        <v>44.427480000000003</v>
      </c>
      <c r="Q796">
        <v>44.868029999999997</v>
      </c>
      <c r="R796">
        <v>45.34281</v>
      </c>
      <c r="S796">
        <v>45.877040000000001</v>
      </c>
      <c r="T796">
        <v>46.504100000000001</v>
      </c>
      <c r="U796">
        <v>47.188249999999996</v>
      </c>
      <c r="V796">
        <v>47.929200000000002</v>
      </c>
      <c r="W796">
        <v>48.719119999999997</v>
      </c>
      <c r="X796">
        <v>49.560200000000002</v>
      </c>
      <c r="Y796">
        <v>50.4497</v>
      </c>
      <c r="Z796">
        <v>51.39367</v>
      </c>
      <c r="AA796">
        <v>52.393540000000002</v>
      </c>
      <c r="AB796">
        <v>53.452800000000003</v>
      </c>
      <c r="AC796">
        <v>54.57546</v>
      </c>
      <c r="AD796">
        <v>0</v>
      </c>
    </row>
    <row r="797" spans="2:30" x14ac:dyDescent="0.25">
      <c r="B797" t="s">
        <v>133</v>
      </c>
      <c r="C797" t="s">
        <v>3256</v>
      </c>
      <c r="D797" t="s">
        <v>5938</v>
      </c>
      <c r="E797" t="s">
        <v>5939</v>
      </c>
      <c r="F797" t="s">
        <v>5940</v>
      </c>
      <c r="G797" t="s">
        <v>5933</v>
      </c>
      <c r="H797" t="s">
        <v>5934</v>
      </c>
      <c r="J797">
        <v>2</v>
      </c>
      <c r="K797">
        <v>55.675159999999998</v>
      </c>
      <c r="L797">
        <v>55.379440000000002</v>
      </c>
      <c r="M797">
        <v>56.990340000000003</v>
      </c>
      <c r="N797">
        <v>59.048909999999999</v>
      </c>
      <c r="O797">
        <v>57.01202</v>
      </c>
      <c r="P797">
        <v>57.726210000000002</v>
      </c>
      <c r="Q797">
        <v>58.318930000000002</v>
      </c>
      <c r="R797">
        <v>58.837649999999996</v>
      </c>
      <c r="S797">
        <v>59.344380000000001</v>
      </c>
      <c r="T797">
        <v>59.89893</v>
      </c>
      <c r="U797">
        <v>60.514099999999999</v>
      </c>
      <c r="V797">
        <v>61.182160000000003</v>
      </c>
      <c r="W797">
        <v>61.902720000000002</v>
      </c>
      <c r="X797">
        <v>62.681719999999999</v>
      </c>
      <c r="Y797">
        <v>63.515639999999998</v>
      </c>
      <c r="Z797">
        <v>64.411680000000004</v>
      </c>
      <c r="AA797">
        <v>65.36712</v>
      </c>
      <c r="AB797">
        <v>66.38588</v>
      </c>
      <c r="AC797">
        <v>67.474130000000002</v>
      </c>
      <c r="AD797">
        <v>0</v>
      </c>
    </row>
    <row r="798" spans="2:30" x14ac:dyDescent="0.25">
      <c r="B798" t="s">
        <v>133</v>
      </c>
      <c r="C798" t="s">
        <v>3256</v>
      </c>
      <c r="D798" t="s">
        <v>5941</v>
      </c>
      <c r="E798" t="s">
        <v>5942</v>
      </c>
      <c r="F798" t="s">
        <v>5943</v>
      </c>
      <c r="G798" t="s">
        <v>5933</v>
      </c>
      <c r="H798" t="s">
        <v>5934</v>
      </c>
      <c r="J798">
        <v>2</v>
      </c>
      <c r="K798">
        <v>40.588149999999999</v>
      </c>
      <c r="L798">
        <v>40.292430000000003</v>
      </c>
      <c r="M798">
        <v>41.903329999999997</v>
      </c>
      <c r="N798">
        <v>43.9619</v>
      </c>
      <c r="O798">
        <v>41.92501</v>
      </c>
      <c r="P798">
        <v>42.639200000000002</v>
      </c>
      <c r="Q798">
        <v>43.231909999999999</v>
      </c>
      <c r="R798">
        <v>43.750630000000001</v>
      </c>
      <c r="S798">
        <v>44.257359999999998</v>
      </c>
      <c r="T798">
        <v>44.811909999999997</v>
      </c>
      <c r="U798">
        <v>45.42709</v>
      </c>
      <c r="V798">
        <v>46.095149999999997</v>
      </c>
      <c r="W798">
        <v>46.815710000000003</v>
      </c>
      <c r="X798">
        <v>47.594709999999999</v>
      </c>
      <c r="Y798">
        <v>48.428629999999998</v>
      </c>
      <c r="Z798">
        <v>49.324669999999998</v>
      </c>
      <c r="AA798">
        <v>50.280099999999997</v>
      </c>
      <c r="AB798">
        <v>51.298859999999998</v>
      </c>
      <c r="AC798">
        <v>52.387120000000003</v>
      </c>
      <c r="AD798">
        <v>0</v>
      </c>
    </row>
    <row r="799" spans="2:30" x14ac:dyDescent="0.25">
      <c r="B799" t="s">
        <v>133</v>
      </c>
      <c r="C799" t="s">
        <v>3256</v>
      </c>
      <c r="D799" t="s">
        <v>5944</v>
      </c>
      <c r="E799" t="s">
        <v>5945</v>
      </c>
      <c r="F799" t="s">
        <v>5946</v>
      </c>
      <c r="G799" t="s">
        <v>5933</v>
      </c>
      <c r="H799" t="s">
        <v>5947</v>
      </c>
      <c r="J799">
        <v>1</v>
      </c>
      <c r="K799">
        <v>19.333559917072691</v>
      </c>
      <c r="L799">
        <v>19.035908162986296</v>
      </c>
      <c r="M799">
        <v>20.64688325424239</v>
      </c>
      <c r="N799">
        <v>22.705522340023506</v>
      </c>
      <c r="O799">
        <v>22.842196744002308</v>
      </c>
      <c r="P799">
        <v>23.172890167193536</v>
      </c>
      <c r="Q799">
        <v>23.613447984677876</v>
      </c>
      <c r="R799">
        <v>24.088218814612986</v>
      </c>
      <c r="S799">
        <v>24.622452293537222</v>
      </c>
      <c r="T799">
        <v>25.249511498462113</v>
      </c>
      <c r="U799">
        <v>25.933661137275138</v>
      </c>
      <c r="V799">
        <v>26.674609558698691</v>
      </c>
      <c r="W799">
        <v>27.464533908745196</v>
      </c>
      <c r="X799">
        <v>28.305609070078532</v>
      </c>
      <c r="Y799">
        <v>29.195110120869714</v>
      </c>
      <c r="Z799">
        <v>30.139084343684203</v>
      </c>
      <c r="AA799">
        <v>31.13895369613823</v>
      </c>
      <c r="AB799">
        <v>32.198214068528657</v>
      </c>
      <c r="AC799">
        <v>33.320877493426366</v>
      </c>
      <c r="AD799">
        <v>0</v>
      </c>
    </row>
    <row r="800" spans="2:30" x14ac:dyDescent="0.25">
      <c r="B800" t="s">
        <v>133</v>
      </c>
      <c r="C800" t="s">
        <v>3256</v>
      </c>
      <c r="D800" t="s">
        <v>5948</v>
      </c>
      <c r="E800" t="s">
        <v>5949</v>
      </c>
      <c r="F800" t="s">
        <v>5950</v>
      </c>
      <c r="G800" t="s">
        <v>5933</v>
      </c>
      <c r="H800" t="s">
        <v>5951</v>
      </c>
      <c r="J800">
        <v>1</v>
      </c>
      <c r="K800">
        <v>54.858705649999997</v>
      </c>
    </row>
    <row r="801" spans="2:30" x14ac:dyDescent="0.25">
      <c r="B801" t="s">
        <v>133</v>
      </c>
      <c r="C801" t="s">
        <v>3256</v>
      </c>
      <c r="D801" t="s">
        <v>5952</v>
      </c>
      <c r="E801" t="s">
        <v>5953</v>
      </c>
      <c r="F801" t="s">
        <v>5954</v>
      </c>
      <c r="G801" t="s">
        <v>5955</v>
      </c>
      <c r="H801" t="s">
        <v>5956</v>
      </c>
      <c r="K801">
        <v>5</v>
      </c>
      <c r="L801">
        <v>5</v>
      </c>
      <c r="M801">
        <v>5</v>
      </c>
      <c r="N801">
        <v>5</v>
      </c>
      <c r="O801">
        <v>5</v>
      </c>
      <c r="P801">
        <v>5</v>
      </c>
      <c r="Q801">
        <v>5</v>
      </c>
      <c r="R801">
        <v>5</v>
      </c>
      <c r="S801">
        <v>5</v>
      </c>
      <c r="T801">
        <v>5</v>
      </c>
      <c r="U801">
        <v>5</v>
      </c>
      <c r="V801">
        <v>5</v>
      </c>
      <c r="W801">
        <v>5</v>
      </c>
      <c r="X801">
        <v>5</v>
      </c>
      <c r="Y801">
        <v>5</v>
      </c>
      <c r="Z801">
        <v>5</v>
      </c>
      <c r="AA801">
        <v>5</v>
      </c>
      <c r="AB801">
        <v>5</v>
      </c>
      <c r="AC801">
        <v>5</v>
      </c>
      <c r="AD801">
        <v>0</v>
      </c>
    </row>
    <row r="802" spans="2:30" x14ac:dyDescent="0.25">
      <c r="B802" t="s">
        <v>133</v>
      </c>
      <c r="C802" t="s">
        <v>3256</v>
      </c>
      <c r="D802" t="s">
        <v>5957</v>
      </c>
      <c r="E802" t="s">
        <v>5958</v>
      </c>
      <c r="F802" t="s">
        <v>5959</v>
      </c>
      <c r="G802" t="s">
        <v>5933</v>
      </c>
      <c r="H802" t="s">
        <v>5960</v>
      </c>
      <c r="K802">
        <v>0</v>
      </c>
      <c r="L802">
        <v>0</v>
      </c>
      <c r="M802">
        <v>0</v>
      </c>
      <c r="N802">
        <v>0</v>
      </c>
      <c r="O802">
        <v>37</v>
      </c>
      <c r="P802">
        <v>81</v>
      </c>
      <c r="Q802">
        <v>126</v>
      </c>
      <c r="R802">
        <v>177</v>
      </c>
      <c r="S802">
        <v>232</v>
      </c>
      <c r="T802">
        <v>294</v>
      </c>
      <c r="U802">
        <v>364</v>
      </c>
      <c r="V802">
        <v>442</v>
      </c>
      <c r="W802">
        <v>530</v>
      </c>
      <c r="X802">
        <v>627</v>
      </c>
      <c r="Y802">
        <v>734</v>
      </c>
      <c r="Z802">
        <v>853</v>
      </c>
      <c r="AA802">
        <v>982</v>
      </c>
      <c r="AB802">
        <v>1124</v>
      </c>
      <c r="AC802">
        <v>1277</v>
      </c>
      <c r="AD802">
        <v>0</v>
      </c>
    </row>
    <row r="803" spans="2:30" x14ac:dyDescent="0.25">
      <c r="B803" t="s">
        <v>133</v>
      </c>
      <c r="C803" t="s">
        <v>3256</v>
      </c>
      <c r="D803" t="s">
        <v>5961</v>
      </c>
      <c r="E803" t="s">
        <v>5962</v>
      </c>
      <c r="F803" t="s">
        <v>5963</v>
      </c>
      <c r="G803" t="s">
        <v>5933</v>
      </c>
      <c r="H803" t="s">
        <v>5960</v>
      </c>
      <c r="K803">
        <v>0</v>
      </c>
      <c r="L803">
        <v>-2</v>
      </c>
      <c r="M803">
        <v>-4</v>
      </c>
      <c r="N803">
        <v>-6</v>
      </c>
      <c r="O803">
        <v>2303</v>
      </c>
      <c r="P803">
        <v>4230</v>
      </c>
      <c r="Q803">
        <v>6018</v>
      </c>
      <c r="R803">
        <v>7678</v>
      </c>
      <c r="S803">
        <v>9244</v>
      </c>
      <c r="T803">
        <v>10738</v>
      </c>
      <c r="U803">
        <v>12268</v>
      </c>
      <c r="V803">
        <v>13882</v>
      </c>
      <c r="W803">
        <v>15577</v>
      </c>
      <c r="X803">
        <v>17349</v>
      </c>
      <c r="Y803">
        <v>19192</v>
      </c>
      <c r="Z803">
        <v>21100</v>
      </c>
      <c r="AA803">
        <v>23072</v>
      </c>
      <c r="AB803">
        <v>25104</v>
      </c>
      <c r="AC803">
        <v>27191</v>
      </c>
      <c r="AD803">
        <v>0</v>
      </c>
    </row>
    <row r="804" spans="2:30" x14ac:dyDescent="0.25">
      <c r="B804" t="s">
        <v>133</v>
      </c>
      <c r="C804" t="s">
        <v>3256</v>
      </c>
      <c r="D804" t="s">
        <v>5964</v>
      </c>
      <c r="E804" t="s">
        <v>5965</v>
      </c>
      <c r="F804" t="s">
        <v>5966</v>
      </c>
      <c r="G804" t="s">
        <v>5933</v>
      </c>
      <c r="H804" t="s">
        <v>5960</v>
      </c>
      <c r="K804">
        <v>0</v>
      </c>
      <c r="L804">
        <v>0</v>
      </c>
      <c r="M804">
        <v>0</v>
      </c>
      <c r="N804">
        <v>0</v>
      </c>
      <c r="O804">
        <v>-1</v>
      </c>
      <c r="P804">
        <v>-2</v>
      </c>
      <c r="Q804">
        <v>-3</v>
      </c>
      <c r="R804">
        <v>-4</v>
      </c>
      <c r="S804">
        <v>-5</v>
      </c>
      <c r="T804">
        <v>-6</v>
      </c>
      <c r="U804">
        <v>-7</v>
      </c>
      <c r="V804">
        <v>-7</v>
      </c>
      <c r="W804">
        <v>-8</v>
      </c>
      <c r="X804">
        <v>-10</v>
      </c>
      <c r="Y804">
        <v>-11</v>
      </c>
      <c r="Z804">
        <v>-12</v>
      </c>
      <c r="AA804">
        <v>-13</v>
      </c>
      <c r="AB804">
        <v>-14</v>
      </c>
      <c r="AC804">
        <v>-15</v>
      </c>
      <c r="AD804">
        <v>0</v>
      </c>
    </row>
    <row r="805" spans="2:30" x14ac:dyDescent="0.25">
      <c r="B805" t="s">
        <v>133</v>
      </c>
      <c r="C805" t="s">
        <v>3256</v>
      </c>
      <c r="D805" t="s">
        <v>3279</v>
      </c>
      <c r="E805" t="s">
        <v>3281</v>
      </c>
      <c r="F805" t="s">
        <v>5967</v>
      </c>
      <c r="G805" t="s">
        <v>5933</v>
      </c>
      <c r="H805" t="s">
        <v>5960</v>
      </c>
      <c r="K805">
        <v>0</v>
      </c>
      <c r="L805">
        <v>-2</v>
      </c>
      <c r="M805">
        <v>-4</v>
      </c>
      <c r="N805">
        <v>-5</v>
      </c>
      <c r="O805">
        <v>2338</v>
      </c>
      <c r="P805">
        <v>4309</v>
      </c>
      <c r="Q805">
        <v>6141</v>
      </c>
      <c r="R805">
        <v>7851</v>
      </c>
      <c r="S805">
        <v>9471</v>
      </c>
      <c r="T805">
        <v>11026</v>
      </c>
      <c r="U805">
        <v>12626</v>
      </c>
      <c r="V805">
        <v>14317</v>
      </c>
      <c r="W805">
        <v>16099</v>
      </c>
      <c r="X805">
        <v>17966</v>
      </c>
      <c r="Y805">
        <v>19916</v>
      </c>
      <c r="Z805">
        <v>21941</v>
      </c>
      <c r="AA805">
        <v>24042</v>
      </c>
      <c r="AB805">
        <v>26214</v>
      </c>
      <c r="AC805">
        <v>28453</v>
      </c>
      <c r="AD805">
        <v>0</v>
      </c>
    </row>
    <row r="806" spans="2:30" x14ac:dyDescent="0.25">
      <c r="B806" t="s">
        <v>133</v>
      </c>
      <c r="C806" t="s">
        <v>3256</v>
      </c>
      <c r="D806" t="s">
        <v>3257</v>
      </c>
      <c r="E806" t="s">
        <v>3259</v>
      </c>
      <c r="F806" t="s">
        <v>5968</v>
      </c>
      <c r="G806" t="s">
        <v>5933</v>
      </c>
      <c r="H806" t="s">
        <v>5969</v>
      </c>
      <c r="K806">
        <v>0</v>
      </c>
      <c r="L806">
        <v>-1</v>
      </c>
      <c r="M806">
        <v>-1</v>
      </c>
      <c r="N806">
        <v>-1</v>
      </c>
      <c r="O806">
        <v>802</v>
      </c>
      <c r="P806">
        <v>673</v>
      </c>
      <c r="Q806">
        <v>626</v>
      </c>
      <c r="R806">
        <v>582</v>
      </c>
      <c r="S806">
        <v>549</v>
      </c>
      <c r="T806">
        <v>523</v>
      </c>
      <c r="U806">
        <v>536</v>
      </c>
      <c r="V806">
        <v>567</v>
      </c>
      <c r="W806">
        <v>597</v>
      </c>
      <c r="X806">
        <v>625</v>
      </c>
      <c r="Y806">
        <v>653</v>
      </c>
      <c r="Z806">
        <v>678</v>
      </c>
      <c r="AA806">
        <v>702</v>
      </c>
      <c r="AB806">
        <v>726</v>
      </c>
      <c r="AC806">
        <v>748</v>
      </c>
      <c r="AD806">
        <v>0</v>
      </c>
    </row>
    <row r="807" spans="2:30" x14ac:dyDescent="0.25">
      <c r="B807" t="s">
        <v>133</v>
      </c>
      <c r="C807" t="s">
        <v>3256</v>
      </c>
      <c r="D807" t="s">
        <v>3267</v>
      </c>
      <c r="E807" t="s">
        <v>3268</v>
      </c>
      <c r="F807" t="s">
        <v>5970</v>
      </c>
      <c r="G807" t="s">
        <v>5933</v>
      </c>
      <c r="H807" t="s">
        <v>5969</v>
      </c>
      <c r="K807">
        <v>0</v>
      </c>
      <c r="L807">
        <v>-1</v>
      </c>
      <c r="M807">
        <v>-1</v>
      </c>
      <c r="N807">
        <v>-1</v>
      </c>
      <c r="O807">
        <v>1410</v>
      </c>
      <c r="P807">
        <v>1187</v>
      </c>
      <c r="Q807">
        <v>1105</v>
      </c>
      <c r="R807">
        <v>1034</v>
      </c>
      <c r="S807">
        <v>986</v>
      </c>
      <c r="T807">
        <v>953</v>
      </c>
      <c r="U807">
        <v>983</v>
      </c>
      <c r="V807">
        <v>1039</v>
      </c>
      <c r="W807">
        <v>1096</v>
      </c>
      <c r="X807">
        <v>1149</v>
      </c>
      <c r="Y807">
        <v>1200</v>
      </c>
      <c r="Z807">
        <v>1248</v>
      </c>
      <c r="AA807">
        <v>1295</v>
      </c>
      <c r="AB807">
        <v>1340</v>
      </c>
      <c r="AC807">
        <v>1382</v>
      </c>
      <c r="AD807">
        <v>0</v>
      </c>
    </row>
    <row r="808" spans="2:30" x14ac:dyDescent="0.25">
      <c r="B808" t="s">
        <v>133</v>
      </c>
      <c r="C808" t="s">
        <v>3256</v>
      </c>
      <c r="D808" t="s">
        <v>3273</v>
      </c>
      <c r="E808" t="s">
        <v>3274</v>
      </c>
      <c r="F808" t="s">
        <v>5971</v>
      </c>
      <c r="G808" t="s">
        <v>5933</v>
      </c>
      <c r="H808" t="s">
        <v>5969</v>
      </c>
      <c r="K808">
        <v>0</v>
      </c>
      <c r="L808">
        <v>0</v>
      </c>
      <c r="M808">
        <v>0</v>
      </c>
      <c r="N808">
        <v>0</v>
      </c>
      <c r="O808">
        <v>132</v>
      </c>
      <c r="P808">
        <v>110</v>
      </c>
      <c r="Q808">
        <v>102</v>
      </c>
      <c r="R808">
        <v>93</v>
      </c>
      <c r="S808">
        <v>86</v>
      </c>
      <c r="T808">
        <v>79</v>
      </c>
      <c r="U808">
        <v>80</v>
      </c>
      <c r="V808">
        <v>85</v>
      </c>
      <c r="W808">
        <v>89</v>
      </c>
      <c r="X808">
        <v>93</v>
      </c>
      <c r="Y808">
        <v>97</v>
      </c>
      <c r="Z808">
        <v>100</v>
      </c>
      <c r="AA808">
        <v>104</v>
      </c>
      <c r="AB808">
        <v>107</v>
      </c>
      <c r="AC808">
        <v>110</v>
      </c>
      <c r="AD808">
        <v>0</v>
      </c>
    </row>
    <row r="809" spans="2:30" x14ac:dyDescent="0.25">
      <c r="B809" t="s">
        <v>133</v>
      </c>
      <c r="C809" t="s">
        <v>3256</v>
      </c>
      <c r="D809" t="s">
        <v>5972</v>
      </c>
      <c r="E809" t="s">
        <v>5973</v>
      </c>
      <c r="F809" t="s">
        <v>5974</v>
      </c>
      <c r="G809" t="s">
        <v>5933</v>
      </c>
      <c r="H809" t="s">
        <v>5975</v>
      </c>
      <c r="K809">
        <v>0</v>
      </c>
      <c r="L809">
        <v>-53</v>
      </c>
      <c r="M809">
        <v>-52</v>
      </c>
      <c r="N809">
        <v>-51</v>
      </c>
      <c r="O809">
        <v>65760</v>
      </c>
      <c r="P809">
        <v>55209</v>
      </c>
      <c r="Q809">
        <v>51313</v>
      </c>
      <c r="R809">
        <v>47687</v>
      </c>
      <c r="S809">
        <v>44940</v>
      </c>
      <c r="T809">
        <v>42816</v>
      </c>
      <c r="U809">
        <v>43907</v>
      </c>
      <c r="V809">
        <v>46395</v>
      </c>
      <c r="W809">
        <v>48851</v>
      </c>
      <c r="X809">
        <v>51179</v>
      </c>
      <c r="Y809">
        <v>53387</v>
      </c>
      <c r="Z809">
        <v>55442</v>
      </c>
      <c r="AA809">
        <v>57439</v>
      </c>
      <c r="AB809">
        <v>59365</v>
      </c>
      <c r="AC809">
        <v>61154</v>
      </c>
      <c r="AD809">
        <v>0</v>
      </c>
    </row>
    <row r="810" spans="2:30" x14ac:dyDescent="0.25">
      <c r="B810" t="s">
        <v>133</v>
      </c>
      <c r="C810" t="s">
        <v>3256</v>
      </c>
      <c r="D810" t="s">
        <v>5976</v>
      </c>
      <c r="E810" t="s">
        <v>5977</v>
      </c>
      <c r="F810" t="s">
        <v>5978</v>
      </c>
      <c r="G810" t="s">
        <v>5933</v>
      </c>
      <c r="H810" t="s">
        <v>5979</v>
      </c>
      <c r="K810">
        <v>0</v>
      </c>
      <c r="L810">
        <v>-1</v>
      </c>
      <c r="M810">
        <v>-1</v>
      </c>
      <c r="N810">
        <v>-1</v>
      </c>
      <c r="O810">
        <v>2730</v>
      </c>
      <c r="P810">
        <v>2394</v>
      </c>
      <c r="Q810">
        <v>2262</v>
      </c>
      <c r="R810">
        <v>2251</v>
      </c>
      <c r="S810">
        <v>2316</v>
      </c>
      <c r="T810">
        <v>2446</v>
      </c>
      <c r="U810">
        <v>2605</v>
      </c>
      <c r="V810">
        <v>2788</v>
      </c>
      <c r="W810">
        <v>2975</v>
      </c>
      <c r="X810">
        <v>3160</v>
      </c>
      <c r="Y810">
        <v>3345</v>
      </c>
      <c r="Z810">
        <v>3526</v>
      </c>
      <c r="AA810">
        <v>3709</v>
      </c>
      <c r="AB810">
        <v>3893</v>
      </c>
      <c r="AC810">
        <v>4074</v>
      </c>
      <c r="AD810">
        <v>0</v>
      </c>
    </row>
    <row r="811" spans="2:30" x14ac:dyDescent="0.25">
      <c r="B811" t="s">
        <v>133</v>
      </c>
      <c r="C811" t="s">
        <v>3256</v>
      </c>
      <c r="D811" t="s">
        <v>3286</v>
      </c>
      <c r="E811" t="s">
        <v>3287</v>
      </c>
      <c r="F811" t="s">
        <v>5980</v>
      </c>
      <c r="G811" t="s">
        <v>5933</v>
      </c>
      <c r="H811" t="s">
        <v>5981</v>
      </c>
      <c r="K811">
        <v>64271.06</v>
      </c>
      <c r="L811">
        <v>64979.96</v>
      </c>
      <c r="M811">
        <v>68421.149999999994</v>
      </c>
      <c r="N811">
        <v>71670.740000000005</v>
      </c>
      <c r="O811">
        <v>72909.149999999994</v>
      </c>
      <c r="P811">
        <v>74388.63</v>
      </c>
      <c r="Q811">
        <v>76016.42</v>
      </c>
      <c r="R811">
        <v>77603.44</v>
      </c>
      <c r="S811">
        <v>79239.92</v>
      </c>
      <c r="T811">
        <v>80986.69</v>
      </c>
      <c r="U811">
        <v>82813.039999999994</v>
      </c>
      <c r="V811">
        <v>84720.65</v>
      </c>
      <c r="W811">
        <v>86706.47</v>
      </c>
      <c r="X811">
        <v>88769.93</v>
      </c>
      <c r="Y811">
        <v>90911.14</v>
      </c>
      <c r="Z811">
        <v>93138.28</v>
      </c>
      <c r="AA811">
        <v>95450.880000000005</v>
      </c>
      <c r="AB811">
        <v>97853.2</v>
      </c>
      <c r="AC811">
        <v>100344.64</v>
      </c>
      <c r="AD811">
        <v>0</v>
      </c>
    </row>
    <row r="812" spans="2:30" x14ac:dyDescent="0.25">
      <c r="B812" t="s">
        <v>133</v>
      </c>
      <c r="C812" t="s">
        <v>3256</v>
      </c>
      <c r="D812" t="s">
        <v>5982</v>
      </c>
      <c r="E812" t="s">
        <v>5983</v>
      </c>
      <c r="F812" t="s">
        <v>5984</v>
      </c>
      <c r="G812" t="s">
        <v>5933</v>
      </c>
      <c r="H812" t="s">
        <v>5985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  <c r="W812" t="e">
        <v>#N/A</v>
      </c>
      <c r="X812" t="e">
        <v>#N/A</v>
      </c>
      <c r="Y812" t="e">
        <v>#N/A</v>
      </c>
      <c r="Z812" t="e">
        <v>#N/A</v>
      </c>
      <c r="AA812" t="e">
        <v>#N/A</v>
      </c>
      <c r="AB812" t="e">
        <v>#N/A</v>
      </c>
      <c r="AC812" t="e">
        <v>#N/A</v>
      </c>
      <c r="AD812">
        <v>0</v>
      </c>
    </row>
    <row r="813" spans="2:30" x14ac:dyDescent="0.25">
      <c r="B813" t="s">
        <v>133</v>
      </c>
      <c r="C813" t="s">
        <v>3256</v>
      </c>
      <c r="D813" t="s">
        <v>5986</v>
      </c>
      <c r="E813" t="s">
        <v>5987</v>
      </c>
      <c r="F813" t="s">
        <v>5988</v>
      </c>
      <c r="G813" t="s">
        <v>5933</v>
      </c>
      <c r="H813" t="s">
        <v>5985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  <c r="W813" t="e">
        <v>#N/A</v>
      </c>
      <c r="X813" t="e">
        <v>#N/A</v>
      </c>
      <c r="Y813" t="e">
        <v>#N/A</v>
      </c>
      <c r="Z813" t="e">
        <v>#N/A</v>
      </c>
      <c r="AA813" t="e">
        <v>#N/A</v>
      </c>
      <c r="AB813" t="e">
        <v>#N/A</v>
      </c>
      <c r="AC813" t="e">
        <v>#N/A</v>
      </c>
      <c r="AD813">
        <v>0</v>
      </c>
    </row>
    <row r="814" spans="2:30" x14ac:dyDescent="0.25">
      <c r="B814" t="s">
        <v>133</v>
      </c>
      <c r="C814" t="s">
        <v>3256</v>
      </c>
      <c r="D814" t="s">
        <v>5989</v>
      </c>
      <c r="E814" t="s">
        <v>5990</v>
      </c>
      <c r="F814" t="s">
        <v>5991</v>
      </c>
      <c r="G814" t="s">
        <v>5933</v>
      </c>
      <c r="H814" t="s">
        <v>5985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  <c r="W814" t="e">
        <v>#N/A</v>
      </c>
      <c r="X814" t="e">
        <v>#N/A</v>
      </c>
      <c r="Y814" t="e">
        <v>#N/A</v>
      </c>
      <c r="Z814" t="e">
        <v>#N/A</v>
      </c>
      <c r="AA814" t="e">
        <v>#N/A</v>
      </c>
      <c r="AB814" t="e">
        <v>#N/A</v>
      </c>
      <c r="AC814" t="e">
        <v>#N/A</v>
      </c>
      <c r="AD814">
        <v>0</v>
      </c>
    </row>
    <row r="815" spans="2:30" x14ac:dyDescent="0.25">
      <c r="B815" t="s">
        <v>133</v>
      </c>
      <c r="C815" t="s">
        <v>3256</v>
      </c>
      <c r="D815" t="s">
        <v>5992</v>
      </c>
      <c r="E815" t="s">
        <v>5993</v>
      </c>
      <c r="F815" t="s">
        <v>5994</v>
      </c>
      <c r="G815" t="s">
        <v>5933</v>
      </c>
      <c r="H815" t="s">
        <v>5985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  <c r="W815" t="e">
        <v>#N/A</v>
      </c>
      <c r="X815" t="e">
        <v>#N/A</v>
      </c>
      <c r="Y815" t="e">
        <v>#N/A</v>
      </c>
      <c r="Z815" t="e">
        <v>#N/A</v>
      </c>
      <c r="AA815" t="e">
        <v>#N/A</v>
      </c>
      <c r="AB815" t="e">
        <v>#N/A</v>
      </c>
      <c r="AC815" t="e">
        <v>#N/A</v>
      </c>
      <c r="AD815">
        <v>0</v>
      </c>
    </row>
    <row r="816" spans="2:30" x14ac:dyDescent="0.25">
      <c r="B816" t="s">
        <v>133</v>
      </c>
      <c r="C816" t="s">
        <v>3256</v>
      </c>
      <c r="D816" t="s">
        <v>5995</v>
      </c>
      <c r="E816" t="s">
        <v>5996</v>
      </c>
      <c r="F816" t="s">
        <v>5997</v>
      </c>
      <c r="G816" t="s">
        <v>5933</v>
      </c>
      <c r="H816" t="s">
        <v>5985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  <c r="W816" t="e">
        <v>#N/A</v>
      </c>
      <c r="X816" t="e">
        <v>#N/A</v>
      </c>
      <c r="Y816" t="e">
        <v>#N/A</v>
      </c>
      <c r="Z816" t="e">
        <v>#N/A</v>
      </c>
      <c r="AA816" t="e">
        <v>#N/A</v>
      </c>
      <c r="AB816" t="e">
        <v>#N/A</v>
      </c>
      <c r="AC816" t="e">
        <v>#N/A</v>
      </c>
      <c r="AD816">
        <v>0</v>
      </c>
    </row>
    <row r="817" spans="2:30" x14ac:dyDescent="0.25">
      <c r="B817" t="s">
        <v>133</v>
      </c>
      <c r="C817" t="s">
        <v>3256</v>
      </c>
      <c r="D817" t="s">
        <v>5998</v>
      </c>
      <c r="E817" t="s">
        <v>5999</v>
      </c>
      <c r="F817" t="s">
        <v>6000</v>
      </c>
      <c r="G817" t="s">
        <v>5933</v>
      </c>
      <c r="H817" t="s">
        <v>5985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  <c r="W817" t="e">
        <v>#N/A</v>
      </c>
      <c r="X817" t="e">
        <v>#N/A</v>
      </c>
      <c r="Y817" t="e">
        <v>#N/A</v>
      </c>
      <c r="Z817" t="e">
        <v>#N/A</v>
      </c>
      <c r="AA817" t="e">
        <v>#N/A</v>
      </c>
      <c r="AB817" t="e">
        <v>#N/A</v>
      </c>
      <c r="AC817" t="e">
        <v>#N/A</v>
      </c>
      <c r="AD817">
        <v>0</v>
      </c>
    </row>
    <row r="818" spans="2:30" x14ac:dyDescent="0.25">
      <c r="B818" t="s">
        <v>133</v>
      </c>
      <c r="C818" t="s">
        <v>3256</v>
      </c>
      <c r="D818" t="s">
        <v>6001</v>
      </c>
      <c r="E818" t="s">
        <v>6002</v>
      </c>
      <c r="F818" t="s">
        <v>6003</v>
      </c>
      <c r="G818" t="s">
        <v>5933</v>
      </c>
      <c r="H818" t="s">
        <v>5985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  <c r="W818" t="e">
        <v>#N/A</v>
      </c>
      <c r="X818" t="e">
        <v>#N/A</v>
      </c>
      <c r="Y818" t="e">
        <v>#N/A</v>
      </c>
      <c r="Z818" t="e">
        <v>#N/A</v>
      </c>
      <c r="AA818" t="e">
        <v>#N/A</v>
      </c>
      <c r="AB818" t="e">
        <v>#N/A</v>
      </c>
      <c r="AC818" t="e">
        <v>#N/A</v>
      </c>
      <c r="AD818">
        <v>0</v>
      </c>
    </row>
    <row r="819" spans="2:30" x14ac:dyDescent="0.25">
      <c r="B819" t="s">
        <v>133</v>
      </c>
      <c r="C819" t="s">
        <v>3256</v>
      </c>
      <c r="D819" t="s">
        <v>6004</v>
      </c>
      <c r="E819" t="s">
        <v>6005</v>
      </c>
      <c r="F819" t="s">
        <v>6006</v>
      </c>
      <c r="G819" t="s">
        <v>5933</v>
      </c>
      <c r="H819" t="s">
        <v>5985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  <c r="W819" t="e">
        <v>#N/A</v>
      </c>
      <c r="X819" t="e">
        <v>#N/A</v>
      </c>
      <c r="Y819" t="e">
        <v>#N/A</v>
      </c>
      <c r="Z819" t="e">
        <v>#N/A</v>
      </c>
      <c r="AA819" t="e">
        <v>#N/A</v>
      </c>
      <c r="AB819" t="e">
        <v>#N/A</v>
      </c>
      <c r="AC819" t="e">
        <v>#N/A</v>
      </c>
      <c r="AD819">
        <v>0</v>
      </c>
    </row>
    <row r="820" spans="2:30" x14ac:dyDescent="0.25">
      <c r="B820" t="s">
        <v>133</v>
      </c>
      <c r="C820" t="s">
        <v>3256</v>
      </c>
      <c r="D820" t="s">
        <v>6007</v>
      </c>
      <c r="E820" t="s">
        <v>6008</v>
      </c>
      <c r="F820" t="s">
        <v>6009</v>
      </c>
      <c r="G820" t="s">
        <v>5933</v>
      </c>
      <c r="H820" t="s">
        <v>6010</v>
      </c>
      <c r="I820" t="s">
        <v>6011</v>
      </c>
      <c r="K820">
        <v>1.01</v>
      </c>
      <c r="L820">
        <v>1.05</v>
      </c>
      <c r="M820">
        <v>1.1000000000000001</v>
      </c>
      <c r="N820">
        <v>1.18</v>
      </c>
      <c r="O820">
        <v>1.24</v>
      </c>
      <c r="P820">
        <v>1.3</v>
      </c>
      <c r="Q820">
        <v>1.38</v>
      </c>
      <c r="R820">
        <v>1.46</v>
      </c>
      <c r="S820">
        <v>1.54</v>
      </c>
      <c r="T820">
        <v>1.63</v>
      </c>
      <c r="U820">
        <v>1.72</v>
      </c>
      <c r="V820">
        <v>1.81</v>
      </c>
      <c r="W820">
        <v>1.91</v>
      </c>
      <c r="X820">
        <v>2.0099999999999998</v>
      </c>
      <c r="Y820">
        <v>2.12</v>
      </c>
      <c r="Z820">
        <v>2.2400000000000002</v>
      </c>
      <c r="AA820">
        <v>2.36</v>
      </c>
      <c r="AB820">
        <v>2.4900000000000002</v>
      </c>
      <c r="AC820">
        <v>2.63</v>
      </c>
      <c r="AD820">
        <v>0</v>
      </c>
    </row>
    <row r="821" spans="2:30" x14ac:dyDescent="0.25">
      <c r="B821" t="s">
        <v>133</v>
      </c>
      <c r="C821" t="s">
        <v>3256</v>
      </c>
      <c r="D821" t="s">
        <v>6012</v>
      </c>
      <c r="E821" t="s">
        <v>6013</v>
      </c>
      <c r="F821" t="s">
        <v>6014</v>
      </c>
      <c r="G821" t="s">
        <v>5933</v>
      </c>
      <c r="H821" t="s">
        <v>6010</v>
      </c>
      <c r="I821" t="s">
        <v>6011</v>
      </c>
      <c r="K821">
        <v>0</v>
      </c>
      <c r="L821">
        <v>0</v>
      </c>
      <c r="M821">
        <v>0</v>
      </c>
      <c r="N821">
        <v>0</v>
      </c>
      <c r="O821">
        <v>-0.01</v>
      </c>
      <c r="P821">
        <v>-0.01</v>
      </c>
      <c r="Q821">
        <v>-0.01</v>
      </c>
      <c r="R821">
        <v>-0.01</v>
      </c>
      <c r="S821">
        <v>-0.01</v>
      </c>
      <c r="T821">
        <v>-0.01</v>
      </c>
      <c r="U821">
        <v>-0.01</v>
      </c>
      <c r="V821">
        <v>-0.01</v>
      </c>
      <c r="W821">
        <v>-0.01</v>
      </c>
      <c r="X821">
        <v>-0.01</v>
      </c>
      <c r="Y821">
        <v>-0.01</v>
      </c>
      <c r="Z821">
        <v>-0.01</v>
      </c>
      <c r="AA821">
        <v>-0.01</v>
      </c>
      <c r="AB821">
        <v>-0.01</v>
      </c>
      <c r="AC821">
        <v>-0.01</v>
      </c>
      <c r="AD821">
        <v>0</v>
      </c>
    </row>
    <row r="822" spans="2:30" x14ac:dyDescent="0.25">
      <c r="B822" t="s">
        <v>133</v>
      </c>
      <c r="C822" t="s">
        <v>3256</v>
      </c>
      <c r="D822" t="s">
        <v>6015</v>
      </c>
      <c r="E822" t="s">
        <v>6016</v>
      </c>
      <c r="F822" t="s">
        <v>6017</v>
      </c>
      <c r="G822" t="s">
        <v>3890</v>
      </c>
      <c r="H822" t="s">
        <v>6018</v>
      </c>
      <c r="I822" t="s">
        <v>4267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2:30" x14ac:dyDescent="0.25">
      <c r="B823" t="s">
        <v>133</v>
      </c>
      <c r="C823" t="s">
        <v>3256</v>
      </c>
      <c r="D823" t="s">
        <v>6019</v>
      </c>
      <c r="E823" t="s">
        <v>6020</v>
      </c>
      <c r="F823" t="s">
        <v>6021</v>
      </c>
      <c r="G823" t="s">
        <v>3890</v>
      </c>
      <c r="H823" t="s">
        <v>6018</v>
      </c>
      <c r="I823" t="s">
        <v>4267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2:30" x14ac:dyDescent="0.25">
      <c r="B824" t="s">
        <v>133</v>
      </c>
      <c r="C824" t="s">
        <v>3256</v>
      </c>
      <c r="D824" t="s">
        <v>6022</v>
      </c>
      <c r="E824" t="s">
        <v>6023</v>
      </c>
      <c r="F824" t="s">
        <v>6024</v>
      </c>
      <c r="G824" t="s">
        <v>3890</v>
      </c>
      <c r="H824" t="s">
        <v>6018</v>
      </c>
      <c r="I824" t="s">
        <v>4267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  <c r="W824" t="e">
        <v>#N/A</v>
      </c>
      <c r="X824" t="e">
        <v>#N/A</v>
      </c>
      <c r="Y824" t="e">
        <v>#N/A</v>
      </c>
      <c r="Z824" t="e">
        <v>#N/A</v>
      </c>
      <c r="AA824" t="e">
        <v>#N/A</v>
      </c>
      <c r="AB824" t="e">
        <v>#N/A</v>
      </c>
      <c r="AC824" t="e">
        <v>#N/A</v>
      </c>
      <c r="AD824" t="e">
        <v>#N/A</v>
      </c>
    </row>
    <row r="825" spans="2:30" x14ac:dyDescent="0.25">
      <c r="B825" t="s">
        <v>133</v>
      </c>
      <c r="C825" t="s">
        <v>3256</v>
      </c>
      <c r="D825" t="s">
        <v>6025</v>
      </c>
      <c r="E825" t="s">
        <v>6026</v>
      </c>
      <c r="F825" t="s">
        <v>6027</v>
      </c>
      <c r="G825" t="s">
        <v>3890</v>
      </c>
      <c r="H825" t="s">
        <v>6018</v>
      </c>
      <c r="I825" t="s">
        <v>4267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  <c r="W825" t="e">
        <v>#N/A</v>
      </c>
      <c r="X825" t="e">
        <v>#N/A</v>
      </c>
      <c r="Y825" t="e">
        <v>#N/A</v>
      </c>
      <c r="Z825" t="e">
        <v>#N/A</v>
      </c>
      <c r="AA825" t="e">
        <v>#N/A</v>
      </c>
      <c r="AB825" t="e">
        <v>#N/A</v>
      </c>
      <c r="AC825" t="e">
        <v>#N/A</v>
      </c>
      <c r="AD825" t="e">
        <v>#N/A</v>
      </c>
    </row>
    <row r="826" spans="2:30" x14ac:dyDescent="0.25">
      <c r="B826" t="s">
        <v>133</v>
      </c>
      <c r="C826" t="s">
        <v>3256</v>
      </c>
      <c r="D826" t="s">
        <v>6028</v>
      </c>
      <c r="E826" t="s">
        <v>6029</v>
      </c>
      <c r="F826" t="s">
        <v>6030</v>
      </c>
      <c r="G826" t="s">
        <v>3890</v>
      </c>
      <c r="H826" t="s">
        <v>6018</v>
      </c>
      <c r="I826" t="s">
        <v>4267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2:30" x14ac:dyDescent="0.25">
      <c r="B827" t="s">
        <v>133</v>
      </c>
      <c r="C827" t="s">
        <v>3256</v>
      </c>
      <c r="D827" t="s">
        <v>6031</v>
      </c>
      <c r="E827" t="s">
        <v>6032</v>
      </c>
      <c r="F827" t="s">
        <v>6033</v>
      </c>
      <c r="G827" t="s">
        <v>3890</v>
      </c>
      <c r="H827" t="s">
        <v>6018</v>
      </c>
      <c r="I827" t="s">
        <v>4267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Z827" t="e">
        <v>#N/A</v>
      </c>
      <c r="AA827" t="e">
        <v>#N/A</v>
      </c>
      <c r="AB827" t="e">
        <v>#N/A</v>
      </c>
      <c r="AC827" t="e">
        <v>#N/A</v>
      </c>
      <c r="AD827" t="e">
        <v>#N/A</v>
      </c>
    </row>
    <row r="828" spans="2:30" x14ac:dyDescent="0.25">
      <c r="B828" t="s">
        <v>133</v>
      </c>
      <c r="C828" t="s">
        <v>3256</v>
      </c>
      <c r="D828" t="s">
        <v>6034</v>
      </c>
      <c r="E828" t="s">
        <v>6035</v>
      </c>
      <c r="F828" t="s">
        <v>6036</v>
      </c>
      <c r="G828" t="s">
        <v>3890</v>
      </c>
      <c r="H828" t="s">
        <v>6018</v>
      </c>
      <c r="I828" t="s">
        <v>6037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  <c r="W828" t="e">
        <v>#N/A</v>
      </c>
      <c r="X828" t="e">
        <v>#N/A</v>
      </c>
      <c r="Y828" t="e">
        <v>#N/A</v>
      </c>
      <c r="Z828" t="e">
        <v>#N/A</v>
      </c>
      <c r="AA828" t="e">
        <v>#N/A</v>
      </c>
      <c r="AB828" t="e">
        <v>#N/A</v>
      </c>
      <c r="AC828" t="e">
        <v>#N/A</v>
      </c>
      <c r="AD828" t="e">
        <v>#N/A</v>
      </c>
    </row>
    <row r="829" spans="2:30" x14ac:dyDescent="0.25">
      <c r="B829" t="s">
        <v>133</v>
      </c>
      <c r="C829" t="s">
        <v>3256</v>
      </c>
      <c r="D829" t="s">
        <v>6038</v>
      </c>
      <c r="E829" t="s">
        <v>6039</v>
      </c>
      <c r="F829" t="s">
        <v>6040</v>
      </c>
      <c r="G829" t="s">
        <v>3890</v>
      </c>
      <c r="H829" t="s">
        <v>6018</v>
      </c>
      <c r="I829" t="s">
        <v>6037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  <c r="W829" t="e">
        <v>#N/A</v>
      </c>
      <c r="X829" t="e">
        <v>#N/A</v>
      </c>
      <c r="Y829" t="e">
        <v>#N/A</v>
      </c>
      <c r="Z829" t="e">
        <v>#N/A</v>
      </c>
      <c r="AA829" t="e">
        <v>#N/A</v>
      </c>
      <c r="AB829" t="e">
        <v>#N/A</v>
      </c>
      <c r="AC829" t="e">
        <v>#N/A</v>
      </c>
      <c r="AD829" t="e">
        <v>#N/A</v>
      </c>
    </row>
    <row r="830" spans="2:30" x14ac:dyDescent="0.25">
      <c r="B830" t="s">
        <v>133</v>
      </c>
      <c r="C830" t="s">
        <v>3256</v>
      </c>
      <c r="D830" t="s">
        <v>6041</v>
      </c>
      <c r="E830" t="s">
        <v>6042</v>
      </c>
      <c r="F830" t="s">
        <v>6043</v>
      </c>
      <c r="G830" t="s">
        <v>3890</v>
      </c>
      <c r="H830" t="s">
        <v>6018</v>
      </c>
      <c r="I830" t="s">
        <v>6037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  <c r="W830" t="e">
        <v>#N/A</v>
      </c>
      <c r="X830" t="e">
        <v>#N/A</v>
      </c>
      <c r="Y830" t="e">
        <v>#N/A</v>
      </c>
      <c r="Z830" t="e">
        <v>#N/A</v>
      </c>
      <c r="AA830" t="e">
        <v>#N/A</v>
      </c>
      <c r="AB830" t="e">
        <v>#N/A</v>
      </c>
      <c r="AC830" t="e">
        <v>#N/A</v>
      </c>
      <c r="AD830" t="e">
        <v>#N/A</v>
      </c>
    </row>
    <row r="831" spans="2:30" x14ac:dyDescent="0.25">
      <c r="B831" t="s">
        <v>133</v>
      </c>
      <c r="C831" t="s">
        <v>3256</v>
      </c>
      <c r="D831" t="s">
        <v>6044</v>
      </c>
      <c r="E831" t="s">
        <v>6045</v>
      </c>
      <c r="F831" t="s">
        <v>6046</v>
      </c>
      <c r="G831" t="s">
        <v>3890</v>
      </c>
      <c r="H831" t="s">
        <v>6018</v>
      </c>
      <c r="I831" t="s">
        <v>6037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  <c r="W831" t="e">
        <v>#N/A</v>
      </c>
      <c r="X831" t="e">
        <v>#N/A</v>
      </c>
      <c r="Y831" t="e">
        <v>#N/A</v>
      </c>
      <c r="Z831" t="e">
        <v>#N/A</v>
      </c>
      <c r="AA831" t="e">
        <v>#N/A</v>
      </c>
      <c r="AB831" t="e">
        <v>#N/A</v>
      </c>
      <c r="AC831" t="e">
        <v>#N/A</v>
      </c>
      <c r="AD831" t="e">
        <v>#N/A</v>
      </c>
    </row>
    <row r="832" spans="2:30" x14ac:dyDescent="0.25">
      <c r="B832" t="s">
        <v>133</v>
      </c>
      <c r="C832" t="s">
        <v>3256</v>
      </c>
      <c r="D832" t="s">
        <v>6047</v>
      </c>
      <c r="E832" t="s">
        <v>6048</v>
      </c>
      <c r="F832" t="s">
        <v>6049</v>
      </c>
      <c r="G832" t="s">
        <v>5933</v>
      </c>
      <c r="H832" t="s">
        <v>6050</v>
      </c>
      <c r="I832" t="s">
        <v>6051</v>
      </c>
      <c r="K832">
        <v>0</v>
      </c>
      <c r="L832">
        <v>-1.7000000000000001E-2</v>
      </c>
      <c r="M832">
        <v>-1.6E-2</v>
      </c>
      <c r="N832">
        <v>-1.6E-2</v>
      </c>
      <c r="O832">
        <v>20.427</v>
      </c>
      <c r="P832">
        <v>17.72</v>
      </c>
      <c r="Q832">
        <v>16.625</v>
      </c>
      <c r="R832">
        <v>15.673</v>
      </c>
      <c r="S832">
        <v>15.003</v>
      </c>
      <c r="T832">
        <v>14.503</v>
      </c>
      <c r="U832">
        <v>15.116</v>
      </c>
      <c r="V832">
        <v>16.247</v>
      </c>
      <c r="W832">
        <v>17.399999999999999</v>
      </c>
      <c r="X832">
        <v>18.524000000000001</v>
      </c>
      <c r="Y832">
        <v>19.623999999999999</v>
      </c>
      <c r="Z832">
        <v>20.678000000000001</v>
      </c>
      <c r="AA832">
        <v>21.748999999999999</v>
      </c>
      <c r="AB832">
        <v>22.791</v>
      </c>
      <c r="AC832">
        <v>23.789000000000001</v>
      </c>
      <c r="AD832">
        <v>0</v>
      </c>
    </row>
    <row r="833" spans="2:30" x14ac:dyDescent="0.25">
      <c r="B833" t="s">
        <v>133</v>
      </c>
      <c r="C833" t="s">
        <v>3256</v>
      </c>
      <c r="D833" t="s">
        <v>6052</v>
      </c>
      <c r="E833" t="s">
        <v>6053</v>
      </c>
      <c r="F833" t="s">
        <v>6054</v>
      </c>
      <c r="G833" t="s">
        <v>5933</v>
      </c>
      <c r="H833" t="s">
        <v>6050</v>
      </c>
      <c r="I833" t="s">
        <v>6051</v>
      </c>
      <c r="K833">
        <v>0</v>
      </c>
      <c r="L833">
        <v>-3.0000000000000001E-3</v>
      </c>
      <c r="M833">
        <v>-3.0000000000000001E-3</v>
      </c>
      <c r="N833">
        <v>-3.0000000000000001E-3</v>
      </c>
      <c r="O833">
        <v>3.2909999999999999</v>
      </c>
      <c r="P833">
        <v>2.855</v>
      </c>
      <c r="Q833">
        <v>2.6789999999999998</v>
      </c>
      <c r="R833">
        <v>2.5249999999999999</v>
      </c>
      <c r="S833">
        <v>2.4169999999999998</v>
      </c>
      <c r="T833">
        <v>2.3370000000000002</v>
      </c>
      <c r="U833">
        <v>2.4350000000000001</v>
      </c>
      <c r="V833">
        <v>2.6179999999999999</v>
      </c>
      <c r="W833">
        <v>2.8029999999999999</v>
      </c>
      <c r="X833">
        <v>2.9849999999999999</v>
      </c>
      <c r="Y833">
        <v>3.1619999999999999</v>
      </c>
      <c r="Z833">
        <v>3.3319999999999999</v>
      </c>
      <c r="AA833">
        <v>3.504</v>
      </c>
      <c r="AB833">
        <v>3.6720000000000002</v>
      </c>
      <c r="AC833">
        <v>3.8330000000000002</v>
      </c>
      <c r="AD833">
        <v>0</v>
      </c>
    </row>
    <row r="834" spans="2:30" x14ac:dyDescent="0.25">
      <c r="B834" t="s">
        <v>133</v>
      </c>
      <c r="C834" t="s">
        <v>3256</v>
      </c>
      <c r="D834" t="s">
        <v>6055</v>
      </c>
      <c r="E834" t="s">
        <v>6056</v>
      </c>
      <c r="F834" t="s">
        <v>6057</v>
      </c>
      <c r="G834" t="s">
        <v>5933</v>
      </c>
      <c r="H834" t="s">
        <v>6050</v>
      </c>
      <c r="I834" t="s">
        <v>6051</v>
      </c>
      <c r="K834">
        <v>0</v>
      </c>
      <c r="L834">
        <v>-2.5000000000000001E-2</v>
      </c>
      <c r="M834">
        <v>-2.3E-2</v>
      </c>
      <c r="N834">
        <v>-2.3E-2</v>
      </c>
      <c r="O834">
        <v>29.969000000000001</v>
      </c>
      <c r="P834">
        <v>25.998000000000001</v>
      </c>
      <c r="Q834">
        <v>24.390999999999998</v>
      </c>
      <c r="R834">
        <v>22.995000000000001</v>
      </c>
      <c r="S834">
        <v>22.012</v>
      </c>
      <c r="T834">
        <v>21.277999999999999</v>
      </c>
      <c r="U834">
        <v>22.177</v>
      </c>
      <c r="V834">
        <v>23.835999999999999</v>
      </c>
      <c r="W834">
        <v>25.527999999999999</v>
      </c>
      <c r="X834">
        <v>27.178000000000001</v>
      </c>
      <c r="Y834">
        <v>28.791</v>
      </c>
      <c r="Z834">
        <v>30.338000000000001</v>
      </c>
      <c r="AA834">
        <v>31.908000000000001</v>
      </c>
      <c r="AB834">
        <v>33.436999999999998</v>
      </c>
      <c r="AC834">
        <v>34.902000000000001</v>
      </c>
      <c r="AD834">
        <v>0</v>
      </c>
    </row>
    <row r="835" spans="2:30" x14ac:dyDescent="0.25">
      <c r="B835" t="s">
        <v>133</v>
      </c>
      <c r="C835" t="s">
        <v>3256</v>
      </c>
      <c r="D835" t="s">
        <v>6058</v>
      </c>
      <c r="E835" t="s">
        <v>6059</v>
      </c>
      <c r="F835" t="s">
        <v>6060</v>
      </c>
      <c r="G835" t="s">
        <v>5933</v>
      </c>
      <c r="H835" t="s">
        <v>6050</v>
      </c>
      <c r="I835" t="s">
        <v>6051</v>
      </c>
      <c r="K835">
        <v>0</v>
      </c>
      <c r="L835">
        <v>-1E-3</v>
      </c>
      <c r="M835">
        <v>-1E-3</v>
      </c>
      <c r="N835">
        <v>-1E-3</v>
      </c>
      <c r="O835">
        <v>1.1639999999999999</v>
      </c>
      <c r="P835">
        <v>1.01</v>
      </c>
      <c r="Q835">
        <v>0.94699999999999995</v>
      </c>
      <c r="R835">
        <v>0.89300000000000002</v>
      </c>
      <c r="S835">
        <v>0.85499999999999998</v>
      </c>
      <c r="T835">
        <v>0.82599999999999996</v>
      </c>
      <c r="U835">
        <v>0.86099999999999999</v>
      </c>
      <c r="V835">
        <v>0.92600000000000005</v>
      </c>
      <c r="W835">
        <v>0.99099999999999999</v>
      </c>
      <c r="X835">
        <v>1.0549999999999999</v>
      </c>
      <c r="Y835">
        <v>1.1180000000000001</v>
      </c>
      <c r="Z835">
        <v>1.1779999999999999</v>
      </c>
      <c r="AA835">
        <v>1.2390000000000001</v>
      </c>
      <c r="AB835">
        <v>1.298</v>
      </c>
      <c r="AC835">
        <v>1.355</v>
      </c>
      <c r="AD835">
        <v>0</v>
      </c>
    </row>
    <row r="836" spans="2:30" x14ac:dyDescent="0.25">
      <c r="B836" t="s">
        <v>133</v>
      </c>
      <c r="C836" t="s">
        <v>3256</v>
      </c>
      <c r="D836" t="s">
        <v>6061</v>
      </c>
      <c r="E836" t="s">
        <v>6062</v>
      </c>
      <c r="F836" t="s">
        <v>6063</v>
      </c>
      <c r="G836" t="s">
        <v>5933</v>
      </c>
      <c r="H836" t="s">
        <v>6064</v>
      </c>
      <c r="I836" t="s">
        <v>6065</v>
      </c>
      <c r="J836">
        <v>1</v>
      </c>
      <c r="K836">
        <v>4.2999999999999997E-2</v>
      </c>
      <c r="L836">
        <v>4.36E-2</v>
      </c>
      <c r="M836">
        <v>4.4400000000000002E-2</v>
      </c>
      <c r="N836">
        <v>4.48E-2</v>
      </c>
      <c r="O836">
        <v>4.53E-2</v>
      </c>
      <c r="P836">
        <v>4.58E-2</v>
      </c>
      <c r="Q836">
        <v>4.6199999999999998E-2</v>
      </c>
      <c r="R836">
        <v>4.6699999999999998E-2</v>
      </c>
      <c r="S836">
        <v>4.7E-2</v>
      </c>
      <c r="T836">
        <v>4.7399999999999998E-2</v>
      </c>
      <c r="U836">
        <v>4.7699999999999999E-2</v>
      </c>
      <c r="V836">
        <v>4.8099999999999997E-2</v>
      </c>
      <c r="W836">
        <v>4.8399999999999999E-2</v>
      </c>
      <c r="X836">
        <v>4.87E-2</v>
      </c>
      <c r="Y836">
        <v>4.9000000000000002E-2</v>
      </c>
      <c r="Z836">
        <v>4.9200000000000001E-2</v>
      </c>
      <c r="AA836">
        <v>4.9500000000000002E-2</v>
      </c>
      <c r="AB836">
        <v>4.9700000000000001E-2</v>
      </c>
      <c r="AC836">
        <v>0.05</v>
      </c>
      <c r="AD836">
        <v>0</v>
      </c>
    </row>
    <row r="837" spans="2:30" x14ac:dyDescent="0.25">
      <c r="B837" t="s">
        <v>133</v>
      </c>
      <c r="C837" t="s">
        <v>3256</v>
      </c>
      <c r="D837" t="s">
        <v>6066</v>
      </c>
      <c r="E837" t="s">
        <v>6067</v>
      </c>
      <c r="F837" t="s">
        <v>6068</v>
      </c>
      <c r="G837" t="s">
        <v>5933</v>
      </c>
      <c r="H837" t="s">
        <v>6064</v>
      </c>
      <c r="I837" t="s">
        <v>6065</v>
      </c>
      <c r="J837">
        <v>1</v>
      </c>
      <c r="K837">
        <v>2.7099999999999999E-2</v>
      </c>
      <c r="L837">
        <v>2.75E-2</v>
      </c>
      <c r="M837">
        <v>2.81E-2</v>
      </c>
      <c r="N837">
        <v>2.8299999999999999E-2</v>
      </c>
      <c r="O837">
        <v>2.87E-2</v>
      </c>
      <c r="P837">
        <v>2.9000000000000001E-2</v>
      </c>
      <c r="Q837">
        <v>2.93E-2</v>
      </c>
      <c r="R837">
        <v>2.9600000000000001E-2</v>
      </c>
      <c r="S837">
        <v>2.9899999999999999E-2</v>
      </c>
      <c r="T837">
        <v>3.0200000000000001E-2</v>
      </c>
      <c r="U837">
        <v>3.04E-2</v>
      </c>
      <c r="V837">
        <v>3.0700000000000002E-2</v>
      </c>
      <c r="W837">
        <v>3.09E-2</v>
      </c>
      <c r="X837">
        <v>3.1099999999999999E-2</v>
      </c>
      <c r="Y837">
        <v>3.1300000000000001E-2</v>
      </c>
      <c r="Z837">
        <v>3.1600000000000003E-2</v>
      </c>
      <c r="AA837">
        <v>3.1800000000000002E-2</v>
      </c>
      <c r="AB837">
        <v>3.2000000000000001E-2</v>
      </c>
      <c r="AC837">
        <v>3.2000000000000001E-2</v>
      </c>
      <c r="AD837">
        <v>0</v>
      </c>
    </row>
    <row r="838" spans="2:30" x14ac:dyDescent="0.25">
      <c r="B838" t="s">
        <v>133</v>
      </c>
      <c r="C838" t="s">
        <v>3256</v>
      </c>
      <c r="D838" t="s">
        <v>6069</v>
      </c>
      <c r="E838" t="s">
        <v>6070</v>
      </c>
      <c r="F838" t="s">
        <v>6071</v>
      </c>
      <c r="G838" t="s">
        <v>5933</v>
      </c>
      <c r="H838" t="s">
        <v>6064</v>
      </c>
      <c r="I838" t="s">
        <v>6065</v>
      </c>
      <c r="J838">
        <v>1</v>
      </c>
      <c r="K838">
        <v>0.78849999999999998</v>
      </c>
      <c r="L838">
        <v>0.79659999999999997</v>
      </c>
      <c r="M838">
        <v>0.80979999999999996</v>
      </c>
      <c r="N838">
        <v>0.8135</v>
      </c>
      <c r="O838">
        <v>0.82020000000000004</v>
      </c>
      <c r="P838">
        <v>0.82640000000000002</v>
      </c>
      <c r="Q838">
        <v>0.83250000000000002</v>
      </c>
      <c r="R838">
        <v>0.83720000000000006</v>
      </c>
      <c r="S838">
        <v>0.84119999999999995</v>
      </c>
      <c r="T838">
        <v>0.8448</v>
      </c>
      <c r="U838">
        <v>0.84799999999999998</v>
      </c>
      <c r="V838">
        <v>0.85089999999999999</v>
      </c>
      <c r="W838">
        <v>0.85350000000000004</v>
      </c>
      <c r="X838">
        <v>0.85580000000000001</v>
      </c>
      <c r="Y838">
        <v>0.8579</v>
      </c>
      <c r="Z838">
        <v>0.85970000000000002</v>
      </c>
      <c r="AA838">
        <v>0.86119999999999997</v>
      </c>
      <c r="AB838">
        <v>0.86229999999999996</v>
      </c>
      <c r="AC838">
        <v>0.86319999999999997</v>
      </c>
      <c r="AD838">
        <v>0</v>
      </c>
    </row>
    <row r="839" spans="2:30" x14ac:dyDescent="0.25">
      <c r="B839" t="s">
        <v>133</v>
      </c>
      <c r="C839" t="s">
        <v>3256</v>
      </c>
      <c r="D839" t="s">
        <v>6072</v>
      </c>
      <c r="E839" t="s">
        <v>6073</v>
      </c>
      <c r="F839" t="s">
        <v>6074</v>
      </c>
      <c r="G839" t="s">
        <v>5933</v>
      </c>
      <c r="H839" t="s">
        <v>6064</v>
      </c>
      <c r="I839" t="s">
        <v>6065</v>
      </c>
      <c r="J839">
        <v>1</v>
      </c>
      <c r="K839">
        <v>7.6799999999999993E-2</v>
      </c>
      <c r="L839">
        <v>7.7299999999999994E-2</v>
      </c>
      <c r="M839">
        <v>7.8299999999999995E-2</v>
      </c>
      <c r="N839">
        <v>7.8299999999999995E-2</v>
      </c>
      <c r="O839">
        <v>7.8600000000000003E-2</v>
      </c>
      <c r="P839">
        <v>7.8899999999999998E-2</v>
      </c>
      <c r="Q839">
        <v>7.9100000000000004E-2</v>
      </c>
      <c r="R839">
        <v>7.9200000000000007E-2</v>
      </c>
      <c r="S839">
        <v>7.9200000000000007E-2</v>
      </c>
      <c r="T839">
        <v>7.9200000000000007E-2</v>
      </c>
      <c r="U839">
        <v>7.9100000000000004E-2</v>
      </c>
      <c r="V839">
        <v>7.9000000000000001E-2</v>
      </c>
      <c r="W839">
        <v>7.8799999999999995E-2</v>
      </c>
      <c r="X839">
        <v>7.8700000000000006E-2</v>
      </c>
      <c r="Y839">
        <v>7.85E-2</v>
      </c>
      <c r="Z839">
        <v>7.8200000000000006E-2</v>
      </c>
      <c r="AA839">
        <v>7.7899999999999997E-2</v>
      </c>
      <c r="AB839">
        <v>7.7600000000000002E-2</v>
      </c>
      <c r="AC839">
        <v>7.7700000000000005E-2</v>
      </c>
      <c r="AD839">
        <v>0</v>
      </c>
    </row>
    <row r="840" spans="2:30" x14ac:dyDescent="0.25">
      <c r="B840" t="s">
        <v>133</v>
      </c>
      <c r="C840" t="s">
        <v>3256</v>
      </c>
      <c r="D840" t="s">
        <v>6075</v>
      </c>
      <c r="E840" t="s">
        <v>6076</v>
      </c>
      <c r="F840" t="s">
        <v>6077</v>
      </c>
      <c r="G840" t="s">
        <v>5933</v>
      </c>
      <c r="H840" t="s">
        <v>6064</v>
      </c>
      <c r="I840" t="s">
        <v>6065</v>
      </c>
      <c r="J840">
        <v>1</v>
      </c>
      <c r="K840">
        <v>0.25600000000000001</v>
      </c>
      <c r="L840">
        <v>0.26019999999999999</v>
      </c>
      <c r="M840">
        <v>0.26619999999999999</v>
      </c>
      <c r="N840">
        <v>0.26910000000000001</v>
      </c>
      <c r="O840">
        <v>0.27300000000000002</v>
      </c>
      <c r="P840">
        <v>0.27679999999999999</v>
      </c>
      <c r="Q840">
        <v>0.28060000000000002</v>
      </c>
      <c r="R840">
        <v>0.28399999999999997</v>
      </c>
      <c r="S840">
        <v>0.28720000000000001</v>
      </c>
      <c r="T840">
        <v>0.2903</v>
      </c>
      <c r="U840">
        <v>0.29330000000000001</v>
      </c>
      <c r="V840">
        <v>0.29620000000000002</v>
      </c>
      <c r="W840">
        <v>0.29909999999999998</v>
      </c>
      <c r="X840">
        <v>0.3019</v>
      </c>
      <c r="Y840">
        <v>0.30470000000000003</v>
      </c>
      <c r="Z840">
        <v>0.30740000000000001</v>
      </c>
      <c r="AA840">
        <v>0.31</v>
      </c>
      <c r="AB840">
        <v>0.31259999999999999</v>
      </c>
      <c r="AC840">
        <v>0.31630000000000003</v>
      </c>
      <c r="AD840">
        <v>0</v>
      </c>
    </row>
    <row r="841" spans="2:30" x14ac:dyDescent="0.25">
      <c r="B841" t="s">
        <v>133</v>
      </c>
      <c r="C841" t="s">
        <v>3256</v>
      </c>
      <c r="D841" t="s">
        <v>6078</v>
      </c>
      <c r="E841" t="s">
        <v>6079</v>
      </c>
      <c r="F841" t="s">
        <v>6080</v>
      </c>
      <c r="G841" t="s">
        <v>5933</v>
      </c>
      <c r="H841" t="s">
        <v>6064</v>
      </c>
      <c r="I841" t="s">
        <v>6065</v>
      </c>
      <c r="J841">
        <v>1</v>
      </c>
      <c r="K841">
        <v>5.3699999999999998E-2</v>
      </c>
      <c r="L841">
        <v>5.4300000000000001E-2</v>
      </c>
      <c r="M841">
        <v>5.5300000000000002E-2</v>
      </c>
      <c r="N841">
        <v>5.5599999999999997E-2</v>
      </c>
      <c r="O841">
        <v>5.62E-2</v>
      </c>
      <c r="P841">
        <v>5.67E-2</v>
      </c>
      <c r="Q841">
        <v>5.7200000000000001E-2</v>
      </c>
      <c r="R841">
        <v>5.7599999999999998E-2</v>
      </c>
      <c r="S841">
        <v>5.8000000000000003E-2</v>
      </c>
      <c r="T841">
        <v>5.8400000000000001E-2</v>
      </c>
      <c r="U841">
        <v>5.8700000000000002E-2</v>
      </c>
      <c r="V841">
        <v>5.8999999999999997E-2</v>
      </c>
      <c r="W841">
        <v>5.9299999999999999E-2</v>
      </c>
      <c r="X841">
        <v>5.96E-2</v>
      </c>
      <c r="Y841">
        <v>5.9799999999999999E-2</v>
      </c>
      <c r="Z841">
        <v>6.0100000000000001E-2</v>
      </c>
      <c r="AA841">
        <v>6.0299999999999999E-2</v>
      </c>
      <c r="AB841">
        <v>6.0499999999999998E-2</v>
      </c>
      <c r="AC841">
        <v>6.0699999999999997E-2</v>
      </c>
      <c r="AD841">
        <v>0</v>
      </c>
    </row>
    <row r="842" spans="2:30" x14ac:dyDescent="0.25">
      <c r="B842" t="s">
        <v>133</v>
      </c>
      <c r="C842" t="s">
        <v>3256</v>
      </c>
      <c r="D842" t="s">
        <v>6081</v>
      </c>
      <c r="E842" t="s">
        <v>6082</v>
      </c>
      <c r="F842" t="s">
        <v>6083</v>
      </c>
      <c r="G842" t="s">
        <v>5933</v>
      </c>
      <c r="H842" t="s">
        <v>6064</v>
      </c>
      <c r="I842" t="s">
        <v>6065</v>
      </c>
      <c r="J842">
        <v>1</v>
      </c>
      <c r="K842">
        <v>0.53769999999999996</v>
      </c>
      <c r="L842">
        <v>0.54359999999999997</v>
      </c>
      <c r="M842">
        <v>0.55289999999999995</v>
      </c>
      <c r="N842">
        <v>0.55579999999999996</v>
      </c>
      <c r="O842">
        <v>0.56069999999999998</v>
      </c>
      <c r="P842">
        <v>0.56540000000000001</v>
      </c>
      <c r="Q842">
        <v>0.56979999999999997</v>
      </c>
      <c r="R842">
        <v>0.57340000000000002</v>
      </c>
      <c r="S842">
        <v>0.5766</v>
      </c>
      <c r="T842">
        <v>0.57940000000000003</v>
      </c>
      <c r="U842">
        <v>0.58199999999999996</v>
      </c>
      <c r="V842">
        <v>0.58440000000000003</v>
      </c>
      <c r="W842">
        <v>0.58660000000000001</v>
      </c>
      <c r="X842">
        <v>0.58860000000000001</v>
      </c>
      <c r="Y842">
        <v>0.59050000000000002</v>
      </c>
      <c r="Z842">
        <v>0.59209999999999996</v>
      </c>
      <c r="AA842">
        <v>0.59360000000000002</v>
      </c>
      <c r="AB842">
        <v>0.5948</v>
      </c>
      <c r="AC842">
        <v>0.5958</v>
      </c>
      <c r="AD842">
        <v>0</v>
      </c>
    </row>
    <row r="843" spans="2:30" x14ac:dyDescent="0.25">
      <c r="B843" t="s">
        <v>133</v>
      </c>
      <c r="C843" t="s">
        <v>3256</v>
      </c>
      <c r="D843" t="s">
        <v>6084</v>
      </c>
      <c r="E843" t="s">
        <v>6085</v>
      </c>
      <c r="F843" t="s">
        <v>6086</v>
      </c>
      <c r="G843" t="s">
        <v>5933</v>
      </c>
      <c r="H843" t="s">
        <v>6064</v>
      </c>
      <c r="I843" t="s">
        <v>6065</v>
      </c>
      <c r="J843">
        <v>1</v>
      </c>
      <c r="K843">
        <v>6.4999999999999997E-3</v>
      </c>
      <c r="L843">
        <v>6.6E-3</v>
      </c>
      <c r="M843">
        <v>6.7999999999999996E-3</v>
      </c>
      <c r="N843">
        <v>6.7999999999999996E-3</v>
      </c>
      <c r="O843">
        <v>6.8999999999999999E-3</v>
      </c>
      <c r="P843">
        <v>7.0000000000000001E-3</v>
      </c>
      <c r="Q843">
        <v>7.1000000000000004E-3</v>
      </c>
      <c r="R843">
        <v>7.1999999999999998E-3</v>
      </c>
      <c r="S843">
        <v>7.3000000000000001E-3</v>
      </c>
      <c r="T843">
        <v>7.4000000000000003E-3</v>
      </c>
      <c r="U843">
        <v>7.4999999999999997E-3</v>
      </c>
      <c r="V843">
        <v>7.4999999999999997E-3</v>
      </c>
      <c r="W843">
        <v>7.6E-3</v>
      </c>
      <c r="X843">
        <v>7.7000000000000002E-3</v>
      </c>
      <c r="Y843">
        <v>7.7999999999999996E-3</v>
      </c>
      <c r="Z843">
        <v>7.7999999999999996E-3</v>
      </c>
      <c r="AA843">
        <v>7.9000000000000008E-3</v>
      </c>
      <c r="AB843">
        <v>8.0000000000000002E-3</v>
      </c>
      <c r="AC843">
        <v>8.0000000000000002E-3</v>
      </c>
      <c r="AD843">
        <v>0</v>
      </c>
    </row>
    <row r="844" spans="2:30" x14ac:dyDescent="0.25">
      <c r="B844" t="s">
        <v>133</v>
      </c>
      <c r="C844" t="s">
        <v>3256</v>
      </c>
      <c r="D844" t="s">
        <v>6087</v>
      </c>
      <c r="E844" t="s">
        <v>6088</v>
      </c>
      <c r="F844" t="s">
        <v>6089</v>
      </c>
      <c r="G844" t="s">
        <v>5933</v>
      </c>
      <c r="H844" t="s">
        <v>6064</v>
      </c>
      <c r="I844" t="s">
        <v>6065</v>
      </c>
      <c r="J844">
        <v>1</v>
      </c>
      <c r="K844">
        <v>1.1000000000000001E-3</v>
      </c>
      <c r="L844">
        <v>1.1000000000000001E-3</v>
      </c>
      <c r="M844">
        <v>1.1999999999999999E-3</v>
      </c>
      <c r="N844">
        <v>1.1999999999999999E-3</v>
      </c>
      <c r="O844">
        <v>1.1999999999999999E-3</v>
      </c>
      <c r="P844">
        <v>1.1999999999999999E-3</v>
      </c>
      <c r="Q844">
        <v>1.1999999999999999E-3</v>
      </c>
      <c r="R844">
        <v>1.1999999999999999E-3</v>
      </c>
      <c r="S844">
        <v>1.2999999999999999E-3</v>
      </c>
      <c r="T844">
        <v>1.2999999999999999E-3</v>
      </c>
      <c r="U844">
        <v>1.2999999999999999E-3</v>
      </c>
      <c r="V844">
        <v>1.2999999999999999E-3</v>
      </c>
      <c r="W844">
        <v>1.2999999999999999E-3</v>
      </c>
      <c r="X844">
        <v>1.2999999999999999E-3</v>
      </c>
      <c r="Y844">
        <v>1.2999999999999999E-3</v>
      </c>
      <c r="Z844">
        <v>1.2999999999999999E-3</v>
      </c>
      <c r="AA844">
        <v>1.4E-3</v>
      </c>
      <c r="AB844">
        <v>1.4E-3</v>
      </c>
      <c r="AC844">
        <v>1.4E-3</v>
      </c>
      <c r="AD844">
        <v>0</v>
      </c>
    </row>
    <row r="845" spans="2:30" x14ac:dyDescent="0.25">
      <c r="B845" t="s">
        <v>133</v>
      </c>
      <c r="C845" t="s">
        <v>3256</v>
      </c>
      <c r="D845" t="s">
        <v>6090</v>
      </c>
      <c r="E845" t="s">
        <v>6091</v>
      </c>
      <c r="F845" t="s">
        <v>6092</v>
      </c>
      <c r="G845" t="s">
        <v>5933</v>
      </c>
      <c r="H845" t="s">
        <v>6093</v>
      </c>
      <c r="I845" t="s">
        <v>6094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2:30" x14ac:dyDescent="0.25">
      <c r="B846" t="s">
        <v>133</v>
      </c>
      <c r="C846" t="s">
        <v>3256</v>
      </c>
      <c r="D846" t="s">
        <v>6095</v>
      </c>
      <c r="E846" t="s">
        <v>6096</v>
      </c>
      <c r="F846" t="s">
        <v>6097</v>
      </c>
      <c r="G846" t="s">
        <v>5933</v>
      </c>
      <c r="H846" t="s">
        <v>6093</v>
      </c>
      <c r="I846" t="s">
        <v>6094</v>
      </c>
      <c r="J846">
        <v>1</v>
      </c>
      <c r="K846">
        <v>1.105</v>
      </c>
      <c r="L846">
        <v>1.0489999999999999</v>
      </c>
      <c r="M846">
        <v>1.2529999999999999</v>
      </c>
      <c r="N846">
        <v>1.2749999999999999</v>
      </c>
      <c r="O846">
        <v>1.234</v>
      </c>
      <c r="P846">
        <v>1.216</v>
      </c>
      <c r="Q846">
        <v>1.244</v>
      </c>
      <c r="R846">
        <v>1.2769999999999999</v>
      </c>
      <c r="S846">
        <v>1.3049999999999999</v>
      </c>
      <c r="T846">
        <v>1.3340000000000001</v>
      </c>
      <c r="U846">
        <v>1.3660000000000001</v>
      </c>
      <c r="V846">
        <v>1.403</v>
      </c>
      <c r="W846">
        <v>1.4450000000000001</v>
      </c>
      <c r="X846">
        <v>1.494</v>
      </c>
      <c r="Y846">
        <v>1.5509999999999999</v>
      </c>
      <c r="Z846">
        <v>1.6160000000000001</v>
      </c>
      <c r="AA846">
        <v>1.6930000000000001</v>
      </c>
      <c r="AB846">
        <v>1.782</v>
      </c>
      <c r="AC846">
        <v>1.8879999999999999</v>
      </c>
      <c r="AD846">
        <v>0</v>
      </c>
    </row>
    <row r="847" spans="2:30" x14ac:dyDescent="0.25">
      <c r="B847" t="s">
        <v>133</v>
      </c>
      <c r="C847" t="s">
        <v>3256</v>
      </c>
      <c r="D847" t="s">
        <v>6098</v>
      </c>
      <c r="E847" t="s">
        <v>6099</v>
      </c>
      <c r="F847" t="s">
        <v>6100</v>
      </c>
      <c r="G847" t="s">
        <v>5933</v>
      </c>
      <c r="H847" t="s">
        <v>6093</v>
      </c>
      <c r="I847" t="s">
        <v>6094</v>
      </c>
      <c r="J847">
        <v>1</v>
      </c>
      <c r="K847">
        <v>5.9459999999999997</v>
      </c>
      <c r="L847">
        <v>5.7510000000000003</v>
      </c>
      <c r="M847">
        <v>5.5510000000000002</v>
      </c>
      <c r="N847">
        <v>6.6689999999999996</v>
      </c>
      <c r="O847">
        <v>6.4989999999999997</v>
      </c>
      <c r="P847">
        <v>6.3129999999999997</v>
      </c>
      <c r="Q847">
        <v>6.117</v>
      </c>
      <c r="R847">
        <v>5.9340000000000002</v>
      </c>
      <c r="S847">
        <v>5.76</v>
      </c>
      <c r="T847">
        <v>5.593</v>
      </c>
      <c r="U847">
        <v>5.4329999999999998</v>
      </c>
      <c r="V847">
        <v>5.28</v>
      </c>
      <c r="W847">
        <v>5.133</v>
      </c>
      <c r="X847">
        <v>4.9950000000000001</v>
      </c>
      <c r="Y847">
        <v>4.8639999999999999</v>
      </c>
      <c r="Z847">
        <v>4.742</v>
      </c>
      <c r="AA847">
        <v>4.6280000000000001</v>
      </c>
      <c r="AB847">
        <v>4.5229999999999997</v>
      </c>
      <c r="AC847">
        <v>4.4269999999999996</v>
      </c>
      <c r="AD847">
        <v>0</v>
      </c>
    </row>
    <row r="848" spans="2:30" x14ac:dyDescent="0.25">
      <c r="B848" t="s">
        <v>133</v>
      </c>
      <c r="C848" t="s">
        <v>3256</v>
      </c>
      <c r="D848" t="s">
        <v>6101</v>
      </c>
      <c r="E848" t="s">
        <v>6102</v>
      </c>
      <c r="F848" t="s">
        <v>6103</v>
      </c>
      <c r="G848" t="s">
        <v>5933</v>
      </c>
      <c r="H848" t="s">
        <v>6093</v>
      </c>
      <c r="I848" t="s">
        <v>6094</v>
      </c>
      <c r="J848">
        <v>1</v>
      </c>
      <c r="K848">
        <v>3.573</v>
      </c>
      <c r="L848">
        <v>3.4929999999999999</v>
      </c>
      <c r="M848">
        <v>3.387</v>
      </c>
      <c r="N848">
        <v>3.2360000000000002</v>
      </c>
      <c r="O848">
        <v>3.4049999999999998</v>
      </c>
      <c r="P848">
        <v>3.7240000000000002</v>
      </c>
      <c r="Q848">
        <v>4.0709999999999997</v>
      </c>
      <c r="R848">
        <v>4.4480000000000004</v>
      </c>
      <c r="S848">
        <v>4.899</v>
      </c>
      <c r="T848">
        <v>5.4349999999999996</v>
      </c>
      <c r="U848">
        <v>6.0170000000000003</v>
      </c>
      <c r="V848">
        <v>6.6420000000000003</v>
      </c>
      <c r="W848">
        <v>7.3010000000000002</v>
      </c>
      <c r="X848">
        <v>7.9950000000000001</v>
      </c>
      <c r="Y848">
        <v>8.7210000000000001</v>
      </c>
      <c r="Z848">
        <v>9.4830000000000005</v>
      </c>
      <c r="AA848">
        <v>10.279</v>
      </c>
      <c r="AB848">
        <v>11.112</v>
      </c>
      <c r="AC848">
        <v>11.981999999999999</v>
      </c>
      <c r="AD848">
        <v>0</v>
      </c>
    </row>
    <row r="849" spans="2:30" x14ac:dyDescent="0.25">
      <c r="B849" t="s">
        <v>133</v>
      </c>
      <c r="C849" t="s">
        <v>3256</v>
      </c>
      <c r="D849" t="s">
        <v>6104</v>
      </c>
      <c r="E849" t="s">
        <v>6105</v>
      </c>
      <c r="F849" t="s">
        <v>6106</v>
      </c>
      <c r="G849" t="s">
        <v>5933</v>
      </c>
      <c r="H849" t="s">
        <v>6093</v>
      </c>
      <c r="I849" t="s">
        <v>6094</v>
      </c>
      <c r="J849">
        <v>1</v>
      </c>
      <c r="K849">
        <v>2.496</v>
      </c>
      <c r="L849">
        <v>1.958</v>
      </c>
      <c r="M849">
        <v>2.1160000000000001</v>
      </c>
      <c r="N849">
        <v>2.093</v>
      </c>
      <c r="O849">
        <v>2.069</v>
      </c>
      <c r="P849">
        <v>2.0459999999999998</v>
      </c>
      <c r="Q849">
        <v>2.0230000000000001</v>
      </c>
      <c r="R849">
        <v>2</v>
      </c>
      <c r="S849">
        <v>1.978</v>
      </c>
      <c r="T849">
        <v>1.9550000000000001</v>
      </c>
      <c r="U849">
        <v>1.9330000000000001</v>
      </c>
      <c r="V849">
        <v>1.91</v>
      </c>
      <c r="W849">
        <v>1.8879999999999999</v>
      </c>
      <c r="X849">
        <v>1.8660000000000001</v>
      </c>
      <c r="Y849">
        <v>1.8440000000000001</v>
      </c>
      <c r="Z849">
        <v>1.823</v>
      </c>
      <c r="AA849">
        <v>1.8009999999999999</v>
      </c>
      <c r="AB849">
        <v>1.7789999999999999</v>
      </c>
      <c r="AC849">
        <v>1.758</v>
      </c>
      <c r="AD849">
        <v>0</v>
      </c>
    </row>
    <row r="850" spans="2:30" x14ac:dyDescent="0.25">
      <c r="B850" t="s">
        <v>133</v>
      </c>
      <c r="C850" t="s">
        <v>3256</v>
      </c>
      <c r="D850" t="s">
        <v>6107</v>
      </c>
      <c r="E850" t="s">
        <v>6108</v>
      </c>
      <c r="F850" t="s">
        <v>6109</v>
      </c>
      <c r="G850" t="s">
        <v>5933</v>
      </c>
      <c r="H850" t="s">
        <v>6093</v>
      </c>
      <c r="I850" t="s">
        <v>6094</v>
      </c>
      <c r="J850">
        <v>1</v>
      </c>
      <c r="K850">
        <v>3.1419999999999999</v>
      </c>
      <c r="L850">
        <v>3.0489999999999999</v>
      </c>
      <c r="M850">
        <v>3.6619999999999999</v>
      </c>
      <c r="N850">
        <v>4.6589999999999998</v>
      </c>
      <c r="O850">
        <v>4.7670000000000003</v>
      </c>
      <c r="P850">
        <v>4.8959999999999999</v>
      </c>
      <c r="Q850">
        <v>5.0540000000000003</v>
      </c>
      <c r="R850">
        <v>5.2030000000000003</v>
      </c>
      <c r="S850">
        <v>5.3410000000000002</v>
      </c>
      <c r="T850">
        <v>5.4790000000000001</v>
      </c>
      <c r="U850">
        <v>5.6189999999999998</v>
      </c>
      <c r="V850">
        <v>5.7590000000000003</v>
      </c>
      <c r="W850">
        <v>5.9</v>
      </c>
      <c r="X850">
        <v>6.0410000000000004</v>
      </c>
      <c r="Y850">
        <v>6.1840000000000002</v>
      </c>
      <c r="Z850">
        <v>6.3280000000000003</v>
      </c>
      <c r="AA850">
        <v>6.4720000000000004</v>
      </c>
      <c r="AB850">
        <v>6.6159999999999997</v>
      </c>
      <c r="AC850">
        <v>6.7619999999999996</v>
      </c>
      <c r="AD850">
        <v>0</v>
      </c>
    </row>
    <row r="851" spans="2:30" x14ac:dyDescent="0.25">
      <c r="B851" t="s">
        <v>133</v>
      </c>
      <c r="C851" t="s">
        <v>3256</v>
      </c>
      <c r="D851" t="s">
        <v>6110</v>
      </c>
      <c r="E851" t="s">
        <v>6111</v>
      </c>
      <c r="F851" t="s">
        <v>6112</v>
      </c>
      <c r="G851" t="s">
        <v>5933</v>
      </c>
      <c r="H851" t="s">
        <v>6093</v>
      </c>
      <c r="I851" t="s">
        <v>6094</v>
      </c>
      <c r="J851">
        <v>1</v>
      </c>
      <c r="K851">
        <v>3.0720000000000001</v>
      </c>
      <c r="L851">
        <v>3.7370000000000001</v>
      </c>
      <c r="M851">
        <v>4.6779999999999999</v>
      </c>
      <c r="N851">
        <v>4.774</v>
      </c>
      <c r="O851">
        <v>4.8680000000000003</v>
      </c>
      <c r="P851">
        <v>4.9770000000000003</v>
      </c>
      <c r="Q851">
        <v>5.1040000000000001</v>
      </c>
      <c r="R851">
        <v>5.2249999999999996</v>
      </c>
      <c r="S851">
        <v>5.3390000000000004</v>
      </c>
      <c r="T851">
        <v>5.452</v>
      </c>
      <c r="U851">
        <v>5.5670000000000002</v>
      </c>
      <c r="V851">
        <v>5.6820000000000004</v>
      </c>
      <c r="W851">
        <v>5.7969999999999997</v>
      </c>
      <c r="X851">
        <v>5.9139999999999997</v>
      </c>
      <c r="Y851">
        <v>6.0309999999999997</v>
      </c>
      <c r="Z851">
        <v>6.1479999999999997</v>
      </c>
      <c r="AA851">
        <v>6.266</v>
      </c>
      <c r="AB851">
        <v>6.3849999999999998</v>
      </c>
      <c r="AC851">
        <v>6.5039999999999996</v>
      </c>
      <c r="AD851">
        <v>0</v>
      </c>
    </row>
    <row r="852" spans="2:30" x14ac:dyDescent="0.25">
      <c r="B852" t="s">
        <v>133</v>
      </c>
      <c r="C852" t="s">
        <v>3256</v>
      </c>
      <c r="D852" t="s">
        <v>6113</v>
      </c>
      <c r="E852" t="s">
        <v>6114</v>
      </c>
      <c r="F852" t="s">
        <v>6115</v>
      </c>
      <c r="G852" t="s">
        <v>5933</v>
      </c>
      <c r="H852" t="s">
        <v>6093</v>
      </c>
      <c r="I852" t="s">
        <v>6094</v>
      </c>
      <c r="J852">
        <v>1</v>
      </c>
      <c r="K852">
        <v>54.859000000000002</v>
      </c>
      <c r="L852">
        <v>54.561</v>
      </c>
      <c r="M852">
        <v>56.171999999999997</v>
      </c>
      <c r="N852">
        <v>58.231000000000002</v>
      </c>
      <c r="O852">
        <v>58.366999999999997</v>
      </c>
      <c r="P852">
        <v>58.698</v>
      </c>
      <c r="Q852">
        <v>59.139000000000003</v>
      </c>
      <c r="R852">
        <v>59.613</v>
      </c>
      <c r="S852">
        <v>60.148000000000003</v>
      </c>
      <c r="T852">
        <v>60.774999999999999</v>
      </c>
      <c r="U852">
        <v>61.459000000000003</v>
      </c>
      <c r="V852">
        <v>62.2</v>
      </c>
      <c r="W852">
        <v>62.99</v>
      </c>
      <c r="X852">
        <v>63.831000000000003</v>
      </c>
      <c r="Y852">
        <v>64.72</v>
      </c>
      <c r="Z852">
        <v>65.664000000000001</v>
      </c>
      <c r="AA852">
        <v>66.664000000000001</v>
      </c>
      <c r="AB852">
        <v>67.722999999999999</v>
      </c>
      <c r="AC852">
        <v>68.846000000000004</v>
      </c>
      <c r="AD852">
        <v>0</v>
      </c>
    </row>
    <row r="853" spans="2:30" x14ac:dyDescent="0.25">
      <c r="B853" t="s">
        <v>133</v>
      </c>
      <c r="C853" t="s">
        <v>3256</v>
      </c>
      <c r="D853" t="s">
        <v>6116</v>
      </c>
      <c r="E853" t="s">
        <v>6117</v>
      </c>
      <c r="F853" t="s">
        <v>6118</v>
      </c>
      <c r="G853" t="s">
        <v>5933</v>
      </c>
      <c r="H853" t="s">
        <v>6093</v>
      </c>
      <c r="I853" t="s">
        <v>6094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2:30" x14ac:dyDescent="0.25">
      <c r="B854" t="s">
        <v>133</v>
      </c>
      <c r="C854" t="s">
        <v>3256</v>
      </c>
      <c r="D854" t="s">
        <v>6119</v>
      </c>
      <c r="E854" t="s">
        <v>6120</v>
      </c>
      <c r="F854" t="s">
        <v>6121</v>
      </c>
      <c r="G854" t="s">
        <v>5933</v>
      </c>
      <c r="H854" t="s">
        <v>6093</v>
      </c>
      <c r="I854" t="s">
        <v>6094</v>
      </c>
      <c r="J854">
        <v>2</v>
      </c>
      <c r="K854">
        <v>1.105</v>
      </c>
      <c r="L854">
        <v>1.046</v>
      </c>
      <c r="M854">
        <v>1.25</v>
      </c>
      <c r="N854">
        <v>1.272</v>
      </c>
      <c r="O854">
        <v>1.2330000000000001</v>
      </c>
      <c r="P854">
        <v>1.085</v>
      </c>
      <c r="Q854">
        <v>1.153</v>
      </c>
      <c r="R854">
        <v>1.1759999999999999</v>
      </c>
      <c r="S854">
        <v>1.2110000000000001</v>
      </c>
      <c r="T854">
        <v>1.2270000000000001</v>
      </c>
      <c r="U854">
        <v>1.2509999999999999</v>
      </c>
      <c r="V854">
        <v>1.276</v>
      </c>
      <c r="W854">
        <v>1.31</v>
      </c>
      <c r="X854">
        <v>1.351</v>
      </c>
      <c r="Y854">
        <v>1.401</v>
      </c>
      <c r="Z854">
        <v>1.462</v>
      </c>
      <c r="AA854">
        <v>1.534</v>
      </c>
      <c r="AB854">
        <v>1.6220000000000001</v>
      </c>
      <c r="AC854">
        <v>1.728</v>
      </c>
      <c r="AD854">
        <v>0</v>
      </c>
    </row>
    <row r="855" spans="2:30" x14ac:dyDescent="0.25">
      <c r="B855" t="s">
        <v>133</v>
      </c>
      <c r="C855" t="s">
        <v>3256</v>
      </c>
      <c r="D855" t="s">
        <v>6122</v>
      </c>
      <c r="E855" t="s">
        <v>6123</v>
      </c>
      <c r="F855" t="s">
        <v>6124</v>
      </c>
      <c r="G855" t="s">
        <v>5933</v>
      </c>
      <c r="H855" t="s">
        <v>6093</v>
      </c>
      <c r="I855" t="s">
        <v>6094</v>
      </c>
      <c r="J855">
        <v>2</v>
      </c>
      <c r="K855">
        <v>5.9459999999999997</v>
      </c>
      <c r="L855">
        <v>5.7549999999999999</v>
      </c>
      <c r="M855">
        <v>5.5549999999999997</v>
      </c>
      <c r="N855">
        <v>6.673</v>
      </c>
      <c r="O855">
        <v>6.5359999999999996</v>
      </c>
      <c r="P855">
        <v>6.3739999999999997</v>
      </c>
      <c r="Q855">
        <v>6.1509999999999998</v>
      </c>
      <c r="R855">
        <v>5.968</v>
      </c>
      <c r="S855">
        <v>5.806</v>
      </c>
      <c r="T855">
        <v>5.6619999999999999</v>
      </c>
      <c r="U855">
        <v>5.5220000000000002</v>
      </c>
      <c r="V855">
        <v>5.391</v>
      </c>
      <c r="W855">
        <v>5.266</v>
      </c>
      <c r="X855">
        <v>5.1520000000000001</v>
      </c>
      <c r="Y855">
        <v>5.0469999999999997</v>
      </c>
      <c r="Z855">
        <v>4.9539999999999997</v>
      </c>
      <c r="AA855">
        <v>4.8719999999999999</v>
      </c>
      <c r="AB855">
        <v>4.8019999999999996</v>
      </c>
      <c r="AC855">
        <v>4.7439999999999998</v>
      </c>
      <c r="AD855">
        <v>0</v>
      </c>
    </row>
    <row r="856" spans="2:30" x14ac:dyDescent="0.25">
      <c r="B856" t="s">
        <v>133</v>
      </c>
      <c r="C856" t="s">
        <v>3256</v>
      </c>
      <c r="D856" t="s">
        <v>6125</v>
      </c>
      <c r="E856" t="s">
        <v>6126</v>
      </c>
      <c r="F856" t="s">
        <v>6127</v>
      </c>
      <c r="G856" t="s">
        <v>5933</v>
      </c>
      <c r="H856" t="s">
        <v>6093</v>
      </c>
      <c r="I856" t="s">
        <v>6094</v>
      </c>
      <c r="J856">
        <v>2</v>
      </c>
      <c r="K856">
        <v>3.573</v>
      </c>
      <c r="L856">
        <v>3.4929999999999999</v>
      </c>
      <c r="M856">
        <v>3.387</v>
      </c>
      <c r="N856">
        <v>3.2360000000000002</v>
      </c>
      <c r="O856">
        <v>3.17</v>
      </c>
      <c r="P856">
        <v>3.456</v>
      </c>
      <c r="Q856">
        <v>3.7669999999999999</v>
      </c>
      <c r="R856">
        <v>4.1040000000000001</v>
      </c>
      <c r="S856">
        <v>4.5090000000000003</v>
      </c>
      <c r="T856">
        <v>4.9889999999999999</v>
      </c>
      <c r="U856">
        <v>5.5090000000000003</v>
      </c>
      <c r="V856">
        <v>6.0659999999999998</v>
      </c>
      <c r="W856">
        <v>6.6509999999999998</v>
      </c>
      <c r="X856">
        <v>7.266</v>
      </c>
      <c r="Y856">
        <v>7.907</v>
      </c>
      <c r="Z856">
        <v>8.58</v>
      </c>
      <c r="AA856">
        <v>9.2840000000000007</v>
      </c>
      <c r="AB856">
        <v>10.021000000000001</v>
      </c>
      <c r="AC856">
        <v>10.791</v>
      </c>
      <c r="AD856">
        <v>0</v>
      </c>
    </row>
    <row r="857" spans="2:30" x14ac:dyDescent="0.25">
      <c r="B857" t="s">
        <v>133</v>
      </c>
      <c r="C857" t="s">
        <v>3256</v>
      </c>
      <c r="D857" t="s">
        <v>6128</v>
      </c>
      <c r="E857" t="s">
        <v>6129</v>
      </c>
      <c r="F857" t="s">
        <v>6130</v>
      </c>
      <c r="G857" t="s">
        <v>5933</v>
      </c>
      <c r="H857" t="s">
        <v>6093</v>
      </c>
      <c r="I857" t="s">
        <v>6094</v>
      </c>
      <c r="J857">
        <v>2</v>
      </c>
      <c r="K857">
        <v>2.496</v>
      </c>
      <c r="L857">
        <v>1.958</v>
      </c>
      <c r="M857">
        <v>2.1160000000000001</v>
      </c>
      <c r="N857">
        <v>2.093</v>
      </c>
      <c r="O857">
        <v>2.0670000000000002</v>
      </c>
      <c r="P857">
        <v>2.044</v>
      </c>
      <c r="Q857">
        <v>2.0209999999999999</v>
      </c>
      <c r="R857">
        <v>1.998</v>
      </c>
      <c r="S857">
        <v>1.9750000000000001</v>
      </c>
      <c r="T857">
        <v>1.952</v>
      </c>
      <c r="U857">
        <v>1.93</v>
      </c>
      <c r="V857">
        <v>1.9079999999999999</v>
      </c>
      <c r="W857">
        <v>1.885</v>
      </c>
      <c r="X857">
        <v>1.863</v>
      </c>
      <c r="Y857">
        <v>1.841</v>
      </c>
      <c r="Z857">
        <v>1.82</v>
      </c>
      <c r="AA857">
        <v>1.798</v>
      </c>
      <c r="AB857">
        <v>1.7769999999999999</v>
      </c>
      <c r="AC857">
        <v>1.7549999999999999</v>
      </c>
      <c r="AD857">
        <v>0</v>
      </c>
    </row>
    <row r="858" spans="2:30" x14ac:dyDescent="0.25">
      <c r="B858" t="s">
        <v>133</v>
      </c>
      <c r="C858" t="s">
        <v>3256</v>
      </c>
      <c r="D858" t="s">
        <v>6131</v>
      </c>
      <c r="E858" t="s">
        <v>6132</v>
      </c>
      <c r="F858" t="s">
        <v>6133</v>
      </c>
      <c r="G858" t="s">
        <v>5933</v>
      </c>
      <c r="H858" t="s">
        <v>6093</v>
      </c>
      <c r="I858" t="s">
        <v>6094</v>
      </c>
      <c r="J858">
        <v>2</v>
      </c>
      <c r="K858">
        <v>3.1419999999999999</v>
      </c>
      <c r="L858">
        <v>3.0489999999999999</v>
      </c>
      <c r="M858">
        <v>3.6619999999999999</v>
      </c>
      <c r="N858">
        <v>4.6589999999999998</v>
      </c>
      <c r="O858">
        <v>3.694</v>
      </c>
      <c r="P858">
        <v>4.3659999999999997</v>
      </c>
      <c r="Q858">
        <v>4.7229999999999999</v>
      </c>
      <c r="R858">
        <v>4.9889999999999999</v>
      </c>
      <c r="S858">
        <v>5.1509999999999998</v>
      </c>
      <c r="T858">
        <v>5.2839999999999998</v>
      </c>
      <c r="U858">
        <v>5.4219999999999997</v>
      </c>
      <c r="V858">
        <v>5.5640000000000001</v>
      </c>
      <c r="W858">
        <v>5.7119999999999997</v>
      </c>
      <c r="X858">
        <v>5.867</v>
      </c>
      <c r="Y858">
        <v>6.0279999999999996</v>
      </c>
      <c r="Z858">
        <v>6.1950000000000003</v>
      </c>
      <c r="AA858">
        <v>6.3650000000000002</v>
      </c>
      <c r="AB858">
        <v>6.5369999999999999</v>
      </c>
      <c r="AC858">
        <v>6.7130000000000001</v>
      </c>
      <c r="AD858">
        <v>0</v>
      </c>
    </row>
    <row r="859" spans="2:30" x14ac:dyDescent="0.25">
      <c r="B859" t="s">
        <v>133</v>
      </c>
      <c r="C859" t="s">
        <v>3256</v>
      </c>
      <c r="D859" t="s">
        <v>6134</v>
      </c>
      <c r="E859" t="s">
        <v>6135</v>
      </c>
      <c r="F859" t="s">
        <v>6136</v>
      </c>
      <c r="G859" t="s">
        <v>5933</v>
      </c>
      <c r="H859" t="s">
        <v>6093</v>
      </c>
      <c r="I859" t="s">
        <v>6094</v>
      </c>
      <c r="J859">
        <v>2</v>
      </c>
      <c r="K859">
        <v>3.0720000000000001</v>
      </c>
      <c r="L859">
        <v>3.7370000000000001</v>
      </c>
      <c r="M859">
        <v>4.6779999999999999</v>
      </c>
      <c r="N859">
        <v>4.774</v>
      </c>
      <c r="O859">
        <v>3.9710000000000001</v>
      </c>
      <c r="P859">
        <v>4.0609999999999999</v>
      </c>
      <c r="Q859">
        <v>4.1630000000000003</v>
      </c>
      <c r="R859">
        <v>4.2610000000000001</v>
      </c>
      <c r="S859">
        <v>4.351</v>
      </c>
      <c r="T859">
        <v>4.4429999999999996</v>
      </c>
      <c r="U859">
        <v>4.5380000000000003</v>
      </c>
      <c r="V859">
        <v>4.6360000000000001</v>
      </c>
      <c r="W859">
        <v>4.7359999999999998</v>
      </c>
      <c r="X859">
        <v>4.8410000000000002</v>
      </c>
      <c r="Y859">
        <v>4.9489999999999998</v>
      </c>
      <c r="Z859">
        <v>5.0599999999999996</v>
      </c>
      <c r="AA859">
        <v>5.1719999999999997</v>
      </c>
      <c r="AB859">
        <v>5.2859999999999996</v>
      </c>
      <c r="AC859">
        <v>5.4020000000000001</v>
      </c>
      <c r="AD859">
        <v>0</v>
      </c>
    </row>
    <row r="860" spans="2:30" x14ac:dyDescent="0.25">
      <c r="B860" t="s">
        <v>133</v>
      </c>
      <c r="C860" t="s">
        <v>3256</v>
      </c>
      <c r="D860" t="s">
        <v>6137</v>
      </c>
      <c r="E860" t="s">
        <v>6138</v>
      </c>
      <c r="F860" t="s">
        <v>6139</v>
      </c>
      <c r="G860" t="s">
        <v>5933</v>
      </c>
      <c r="H860" t="s">
        <v>6093</v>
      </c>
      <c r="I860" t="s">
        <v>6094</v>
      </c>
      <c r="J860">
        <v>2</v>
      </c>
      <c r="K860">
        <v>54.859000000000002</v>
      </c>
      <c r="L860">
        <v>54.563000000000002</v>
      </c>
      <c r="M860">
        <v>56.173999999999999</v>
      </c>
      <c r="N860">
        <v>58.231999999999999</v>
      </c>
      <c r="O860">
        <v>56.195999999999998</v>
      </c>
      <c r="P860">
        <v>56.91</v>
      </c>
      <c r="Q860">
        <v>57.502000000000002</v>
      </c>
      <c r="R860">
        <v>58.021000000000001</v>
      </c>
      <c r="S860">
        <v>58.527999999999999</v>
      </c>
      <c r="T860">
        <v>59.082000000000001</v>
      </c>
      <c r="U860">
        <v>59.698</v>
      </c>
      <c r="V860">
        <v>60.366</v>
      </c>
      <c r="W860">
        <v>61.085999999999999</v>
      </c>
      <c r="X860">
        <v>61.865000000000002</v>
      </c>
      <c r="Y860">
        <v>62.698999999999998</v>
      </c>
      <c r="Z860">
        <v>63.594999999999999</v>
      </c>
      <c r="AA860">
        <v>64.551000000000002</v>
      </c>
      <c r="AB860">
        <v>65.569000000000003</v>
      </c>
      <c r="AC860">
        <v>66.658000000000001</v>
      </c>
      <c r="AD860">
        <v>0</v>
      </c>
    </row>
    <row r="861" spans="2:30" x14ac:dyDescent="0.25">
      <c r="B861" t="s">
        <v>133</v>
      </c>
      <c r="C861" t="s">
        <v>3256</v>
      </c>
      <c r="D861" t="s">
        <v>6140</v>
      </c>
      <c r="E861" t="s">
        <v>6141</v>
      </c>
      <c r="F861" t="s">
        <v>6142</v>
      </c>
      <c r="G861" t="s">
        <v>3890</v>
      </c>
      <c r="H861" t="s">
        <v>6143</v>
      </c>
      <c r="I861" t="s">
        <v>4267</v>
      </c>
      <c r="J861">
        <v>1</v>
      </c>
      <c r="K861">
        <v>5.2720000000000002</v>
      </c>
      <c r="L861">
        <v>5.4829999999999997</v>
      </c>
      <c r="M861">
        <v>5.702</v>
      </c>
      <c r="N861">
        <v>5.93</v>
      </c>
      <c r="O861">
        <v>6.1680000000000001</v>
      </c>
      <c r="P861">
        <v>6.4139999999999997</v>
      </c>
      <c r="Q861">
        <v>6.6710000000000003</v>
      </c>
      <c r="R861">
        <v>6.9379999999999997</v>
      </c>
      <c r="S861">
        <v>7.2149999999999999</v>
      </c>
      <c r="T861">
        <v>7.5039999999999996</v>
      </c>
      <c r="U861">
        <v>7.8040000000000003</v>
      </c>
      <c r="V861">
        <v>8.1159999999999997</v>
      </c>
      <c r="W861">
        <v>8.4410000000000007</v>
      </c>
      <c r="X861">
        <v>8.7780000000000005</v>
      </c>
      <c r="Y861">
        <v>9.1300000000000008</v>
      </c>
      <c r="Z861">
        <v>9.4949999999999992</v>
      </c>
      <c r="AA861">
        <v>9.8740000000000006</v>
      </c>
      <c r="AB861">
        <v>10.269</v>
      </c>
      <c r="AC861">
        <v>10.68</v>
      </c>
      <c r="AD861">
        <v>11.106999999999999</v>
      </c>
    </row>
    <row r="862" spans="2:30" x14ac:dyDescent="0.25">
      <c r="B862" t="s">
        <v>133</v>
      </c>
      <c r="C862" t="s">
        <v>3256</v>
      </c>
      <c r="D862" t="s">
        <v>6144</v>
      </c>
      <c r="E862" t="s">
        <v>6145</v>
      </c>
      <c r="F862" t="s">
        <v>6146</v>
      </c>
      <c r="G862" t="s">
        <v>3890</v>
      </c>
      <c r="H862" t="s">
        <v>6143</v>
      </c>
      <c r="I862" t="s">
        <v>4267</v>
      </c>
      <c r="J862">
        <v>1</v>
      </c>
      <c r="K862">
        <v>3.0579999999999998</v>
      </c>
      <c r="L862">
        <v>3.18</v>
      </c>
      <c r="M862">
        <v>3.3069999999999999</v>
      </c>
      <c r="N862">
        <v>3.44</v>
      </c>
      <c r="O862">
        <v>3.577</v>
      </c>
      <c r="P862">
        <v>3.72</v>
      </c>
      <c r="Q862">
        <v>3.8690000000000002</v>
      </c>
      <c r="R862">
        <v>4.024</v>
      </c>
      <c r="S862">
        <v>4.1849999999999996</v>
      </c>
      <c r="T862">
        <v>4.3520000000000003</v>
      </c>
      <c r="U862">
        <v>4.5259999999999998</v>
      </c>
      <c r="V862">
        <v>4.7080000000000002</v>
      </c>
      <c r="W862">
        <v>4.8959999999999999</v>
      </c>
      <c r="X862">
        <v>5.0919999999999996</v>
      </c>
      <c r="Y862">
        <v>5.2949999999999999</v>
      </c>
      <c r="Z862">
        <v>5.5069999999999997</v>
      </c>
      <c r="AA862">
        <v>5.7270000000000003</v>
      </c>
      <c r="AB862">
        <v>5.9569999999999999</v>
      </c>
      <c r="AC862">
        <v>6.1950000000000003</v>
      </c>
      <c r="AD862">
        <v>6.4429999999999996</v>
      </c>
    </row>
    <row r="863" spans="2:30" x14ac:dyDescent="0.25">
      <c r="B863" t="s">
        <v>133</v>
      </c>
      <c r="C863" t="s">
        <v>3256</v>
      </c>
      <c r="D863" t="s">
        <v>6147</v>
      </c>
      <c r="E863" t="s">
        <v>6148</v>
      </c>
      <c r="F863" t="s">
        <v>6149</v>
      </c>
      <c r="G863" t="s">
        <v>3890</v>
      </c>
      <c r="H863" t="s">
        <v>6143</v>
      </c>
      <c r="I863" t="s">
        <v>4267</v>
      </c>
      <c r="J863">
        <v>1</v>
      </c>
      <c r="K863">
        <v>0.129</v>
      </c>
      <c r="L863">
        <v>0.13400000000000001</v>
      </c>
      <c r="M863">
        <v>0.14000000000000001</v>
      </c>
      <c r="N863">
        <v>0.14499999999999999</v>
      </c>
      <c r="O863">
        <v>0.151</v>
      </c>
      <c r="P863">
        <v>0.157</v>
      </c>
      <c r="Q863">
        <v>0.16300000000000001</v>
      </c>
      <c r="R863">
        <v>0.17</v>
      </c>
      <c r="S863">
        <v>0.17699999999999999</v>
      </c>
      <c r="T863">
        <v>0.184</v>
      </c>
      <c r="U863">
        <v>0.191</v>
      </c>
      <c r="V863">
        <v>0.19900000000000001</v>
      </c>
      <c r="W863">
        <v>0.20699999999999999</v>
      </c>
      <c r="X863">
        <v>0.215</v>
      </c>
      <c r="Y863">
        <v>0.224</v>
      </c>
      <c r="Z863">
        <v>0.23300000000000001</v>
      </c>
      <c r="AA863">
        <v>0.24199999999999999</v>
      </c>
      <c r="AB863">
        <v>0.251</v>
      </c>
      <c r="AC863">
        <v>0.26200000000000001</v>
      </c>
      <c r="AD863">
        <v>0.27200000000000002</v>
      </c>
    </row>
    <row r="864" spans="2:30" x14ac:dyDescent="0.25">
      <c r="B864" t="s">
        <v>133</v>
      </c>
      <c r="C864" t="s">
        <v>3256</v>
      </c>
      <c r="D864" t="s">
        <v>6150</v>
      </c>
      <c r="E864" t="s">
        <v>6151</v>
      </c>
      <c r="F864" t="s">
        <v>6152</v>
      </c>
      <c r="G864" t="s">
        <v>3890</v>
      </c>
      <c r="H864" t="s">
        <v>6143</v>
      </c>
      <c r="I864" t="s">
        <v>4267</v>
      </c>
      <c r="J864">
        <v>1</v>
      </c>
      <c r="K864">
        <v>0.14699999999999999</v>
      </c>
      <c r="L864">
        <v>0.153</v>
      </c>
      <c r="M864">
        <v>0.159</v>
      </c>
      <c r="N864">
        <v>0.16600000000000001</v>
      </c>
      <c r="O864">
        <v>0.17199999999999999</v>
      </c>
      <c r="P864">
        <v>0.17899999999999999</v>
      </c>
      <c r="Q864">
        <v>0.186</v>
      </c>
      <c r="R864">
        <v>0.19400000000000001</v>
      </c>
      <c r="S864">
        <v>0.20200000000000001</v>
      </c>
      <c r="T864">
        <v>0.21</v>
      </c>
      <c r="U864">
        <v>0.218</v>
      </c>
      <c r="V864">
        <v>0.22700000000000001</v>
      </c>
      <c r="W864">
        <v>0.23599999999999999</v>
      </c>
      <c r="X864">
        <v>0.245</v>
      </c>
      <c r="Y864">
        <v>0.255</v>
      </c>
      <c r="Z864">
        <v>0.26500000000000001</v>
      </c>
      <c r="AA864">
        <v>0.27600000000000002</v>
      </c>
      <c r="AB864">
        <v>0.28699999999999998</v>
      </c>
      <c r="AC864">
        <v>0.29899999999999999</v>
      </c>
      <c r="AD864">
        <v>0.31</v>
      </c>
    </row>
    <row r="865" spans="2:30" x14ac:dyDescent="0.25">
      <c r="B865" t="s">
        <v>133</v>
      </c>
      <c r="C865" t="s">
        <v>3256</v>
      </c>
      <c r="D865" t="s">
        <v>6153</v>
      </c>
      <c r="E865" t="s">
        <v>6154</v>
      </c>
      <c r="F865" t="s">
        <v>6155</v>
      </c>
      <c r="G865" t="s">
        <v>3890</v>
      </c>
      <c r="H865" t="s">
        <v>6143</v>
      </c>
      <c r="I865" t="s">
        <v>4267</v>
      </c>
      <c r="J865">
        <v>1</v>
      </c>
      <c r="K865">
        <v>9.7000000000000003E-2</v>
      </c>
      <c r="L865">
        <v>0.10100000000000001</v>
      </c>
      <c r="M865">
        <v>0.105</v>
      </c>
      <c r="N865">
        <v>0.109</v>
      </c>
      <c r="O865">
        <v>0.113</v>
      </c>
      <c r="P865">
        <v>0.11799999999999999</v>
      </c>
      <c r="Q865">
        <v>0.123</v>
      </c>
      <c r="R865">
        <v>0.128</v>
      </c>
      <c r="S865">
        <v>0.13300000000000001</v>
      </c>
      <c r="T865">
        <v>0.13800000000000001</v>
      </c>
      <c r="U865">
        <v>0.14299999999999999</v>
      </c>
      <c r="V865">
        <v>0.14899999999999999</v>
      </c>
      <c r="W865">
        <v>0.155</v>
      </c>
      <c r="X865">
        <v>0.161</v>
      </c>
      <c r="Y865">
        <v>0.16800000000000001</v>
      </c>
      <c r="Z865">
        <v>0.17499999999999999</v>
      </c>
      <c r="AA865">
        <v>0.182</v>
      </c>
      <c r="AB865">
        <v>0.189</v>
      </c>
      <c r="AC865">
        <v>0.19600000000000001</v>
      </c>
      <c r="AD865">
        <v>0.20399999999999999</v>
      </c>
    </row>
    <row r="866" spans="2:30" x14ac:dyDescent="0.25">
      <c r="B866" t="s">
        <v>133</v>
      </c>
      <c r="C866" t="s">
        <v>3256</v>
      </c>
      <c r="D866" t="s">
        <v>6156</v>
      </c>
      <c r="E866" t="s">
        <v>6157</v>
      </c>
      <c r="F866" t="s">
        <v>6158</v>
      </c>
      <c r="G866" t="s">
        <v>3890</v>
      </c>
      <c r="H866" t="s">
        <v>6143</v>
      </c>
      <c r="I866" t="s">
        <v>4267</v>
      </c>
      <c r="J866">
        <v>1</v>
      </c>
      <c r="K866">
        <v>0.14099999999999999</v>
      </c>
      <c r="L866">
        <v>0.14699999999999999</v>
      </c>
      <c r="M866">
        <v>0.153</v>
      </c>
      <c r="N866">
        <v>0.159</v>
      </c>
      <c r="O866">
        <v>0.16500000000000001</v>
      </c>
      <c r="P866">
        <v>0.17199999999999999</v>
      </c>
      <c r="Q866">
        <v>0.17799999999999999</v>
      </c>
      <c r="R866">
        <v>0.186</v>
      </c>
      <c r="S866">
        <v>0.193</v>
      </c>
      <c r="T866">
        <v>0.20100000000000001</v>
      </c>
      <c r="U866">
        <v>0.20899999999999999</v>
      </c>
      <c r="V866">
        <v>0.217</v>
      </c>
      <c r="W866">
        <v>0.22600000000000001</v>
      </c>
      <c r="X866">
        <v>0.23499999999999999</v>
      </c>
      <c r="Y866">
        <v>0.24399999999999999</v>
      </c>
      <c r="Z866">
        <v>0.254</v>
      </c>
      <c r="AA866">
        <v>0.26400000000000001</v>
      </c>
      <c r="AB866">
        <v>0.27500000000000002</v>
      </c>
      <c r="AC866">
        <v>0.28599999999999998</v>
      </c>
      <c r="AD866">
        <v>0.29699999999999999</v>
      </c>
    </row>
    <row r="867" spans="2:30" x14ac:dyDescent="0.25">
      <c r="B867" t="s">
        <v>133</v>
      </c>
      <c r="C867" t="s">
        <v>3256</v>
      </c>
      <c r="D867" t="s">
        <v>6159</v>
      </c>
      <c r="E867" t="s">
        <v>6160</v>
      </c>
      <c r="F867" t="s">
        <v>6161</v>
      </c>
      <c r="G867" t="s">
        <v>6162</v>
      </c>
      <c r="H867" t="s">
        <v>6163</v>
      </c>
      <c r="J867">
        <v>1</v>
      </c>
      <c r="K867">
        <v>215.76102102694196</v>
      </c>
      <c r="L867">
        <v>214.47598394087547</v>
      </c>
      <c r="M867">
        <v>208.15438982423859</v>
      </c>
      <c r="N867">
        <v>199.1046917353739</v>
      </c>
      <c r="O867">
        <v>205.1349103445601</v>
      </c>
      <c r="P867">
        <v>226.12975127885565</v>
      </c>
      <c r="Q867">
        <v>249.00444073713709</v>
      </c>
      <c r="R867">
        <v>274.27868807123065</v>
      </c>
      <c r="S867">
        <v>305.31165318869819</v>
      </c>
      <c r="T867">
        <v>343.39509734185566</v>
      </c>
      <c r="U867">
        <v>386.95085572770023</v>
      </c>
      <c r="V867">
        <v>436.88159497431712</v>
      </c>
      <c r="W867">
        <v>494.13435163700382</v>
      </c>
      <c r="X867">
        <v>560.00795561031487</v>
      </c>
      <c r="Y867">
        <v>635.39319003009632</v>
      </c>
      <c r="Z867">
        <v>722.50644481926486</v>
      </c>
      <c r="AA867">
        <v>823.57644758514027</v>
      </c>
      <c r="AB867">
        <v>941.33418834607176</v>
      </c>
      <c r="AC867">
        <v>1078.2330400083645</v>
      </c>
      <c r="AD867">
        <v>1229.6979385911202</v>
      </c>
    </row>
    <row r="868" spans="2:30" x14ac:dyDescent="0.25">
      <c r="B868" t="s">
        <v>133</v>
      </c>
      <c r="C868" t="s">
        <v>3256</v>
      </c>
      <c r="D868" t="s">
        <v>6164</v>
      </c>
      <c r="E868" t="s">
        <v>6165</v>
      </c>
      <c r="F868" t="s">
        <v>6166</v>
      </c>
      <c r="G868" t="s">
        <v>6162</v>
      </c>
      <c r="H868" t="s">
        <v>6163</v>
      </c>
      <c r="J868">
        <v>1</v>
      </c>
      <c r="K868">
        <v>215.76102102694196</v>
      </c>
      <c r="L868">
        <v>214.47598394087547</v>
      </c>
      <c r="M868">
        <v>208.15438982423859</v>
      </c>
      <c r="N868">
        <v>199.1046917353739</v>
      </c>
      <c r="O868">
        <v>192.58999903688272</v>
      </c>
      <c r="P868">
        <v>212.74757971540859</v>
      </c>
      <c r="Q868">
        <v>234.76296508542563</v>
      </c>
      <c r="R868">
        <v>259.09752321388385</v>
      </c>
      <c r="S868">
        <v>288.98571747960091</v>
      </c>
      <c r="T868">
        <v>325.63289013593976</v>
      </c>
      <c r="U868">
        <v>367.56158446731575</v>
      </c>
      <c r="V868">
        <v>415.68583886605535</v>
      </c>
      <c r="W868">
        <v>470.9242866700086</v>
      </c>
      <c r="X868">
        <v>534.53666054410439</v>
      </c>
      <c r="Y868">
        <v>607.39619507659052</v>
      </c>
      <c r="Z868">
        <v>691.65227249177588</v>
      </c>
      <c r="AA868">
        <v>789.41029481748774</v>
      </c>
      <c r="AB868">
        <v>903.26586060285331</v>
      </c>
      <c r="AC868">
        <v>1035.4990788404027</v>
      </c>
      <c r="AD868">
        <v>1181.5543575728875</v>
      </c>
    </row>
    <row r="869" spans="2:30" x14ac:dyDescent="0.25">
      <c r="B869" t="s">
        <v>133</v>
      </c>
      <c r="C869" t="s">
        <v>3256</v>
      </c>
      <c r="D869" t="s">
        <v>6167</v>
      </c>
      <c r="E869" t="s">
        <v>6168</v>
      </c>
      <c r="F869" t="s">
        <v>6169</v>
      </c>
      <c r="G869" t="s">
        <v>6162</v>
      </c>
      <c r="H869" t="s">
        <v>6163</v>
      </c>
      <c r="J869">
        <v>2</v>
      </c>
      <c r="K869">
        <v>5610.47021484375</v>
      </c>
      <c r="L869">
        <v>5577.0551787912218</v>
      </c>
      <c r="M869">
        <v>5412.6737009278322</v>
      </c>
      <c r="N869">
        <v>5177.3528754180024</v>
      </c>
      <c r="O869">
        <v>5334.1576668247462</v>
      </c>
      <c r="P869">
        <v>5880.0900561256803</v>
      </c>
      <c r="Q869">
        <v>6474.9044636059962</v>
      </c>
      <c r="R869">
        <v>7132.1149791829475</v>
      </c>
      <c r="S869">
        <v>7939.0704044082295</v>
      </c>
      <c r="T869">
        <v>8929.3606249632903</v>
      </c>
      <c r="U869">
        <v>10061.948355340215</v>
      </c>
      <c r="V869">
        <v>11360.305788091211</v>
      </c>
      <c r="W869">
        <v>12849.058874468157</v>
      </c>
      <c r="X869">
        <v>14561.981307248661</v>
      </c>
      <c r="Y869">
        <v>16522.236270532252</v>
      </c>
      <c r="Z869">
        <v>18787.456925247709</v>
      </c>
      <c r="AA869">
        <v>21415.597251211926</v>
      </c>
      <c r="AB869">
        <v>24477.671642415327</v>
      </c>
      <c r="AC869">
        <v>28037.475568267619</v>
      </c>
      <c r="AD869">
        <v>31976.042868552908</v>
      </c>
    </row>
    <row r="870" spans="2:30" x14ac:dyDescent="0.25">
      <c r="B870" t="s">
        <v>133</v>
      </c>
      <c r="C870" t="s">
        <v>3256</v>
      </c>
      <c r="D870" t="s">
        <v>6170</v>
      </c>
      <c r="E870" t="s">
        <v>6171</v>
      </c>
      <c r="F870" t="s">
        <v>6172</v>
      </c>
      <c r="G870" t="s">
        <v>6162</v>
      </c>
      <c r="H870" t="s">
        <v>3258</v>
      </c>
      <c r="J870">
        <v>1</v>
      </c>
      <c r="K870">
        <v>5610.47021484375</v>
      </c>
      <c r="L870">
        <v>5577.0551787912218</v>
      </c>
      <c r="M870">
        <v>5412.6737009278322</v>
      </c>
      <c r="N870">
        <v>5177.3528754180024</v>
      </c>
      <c r="O870">
        <v>5007.9502225672786</v>
      </c>
      <c r="P870">
        <v>5532.1111922451964</v>
      </c>
      <c r="Q870">
        <v>6104.5809706087502</v>
      </c>
      <c r="R870">
        <v>6737.3565893061168</v>
      </c>
      <c r="S870">
        <v>7514.5443450237281</v>
      </c>
      <c r="T870">
        <v>8467.4869556399026</v>
      </c>
      <c r="U870">
        <v>9557.7658650268713</v>
      </c>
      <c r="V870">
        <v>10809.148967640096</v>
      </c>
      <c r="W870">
        <v>12245.523641078365</v>
      </c>
      <c r="X870">
        <v>13899.646926264126</v>
      </c>
      <c r="Y870">
        <v>15794.225689454395</v>
      </c>
      <c r="Z870">
        <v>17985.150679091141</v>
      </c>
      <c r="AA870">
        <v>20527.16901915058</v>
      </c>
      <c r="AB870">
        <v>23487.774496417082</v>
      </c>
      <c r="AC870">
        <v>26926.257169531913</v>
      </c>
      <c r="AD870">
        <v>30724.15721259384</v>
      </c>
    </row>
    <row r="871" spans="2:30" x14ac:dyDescent="0.25">
      <c r="B871" t="s">
        <v>133</v>
      </c>
      <c r="C871" t="s">
        <v>3256</v>
      </c>
      <c r="D871" t="s">
        <v>6173</v>
      </c>
      <c r="E871" t="s">
        <v>6174</v>
      </c>
      <c r="F871" t="s">
        <v>6175</v>
      </c>
      <c r="G871" t="s">
        <v>6162</v>
      </c>
      <c r="H871" t="s">
        <v>3258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326.20744425746761</v>
      </c>
      <c r="P871">
        <v>674.18630813795153</v>
      </c>
      <c r="Q871">
        <v>1044.5098011351974</v>
      </c>
      <c r="R871">
        <v>1439.2681910120282</v>
      </c>
      <c r="S871">
        <v>1863.7942503965296</v>
      </c>
      <c r="T871">
        <v>2325.6679197199173</v>
      </c>
      <c r="U871">
        <v>2829.8504100332611</v>
      </c>
      <c r="V871">
        <v>3381.0072304843761</v>
      </c>
      <c r="W871">
        <v>3984.5424638741679</v>
      </c>
      <c r="X871">
        <v>4646.8768448587034</v>
      </c>
      <c r="Y871">
        <v>5374.8874259365602</v>
      </c>
      <c r="Z871">
        <v>6177.193672093128</v>
      </c>
      <c r="AA871">
        <v>7065.6219041544737</v>
      </c>
      <c r="AB871">
        <v>8055.5190501527195</v>
      </c>
      <c r="AC871">
        <v>9166.7374488884252</v>
      </c>
      <c r="AD871">
        <v>10418.623104847493</v>
      </c>
    </row>
    <row r="872" spans="2:30" x14ac:dyDescent="0.25">
      <c r="B872" t="s">
        <v>133</v>
      </c>
      <c r="C872" t="s">
        <v>3256</v>
      </c>
      <c r="D872" t="s">
        <v>6176</v>
      </c>
      <c r="E872" t="s">
        <v>6177</v>
      </c>
      <c r="F872" t="s">
        <v>6178</v>
      </c>
      <c r="G872" t="s">
        <v>6162</v>
      </c>
      <c r="H872" t="s">
        <v>6179</v>
      </c>
      <c r="J872">
        <v>1</v>
      </c>
      <c r="K872">
        <v>47.419998168945313</v>
      </c>
      <c r="L872">
        <v>47.419998168945313</v>
      </c>
      <c r="M872">
        <v>47.419998168945313</v>
      </c>
      <c r="N872">
        <v>49.230959321646168</v>
      </c>
      <c r="O872">
        <v>51.018025046174166</v>
      </c>
      <c r="P872">
        <v>52.999961772234222</v>
      </c>
      <c r="Q872">
        <v>55.223207648465404</v>
      </c>
      <c r="R872">
        <v>57.451058095194924</v>
      </c>
      <c r="S872">
        <v>59.655800043299188</v>
      </c>
      <c r="T872">
        <v>61.920753906134657</v>
      </c>
      <c r="U872">
        <v>64.248425278428229</v>
      </c>
      <c r="V872">
        <v>66.638342879486203</v>
      </c>
      <c r="W872">
        <v>69.0935296343429</v>
      </c>
      <c r="X872">
        <v>71.612044974188123</v>
      </c>
      <c r="Y872">
        <v>74.194180451820259</v>
      </c>
      <c r="Z872">
        <v>76.842169804374748</v>
      </c>
      <c r="AA872">
        <v>79.551687133470153</v>
      </c>
      <c r="AB872">
        <v>82.322057200638071</v>
      </c>
      <c r="AC872">
        <v>85.14850570552133</v>
      </c>
      <c r="AD872">
        <v>88.02504370511754</v>
      </c>
    </row>
    <row r="873" spans="2:30" x14ac:dyDescent="0.25">
      <c r="B873" t="s">
        <v>133</v>
      </c>
      <c r="C873" t="s">
        <v>3256</v>
      </c>
      <c r="D873" t="s">
        <v>6180</v>
      </c>
      <c r="E873" t="s">
        <v>6181</v>
      </c>
      <c r="F873" t="s">
        <v>6182</v>
      </c>
      <c r="G873" t="s">
        <v>6162</v>
      </c>
      <c r="H873" t="s">
        <v>6179</v>
      </c>
      <c r="J873">
        <v>2</v>
      </c>
      <c r="K873">
        <v>47.419998168945313</v>
      </c>
      <c r="L873">
        <v>47.419998168945313</v>
      </c>
      <c r="M873">
        <v>47.419998168945313</v>
      </c>
      <c r="N873">
        <v>49.230959321646168</v>
      </c>
      <c r="O873">
        <v>51.018025046174166</v>
      </c>
      <c r="P873">
        <v>52.999961772234222</v>
      </c>
      <c r="Q873">
        <v>55.223207648465404</v>
      </c>
      <c r="R873">
        <v>57.451058095194924</v>
      </c>
      <c r="S873">
        <v>59.655800043299188</v>
      </c>
      <c r="T873">
        <v>61.920753906134657</v>
      </c>
      <c r="U873">
        <v>64.248425278428229</v>
      </c>
      <c r="V873">
        <v>66.638342879486203</v>
      </c>
      <c r="W873">
        <v>69.0935296343429</v>
      </c>
      <c r="X873">
        <v>71.612044974188123</v>
      </c>
      <c r="Y873">
        <v>74.194180451820259</v>
      </c>
      <c r="Z873">
        <v>76.842169804374748</v>
      </c>
      <c r="AA873">
        <v>79.551687133470153</v>
      </c>
      <c r="AB873">
        <v>82.322057200638071</v>
      </c>
      <c r="AC873">
        <v>85.14850570552133</v>
      </c>
      <c r="AD873">
        <v>88.02504370511754</v>
      </c>
    </row>
    <row r="874" spans="2:30" x14ac:dyDescent="0.25">
      <c r="B874" t="s">
        <v>133</v>
      </c>
      <c r="C874" t="s">
        <v>3256</v>
      </c>
      <c r="D874" t="s">
        <v>6183</v>
      </c>
      <c r="E874" t="s">
        <v>6184</v>
      </c>
      <c r="F874" t="s">
        <v>6185</v>
      </c>
      <c r="G874" t="s">
        <v>6162</v>
      </c>
      <c r="H874" t="s">
        <v>6186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2:30" x14ac:dyDescent="0.25">
      <c r="B875" t="s">
        <v>133</v>
      </c>
      <c r="C875" t="s">
        <v>3256</v>
      </c>
      <c r="D875" t="s">
        <v>6187</v>
      </c>
      <c r="E875" t="s">
        <v>6188</v>
      </c>
      <c r="F875" t="s">
        <v>6189</v>
      </c>
      <c r="G875" t="s">
        <v>6162</v>
      </c>
      <c r="H875" t="s">
        <v>6186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2:30" x14ac:dyDescent="0.25">
      <c r="B876" t="s">
        <v>133</v>
      </c>
      <c r="C876" t="s">
        <v>3256</v>
      </c>
      <c r="D876" t="s">
        <v>6190</v>
      </c>
      <c r="E876" t="s">
        <v>6191</v>
      </c>
      <c r="F876" t="s">
        <v>6192</v>
      </c>
      <c r="G876" t="s">
        <v>6162</v>
      </c>
      <c r="H876" t="s">
        <v>6193</v>
      </c>
      <c r="J876">
        <v>1</v>
      </c>
      <c r="K876">
        <v>3.5999999999999997E-2</v>
      </c>
      <c r="L876">
        <v>3.7999999999999999E-2</v>
      </c>
      <c r="M876">
        <v>3.6999999999999998E-2</v>
      </c>
      <c r="N876">
        <v>0.04</v>
      </c>
      <c r="O876">
        <v>4.2000000000000003E-2</v>
      </c>
      <c r="P876">
        <v>4.5999999999999999E-2</v>
      </c>
      <c r="Q876">
        <v>4.9000000000000002E-2</v>
      </c>
      <c r="R876">
        <v>5.2999999999999999E-2</v>
      </c>
      <c r="S876">
        <v>5.7000000000000002E-2</v>
      </c>
      <c r="T876">
        <v>6.2E-2</v>
      </c>
      <c r="U876">
        <v>6.6000000000000003E-2</v>
      </c>
      <c r="V876">
        <v>7.0999999999999994E-2</v>
      </c>
      <c r="W876" s="190">
        <v>7.6999999999999999E-2</v>
      </c>
      <c r="X876">
        <v>8.2000000000000003E-2</v>
      </c>
      <c r="Y876">
        <v>8.7999999999999995E-2</v>
      </c>
      <c r="Z876">
        <v>9.5000000000000001E-2</v>
      </c>
      <c r="AA876">
        <v>0.10199999999999999</v>
      </c>
      <c r="AB876">
        <v>0.109</v>
      </c>
      <c r="AC876">
        <v>0.11700000000000001</v>
      </c>
      <c r="AD876">
        <v>0.126</v>
      </c>
    </row>
    <row r="877" spans="2:30" x14ac:dyDescent="0.25">
      <c r="B877" t="s">
        <v>133</v>
      </c>
      <c r="C877" t="s">
        <v>3256</v>
      </c>
      <c r="D877" t="s">
        <v>6194</v>
      </c>
      <c r="E877" t="s">
        <v>6195</v>
      </c>
      <c r="F877" t="s">
        <v>6196</v>
      </c>
      <c r="G877" t="s">
        <v>6162</v>
      </c>
      <c r="H877" t="s">
        <v>6193</v>
      </c>
      <c r="J877">
        <v>1</v>
      </c>
      <c r="K877">
        <v>1.0999999999999999E-2</v>
      </c>
      <c r="L877">
        <v>1.0999999999999999E-2</v>
      </c>
      <c r="M877">
        <v>0.01</v>
      </c>
      <c r="N877">
        <v>0.01</v>
      </c>
      <c r="O877">
        <v>0.01</v>
      </c>
      <c r="P877">
        <v>1.2E-2</v>
      </c>
      <c r="Q877">
        <v>1.2999999999999999E-2</v>
      </c>
      <c r="R877">
        <v>1.4999999999999999E-2</v>
      </c>
      <c r="S877">
        <v>1.6E-2</v>
      </c>
      <c r="T877">
        <v>1.7999999999999999E-2</v>
      </c>
      <c r="U877">
        <v>0.02</v>
      </c>
      <c r="V877">
        <v>2.1999999999999999E-2</v>
      </c>
      <c r="W877">
        <v>2.4E-2</v>
      </c>
      <c r="X877">
        <v>2.7E-2</v>
      </c>
      <c r="Y877">
        <v>2.9000000000000001E-2</v>
      </c>
      <c r="Z877">
        <v>3.2000000000000001E-2</v>
      </c>
      <c r="AA877">
        <v>3.5000000000000003E-2</v>
      </c>
      <c r="AB877">
        <v>3.7999999999999999E-2</v>
      </c>
      <c r="AC877">
        <v>4.2000000000000003E-2</v>
      </c>
      <c r="AD877">
        <v>4.4999999999999998E-2</v>
      </c>
    </row>
    <row r="878" spans="2:30" x14ac:dyDescent="0.25">
      <c r="B878" t="s">
        <v>133</v>
      </c>
      <c r="C878" t="s">
        <v>3256</v>
      </c>
      <c r="D878" t="s">
        <v>6197</v>
      </c>
      <c r="E878" t="s">
        <v>6198</v>
      </c>
      <c r="F878" t="s">
        <v>6199</v>
      </c>
      <c r="G878" t="s">
        <v>6162</v>
      </c>
      <c r="H878" t="s">
        <v>6200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2:30" x14ac:dyDescent="0.25">
      <c r="B879" t="s">
        <v>133</v>
      </c>
      <c r="C879" t="s">
        <v>3256</v>
      </c>
      <c r="D879" t="s">
        <v>6201</v>
      </c>
      <c r="E879" t="s">
        <v>6202</v>
      </c>
      <c r="F879" t="s">
        <v>6203</v>
      </c>
      <c r="G879" t="s">
        <v>6162</v>
      </c>
      <c r="H879" t="s">
        <v>6200</v>
      </c>
      <c r="J879">
        <v>1</v>
      </c>
      <c r="K879">
        <v>0.14799999999999999</v>
      </c>
      <c r="L879">
        <v>0.14099999999999999</v>
      </c>
      <c r="M879">
        <v>0.125</v>
      </c>
      <c r="N879">
        <v>0.121</v>
      </c>
      <c r="O879">
        <v>0.123</v>
      </c>
      <c r="P879">
        <v>0.127</v>
      </c>
      <c r="Q879">
        <v>0.13200000000000001</v>
      </c>
      <c r="R879">
        <v>0.13600000000000001</v>
      </c>
      <c r="S879">
        <v>0.14099999999999999</v>
      </c>
      <c r="T879">
        <v>0.14699999999999999</v>
      </c>
      <c r="U879">
        <v>0.153</v>
      </c>
      <c r="V879">
        <v>0.158</v>
      </c>
      <c r="W879">
        <v>0.16300000000000001</v>
      </c>
      <c r="X879">
        <v>0.16800000000000001</v>
      </c>
      <c r="Y879">
        <v>0.17299999999999999</v>
      </c>
      <c r="Z879">
        <v>0.17699999999999999</v>
      </c>
      <c r="AA879">
        <v>0.182</v>
      </c>
      <c r="AB879">
        <v>0.186</v>
      </c>
      <c r="AC879">
        <v>0.19</v>
      </c>
      <c r="AD879">
        <v>0.19500000000000001</v>
      </c>
    </row>
    <row r="880" spans="2:30" x14ac:dyDescent="0.25">
      <c r="B880" t="s">
        <v>133</v>
      </c>
      <c r="C880" t="s">
        <v>3256</v>
      </c>
      <c r="D880" t="s">
        <v>6204</v>
      </c>
      <c r="E880" t="s">
        <v>6205</v>
      </c>
      <c r="F880" t="s">
        <v>6206</v>
      </c>
      <c r="G880" t="s">
        <v>3890</v>
      </c>
      <c r="H880" t="s">
        <v>6207</v>
      </c>
      <c r="I880" t="s">
        <v>5862</v>
      </c>
      <c r="K880">
        <v>0</v>
      </c>
      <c r="L880">
        <v>7.5199999999999998E-3</v>
      </c>
      <c r="M880">
        <v>7.6E-3</v>
      </c>
      <c r="N880">
        <v>7.6899999999999998E-3</v>
      </c>
      <c r="O880">
        <v>2.2303099999999998</v>
      </c>
      <c r="P880">
        <v>2.6632699999999998</v>
      </c>
      <c r="Q880">
        <v>2.6008599999999999</v>
      </c>
      <c r="R880">
        <v>2.7905099999999998</v>
      </c>
      <c r="S880">
        <v>2.9696099999999999</v>
      </c>
      <c r="T880">
        <v>3.27705</v>
      </c>
      <c r="U880">
        <v>3.5693700000000002</v>
      </c>
      <c r="V880">
        <v>3.8995199999999999</v>
      </c>
      <c r="W880">
        <v>4.2266399999999997</v>
      </c>
      <c r="X880">
        <v>4.5587299999999997</v>
      </c>
      <c r="Y880">
        <v>4.8927199999999997</v>
      </c>
      <c r="Z880">
        <v>5.2218499999999999</v>
      </c>
      <c r="AA880">
        <v>5.5570599999999999</v>
      </c>
      <c r="AB880">
        <v>5.8953600000000002</v>
      </c>
      <c r="AC880">
        <v>6.2233400000000003</v>
      </c>
      <c r="AD880">
        <v>6.5608000000000004</v>
      </c>
    </row>
    <row r="881" spans="2:30" x14ac:dyDescent="0.25">
      <c r="B881" t="s">
        <v>133</v>
      </c>
      <c r="C881" t="s">
        <v>3256</v>
      </c>
      <c r="D881" t="s">
        <v>6208</v>
      </c>
      <c r="E881" t="s">
        <v>6209</v>
      </c>
      <c r="F881" t="s">
        <v>6210</v>
      </c>
      <c r="G881" t="s">
        <v>3890</v>
      </c>
      <c r="H881" t="s">
        <v>6207</v>
      </c>
      <c r="I881" t="s">
        <v>5862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2:30" x14ac:dyDescent="0.25">
      <c r="B882" t="s">
        <v>133</v>
      </c>
      <c r="C882" t="s">
        <v>3256</v>
      </c>
      <c r="D882" t="s">
        <v>6211</v>
      </c>
      <c r="E882" t="s">
        <v>6212</v>
      </c>
      <c r="F882" t="s">
        <v>6213</v>
      </c>
      <c r="G882" t="s">
        <v>3890</v>
      </c>
      <c r="H882" t="s">
        <v>6207</v>
      </c>
      <c r="I882" t="s">
        <v>5862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2:30" x14ac:dyDescent="0.25">
      <c r="B883" t="s">
        <v>133</v>
      </c>
      <c r="C883" t="s">
        <v>3256</v>
      </c>
      <c r="D883" t="s">
        <v>6214</v>
      </c>
      <c r="E883" t="s">
        <v>6215</v>
      </c>
      <c r="F883" t="s">
        <v>6216</v>
      </c>
      <c r="G883" t="s">
        <v>3890</v>
      </c>
      <c r="H883" t="s">
        <v>6207</v>
      </c>
      <c r="I883" t="s">
        <v>5862</v>
      </c>
      <c r="K883">
        <v>0</v>
      </c>
      <c r="L883">
        <v>0</v>
      </c>
      <c r="M883">
        <v>0</v>
      </c>
      <c r="N883">
        <v>0</v>
      </c>
      <c r="O883">
        <v>7.7950000000000005E-2</v>
      </c>
      <c r="P883">
        <v>8.9249999999999996E-2</v>
      </c>
      <c r="Q883">
        <v>0.10296</v>
      </c>
      <c r="R883">
        <v>0.11846</v>
      </c>
      <c r="S883">
        <v>0.13675999999999999</v>
      </c>
      <c r="T883">
        <v>0.15961</v>
      </c>
      <c r="U883">
        <v>0.18675</v>
      </c>
      <c r="V883">
        <v>0.21867</v>
      </c>
      <c r="W883">
        <v>0.25628000000000001</v>
      </c>
      <c r="X883">
        <v>0.30077999999999999</v>
      </c>
      <c r="Y883">
        <v>0.35331000000000001</v>
      </c>
      <c r="Z883">
        <v>0.41577999999999998</v>
      </c>
      <c r="AA883">
        <v>0.49145</v>
      </c>
      <c r="AB883">
        <v>0.58423999999999998</v>
      </c>
      <c r="AC883">
        <v>0.69943</v>
      </c>
      <c r="AD883">
        <v>0.83987999999999996</v>
      </c>
    </row>
    <row r="884" spans="2:30" x14ac:dyDescent="0.25">
      <c r="B884" t="s">
        <v>133</v>
      </c>
      <c r="C884" t="s">
        <v>3256</v>
      </c>
      <c r="D884" t="s">
        <v>6217</v>
      </c>
      <c r="E884" t="s">
        <v>6218</v>
      </c>
      <c r="F884" t="s">
        <v>6219</v>
      </c>
      <c r="G884" t="s">
        <v>3890</v>
      </c>
      <c r="H884" t="s">
        <v>6207</v>
      </c>
      <c r="I884" t="s">
        <v>5862</v>
      </c>
      <c r="K884">
        <v>0</v>
      </c>
      <c r="L884">
        <v>1.5720000000000001E-2</v>
      </c>
      <c r="M884">
        <v>1.3899999999999999E-2</v>
      </c>
      <c r="N884">
        <v>1.38E-2</v>
      </c>
      <c r="O884">
        <v>2.7072799999999999</v>
      </c>
      <c r="P884">
        <v>4.1739899999999999</v>
      </c>
      <c r="Q884">
        <v>3.8253200000000001</v>
      </c>
      <c r="R884">
        <v>4.0788500000000001</v>
      </c>
      <c r="S884">
        <v>4.0803599999999998</v>
      </c>
      <c r="T884">
        <v>4.27841</v>
      </c>
      <c r="U884">
        <v>4.4531299999999998</v>
      </c>
      <c r="V884">
        <v>4.6816500000000003</v>
      </c>
      <c r="W884">
        <v>4.8745099999999999</v>
      </c>
      <c r="X884">
        <v>5.0505100000000001</v>
      </c>
      <c r="Y884">
        <v>5.2000500000000001</v>
      </c>
      <c r="Z884">
        <v>5.3234300000000001</v>
      </c>
      <c r="AA884">
        <v>5.4377899999999997</v>
      </c>
      <c r="AB884">
        <v>5.5411099999999998</v>
      </c>
      <c r="AC884">
        <v>5.6247400000000001</v>
      </c>
      <c r="AD884">
        <v>5.7072099999999999</v>
      </c>
    </row>
    <row r="885" spans="2:30" x14ac:dyDescent="0.25">
      <c r="B885" t="s">
        <v>133</v>
      </c>
      <c r="C885" t="s">
        <v>3256</v>
      </c>
      <c r="D885" t="s">
        <v>6220</v>
      </c>
      <c r="E885" t="s">
        <v>6221</v>
      </c>
      <c r="F885" t="s">
        <v>6222</v>
      </c>
      <c r="G885" t="s">
        <v>3890</v>
      </c>
      <c r="H885" t="s">
        <v>6207</v>
      </c>
      <c r="I885" t="s">
        <v>3892</v>
      </c>
      <c r="K885">
        <v>0</v>
      </c>
      <c r="L885">
        <v>2.325E-2</v>
      </c>
      <c r="M885">
        <v>2.1499999999999998E-2</v>
      </c>
      <c r="N885">
        <v>2.1489999999999999E-2</v>
      </c>
      <c r="O885">
        <v>5.0958399999999999</v>
      </c>
      <c r="P885">
        <v>7.0122299999999997</v>
      </c>
      <c r="Q885">
        <v>6.6208200000000001</v>
      </c>
      <c r="R885">
        <v>7.0860700000000003</v>
      </c>
      <c r="S885">
        <v>7.2930299999999999</v>
      </c>
      <c r="T885">
        <v>7.8310599999999999</v>
      </c>
      <c r="U885">
        <v>8.3357500000000009</v>
      </c>
      <c r="V885">
        <v>8.9378299999999999</v>
      </c>
      <c r="W885">
        <v>9.5087499999999991</v>
      </c>
      <c r="X885">
        <v>10.07643</v>
      </c>
      <c r="Y885">
        <v>10.62926</v>
      </c>
      <c r="Z885">
        <v>11.162800000000001</v>
      </c>
      <c r="AA885">
        <v>11.708550000000001</v>
      </c>
      <c r="AB885">
        <v>12.265599999999999</v>
      </c>
      <c r="AC885">
        <v>12.81758</v>
      </c>
      <c r="AD885">
        <v>13.40582</v>
      </c>
    </row>
    <row r="886" spans="2:30" x14ac:dyDescent="0.25">
      <c r="B886" t="s">
        <v>133</v>
      </c>
      <c r="C886" t="s">
        <v>3256</v>
      </c>
      <c r="D886" t="s">
        <v>6223</v>
      </c>
      <c r="E886" t="s">
        <v>6224</v>
      </c>
      <c r="F886" t="s">
        <v>6225</v>
      </c>
      <c r="G886" t="s">
        <v>3890</v>
      </c>
      <c r="H886" t="s">
        <v>6207</v>
      </c>
      <c r="I886" t="s">
        <v>3892</v>
      </c>
      <c r="K886">
        <v>0</v>
      </c>
      <c r="L886">
        <v>1.0000000000000001E-5</v>
      </c>
      <c r="M886">
        <v>1.0000000000000001E-5</v>
      </c>
      <c r="N886">
        <v>1.0000000000000001E-5</v>
      </c>
      <c r="O886">
        <v>3.5300000000000002E-3</v>
      </c>
      <c r="P886">
        <v>4.0200000000000001E-3</v>
      </c>
      <c r="Q886">
        <v>3.7200000000000002E-3</v>
      </c>
      <c r="R886">
        <v>3.79E-3</v>
      </c>
      <c r="S886">
        <v>3.8500000000000001E-3</v>
      </c>
      <c r="T886">
        <v>4.0499999999999998E-3</v>
      </c>
      <c r="U886">
        <v>4.2100000000000002E-3</v>
      </c>
      <c r="V886">
        <v>4.4000000000000003E-3</v>
      </c>
      <c r="W886">
        <v>4.5599999999999998E-3</v>
      </c>
      <c r="X886">
        <v>4.7000000000000002E-3</v>
      </c>
      <c r="Y886">
        <v>4.8199999999999996E-3</v>
      </c>
      <c r="Z886">
        <v>4.9300000000000004E-3</v>
      </c>
      <c r="AA886">
        <v>5.0200000000000002E-3</v>
      </c>
      <c r="AB886">
        <v>5.11E-3</v>
      </c>
      <c r="AC886">
        <v>5.1700000000000001E-3</v>
      </c>
      <c r="AD886">
        <v>5.2300000000000003E-3</v>
      </c>
    </row>
    <row r="887" spans="2:30" x14ac:dyDescent="0.25">
      <c r="B887" t="s">
        <v>133</v>
      </c>
      <c r="C887" t="s">
        <v>3256</v>
      </c>
      <c r="D887" t="s">
        <v>3448</v>
      </c>
      <c r="E887" t="s">
        <v>3449</v>
      </c>
      <c r="F887" t="s">
        <v>6226</v>
      </c>
      <c r="G887" t="s">
        <v>3890</v>
      </c>
      <c r="H887" t="s">
        <v>6207</v>
      </c>
      <c r="I887" t="s">
        <v>3892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2:30" x14ac:dyDescent="0.25">
      <c r="B888" t="s">
        <v>133</v>
      </c>
      <c r="C888" t="s">
        <v>3256</v>
      </c>
      <c r="D888" t="s">
        <v>6227</v>
      </c>
      <c r="E888" t="s">
        <v>6228</v>
      </c>
      <c r="F888" t="s">
        <v>6229</v>
      </c>
      <c r="G888" t="s">
        <v>3890</v>
      </c>
      <c r="H888" t="s">
        <v>6207</v>
      </c>
      <c r="I888" t="s">
        <v>3892</v>
      </c>
      <c r="K888">
        <v>0</v>
      </c>
      <c r="L888">
        <v>0</v>
      </c>
      <c r="M888">
        <v>0</v>
      </c>
      <c r="N888">
        <v>0</v>
      </c>
      <c r="O888">
        <v>2.5000000000000001E-4</v>
      </c>
      <c r="P888">
        <v>2.5999999999999998E-4</v>
      </c>
      <c r="Q888">
        <v>2.7999999999999998E-4</v>
      </c>
      <c r="R888">
        <v>2.9E-4</v>
      </c>
      <c r="S888">
        <v>3.1E-4</v>
      </c>
      <c r="T888">
        <v>3.4000000000000002E-4</v>
      </c>
      <c r="U888">
        <v>3.6999999999999999E-4</v>
      </c>
      <c r="V888">
        <v>4.0000000000000002E-4</v>
      </c>
      <c r="W888">
        <v>4.4000000000000002E-4</v>
      </c>
      <c r="X888">
        <v>4.8000000000000001E-4</v>
      </c>
      <c r="Y888">
        <v>5.2999999999999998E-4</v>
      </c>
      <c r="Z888">
        <v>5.8E-4</v>
      </c>
      <c r="AA888">
        <v>6.4999999999999997E-4</v>
      </c>
      <c r="AB888">
        <v>7.2000000000000005E-4</v>
      </c>
      <c r="AC888">
        <v>8.0999999999999996E-4</v>
      </c>
      <c r="AD888">
        <v>9.1E-4</v>
      </c>
    </row>
    <row r="889" spans="2:30" x14ac:dyDescent="0.25">
      <c r="B889" t="s">
        <v>133</v>
      </c>
      <c r="C889" t="s">
        <v>3256</v>
      </c>
      <c r="D889" t="s">
        <v>6230</v>
      </c>
      <c r="E889" t="s">
        <v>6231</v>
      </c>
      <c r="F889" t="s">
        <v>6232</v>
      </c>
      <c r="G889" t="s">
        <v>3890</v>
      </c>
      <c r="H889" t="s">
        <v>6207</v>
      </c>
      <c r="I889" t="s">
        <v>3892</v>
      </c>
      <c r="K889">
        <v>0</v>
      </c>
      <c r="L889">
        <v>3.0000000000000001E-5</v>
      </c>
      <c r="M889">
        <v>2.0000000000000002E-5</v>
      </c>
      <c r="N889">
        <v>2.0000000000000002E-5</v>
      </c>
      <c r="O889">
        <v>4.28E-3</v>
      </c>
      <c r="P889">
        <v>6.3E-3</v>
      </c>
      <c r="Q889">
        <v>5.47E-3</v>
      </c>
      <c r="R889">
        <v>5.5399999999999998E-3</v>
      </c>
      <c r="S889">
        <v>5.2900000000000004E-3</v>
      </c>
      <c r="T889">
        <v>5.2900000000000004E-3</v>
      </c>
      <c r="U889">
        <v>5.2599999999999999E-3</v>
      </c>
      <c r="V889">
        <v>5.28E-3</v>
      </c>
      <c r="W889">
        <v>5.2500000000000003E-3</v>
      </c>
      <c r="X889">
        <v>5.2100000000000002E-3</v>
      </c>
      <c r="Y889">
        <v>5.13E-3</v>
      </c>
      <c r="Z889">
        <v>5.0200000000000002E-3</v>
      </c>
      <c r="AA889">
        <v>4.9199999999999999E-3</v>
      </c>
      <c r="AB889">
        <v>4.7999999999999996E-3</v>
      </c>
      <c r="AC889">
        <v>4.6699999999999997E-3</v>
      </c>
      <c r="AD889">
        <v>4.5500000000000002E-3</v>
      </c>
    </row>
    <row r="890" spans="2:30" x14ac:dyDescent="0.25">
      <c r="B890" t="s">
        <v>133</v>
      </c>
      <c r="C890" t="s">
        <v>3256</v>
      </c>
      <c r="D890" t="s">
        <v>6233</v>
      </c>
      <c r="E890" t="s">
        <v>6234</v>
      </c>
      <c r="F890" t="s">
        <v>6235</v>
      </c>
      <c r="G890" t="s">
        <v>3890</v>
      </c>
      <c r="H890" t="s">
        <v>6207</v>
      </c>
      <c r="I890" t="s">
        <v>3892</v>
      </c>
      <c r="K890">
        <v>0</v>
      </c>
      <c r="L890">
        <v>4.0000000000000003E-5</v>
      </c>
      <c r="M890">
        <v>4.0000000000000003E-5</v>
      </c>
      <c r="N890">
        <v>4.0000000000000003E-5</v>
      </c>
      <c r="O890">
        <v>8.0599999999999995E-3</v>
      </c>
      <c r="P890">
        <v>1.0580000000000001E-2</v>
      </c>
      <c r="Q890">
        <v>9.4599999999999997E-3</v>
      </c>
      <c r="R890">
        <v>9.6299999999999997E-3</v>
      </c>
      <c r="S890">
        <v>9.4500000000000001E-3</v>
      </c>
      <c r="T890">
        <v>9.6799999999999994E-3</v>
      </c>
      <c r="U890">
        <v>9.8399999999999998E-3</v>
      </c>
      <c r="V890">
        <v>1.008E-2</v>
      </c>
      <c r="W890">
        <v>1.025E-2</v>
      </c>
      <c r="X890">
        <v>1.038E-2</v>
      </c>
      <c r="Y890">
        <v>1.048E-2</v>
      </c>
      <c r="Z890">
        <v>1.0540000000000001E-2</v>
      </c>
      <c r="AA890">
        <v>1.0580000000000001E-2</v>
      </c>
      <c r="AB890">
        <v>1.0619999999999999E-2</v>
      </c>
      <c r="AC890">
        <v>1.064E-2</v>
      </c>
      <c r="AD890">
        <v>1.068E-2</v>
      </c>
    </row>
    <row r="891" spans="2:30" x14ac:dyDescent="0.25">
      <c r="B891" t="s">
        <v>133</v>
      </c>
      <c r="C891" t="s">
        <v>3256</v>
      </c>
      <c r="D891" t="s">
        <v>6236</v>
      </c>
      <c r="E891" t="s">
        <v>6237</v>
      </c>
      <c r="F891" t="s">
        <v>6238</v>
      </c>
      <c r="G891" t="s">
        <v>6239</v>
      </c>
      <c r="H891" t="s">
        <v>6240</v>
      </c>
      <c r="I891" t="s">
        <v>6241</v>
      </c>
      <c r="K891">
        <v>-1.6437299999999999</v>
      </c>
      <c r="L891">
        <v>-1.46715</v>
      </c>
      <c r="M891">
        <v>-1.4225000000000001</v>
      </c>
      <c r="N891">
        <v>-1.35982</v>
      </c>
      <c r="O891">
        <v>-1.3386400000000001</v>
      </c>
      <c r="P891">
        <v>-1.31701</v>
      </c>
      <c r="Q891">
        <v>-1.3225899999999999</v>
      </c>
      <c r="R891">
        <v>-1.35863</v>
      </c>
      <c r="S891">
        <v>-1.3552</v>
      </c>
      <c r="T891">
        <v>-1.3930499999999999</v>
      </c>
    </row>
    <row r="892" spans="2:30" x14ac:dyDescent="0.25">
      <c r="B892" t="s">
        <v>133</v>
      </c>
      <c r="C892" t="s">
        <v>3256</v>
      </c>
      <c r="D892" t="s">
        <v>6242</v>
      </c>
      <c r="E892" t="s">
        <v>6243</v>
      </c>
      <c r="F892" t="s">
        <v>6244</v>
      </c>
      <c r="G892" t="s">
        <v>6239</v>
      </c>
      <c r="H892" t="s">
        <v>6240</v>
      </c>
      <c r="I892" t="s">
        <v>6241</v>
      </c>
      <c r="K892">
        <v>-1.4559899999999999</v>
      </c>
      <c r="L892">
        <v>-1.26813</v>
      </c>
      <c r="M892">
        <v>-1.2282500000000001</v>
      </c>
      <c r="N892">
        <v>-1.2010700000000001</v>
      </c>
      <c r="O892">
        <v>-1.1828000000000001</v>
      </c>
      <c r="P892">
        <v>-1.1896800000000001</v>
      </c>
      <c r="Q892">
        <v>-1.2343200000000001</v>
      </c>
      <c r="R892">
        <v>-1.17005</v>
      </c>
      <c r="S892">
        <v>-1.2232400000000001</v>
      </c>
      <c r="T892">
        <v>-1.2398800000000001</v>
      </c>
    </row>
    <row r="893" spans="2:30" x14ac:dyDescent="0.25">
      <c r="B893" t="s">
        <v>133</v>
      </c>
      <c r="C893" t="s">
        <v>3256</v>
      </c>
      <c r="D893" t="s">
        <v>6245</v>
      </c>
      <c r="E893" t="s">
        <v>6246</v>
      </c>
      <c r="F893" t="s">
        <v>6247</v>
      </c>
      <c r="G893" t="s">
        <v>6239</v>
      </c>
      <c r="H893" t="s">
        <v>6248</v>
      </c>
      <c r="I893" t="s">
        <v>6241</v>
      </c>
      <c r="K893">
        <v>-1.40038</v>
      </c>
      <c r="L893">
        <v>-1.2153400000000001</v>
      </c>
      <c r="M893">
        <v>-1.16815</v>
      </c>
      <c r="N893">
        <v>-1.1159399999999999</v>
      </c>
      <c r="O893">
        <v>-1.0873600000000001</v>
      </c>
      <c r="P893">
        <v>-1.07762</v>
      </c>
      <c r="Q893">
        <v>-1.09596</v>
      </c>
      <c r="R893">
        <v>-1.1127100000000001</v>
      </c>
      <c r="S893">
        <v>-1.07761</v>
      </c>
      <c r="T893">
        <v>-1.09728</v>
      </c>
    </row>
    <row r="894" spans="2:30" x14ac:dyDescent="0.25">
      <c r="B894" t="s">
        <v>133</v>
      </c>
      <c r="C894" t="s">
        <v>3256</v>
      </c>
      <c r="D894" t="s">
        <v>6249</v>
      </c>
      <c r="E894" t="s">
        <v>6250</v>
      </c>
      <c r="F894" t="s">
        <v>6251</v>
      </c>
      <c r="G894" t="s">
        <v>6239</v>
      </c>
      <c r="H894" t="s">
        <v>6248</v>
      </c>
      <c r="I894" t="s">
        <v>6241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2:30" x14ac:dyDescent="0.25">
      <c r="B895" t="s">
        <v>133</v>
      </c>
      <c r="C895" t="s">
        <v>3256</v>
      </c>
      <c r="D895" t="s">
        <v>6252</v>
      </c>
      <c r="E895" t="s">
        <v>6253</v>
      </c>
      <c r="F895" t="s">
        <v>6254</v>
      </c>
      <c r="G895" t="s">
        <v>6239</v>
      </c>
      <c r="H895" t="s">
        <v>6248</v>
      </c>
      <c r="I895" t="s">
        <v>6241</v>
      </c>
      <c r="K895">
        <v>-0.50136999999999998</v>
      </c>
      <c r="L895">
        <v>-0.45667999999999997</v>
      </c>
      <c r="M895">
        <v>-0.44857999999999998</v>
      </c>
      <c r="N895">
        <v>-0.44118000000000002</v>
      </c>
      <c r="O895">
        <v>-0.44135999999999997</v>
      </c>
      <c r="P895">
        <v>-0.44599</v>
      </c>
      <c r="Q895">
        <v>-0.45937</v>
      </c>
      <c r="R895">
        <v>-0.47632000000000002</v>
      </c>
      <c r="S895">
        <v>-0.48309999999999997</v>
      </c>
      <c r="T895">
        <v>-0.52190000000000003</v>
      </c>
    </row>
    <row r="896" spans="2:30" x14ac:dyDescent="0.25">
      <c r="B896" t="s">
        <v>133</v>
      </c>
      <c r="C896" t="s">
        <v>3256</v>
      </c>
      <c r="D896" t="s">
        <v>6255</v>
      </c>
      <c r="E896" t="s">
        <v>6256</v>
      </c>
      <c r="F896" t="s">
        <v>6257</v>
      </c>
      <c r="G896" t="s">
        <v>6239</v>
      </c>
      <c r="H896" t="s">
        <v>6248</v>
      </c>
      <c r="I896" t="s">
        <v>6241</v>
      </c>
      <c r="K896">
        <v>-9.0090000000000003E-2</v>
      </c>
      <c r="L896">
        <v>-9.6890000000000004E-2</v>
      </c>
      <c r="M896">
        <v>-9.1950000000000004E-2</v>
      </c>
      <c r="N896">
        <v>-9.8229999999999998E-2</v>
      </c>
      <c r="O896">
        <v>-0.11169</v>
      </c>
      <c r="P896">
        <v>-0.11539000000000001</v>
      </c>
      <c r="Q896">
        <v>-0.12478</v>
      </c>
      <c r="R896">
        <v>-0.14235</v>
      </c>
      <c r="S896">
        <v>-0.16017999999999999</v>
      </c>
      <c r="T896">
        <v>-0.19517999999999999</v>
      </c>
    </row>
    <row r="897" spans="2:20" x14ac:dyDescent="0.25">
      <c r="B897" t="s">
        <v>133</v>
      </c>
      <c r="C897" t="s">
        <v>3256</v>
      </c>
      <c r="D897" t="s">
        <v>6258</v>
      </c>
      <c r="E897" t="s">
        <v>6259</v>
      </c>
      <c r="F897" t="s">
        <v>6260</v>
      </c>
      <c r="G897" t="s">
        <v>6239</v>
      </c>
      <c r="H897" t="s">
        <v>6248</v>
      </c>
      <c r="I897" t="s">
        <v>6241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2:20" x14ac:dyDescent="0.25">
      <c r="B898" t="s">
        <v>133</v>
      </c>
      <c r="C898" t="s">
        <v>3256</v>
      </c>
      <c r="D898" t="s">
        <v>6261</v>
      </c>
      <c r="E898" t="s">
        <v>6262</v>
      </c>
      <c r="F898" t="s">
        <v>6263</v>
      </c>
      <c r="G898" t="s">
        <v>6239</v>
      </c>
      <c r="H898" t="s">
        <v>6248</v>
      </c>
      <c r="I898" t="s">
        <v>6241</v>
      </c>
      <c r="K898">
        <v>-3.356E-2</v>
      </c>
      <c r="L898">
        <v>-3.9390000000000001E-2</v>
      </c>
      <c r="M898">
        <v>-5.1049999999999998E-2</v>
      </c>
      <c r="N898">
        <v>-5.1090000000000003E-2</v>
      </c>
      <c r="O898">
        <v>-5.8549999999999998E-2</v>
      </c>
      <c r="P898">
        <v>-5.9920000000000001E-2</v>
      </c>
      <c r="Q898">
        <v>-7.1590000000000001E-2</v>
      </c>
      <c r="R898">
        <v>-7.3529999999999998E-2</v>
      </c>
      <c r="S898">
        <v>-7.3160000000000003E-2</v>
      </c>
      <c r="T898">
        <v>-9.0050000000000005E-2</v>
      </c>
    </row>
    <row r="899" spans="2:20" x14ac:dyDescent="0.25">
      <c r="B899" t="s">
        <v>133</v>
      </c>
      <c r="C899" t="s">
        <v>3256</v>
      </c>
      <c r="D899" t="s">
        <v>6264</v>
      </c>
      <c r="E899" t="s">
        <v>6265</v>
      </c>
      <c r="F899" t="s">
        <v>6266</v>
      </c>
      <c r="G899" t="s">
        <v>6239</v>
      </c>
      <c r="H899" t="s">
        <v>6248</v>
      </c>
      <c r="I899" t="s">
        <v>6241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2:20" x14ac:dyDescent="0.25">
      <c r="B900" t="s">
        <v>133</v>
      </c>
      <c r="C900" t="s">
        <v>3256</v>
      </c>
      <c r="D900" t="s">
        <v>6267</v>
      </c>
      <c r="E900" t="s">
        <v>6268</v>
      </c>
      <c r="F900" t="s">
        <v>6269</v>
      </c>
      <c r="G900" t="s">
        <v>6239</v>
      </c>
      <c r="H900" t="s">
        <v>6248</v>
      </c>
      <c r="I900" t="s">
        <v>6241</v>
      </c>
      <c r="K900">
        <v>0</v>
      </c>
      <c r="L900">
        <v>0</v>
      </c>
      <c r="M900">
        <v>0</v>
      </c>
      <c r="N900">
        <v>-1.0000000000000001E-5</v>
      </c>
      <c r="O900">
        <v>-1.0000000000000001E-5</v>
      </c>
      <c r="P900">
        <v>-1.0000000000000001E-5</v>
      </c>
      <c r="Q900">
        <v>0</v>
      </c>
      <c r="R900">
        <v>-1.0000000000000001E-5</v>
      </c>
      <c r="S900">
        <v>-2.0000000000000002E-5</v>
      </c>
      <c r="T900">
        <v>-1.0000000000000001E-5</v>
      </c>
    </row>
    <row r="901" spans="2:20" x14ac:dyDescent="0.25">
      <c r="B901" t="s">
        <v>133</v>
      </c>
      <c r="C901" t="s">
        <v>3256</v>
      </c>
      <c r="D901" t="s">
        <v>6270</v>
      </c>
      <c r="E901" t="s">
        <v>6271</v>
      </c>
      <c r="F901" t="s">
        <v>6272</v>
      </c>
      <c r="G901" t="s">
        <v>6239</v>
      </c>
      <c r="H901" t="s">
        <v>6248</v>
      </c>
      <c r="I901" t="s">
        <v>6241</v>
      </c>
      <c r="K901">
        <v>-0.77534999999999998</v>
      </c>
      <c r="L901">
        <v>-0.62239</v>
      </c>
      <c r="M901">
        <v>-0.57657000000000003</v>
      </c>
      <c r="N901">
        <v>-0.52542</v>
      </c>
      <c r="O901">
        <v>-0.47575000000000001</v>
      </c>
      <c r="P901">
        <v>-0.45632</v>
      </c>
      <c r="Q901">
        <v>-0.44020999999999999</v>
      </c>
      <c r="R901">
        <v>-0.42048999999999997</v>
      </c>
      <c r="S901">
        <v>-0.36115999999999998</v>
      </c>
      <c r="T901">
        <v>-0.29015000000000002</v>
      </c>
    </row>
    <row r="902" spans="2:20" x14ac:dyDescent="0.25">
      <c r="B902" t="s">
        <v>133</v>
      </c>
      <c r="C902" t="s">
        <v>3256</v>
      </c>
      <c r="D902" t="s">
        <v>6273</v>
      </c>
      <c r="E902" t="s">
        <v>6274</v>
      </c>
      <c r="F902" t="s">
        <v>6275</v>
      </c>
      <c r="G902" t="s">
        <v>6239</v>
      </c>
      <c r="H902" t="s">
        <v>6276</v>
      </c>
      <c r="I902" t="s">
        <v>6241</v>
      </c>
      <c r="K902">
        <v>-0.17859</v>
      </c>
      <c r="L902">
        <v>-0.17743999999999999</v>
      </c>
      <c r="M902">
        <v>-0.17768999999999999</v>
      </c>
      <c r="N902">
        <v>-0.17829999999999999</v>
      </c>
      <c r="O902">
        <v>-0.17949000000000001</v>
      </c>
      <c r="P902">
        <v>-0.1802</v>
      </c>
      <c r="Q902">
        <v>-0.18128</v>
      </c>
      <c r="R902">
        <v>-0.18268000000000001</v>
      </c>
      <c r="S902">
        <v>-0.18307999999999999</v>
      </c>
      <c r="T902">
        <v>-0.18451000000000001</v>
      </c>
    </row>
    <row r="903" spans="2:20" x14ac:dyDescent="0.25">
      <c r="B903" t="s">
        <v>133</v>
      </c>
      <c r="C903" t="s">
        <v>3256</v>
      </c>
      <c r="D903" t="s">
        <v>6277</v>
      </c>
      <c r="E903" t="s">
        <v>6278</v>
      </c>
      <c r="F903" t="s">
        <v>6279</v>
      </c>
      <c r="G903" t="s">
        <v>6239</v>
      </c>
      <c r="H903" t="s">
        <v>6276</v>
      </c>
      <c r="I903" t="s">
        <v>6241</v>
      </c>
      <c r="K903">
        <v>-5.3200000000000001E-3</v>
      </c>
      <c r="L903">
        <v>-5.1599999999999997E-3</v>
      </c>
      <c r="M903">
        <v>-5.2500000000000003E-3</v>
      </c>
      <c r="N903">
        <v>-5.1000000000000004E-3</v>
      </c>
      <c r="O903">
        <v>-5.2599999999999999E-3</v>
      </c>
      <c r="P903">
        <v>-5.2199999999999998E-3</v>
      </c>
      <c r="Q903">
        <v>-5.28E-3</v>
      </c>
      <c r="R903">
        <v>-5.1500000000000001E-3</v>
      </c>
      <c r="S903">
        <v>-5.1000000000000004E-3</v>
      </c>
      <c r="T903">
        <v>-5.4000000000000003E-3</v>
      </c>
    </row>
    <row r="904" spans="2:20" x14ac:dyDescent="0.25">
      <c r="B904" t="s">
        <v>133</v>
      </c>
      <c r="C904" t="s">
        <v>3256</v>
      </c>
      <c r="D904" t="s">
        <v>6280</v>
      </c>
      <c r="E904" t="s">
        <v>6281</v>
      </c>
      <c r="F904" t="s">
        <v>6282</v>
      </c>
      <c r="G904" t="s">
        <v>6239</v>
      </c>
      <c r="H904" t="s">
        <v>6276</v>
      </c>
      <c r="I904" t="s">
        <v>6241</v>
      </c>
      <c r="K904">
        <v>-3.108E-2</v>
      </c>
      <c r="L904">
        <v>-2.8199999999999999E-2</v>
      </c>
      <c r="M904">
        <v>-2.7720000000000002E-2</v>
      </c>
      <c r="N904">
        <v>-2.7439999999999999E-2</v>
      </c>
      <c r="O904">
        <v>-2.6970000000000001E-2</v>
      </c>
      <c r="P904">
        <v>-2.7179999999999999E-2</v>
      </c>
      <c r="Q904">
        <v>-2.699E-2</v>
      </c>
      <c r="R904">
        <v>-2.6630000000000001E-2</v>
      </c>
      <c r="S904">
        <v>-2.6589999999999999E-2</v>
      </c>
      <c r="T904">
        <v>-2.6239999999999999E-2</v>
      </c>
    </row>
    <row r="905" spans="2:20" x14ac:dyDescent="0.25">
      <c r="B905" t="s">
        <v>133</v>
      </c>
      <c r="C905" t="s">
        <v>3256</v>
      </c>
      <c r="D905" t="s">
        <v>6283</v>
      </c>
      <c r="E905" t="s">
        <v>6284</v>
      </c>
      <c r="F905" t="s">
        <v>6285</v>
      </c>
      <c r="G905" t="s">
        <v>6239</v>
      </c>
      <c r="H905" t="s">
        <v>6276</v>
      </c>
      <c r="I905" t="s">
        <v>6241</v>
      </c>
      <c r="K905">
        <v>-7.11E-3</v>
      </c>
      <c r="L905">
        <v>-7.5300000000000002E-3</v>
      </c>
      <c r="M905">
        <v>-7.6800000000000002E-3</v>
      </c>
      <c r="N905">
        <v>-7.7499999999999999E-3</v>
      </c>
      <c r="O905">
        <v>-7.5900000000000004E-3</v>
      </c>
      <c r="P905">
        <v>-7.4599999999999996E-3</v>
      </c>
      <c r="Q905">
        <v>-7.1000000000000004E-3</v>
      </c>
      <c r="R905">
        <v>-6.5100000000000002E-3</v>
      </c>
      <c r="S905">
        <v>-6.1700000000000001E-3</v>
      </c>
      <c r="T905">
        <v>-5.3400000000000001E-3</v>
      </c>
    </row>
    <row r="906" spans="2:20" x14ac:dyDescent="0.25">
      <c r="B906" t="s">
        <v>133</v>
      </c>
      <c r="C906" t="s">
        <v>3256</v>
      </c>
      <c r="D906" t="s">
        <v>6286</v>
      </c>
      <c r="E906" t="s">
        <v>6287</v>
      </c>
      <c r="F906" t="s">
        <v>6288</v>
      </c>
      <c r="G906" t="s">
        <v>6239</v>
      </c>
      <c r="H906" t="s">
        <v>6276</v>
      </c>
      <c r="I906" t="s">
        <v>6241</v>
      </c>
      <c r="K906">
        <v>-1.06E-3</v>
      </c>
      <c r="L906">
        <v>-1.07E-3</v>
      </c>
      <c r="M906">
        <v>-1.14E-3</v>
      </c>
      <c r="N906">
        <v>-1.2099999999999999E-3</v>
      </c>
      <c r="O906">
        <v>-1.31E-3</v>
      </c>
      <c r="P906">
        <v>-1.3500000000000001E-3</v>
      </c>
      <c r="Q906">
        <v>-1.39E-3</v>
      </c>
      <c r="R906">
        <v>-1.3699999999999999E-3</v>
      </c>
      <c r="S906">
        <v>-1.4300000000000001E-3</v>
      </c>
      <c r="T906">
        <v>-1.4499999999999999E-3</v>
      </c>
    </row>
    <row r="907" spans="2:20" x14ac:dyDescent="0.25">
      <c r="B907" t="s">
        <v>133</v>
      </c>
      <c r="C907" t="s">
        <v>3256</v>
      </c>
      <c r="D907" t="s">
        <v>6289</v>
      </c>
      <c r="E907" t="s">
        <v>6290</v>
      </c>
      <c r="F907" t="s">
        <v>6291</v>
      </c>
      <c r="G907" t="s">
        <v>6239</v>
      </c>
      <c r="H907" t="s">
        <v>6276</v>
      </c>
      <c r="I907" t="s">
        <v>6241</v>
      </c>
      <c r="K907">
        <v>-3.32E-3</v>
      </c>
      <c r="L907">
        <v>-4.3499999999999997E-3</v>
      </c>
      <c r="M907">
        <v>-4.8199999999999996E-3</v>
      </c>
      <c r="N907">
        <v>-4.8999999999999998E-3</v>
      </c>
      <c r="O907">
        <v>-5.0299999999999997E-3</v>
      </c>
      <c r="P907">
        <v>-4.8700000000000002E-3</v>
      </c>
      <c r="Q907">
        <v>-4.64E-3</v>
      </c>
      <c r="R907">
        <v>-4.0400000000000002E-3</v>
      </c>
      <c r="S907">
        <v>-3.2499999999999999E-3</v>
      </c>
      <c r="T907">
        <v>-1.7700000000000001E-3</v>
      </c>
    </row>
    <row r="908" spans="2:20" x14ac:dyDescent="0.25">
      <c r="B908" t="s">
        <v>133</v>
      </c>
      <c r="C908" t="s">
        <v>3256</v>
      </c>
      <c r="D908" t="s">
        <v>6292</v>
      </c>
      <c r="E908" t="s">
        <v>6293</v>
      </c>
      <c r="F908" t="s">
        <v>6294</v>
      </c>
      <c r="G908" t="s">
        <v>6239</v>
      </c>
      <c r="H908" t="s">
        <v>6276</v>
      </c>
      <c r="I908" t="s">
        <v>6241</v>
      </c>
      <c r="K908">
        <v>-7.0690000000000003E-2</v>
      </c>
      <c r="L908">
        <v>-7.1050000000000002E-2</v>
      </c>
      <c r="M908">
        <v>-6.9989999999999997E-2</v>
      </c>
      <c r="N908">
        <v>-6.9419999999999996E-2</v>
      </c>
      <c r="O908">
        <v>-6.8019999999999997E-2</v>
      </c>
      <c r="P908">
        <v>-6.7809999999999995E-2</v>
      </c>
      <c r="Q908">
        <v>-6.6739999999999994E-2</v>
      </c>
      <c r="R908">
        <v>-6.6669999999999993E-2</v>
      </c>
      <c r="S908">
        <v>-6.7049999999999998E-2</v>
      </c>
      <c r="T908">
        <v>-6.3589999999999994E-2</v>
      </c>
    </row>
    <row r="909" spans="2:20" x14ac:dyDescent="0.25">
      <c r="B909" t="s">
        <v>133</v>
      </c>
      <c r="C909" t="s">
        <v>3256</v>
      </c>
      <c r="D909" t="s">
        <v>6295</v>
      </c>
      <c r="E909" t="s">
        <v>6296</v>
      </c>
      <c r="F909" t="s">
        <v>6297</v>
      </c>
      <c r="G909" t="s">
        <v>6239</v>
      </c>
      <c r="H909" t="s">
        <v>6276</v>
      </c>
      <c r="I909" t="s">
        <v>6241</v>
      </c>
      <c r="K909">
        <v>-4.4999999999999997E-3</v>
      </c>
      <c r="L909">
        <v>-4.5599999999999998E-3</v>
      </c>
      <c r="M909">
        <v>-4.9300000000000004E-3</v>
      </c>
      <c r="N909">
        <v>-5.5799999999999999E-3</v>
      </c>
      <c r="O909">
        <v>-5.6800000000000002E-3</v>
      </c>
      <c r="P909">
        <v>-5.9899999999999997E-3</v>
      </c>
      <c r="Q909">
        <v>-6.5599999999999999E-3</v>
      </c>
      <c r="R909">
        <v>-6.9499999999999996E-3</v>
      </c>
      <c r="S909">
        <v>-7.1399999999999996E-3</v>
      </c>
      <c r="T909">
        <v>-8.9599999999999992E-3</v>
      </c>
    </row>
    <row r="910" spans="2:20" x14ac:dyDescent="0.25">
      <c r="B910" t="s">
        <v>133</v>
      </c>
      <c r="C910" t="s">
        <v>3256</v>
      </c>
      <c r="D910" t="s">
        <v>6298</v>
      </c>
      <c r="E910" t="s">
        <v>6299</v>
      </c>
      <c r="F910" t="s">
        <v>6300</v>
      </c>
      <c r="G910" t="s">
        <v>6239</v>
      </c>
      <c r="H910" t="s">
        <v>6276</v>
      </c>
      <c r="I910" t="s">
        <v>6241</v>
      </c>
      <c r="K910">
        <v>-5.3099999999999996E-3</v>
      </c>
      <c r="L910">
        <v>-4.8900000000000002E-3</v>
      </c>
      <c r="M910">
        <v>-4.9399999999999999E-3</v>
      </c>
      <c r="N910">
        <v>-4.7299999999999998E-3</v>
      </c>
      <c r="O910">
        <v>-4.8799999999999998E-3</v>
      </c>
      <c r="P910">
        <v>-4.7400000000000003E-3</v>
      </c>
      <c r="Q910">
        <v>-5.0099999999999997E-3</v>
      </c>
      <c r="R910">
        <v>-4.8300000000000001E-3</v>
      </c>
      <c r="S910">
        <v>-5.0200000000000002E-3</v>
      </c>
      <c r="T910">
        <v>-6.1900000000000002E-3</v>
      </c>
    </row>
    <row r="911" spans="2:20" x14ac:dyDescent="0.25">
      <c r="B911" t="s">
        <v>133</v>
      </c>
      <c r="C911" t="s">
        <v>3256</v>
      </c>
      <c r="D911" t="s">
        <v>6301</v>
      </c>
      <c r="E911" t="s">
        <v>6302</v>
      </c>
      <c r="F911" t="s">
        <v>6303</v>
      </c>
      <c r="G911" t="s">
        <v>6239</v>
      </c>
      <c r="H911" t="s">
        <v>6276</v>
      </c>
      <c r="I911" t="s">
        <v>6241</v>
      </c>
      <c r="K911">
        <v>-1.0000000000000001E-5</v>
      </c>
      <c r="L911">
        <v>0</v>
      </c>
      <c r="M911">
        <v>0</v>
      </c>
      <c r="N911">
        <v>0</v>
      </c>
      <c r="O911">
        <v>-1.0000000000000001E-5</v>
      </c>
      <c r="P911">
        <v>-1.0000000000000001E-5</v>
      </c>
      <c r="Q911">
        <v>-1.0000000000000001E-5</v>
      </c>
      <c r="R911">
        <v>-1.0000000000000001E-5</v>
      </c>
      <c r="S911">
        <v>-1.0000000000000001E-5</v>
      </c>
      <c r="T911">
        <v>-2.0000000000000002E-5</v>
      </c>
    </row>
    <row r="912" spans="2:20" x14ac:dyDescent="0.25">
      <c r="B912" t="s">
        <v>133</v>
      </c>
      <c r="C912" t="s">
        <v>3256</v>
      </c>
      <c r="D912" t="s">
        <v>6304</v>
      </c>
      <c r="E912" t="s">
        <v>6305</v>
      </c>
      <c r="F912" t="s">
        <v>6306</v>
      </c>
      <c r="G912" t="s">
        <v>6239</v>
      </c>
      <c r="H912" t="s">
        <v>6276</v>
      </c>
      <c r="I912" t="s">
        <v>6241</v>
      </c>
      <c r="K912">
        <v>-4.9899999999999996E-3</v>
      </c>
      <c r="L912">
        <v>-4.8599999999999997E-3</v>
      </c>
      <c r="M912">
        <v>-4.8799999999999998E-3</v>
      </c>
      <c r="N912">
        <v>-4.6800000000000001E-3</v>
      </c>
      <c r="O912">
        <v>-4.6600000000000001E-3</v>
      </c>
      <c r="P912">
        <v>-4.1599999999999996E-3</v>
      </c>
      <c r="Q912">
        <v>-3.64E-3</v>
      </c>
      <c r="R912">
        <v>-3.2000000000000002E-3</v>
      </c>
      <c r="S912">
        <v>-2.5899999999999999E-3</v>
      </c>
      <c r="T912">
        <v>-1.8500000000000001E-3</v>
      </c>
    </row>
    <row r="913" spans="2:20" x14ac:dyDescent="0.25">
      <c r="B913" t="s">
        <v>133</v>
      </c>
      <c r="C913" t="s">
        <v>3256</v>
      </c>
      <c r="D913" t="s">
        <v>6307</v>
      </c>
      <c r="E913" t="s">
        <v>6308</v>
      </c>
      <c r="F913" t="s">
        <v>6309</v>
      </c>
      <c r="G913" t="s">
        <v>6239</v>
      </c>
      <c r="H913" t="s">
        <v>6276</v>
      </c>
      <c r="I913" t="s">
        <v>6241</v>
      </c>
      <c r="K913">
        <v>-1.529E-2</v>
      </c>
      <c r="L913">
        <v>-1.6310000000000002E-2</v>
      </c>
      <c r="M913">
        <v>-1.6889999999999999E-2</v>
      </c>
      <c r="N913">
        <v>-1.7840000000000002E-2</v>
      </c>
      <c r="O913">
        <v>-1.898E-2</v>
      </c>
      <c r="P913">
        <v>-2.0410000000000001E-2</v>
      </c>
      <c r="Q913">
        <v>-2.2429999999999999E-2</v>
      </c>
      <c r="R913">
        <v>-2.6249999999999999E-2</v>
      </c>
      <c r="S913">
        <v>-2.776E-2</v>
      </c>
      <c r="T913">
        <v>-3.3320000000000002E-2</v>
      </c>
    </row>
    <row r="914" spans="2:20" x14ac:dyDescent="0.25">
      <c r="B914" t="s">
        <v>133</v>
      </c>
      <c r="C914" t="s">
        <v>3256</v>
      </c>
      <c r="D914" t="s">
        <v>6310</v>
      </c>
      <c r="E914" t="s">
        <v>6311</v>
      </c>
      <c r="F914" t="s">
        <v>6312</v>
      </c>
      <c r="G914" t="s">
        <v>6239</v>
      </c>
      <c r="H914" t="s">
        <v>6276</v>
      </c>
      <c r="I914" t="s">
        <v>6241</v>
      </c>
      <c r="K914">
        <v>-7.3699999999999998E-3</v>
      </c>
      <c r="L914">
        <v>-7.1900000000000002E-3</v>
      </c>
      <c r="M914">
        <v>-6.96E-3</v>
      </c>
      <c r="N914">
        <v>-7.0699999999999999E-3</v>
      </c>
      <c r="O914">
        <v>-7.1399999999999996E-3</v>
      </c>
      <c r="P914">
        <v>-7.1500000000000001E-3</v>
      </c>
      <c r="Q914">
        <v>-7.0000000000000001E-3</v>
      </c>
      <c r="R914">
        <v>-6.9899999999999997E-3</v>
      </c>
      <c r="S914">
        <v>-7.1599999999999997E-3</v>
      </c>
      <c r="T914">
        <v>-7.9100000000000004E-3</v>
      </c>
    </row>
    <row r="915" spans="2:20" x14ac:dyDescent="0.25">
      <c r="B915" t="s">
        <v>133</v>
      </c>
      <c r="C915" t="s">
        <v>3256</v>
      </c>
      <c r="D915" t="s">
        <v>6313</v>
      </c>
      <c r="E915" t="s">
        <v>6314</v>
      </c>
      <c r="F915" t="s">
        <v>6315</v>
      </c>
      <c r="G915" t="s">
        <v>6239</v>
      </c>
      <c r="H915" t="s">
        <v>6276</v>
      </c>
      <c r="I915" t="s">
        <v>6241</v>
      </c>
      <c r="K915">
        <v>-3.5E-4</v>
      </c>
      <c r="L915">
        <v>-3.8000000000000002E-4</v>
      </c>
      <c r="M915">
        <v>-3.5E-4</v>
      </c>
      <c r="N915">
        <v>-3.2000000000000003E-4</v>
      </c>
      <c r="O915">
        <v>-4.2999999999999999E-4</v>
      </c>
      <c r="P915">
        <v>-5.0000000000000001E-4</v>
      </c>
      <c r="Q915">
        <v>-5.9999999999999995E-4</v>
      </c>
      <c r="R915">
        <v>-6.8999999999999997E-4</v>
      </c>
      <c r="S915">
        <v>-7.5000000000000002E-4</v>
      </c>
      <c r="T915">
        <v>-9.7000000000000005E-4</v>
      </c>
    </row>
    <row r="916" spans="2:20" x14ac:dyDescent="0.25">
      <c r="B916" t="s">
        <v>133</v>
      </c>
      <c r="C916" t="s">
        <v>3256</v>
      </c>
      <c r="D916" t="s">
        <v>6316</v>
      </c>
      <c r="E916" t="s">
        <v>6317</v>
      </c>
      <c r="F916" t="s">
        <v>6318</v>
      </c>
      <c r="G916" t="s">
        <v>6239</v>
      </c>
      <c r="H916" t="s">
        <v>6276</v>
      </c>
      <c r="I916" t="s">
        <v>6241</v>
      </c>
      <c r="K916">
        <v>-2.2190000000000001E-2</v>
      </c>
      <c r="L916">
        <v>-2.188E-2</v>
      </c>
      <c r="M916">
        <v>-2.213E-2</v>
      </c>
      <c r="N916">
        <v>-2.2270000000000002E-2</v>
      </c>
      <c r="O916">
        <v>-2.3519999999999999E-2</v>
      </c>
      <c r="P916">
        <v>-2.3359999999999999E-2</v>
      </c>
      <c r="Q916">
        <v>-2.3879999999999998E-2</v>
      </c>
      <c r="R916">
        <v>-2.3400000000000001E-2</v>
      </c>
      <c r="S916">
        <v>-2.3050000000000001E-2</v>
      </c>
      <c r="T916">
        <v>-2.1510000000000001E-2</v>
      </c>
    </row>
    <row r="917" spans="2:20" x14ac:dyDescent="0.25">
      <c r="B917" t="s">
        <v>133</v>
      </c>
      <c r="C917" t="s">
        <v>3256</v>
      </c>
      <c r="D917" t="s">
        <v>6319</v>
      </c>
      <c r="E917" t="s">
        <v>6320</v>
      </c>
      <c r="F917" t="s">
        <v>6321</v>
      </c>
      <c r="G917" t="s">
        <v>6239</v>
      </c>
      <c r="H917" t="s">
        <v>6322</v>
      </c>
      <c r="I917" t="s">
        <v>6241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2:20" x14ac:dyDescent="0.25">
      <c r="B918" t="s">
        <v>133</v>
      </c>
      <c r="C918" t="s">
        <v>3256</v>
      </c>
      <c r="D918" t="s">
        <v>6323</v>
      </c>
      <c r="E918" t="s">
        <v>6324</v>
      </c>
      <c r="F918" t="s">
        <v>6325</v>
      </c>
      <c r="G918" t="s">
        <v>6239</v>
      </c>
      <c r="H918" t="s">
        <v>6322</v>
      </c>
      <c r="I918" t="s">
        <v>6241</v>
      </c>
      <c r="K918">
        <v>3.3562400000000001</v>
      </c>
      <c r="L918">
        <v>3.0570400000000002</v>
      </c>
      <c r="M918">
        <v>3.0028199999999998</v>
      </c>
      <c r="N918">
        <v>2.95045</v>
      </c>
      <c r="O918">
        <v>2.9516100000000001</v>
      </c>
      <c r="P918">
        <v>2.98258</v>
      </c>
      <c r="Q918">
        <v>3.0720700000000001</v>
      </c>
      <c r="R918">
        <v>3.1855899999999999</v>
      </c>
      <c r="S918">
        <v>3.23095</v>
      </c>
      <c r="T918">
        <v>3.4904500000000001</v>
      </c>
    </row>
    <row r="919" spans="2:20" x14ac:dyDescent="0.25">
      <c r="B919" t="s">
        <v>133</v>
      </c>
      <c r="C919" t="s">
        <v>3256</v>
      </c>
      <c r="D919" t="s">
        <v>6326</v>
      </c>
      <c r="E919" t="s">
        <v>6327</v>
      </c>
      <c r="F919" t="s">
        <v>6328</v>
      </c>
      <c r="G919" t="s">
        <v>6239</v>
      </c>
      <c r="H919" t="s">
        <v>6322</v>
      </c>
      <c r="I919" t="s">
        <v>6241</v>
      </c>
      <c r="K919">
        <v>0.24565000000000001</v>
      </c>
      <c r="L919">
        <v>0.26417000000000002</v>
      </c>
      <c r="M919">
        <v>0.25070999999999999</v>
      </c>
      <c r="N919">
        <v>0.26715</v>
      </c>
      <c r="O919">
        <v>0.30376999999999998</v>
      </c>
      <c r="P919">
        <v>0.31380999999999998</v>
      </c>
      <c r="Q919">
        <v>0.33935999999999999</v>
      </c>
      <c r="R919">
        <v>0.38721</v>
      </c>
      <c r="S919">
        <v>0.43569999999999998</v>
      </c>
      <c r="T919">
        <v>0.53090000000000004</v>
      </c>
    </row>
    <row r="920" spans="2:20" x14ac:dyDescent="0.25">
      <c r="B920" t="s">
        <v>133</v>
      </c>
      <c r="C920" t="s">
        <v>3256</v>
      </c>
      <c r="D920" t="s">
        <v>6329</v>
      </c>
      <c r="E920" t="s">
        <v>6330</v>
      </c>
      <c r="F920" t="s">
        <v>6331</v>
      </c>
      <c r="G920" t="s">
        <v>6239</v>
      </c>
      <c r="H920" t="s">
        <v>6322</v>
      </c>
      <c r="I920" t="s">
        <v>6241</v>
      </c>
      <c r="K920">
        <v>8.8660000000000003E-2</v>
      </c>
      <c r="L920">
        <v>9.1700000000000004E-2</v>
      </c>
      <c r="M920">
        <v>0.12545999999999999</v>
      </c>
      <c r="N920">
        <v>9.8580000000000001E-2</v>
      </c>
      <c r="O920">
        <v>0.12416000000000001</v>
      </c>
      <c r="P920">
        <v>0.12834999999999999</v>
      </c>
      <c r="Q920">
        <v>0.12567</v>
      </c>
      <c r="R920">
        <v>0.13841999999999999</v>
      </c>
      <c r="S920">
        <v>0.12906999999999999</v>
      </c>
      <c r="T920">
        <v>0.14066000000000001</v>
      </c>
    </row>
    <row r="921" spans="2:20" x14ac:dyDescent="0.25">
      <c r="B921" t="s">
        <v>133</v>
      </c>
      <c r="C921" t="s">
        <v>3256</v>
      </c>
      <c r="D921" t="s">
        <v>6332</v>
      </c>
      <c r="E921" t="s">
        <v>6333</v>
      </c>
      <c r="F921" t="s">
        <v>6334</v>
      </c>
      <c r="G921" t="s">
        <v>6239</v>
      </c>
      <c r="H921" t="s">
        <v>6322</v>
      </c>
      <c r="I921" t="s">
        <v>6241</v>
      </c>
      <c r="K921">
        <v>0.27312999999999998</v>
      </c>
      <c r="L921">
        <v>0.32055</v>
      </c>
      <c r="M921">
        <v>0.41546</v>
      </c>
      <c r="N921">
        <v>0.41344999999999998</v>
      </c>
      <c r="O921">
        <v>0.4738</v>
      </c>
      <c r="P921">
        <v>0.48488999999999999</v>
      </c>
      <c r="Q921">
        <v>0.57931999999999995</v>
      </c>
      <c r="R921">
        <v>0.59521999999999997</v>
      </c>
      <c r="S921">
        <v>0.59216999999999997</v>
      </c>
      <c r="T921">
        <v>0.72887999999999997</v>
      </c>
    </row>
    <row r="922" spans="2:20" x14ac:dyDescent="0.25">
      <c r="B922" t="s">
        <v>133</v>
      </c>
      <c r="C922" t="s">
        <v>3256</v>
      </c>
      <c r="D922" t="s">
        <v>6335</v>
      </c>
      <c r="E922" t="s">
        <v>6336</v>
      </c>
      <c r="F922" t="s">
        <v>6337</v>
      </c>
      <c r="G922" t="s">
        <v>6239</v>
      </c>
      <c r="H922" t="s">
        <v>6322</v>
      </c>
      <c r="I922" t="s">
        <v>6241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2:20" x14ac:dyDescent="0.25">
      <c r="B923" t="s">
        <v>133</v>
      </c>
      <c r="C923" t="s">
        <v>3256</v>
      </c>
      <c r="D923" t="s">
        <v>6338</v>
      </c>
      <c r="E923" t="s">
        <v>6339</v>
      </c>
      <c r="F923" t="s">
        <v>6340</v>
      </c>
      <c r="G923" t="s">
        <v>6239</v>
      </c>
      <c r="H923" t="s">
        <v>6322</v>
      </c>
      <c r="I923" t="s">
        <v>6241</v>
      </c>
      <c r="K923">
        <v>2.0000000000000002E-5</v>
      </c>
      <c r="L923">
        <v>2.0000000000000002E-5</v>
      </c>
      <c r="M923">
        <v>1.0000000000000001E-5</v>
      </c>
      <c r="N923">
        <v>5.0000000000000002E-5</v>
      </c>
      <c r="O923">
        <v>5.0000000000000002E-5</v>
      </c>
      <c r="P923">
        <v>4.0000000000000003E-5</v>
      </c>
      <c r="Q923">
        <v>2.0000000000000002E-5</v>
      </c>
      <c r="R923">
        <v>8.0000000000000007E-5</v>
      </c>
      <c r="S923">
        <v>1.1E-4</v>
      </c>
      <c r="T923">
        <v>6.9999999999999994E-5</v>
      </c>
    </row>
    <row r="924" spans="2:20" x14ac:dyDescent="0.25">
      <c r="B924" t="s">
        <v>133</v>
      </c>
      <c r="C924" t="s">
        <v>3256</v>
      </c>
      <c r="D924" t="s">
        <v>6341</v>
      </c>
      <c r="E924" t="s">
        <v>6342</v>
      </c>
      <c r="F924" t="s">
        <v>6343</v>
      </c>
      <c r="G924" t="s">
        <v>6239</v>
      </c>
      <c r="H924" t="s">
        <v>6322</v>
      </c>
      <c r="I924" t="s">
        <v>6241</v>
      </c>
      <c r="K924">
        <v>2.5198200000000002</v>
      </c>
      <c r="L924">
        <v>2.0226899999999999</v>
      </c>
      <c r="M924">
        <v>1.8737999999999999</v>
      </c>
      <c r="N924">
        <v>1.70397</v>
      </c>
      <c r="O924">
        <v>1.54288</v>
      </c>
      <c r="P924">
        <v>1.4798500000000001</v>
      </c>
      <c r="Q924">
        <v>1.42763</v>
      </c>
      <c r="R924">
        <v>1.36385</v>
      </c>
      <c r="S924">
        <v>1.1714</v>
      </c>
      <c r="T924">
        <v>0.94108000000000003</v>
      </c>
    </row>
    <row r="925" spans="2:20" x14ac:dyDescent="0.25">
      <c r="B925" t="s">
        <v>133</v>
      </c>
      <c r="C925" t="s">
        <v>3256</v>
      </c>
      <c r="D925" t="s">
        <v>6344</v>
      </c>
      <c r="E925" t="s">
        <v>6345</v>
      </c>
      <c r="F925" t="s">
        <v>6346</v>
      </c>
      <c r="G925" t="s">
        <v>6239</v>
      </c>
      <c r="H925" t="s">
        <v>6322</v>
      </c>
      <c r="I925" t="s">
        <v>6241</v>
      </c>
      <c r="K925">
        <v>8.9499999999999996E-3</v>
      </c>
      <c r="L925">
        <v>4.7600000000000003E-3</v>
      </c>
      <c r="M925">
        <v>5.5799999999999999E-3</v>
      </c>
      <c r="N925">
        <v>3.63E-3</v>
      </c>
      <c r="O925">
        <v>2.8E-3</v>
      </c>
      <c r="P925">
        <v>2.6700000000000001E-3</v>
      </c>
      <c r="Q925">
        <v>2.9099999999999998E-3</v>
      </c>
      <c r="R925">
        <v>3.0200000000000001E-3</v>
      </c>
      <c r="S925">
        <v>2.0400000000000001E-3</v>
      </c>
      <c r="T925">
        <v>1.16E-3</v>
      </c>
    </row>
    <row r="926" spans="2:20" x14ac:dyDescent="0.25">
      <c r="B926" t="s">
        <v>133</v>
      </c>
      <c r="C926" t="s">
        <v>3256</v>
      </c>
      <c r="D926" t="s">
        <v>6347</v>
      </c>
      <c r="E926" t="s">
        <v>6348</v>
      </c>
      <c r="F926" t="s">
        <v>6349</v>
      </c>
      <c r="G926" t="s">
        <v>6239</v>
      </c>
      <c r="H926" t="s">
        <v>6322</v>
      </c>
      <c r="I926" t="s">
        <v>6241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1.0000000000000001E-5</v>
      </c>
      <c r="Q926">
        <v>0</v>
      </c>
      <c r="R926">
        <v>1.0000000000000001E-5</v>
      </c>
      <c r="S926">
        <v>1.0000000000000001E-5</v>
      </c>
      <c r="T926">
        <v>1.0000000000000001E-5</v>
      </c>
    </row>
    <row r="927" spans="2:20" x14ac:dyDescent="0.25">
      <c r="B927" t="s">
        <v>133</v>
      </c>
      <c r="C927" t="s">
        <v>3256</v>
      </c>
      <c r="D927" t="s">
        <v>6350</v>
      </c>
      <c r="E927" t="s">
        <v>6351</v>
      </c>
      <c r="F927" t="s">
        <v>6352</v>
      </c>
      <c r="G927" t="s">
        <v>6239</v>
      </c>
      <c r="H927" t="s">
        <v>6322</v>
      </c>
      <c r="I927" t="s">
        <v>6241</v>
      </c>
      <c r="K927">
        <v>4.6999999999999999E-4</v>
      </c>
      <c r="L927">
        <v>2.5000000000000001E-4</v>
      </c>
      <c r="M927">
        <v>2.9E-4</v>
      </c>
      <c r="N927">
        <v>1.9000000000000001E-4</v>
      </c>
      <c r="O927">
        <v>1.4999999999999999E-4</v>
      </c>
      <c r="P927">
        <v>1.3999999999999999E-4</v>
      </c>
      <c r="Q927">
        <v>1.4999999999999999E-4</v>
      </c>
      <c r="R927">
        <v>1.6000000000000001E-4</v>
      </c>
      <c r="S927">
        <v>1.1E-4</v>
      </c>
      <c r="T927">
        <v>6.0000000000000002E-5</v>
      </c>
    </row>
    <row r="928" spans="2:20" x14ac:dyDescent="0.25">
      <c r="B928" t="s">
        <v>133</v>
      </c>
      <c r="C928" t="s">
        <v>3256</v>
      </c>
      <c r="D928" t="s">
        <v>6353</v>
      </c>
      <c r="E928" t="s">
        <v>6354</v>
      </c>
      <c r="F928" t="s">
        <v>6355</v>
      </c>
      <c r="G928" t="s">
        <v>6239</v>
      </c>
      <c r="H928" t="s">
        <v>6322</v>
      </c>
      <c r="I928" t="s">
        <v>6241</v>
      </c>
      <c r="K928">
        <v>1.60585</v>
      </c>
      <c r="L928">
        <v>1.5572900000000001</v>
      </c>
      <c r="M928">
        <v>1.5845199999999999</v>
      </c>
      <c r="N928">
        <v>1.5382800000000001</v>
      </c>
      <c r="O928">
        <v>1.58724</v>
      </c>
      <c r="P928">
        <v>1.57575</v>
      </c>
      <c r="Q928">
        <v>1.5923499999999999</v>
      </c>
      <c r="R928">
        <v>1.55287</v>
      </c>
      <c r="S928">
        <v>1.53905</v>
      </c>
      <c r="T928">
        <v>1.6297600000000001</v>
      </c>
    </row>
    <row r="929" spans="2:20" x14ac:dyDescent="0.25">
      <c r="B929" t="s">
        <v>133</v>
      </c>
      <c r="C929" t="s">
        <v>3256</v>
      </c>
      <c r="D929" t="s">
        <v>6356</v>
      </c>
      <c r="E929" t="s">
        <v>6357</v>
      </c>
      <c r="F929" t="s">
        <v>6358</v>
      </c>
      <c r="G929" t="s">
        <v>6239</v>
      </c>
      <c r="H929" t="s">
        <v>6322</v>
      </c>
      <c r="I929" t="s">
        <v>6241</v>
      </c>
      <c r="K929">
        <v>3.89941</v>
      </c>
      <c r="L929">
        <v>3.5377000000000001</v>
      </c>
      <c r="M929">
        <v>3.4780000000000002</v>
      </c>
      <c r="N929">
        <v>3.4288500000000002</v>
      </c>
      <c r="O929">
        <v>3.3705400000000001</v>
      </c>
      <c r="P929">
        <v>3.39655</v>
      </c>
      <c r="Q929">
        <v>3.3731900000000001</v>
      </c>
      <c r="R929">
        <v>3.3282500000000002</v>
      </c>
      <c r="S929">
        <v>3.3230499999999998</v>
      </c>
      <c r="T929">
        <v>3.2792699999999999</v>
      </c>
    </row>
    <row r="930" spans="2:20" x14ac:dyDescent="0.25">
      <c r="B930" t="s">
        <v>133</v>
      </c>
      <c r="C930" t="s">
        <v>3256</v>
      </c>
      <c r="D930" t="s">
        <v>6359</v>
      </c>
      <c r="E930" t="s">
        <v>6360</v>
      </c>
      <c r="F930" t="s">
        <v>6361</v>
      </c>
      <c r="G930" t="s">
        <v>6239</v>
      </c>
      <c r="H930" t="s">
        <v>6322</v>
      </c>
      <c r="I930" t="s">
        <v>6241</v>
      </c>
      <c r="K930">
        <v>5.2554600000000002</v>
      </c>
      <c r="L930">
        <v>5.5693999999999999</v>
      </c>
      <c r="M930">
        <v>5.6773600000000002</v>
      </c>
      <c r="N930">
        <v>5.7297200000000004</v>
      </c>
      <c r="O930">
        <v>5.6129600000000002</v>
      </c>
      <c r="P930">
        <v>5.5136200000000004</v>
      </c>
      <c r="Q930">
        <v>5.24925</v>
      </c>
      <c r="R930">
        <v>4.8136799999999997</v>
      </c>
      <c r="S930">
        <v>4.5635199999999996</v>
      </c>
      <c r="T930">
        <v>3.9498199999999999</v>
      </c>
    </row>
    <row r="931" spans="2:20" x14ac:dyDescent="0.25">
      <c r="B931" t="s">
        <v>133</v>
      </c>
      <c r="C931" t="s">
        <v>3256</v>
      </c>
      <c r="D931" t="s">
        <v>6362</v>
      </c>
      <c r="E931" t="s">
        <v>6363</v>
      </c>
      <c r="F931" t="s">
        <v>6364</v>
      </c>
      <c r="G931" t="s">
        <v>6239</v>
      </c>
      <c r="H931" t="s">
        <v>6322</v>
      </c>
      <c r="I931" t="s">
        <v>6241</v>
      </c>
      <c r="K931">
        <v>2.1144099999999999</v>
      </c>
      <c r="L931">
        <v>2.1298599999999999</v>
      </c>
      <c r="M931">
        <v>2.2776399999999999</v>
      </c>
      <c r="N931">
        <v>2.41893</v>
      </c>
      <c r="O931">
        <v>2.6160299999999999</v>
      </c>
      <c r="P931">
        <v>2.6849599999999998</v>
      </c>
      <c r="Q931">
        <v>2.7770000000000001</v>
      </c>
      <c r="R931">
        <v>2.7384900000000001</v>
      </c>
      <c r="S931">
        <v>2.8589000000000002</v>
      </c>
      <c r="T931">
        <v>2.8957799999999998</v>
      </c>
    </row>
    <row r="932" spans="2:20" x14ac:dyDescent="0.25">
      <c r="B932" t="s">
        <v>133</v>
      </c>
      <c r="C932" t="s">
        <v>3256</v>
      </c>
      <c r="D932" t="s">
        <v>6365</v>
      </c>
      <c r="E932" t="s">
        <v>6366</v>
      </c>
      <c r="F932" t="s">
        <v>6367</v>
      </c>
      <c r="G932" t="s">
        <v>6239</v>
      </c>
      <c r="H932" t="s">
        <v>6322</v>
      </c>
      <c r="I932" t="s">
        <v>6241</v>
      </c>
      <c r="K932">
        <v>2.6863999999999999</v>
      </c>
      <c r="L932">
        <v>3.5221900000000002</v>
      </c>
      <c r="M932">
        <v>3.9014899999999999</v>
      </c>
      <c r="N932">
        <v>3.9628999999999999</v>
      </c>
      <c r="O932">
        <v>4.07524</v>
      </c>
      <c r="P932">
        <v>3.9388200000000002</v>
      </c>
      <c r="Q932">
        <v>3.7564000000000002</v>
      </c>
      <c r="R932">
        <v>3.2689900000000001</v>
      </c>
      <c r="S932">
        <v>2.6295500000000001</v>
      </c>
      <c r="T932">
        <v>1.4299900000000001</v>
      </c>
    </row>
    <row r="933" spans="2:20" x14ac:dyDescent="0.25">
      <c r="B933" t="s">
        <v>133</v>
      </c>
      <c r="C933" t="s">
        <v>3256</v>
      </c>
      <c r="D933" t="s">
        <v>6368</v>
      </c>
      <c r="E933" t="s">
        <v>6369</v>
      </c>
      <c r="F933" t="s">
        <v>6370</v>
      </c>
      <c r="G933" t="s">
        <v>6239</v>
      </c>
      <c r="H933" t="s">
        <v>6322</v>
      </c>
      <c r="I933" t="s">
        <v>6241</v>
      </c>
      <c r="K933">
        <v>52.981250000000003</v>
      </c>
      <c r="L933">
        <v>53.252020000000002</v>
      </c>
      <c r="M933">
        <v>52.452800000000003</v>
      </c>
      <c r="N933">
        <v>52.018239999999999</v>
      </c>
      <c r="O933">
        <v>50.968600000000002</v>
      </c>
      <c r="P933">
        <v>50.812600000000003</v>
      </c>
      <c r="Q933">
        <v>50.010199999999998</v>
      </c>
      <c r="R933">
        <v>49.957299999999996</v>
      </c>
      <c r="S933">
        <v>50.2438</v>
      </c>
      <c r="T933">
        <v>47.649500000000003</v>
      </c>
    </row>
    <row r="934" spans="2:20" x14ac:dyDescent="0.25">
      <c r="B934" t="s">
        <v>133</v>
      </c>
      <c r="C934" t="s">
        <v>3256</v>
      </c>
      <c r="D934" t="s">
        <v>6371</v>
      </c>
      <c r="E934" t="s">
        <v>6372</v>
      </c>
      <c r="F934" t="s">
        <v>6373</v>
      </c>
      <c r="G934" t="s">
        <v>6239</v>
      </c>
      <c r="H934" t="s">
        <v>6322</v>
      </c>
      <c r="I934" t="s">
        <v>6241</v>
      </c>
      <c r="K934">
        <v>2.9624600000000001</v>
      </c>
      <c r="L934">
        <v>3.0012099999999999</v>
      </c>
      <c r="M934">
        <v>3.2425999999999999</v>
      </c>
      <c r="N934">
        <v>3.6684899999999998</v>
      </c>
      <c r="O934">
        <v>3.73509</v>
      </c>
      <c r="P934">
        <v>3.9405899999999998</v>
      </c>
      <c r="Q934">
        <v>4.3134399999999999</v>
      </c>
      <c r="R934">
        <v>4.5710699999999997</v>
      </c>
      <c r="S934">
        <v>4.6995800000000001</v>
      </c>
      <c r="T934">
        <v>5.8917999999999999</v>
      </c>
    </row>
    <row r="935" spans="2:20" x14ac:dyDescent="0.25">
      <c r="B935" t="s">
        <v>133</v>
      </c>
      <c r="C935" t="s">
        <v>3256</v>
      </c>
      <c r="D935" t="s">
        <v>6374</v>
      </c>
      <c r="E935" t="s">
        <v>6375</v>
      </c>
      <c r="F935" t="s">
        <v>6376</v>
      </c>
      <c r="G935" t="s">
        <v>6239</v>
      </c>
      <c r="H935" t="s">
        <v>6322</v>
      </c>
      <c r="I935" t="s">
        <v>6241</v>
      </c>
      <c r="K935">
        <v>4.5945400000000003</v>
      </c>
      <c r="L935">
        <v>4.2270099999999999</v>
      </c>
      <c r="M935">
        <v>4.2782</v>
      </c>
      <c r="N935">
        <v>4.0952799999999998</v>
      </c>
      <c r="O935">
        <v>4.2236099999999999</v>
      </c>
      <c r="P935">
        <v>4.1026600000000002</v>
      </c>
      <c r="Q935">
        <v>4.3357700000000001</v>
      </c>
      <c r="R935">
        <v>4.1755000000000004</v>
      </c>
      <c r="S935">
        <v>4.3468299999999997</v>
      </c>
      <c r="T935">
        <v>5.3558700000000004</v>
      </c>
    </row>
    <row r="936" spans="2:20" x14ac:dyDescent="0.25">
      <c r="B936" t="s">
        <v>133</v>
      </c>
      <c r="C936" t="s">
        <v>3256</v>
      </c>
      <c r="D936" t="s">
        <v>6377</v>
      </c>
      <c r="E936" t="s">
        <v>6378</v>
      </c>
      <c r="F936" t="s">
        <v>6379</v>
      </c>
      <c r="G936" t="s">
        <v>6239</v>
      </c>
      <c r="H936" t="s">
        <v>6322</v>
      </c>
      <c r="I936" t="s">
        <v>6241</v>
      </c>
      <c r="K936">
        <v>1.1730000000000001E-2</v>
      </c>
      <c r="L936">
        <v>8.5900000000000004E-3</v>
      </c>
      <c r="M936">
        <v>6.4900000000000001E-3</v>
      </c>
      <c r="N936">
        <v>7.9900000000000006E-3</v>
      </c>
      <c r="O936">
        <v>1.848E-2</v>
      </c>
      <c r="P936">
        <v>1.473E-2</v>
      </c>
      <c r="Q936">
        <v>1.3180000000000001E-2</v>
      </c>
      <c r="R936">
        <v>1.643E-2</v>
      </c>
      <c r="S936">
        <v>1.5699999999999999E-2</v>
      </c>
      <c r="T936">
        <v>2.8119999999999999E-2</v>
      </c>
    </row>
    <row r="937" spans="2:20" x14ac:dyDescent="0.25">
      <c r="B937" t="s">
        <v>133</v>
      </c>
      <c r="C937" t="s">
        <v>3256</v>
      </c>
      <c r="D937" t="s">
        <v>6380</v>
      </c>
      <c r="E937" t="s">
        <v>6381</v>
      </c>
      <c r="F937" t="s">
        <v>6382</v>
      </c>
      <c r="G937" t="s">
        <v>6239</v>
      </c>
      <c r="H937" t="s">
        <v>6322</v>
      </c>
      <c r="I937" t="s">
        <v>6241</v>
      </c>
      <c r="K937">
        <v>2.0455299999999998</v>
      </c>
      <c r="L937">
        <v>1.99122</v>
      </c>
      <c r="M937">
        <v>2.00088</v>
      </c>
      <c r="N937">
        <v>1.9170499999999999</v>
      </c>
      <c r="O937">
        <v>1.90821</v>
      </c>
      <c r="P937">
        <v>1.7008099999999999</v>
      </c>
      <c r="Q937">
        <v>1.4911300000000001</v>
      </c>
      <c r="R937">
        <v>1.3100400000000001</v>
      </c>
      <c r="S937">
        <v>1.05986</v>
      </c>
      <c r="T937">
        <v>0.75871</v>
      </c>
    </row>
    <row r="938" spans="2:20" x14ac:dyDescent="0.25">
      <c r="B938" t="s">
        <v>133</v>
      </c>
      <c r="C938" t="s">
        <v>3256</v>
      </c>
      <c r="D938" t="s">
        <v>6383</v>
      </c>
      <c r="E938" t="s">
        <v>6384</v>
      </c>
      <c r="F938" t="s">
        <v>6385</v>
      </c>
      <c r="G938" t="s">
        <v>6239</v>
      </c>
      <c r="H938" t="s">
        <v>6322</v>
      </c>
      <c r="I938" t="s">
        <v>6241</v>
      </c>
      <c r="K938">
        <v>4.3454800000000002</v>
      </c>
      <c r="L938">
        <v>4.63767</v>
      </c>
      <c r="M938">
        <v>4.8012499999999996</v>
      </c>
      <c r="N938">
        <v>5.0640400000000003</v>
      </c>
      <c r="O938">
        <v>5.3882599999999998</v>
      </c>
      <c r="P938">
        <v>5.7943899999999999</v>
      </c>
      <c r="Q938">
        <v>6.36754</v>
      </c>
      <c r="R938">
        <v>7.4519399999999996</v>
      </c>
      <c r="S938">
        <v>7.8795999999999999</v>
      </c>
      <c r="T938">
        <v>9.45749</v>
      </c>
    </row>
    <row r="939" spans="2:20" x14ac:dyDescent="0.25">
      <c r="B939" t="s">
        <v>133</v>
      </c>
      <c r="C939" t="s">
        <v>3256</v>
      </c>
      <c r="D939" t="s">
        <v>6386</v>
      </c>
      <c r="E939" t="s">
        <v>6387</v>
      </c>
      <c r="F939" t="s">
        <v>6388</v>
      </c>
      <c r="G939" t="s">
        <v>6239</v>
      </c>
      <c r="H939" t="s">
        <v>6322</v>
      </c>
      <c r="I939" t="s">
        <v>6241</v>
      </c>
      <c r="K939">
        <v>6.6302300000000001</v>
      </c>
      <c r="L939">
        <v>6.4665600000000003</v>
      </c>
      <c r="M939">
        <v>6.25943</v>
      </c>
      <c r="N939">
        <v>6.3484800000000003</v>
      </c>
      <c r="O939">
        <v>6.4184599999999996</v>
      </c>
      <c r="P939">
        <v>6.4232300000000002</v>
      </c>
      <c r="Q939">
        <v>6.2890899999999998</v>
      </c>
      <c r="R939">
        <v>6.2787699999999997</v>
      </c>
      <c r="S939">
        <v>6.4313700000000003</v>
      </c>
      <c r="T939">
        <v>7.1076100000000002</v>
      </c>
    </row>
    <row r="940" spans="2:20" x14ac:dyDescent="0.25">
      <c r="B940" t="s">
        <v>133</v>
      </c>
      <c r="C940" t="s">
        <v>3256</v>
      </c>
      <c r="D940" t="s">
        <v>6389</v>
      </c>
      <c r="E940" t="s">
        <v>6390</v>
      </c>
      <c r="F940" t="s">
        <v>6391</v>
      </c>
      <c r="G940" t="s">
        <v>6239</v>
      </c>
      <c r="H940" t="s">
        <v>6322</v>
      </c>
      <c r="I940" t="s">
        <v>6241</v>
      </c>
      <c r="K940">
        <v>0.27512999999999999</v>
      </c>
      <c r="L940">
        <v>0.29455999999999999</v>
      </c>
      <c r="M940">
        <v>0.27689999999999998</v>
      </c>
      <c r="N940">
        <v>0.25096000000000002</v>
      </c>
      <c r="O940">
        <v>0.33383000000000002</v>
      </c>
      <c r="P940">
        <v>0.39290999999999998</v>
      </c>
      <c r="Q940">
        <v>0.47310000000000002</v>
      </c>
      <c r="R940">
        <v>0.54139000000000004</v>
      </c>
      <c r="S940">
        <v>0.58986000000000005</v>
      </c>
      <c r="T940">
        <v>0.75907999999999998</v>
      </c>
    </row>
    <row r="941" spans="2:20" x14ac:dyDescent="0.25">
      <c r="B941" t="s">
        <v>133</v>
      </c>
      <c r="C941" t="s">
        <v>3256</v>
      </c>
      <c r="D941" t="s">
        <v>6392</v>
      </c>
      <c r="E941" t="s">
        <v>6393</v>
      </c>
      <c r="F941" t="s">
        <v>6394</v>
      </c>
      <c r="G941" t="s">
        <v>6239</v>
      </c>
      <c r="H941" t="s">
        <v>6322</v>
      </c>
      <c r="I941" t="s">
        <v>6241</v>
      </c>
      <c r="K941">
        <v>4.0991600000000004</v>
      </c>
      <c r="L941">
        <v>4.0435299999999996</v>
      </c>
      <c r="M941">
        <v>4.0883200000000004</v>
      </c>
      <c r="N941">
        <v>4.1133300000000004</v>
      </c>
      <c r="O941">
        <v>4.3442699999999999</v>
      </c>
      <c r="P941">
        <v>4.3160499999999997</v>
      </c>
      <c r="Q941">
        <v>4.4112400000000003</v>
      </c>
      <c r="R941">
        <v>4.3217299999999996</v>
      </c>
      <c r="S941">
        <v>4.2578100000000001</v>
      </c>
      <c r="T941">
        <v>3.9739399999999998</v>
      </c>
    </row>
    <row r="942" spans="2:20" x14ac:dyDescent="0.25">
      <c r="B942" t="s">
        <v>133</v>
      </c>
      <c r="C942" t="s">
        <v>3256</v>
      </c>
      <c r="D942" t="s">
        <v>6395</v>
      </c>
      <c r="E942" t="s">
        <v>6396</v>
      </c>
      <c r="F942" t="s">
        <v>6397</v>
      </c>
      <c r="G942" t="s">
        <v>6239</v>
      </c>
      <c r="H942" t="s">
        <v>6398</v>
      </c>
      <c r="I942" t="s">
        <v>6241</v>
      </c>
      <c r="K942">
        <v>110894.78776554477</v>
      </c>
      <c r="L942">
        <v>147522.45933849743</v>
      </c>
      <c r="M942">
        <v>171429.43986032964</v>
      </c>
      <c r="N942">
        <v>193529.09263933974</v>
      </c>
      <c r="O942">
        <v>217037.82311288384</v>
      </c>
      <c r="P942">
        <v>243089.40737624373</v>
      </c>
      <c r="Q942">
        <v>274789.13411101233</v>
      </c>
      <c r="R942">
        <v>312826.77382950968</v>
      </c>
      <c r="S942">
        <v>375096.98137891199</v>
      </c>
      <c r="T942">
        <v>561354.60377232765</v>
      </c>
    </row>
    <row r="943" spans="2:20" x14ac:dyDescent="0.25">
      <c r="B943" t="s">
        <v>133</v>
      </c>
      <c r="C943" t="s">
        <v>3256</v>
      </c>
      <c r="D943" t="s">
        <v>6399</v>
      </c>
      <c r="E943" t="s">
        <v>6400</v>
      </c>
      <c r="F943" t="s">
        <v>6401</v>
      </c>
      <c r="G943" t="s">
        <v>6239</v>
      </c>
      <c r="H943" t="s">
        <v>6402</v>
      </c>
      <c r="I943" t="s">
        <v>6241</v>
      </c>
      <c r="K943">
        <v>1334793967933.5056</v>
      </c>
      <c r="L943">
        <v>1774854733245.8765</v>
      </c>
      <c r="M943">
        <v>2061839851043.3076</v>
      </c>
      <c r="N943">
        <v>2327918665416.627</v>
      </c>
      <c r="O943">
        <v>2611853266669.1152</v>
      </c>
      <c r="P943">
        <v>2924159092580.6021</v>
      </c>
      <c r="Q943">
        <v>3304771053253.5313</v>
      </c>
      <c r="R943">
        <v>3762788303703.0493</v>
      </c>
      <c r="S943">
        <v>4512137851379.2461</v>
      </c>
      <c r="T943">
        <v>6751450426082.6836</v>
      </c>
    </row>
    <row r="944" spans="2:20" x14ac:dyDescent="0.25">
      <c r="B944" t="s">
        <v>133</v>
      </c>
      <c r="C944" t="s">
        <v>3256</v>
      </c>
      <c r="D944" t="s">
        <v>6403</v>
      </c>
      <c r="E944" t="s">
        <v>6404</v>
      </c>
      <c r="F944" t="s">
        <v>6405</v>
      </c>
      <c r="G944" t="s">
        <v>6239</v>
      </c>
      <c r="H944" t="s">
        <v>6406</v>
      </c>
      <c r="I944" t="s">
        <v>6241</v>
      </c>
      <c r="K944">
        <v>12036579.850403292</v>
      </c>
      <c r="L944">
        <v>12031081.512635212</v>
      </c>
      <c r="M944">
        <v>12027338.202371601</v>
      </c>
      <c r="N944">
        <v>12028778.896591684</v>
      </c>
      <c r="O944">
        <v>12034092.625922903</v>
      </c>
      <c r="P944">
        <v>12029150.608174009</v>
      </c>
      <c r="Q944">
        <v>12026571.079475192</v>
      </c>
      <c r="R944">
        <v>12028344.817294205</v>
      </c>
      <c r="S944">
        <v>12029256.633289773</v>
      </c>
      <c r="T944">
        <v>12027068.77384213</v>
      </c>
    </row>
    <row r="945" spans="2:20" x14ac:dyDescent="0.25">
      <c r="B945" t="s">
        <v>133</v>
      </c>
      <c r="C945" t="s">
        <v>3256</v>
      </c>
      <c r="D945" t="s">
        <v>6407</v>
      </c>
      <c r="E945" t="s">
        <v>6408</v>
      </c>
      <c r="F945" t="s">
        <v>6409</v>
      </c>
      <c r="G945" t="s">
        <v>6239</v>
      </c>
      <c r="H945" t="s">
        <v>6410</v>
      </c>
      <c r="I945" t="s">
        <v>6241</v>
      </c>
      <c r="K945">
        <v>2.597197340908497</v>
      </c>
      <c r="L945">
        <v>3.0577577285315596</v>
      </c>
      <c r="M945">
        <v>3.4193469731114874</v>
      </c>
      <c r="N945">
        <v>3.6597157567736618</v>
      </c>
      <c r="O945">
        <v>4.0033710067440307</v>
      </c>
      <c r="P945">
        <v>4.3768949239043984</v>
      </c>
      <c r="Q945">
        <v>4.9138492145711794</v>
      </c>
      <c r="R945">
        <v>5.721604557634663</v>
      </c>
      <c r="S945">
        <v>6.6830746021918799</v>
      </c>
      <c r="T945">
        <v>9.8743251147373066</v>
      </c>
    </row>
    <row r="946" spans="2:20" x14ac:dyDescent="0.25">
      <c r="B946" t="s">
        <v>133</v>
      </c>
      <c r="C946" t="s">
        <v>3256</v>
      </c>
      <c r="D946" t="s">
        <v>6411</v>
      </c>
      <c r="E946" t="s">
        <v>6412</v>
      </c>
      <c r="F946" t="s">
        <v>6413</v>
      </c>
      <c r="G946" t="s">
        <v>6239</v>
      </c>
      <c r="H946" t="s">
        <v>6410</v>
      </c>
      <c r="I946" t="s">
        <v>6241</v>
      </c>
      <c r="K946">
        <v>2.5532317293999238</v>
      </c>
      <c r="L946">
        <v>2.964229464400848</v>
      </c>
      <c r="M946">
        <v>3.3529616854049773</v>
      </c>
      <c r="N946">
        <v>3.7489520635376632</v>
      </c>
      <c r="O946">
        <v>4.1304015769565252</v>
      </c>
      <c r="P946">
        <v>4.7107383674908814</v>
      </c>
      <c r="Q946">
        <v>5.4606188538936911</v>
      </c>
      <c r="R946">
        <v>6.0114863444098834</v>
      </c>
      <c r="S946">
        <v>7.4518730086656308</v>
      </c>
      <c r="T946">
        <v>11.316259672558344</v>
      </c>
    </row>
    <row r="947" spans="2:20" x14ac:dyDescent="0.25">
      <c r="B947" t="s">
        <v>133</v>
      </c>
      <c r="C947" t="s">
        <v>3256</v>
      </c>
      <c r="D947" t="s">
        <v>6414</v>
      </c>
      <c r="E947" t="s">
        <v>6415</v>
      </c>
      <c r="F947" t="s">
        <v>6416</v>
      </c>
      <c r="G947" t="s">
        <v>6239</v>
      </c>
      <c r="H947" t="s">
        <v>6410</v>
      </c>
      <c r="I947" t="s">
        <v>6241</v>
      </c>
      <c r="K947">
        <v>5.1667136392421051</v>
      </c>
      <c r="L947">
        <v>6.0599714325956811</v>
      </c>
      <c r="M947">
        <v>6.8025832935727681</v>
      </c>
      <c r="N947">
        <v>7.3860108166571292</v>
      </c>
      <c r="O947">
        <v>8.1114916243464208</v>
      </c>
      <c r="P947">
        <v>9.0166824037665698</v>
      </c>
      <c r="Q947">
        <v>10.347558561869432</v>
      </c>
      <c r="R947">
        <v>11.949100461453918</v>
      </c>
      <c r="S947">
        <v>13.944941568768995</v>
      </c>
      <c r="T947">
        <v>21.214946197726981</v>
      </c>
    </row>
    <row r="948" spans="2:20" x14ac:dyDescent="0.25">
      <c r="B948" t="s">
        <v>133</v>
      </c>
      <c r="C948" t="s">
        <v>3256</v>
      </c>
      <c r="D948" t="s">
        <v>6417</v>
      </c>
      <c r="E948" t="s">
        <v>6418</v>
      </c>
      <c r="F948" t="s">
        <v>6419</v>
      </c>
      <c r="G948" t="s">
        <v>6239</v>
      </c>
      <c r="H948" t="s">
        <v>6420</v>
      </c>
      <c r="K948">
        <v>9.2542050192609582E-2</v>
      </c>
    </row>
    <row r="949" spans="2:20" x14ac:dyDescent="0.25">
      <c r="B949" t="s">
        <v>133</v>
      </c>
      <c r="C949" t="s">
        <v>3256</v>
      </c>
      <c r="D949" t="s">
        <v>6421</v>
      </c>
      <c r="E949" t="s">
        <v>6422</v>
      </c>
      <c r="F949" t="s">
        <v>6423</v>
      </c>
      <c r="G949" t="s">
        <v>6239</v>
      </c>
      <c r="H949" t="s">
        <v>6420</v>
      </c>
      <c r="K949">
        <v>3.5933626850208226E-2</v>
      </c>
    </row>
    <row r="950" spans="2:20" x14ac:dyDescent="0.25">
      <c r="B950" t="s">
        <v>133</v>
      </c>
      <c r="C950" t="s">
        <v>3256</v>
      </c>
      <c r="D950" t="s">
        <v>6424</v>
      </c>
      <c r="E950" t="s">
        <v>6425</v>
      </c>
      <c r="F950" t="s">
        <v>6426</v>
      </c>
      <c r="G950" t="s">
        <v>6239</v>
      </c>
      <c r="H950" t="s">
        <v>6420</v>
      </c>
      <c r="K950">
        <v>7.5011064791286136E-2</v>
      </c>
    </row>
    <row r="951" spans="2:20" x14ac:dyDescent="0.25">
      <c r="B951" t="s">
        <v>133</v>
      </c>
      <c r="C951" t="s">
        <v>3256</v>
      </c>
      <c r="D951" t="s">
        <v>6427</v>
      </c>
      <c r="E951" t="s">
        <v>6428</v>
      </c>
      <c r="F951" t="s">
        <v>6429</v>
      </c>
      <c r="G951" t="s">
        <v>6239</v>
      </c>
      <c r="H951" t="s">
        <v>6430</v>
      </c>
      <c r="K951">
        <v>-2.4316404280768618</v>
      </c>
    </row>
    <row r="952" spans="2:20" x14ac:dyDescent="0.25">
      <c r="B952" t="s">
        <v>133</v>
      </c>
      <c r="C952" t="s">
        <v>3256</v>
      </c>
      <c r="D952" t="s">
        <v>6431</v>
      </c>
      <c r="E952" t="s">
        <v>6432</v>
      </c>
      <c r="F952" t="s">
        <v>6433</v>
      </c>
      <c r="G952" t="s">
        <v>6239</v>
      </c>
      <c r="H952" t="s">
        <v>6430</v>
      </c>
      <c r="K952">
        <v>-1.6915768959141437</v>
      </c>
    </row>
    <row r="953" spans="2:20" x14ac:dyDescent="0.25">
      <c r="B953" t="s">
        <v>133</v>
      </c>
      <c r="C953" t="s">
        <v>3256</v>
      </c>
      <c r="D953" t="s">
        <v>6434</v>
      </c>
      <c r="E953" t="s">
        <v>6435</v>
      </c>
      <c r="F953" t="s">
        <v>6436</v>
      </c>
      <c r="G953" t="s">
        <v>6239</v>
      </c>
      <c r="H953" t="s">
        <v>6430</v>
      </c>
      <c r="K953">
        <v>-3.1141645220681911</v>
      </c>
    </row>
    <row r="954" spans="2:20" x14ac:dyDescent="0.25">
      <c r="B954" t="s">
        <v>133</v>
      </c>
      <c r="C954" t="s">
        <v>3256</v>
      </c>
      <c r="D954" t="s">
        <v>6437</v>
      </c>
      <c r="E954" t="s">
        <v>6438</v>
      </c>
      <c r="F954" t="s">
        <v>6439</v>
      </c>
      <c r="G954" t="s">
        <v>6239</v>
      </c>
      <c r="H954" t="s">
        <v>6440</v>
      </c>
      <c r="K954">
        <v>15.767777657423188</v>
      </c>
    </row>
    <row r="955" spans="2:20" x14ac:dyDescent="0.25">
      <c r="B955" t="s">
        <v>133</v>
      </c>
      <c r="C955" t="s">
        <v>3256</v>
      </c>
      <c r="D955" t="s">
        <v>6441</v>
      </c>
      <c r="E955" t="s">
        <v>6442</v>
      </c>
      <c r="F955" t="s">
        <v>6443</v>
      </c>
      <c r="G955" t="s">
        <v>6239</v>
      </c>
      <c r="H955" t="s">
        <v>6440</v>
      </c>
      <c r="K955">
        <v>16.900469196155001</v>
      </c>
    </row>
    <row r="956" spans="2:20" x14ac:dyDescent="0.25">
      <c r="B956" t="s">
        <v>133</v>
      </c>
      <c r="C956" t="s">
        <v>3256</v>
      </c>
      <c r="D956" t="s">
        <v>6444</v>
      </c>
      <c r="E956" t="s">
        <v>6445</v>
      </c>
      <c r="F956" t="s">
        <v>6446</v>
      </c>
      <c r="G956" t="s">
        <v>6239</v>
      </c>
      <c r="H956" t="s">
        <v>6440</v>
      </c>
      <c r="K956">
        <v>50.719174792857366</v>
      </c>
    </row>
    <row r="957" spans="2:20" x14ac:dyDescent="0.25">
      <c r="B957" t="s">
        <v>133</v>
      </c>
      <c r="C957" t="s">
        <v>3256</v>
      </c>
      <c r="D957" t="s">
        <v>6447</v>
      </c>
      <c r="E957" t="s">
        <v>6448</v>
      </c>
      <c r="F957" t="s">
        <v>6449</v>
      </c>
      <c r="G957" t="s">
        <v>6239</v>
      </c>
      <c r="H957" t="s">
        <v>6440</v>
      </c>
      <c r="K957">
        <v>0</v>
      </c>
    </row>
    <row r="958" spans="2:20" x14ac:dyDescent="0.25">
      <c r="B958" t="s">
        <v>133</v>
      </c>
      <c r="C958" t="s">
        <v>3256</v>
      </c>
      <c r="D958" t="s">
        <v>6450</v>
      </c>
      <c r="E958" t="s">
        <v>6451</v>
      </c>
      <c r="F958" t="s">
        <v>6452</v>
      </c>
      <c r="G958" t="s">
        <v>6239</v>
      </c>
      <c r="H958" t="s">
        <v>6440</v>
      </c>
      <c r="K958">
        <v>13.8120016341301</v>
      </c>
    </row>
    <row r="959" spans="2:20" x14ac:dyDescent="0.25">
      <c r="B959" t="s">
        <v>133</v>
      </c>
      <c r="C959" t="s">
        <v>3256</v>
      </c>
      <c r="D959" t="s">
        <v>6453</v>
      </c>
      <c r="E959" t="s">
        <v>6454</v>
      </c>
      <c r="F959" t="s">
        <v>6455</v>
      </c>
      <c r="G959" t="s">
        <v>6239</v>
      </c>
      <c r="H959" t="s">
        <v>6440</v>
      </c>
      <c r="K959">
        <v>21.193909971811877</v>
      </c>
    </row>
    <row r="960" spans="2:20" x14ac:dyDescent="0.25">
      <c r="B960" t="s">
        <v>133</v>
      </c>
      <c r="C960" t="s">
        <v>3256</v>
      </c>
      <c r="D960" t="s">
        <v>6456</v>
      </c>
      <c r="E960" t="s">
        <v>6457</v>
      </c>
      <c r="F960" t="s">
        <v>6458</v>
      </c>
      <c r="G960" t="s">
        <v>6239</v>
      </c>
      <c r="H960" t="s">
        <v>6440</v>
      </c>
      <c r="K960">
        <v>20.984478018628351</v>
      </c>
    </row>
    <row r="961" spans="2:20" x14ac:dyDescent="0.25">
      <c r="B961" t="s">
        <v>133</v>
      </c>
      <c r="C961" t="s">
        <v>3256</v>
      </c>
      <c r="D961" t="s">
        <v>6459</v>
      </c>
      <c r="E961" t="s">
        <v>6460</v>
      </c>
      <c r="F961" t="s">
        <v>6461</v>
      </c>
      <c r="G961" t="s">
        <v>6239</v>
      </c>
      <c r="H961" t="s">
        <v>6440</v>
      </c>
      <c r="K961">
        <v>40.184757497896094</v>
      </c>
    </row>
    <row r="962" spans="2:20" x14ac:dyDescent="0.25">
      <c r="B962" t="s">
        <v>133</v>
      </c>
      <c r="C962" t="s">
        <v>3256</v>
      </c>
      <c r="D962" t="s">
        <v>6462</v>
      </c>
      <c r="E962" t="s">
        <v>6463</v>
      </c>
      <c r="F962" t="s">
        <v>6464</v>
      </c>
      <c r="G962" t="s">
        <v>6239</v>
      </c>
      <c r="H962" t="s">
        <v>6440</v>
      </c>
      <c r="K962">
        <v>0.33237183170956924</v>
      </c>
    </row>
    <row r="963" spans="2:20" x14ac:dyDescent="0.25">
      <c r="B963" t="s">
        <v>133</v>
      </c>
      <c r="C963" t="s">
        <v>3256</v>
      </c>
      <c r="D963" t="s">
        <v>6465</v>
      </c>
      <c r="E963" t="s">
        <v>6466</v>
      </c>
      <c r="F963" t="s">
        <v>6467</v>
      </c>
      <c r="G963" t="s">
        <v>6239</v>
      </c>
      <c r="H963" t="s">
        <v>6440</v>
      </c>
      <c r="K963">
        <v>0.80685513588684887</v>
      </c>
    </row>
    <row r="964" spans="2:20" x14ac:dyDescent="0.25">
      <c r="B964" t="s">
        <v>133</v>
      </c>
      <c r="C964" t="s">
        <v>3256</v>
      </c>
      <c r="D964" t="s">
        <v>6468</v>
      </c>
      <c r="E964" t="s">
        <v>6469</v>
      </c>
      <c r="F964" t="s">
        <v>6470</v>
      </c>
      <c r="G964" t="s">
        <v>6239</v>
      </c>
      <c r="H964" t="s">
        <v>6440</v>
      </c>
      <c r="K964">
        <v>0.13537021210822292</v>
      </c>
    </row>
    <row r="965" spans="2:20" x14ac:dyDescent="0.25">
      <c r="B965" t="s">
        <v>133</v>
      </c>
      <c r="C965" t="s">
        <v>3256</v>
      </c>
      <c r="D965" t="s">
        <v>6471</v>
      </c>
      <c r="E965" t="s">
        <v>6472</v>
      </c>
      <c r="F965" t="s">
        <v>6473</v>
      </c>
      <c r="G965" t="s">
        <v>6239</v>
      </c>
      <c r="H965" t="s">
        <v>6440</v>
      </c>
      <c r="K965">
        <v>5.0177313929471203E-2</v>
      </c>
    </row>
    <row r="966" spans="2:20" x14ac:dyDescent="0.25">
      <c r="B966" t="s">
        <v>133</v>
      </c>
      <c r="C966" t="s">
        <v>3256</v>
      </c>
      <c r="D966" t="s">
        <v>6474</v>
      </c>
      <c r="E966" t="s">
        <v>6475</v>
      </c>
      <c r="F966" t="s">
        <v>6476</v>
      </c>
      <c r="G966" t="s">
        <v>6239</v>
      </c>
      <c r="H966" t="s">
        <v>6440</v>
      </c>
      <c r="K966">
        <v>0.12364902813408482</v>
      </c>
    </row>
    <row r="967" spans="2:20" x14ac:dyDescent="0.25">
      <c r="B967" t="s">
        <v>133</v>
      </c>
      <c r="C967" t="s">
        <v>3256</v>
      </c>
      <c r="D967" t="s">
        <v>6477</v>
      </c>
      <c r="E967" t="s">
        <v>6478</v>
      </c>
      <c r="F967" t="s">
        <v>6479</v>
      </c>
      <c r="G967" t="s">
        <v>6239</v>
      </c>
      <c r="H967" t="s">
        <v>6440</v>
      </c>
      <c r="K967">
        <v>0.13354238405787597</v>
      </c>
    </row>
    <row r="968" spans="2:20" x14ac:dyDescent="0.25">
      <c r="B968" t="s">
        <v>133</v>
      </c>
      <c r="C968" t="s">
        <v>3256</v>
      </c>
      <c r="D968" t="s">
        <v>6480</v>
      </c>
      <c r="E968" t="s">
        <v>6481</v>
      </c>
      <c r="F968" t="s">
        <v>6482</v>
      </c>
      <c r="G968" t="s">
        <v>6239</v>
      </c>
      <c r="H968" t="s">
        <v>6440</v>
      </c>
      <c r="K968">
        <v>0.15223019650022326</v>
      </c>
    </row>
    <row r="969" spans="2:20" x14ac:dyDescent="0.25">
      <c r="B969" t="s">
        <v>133</v>
      </c>
      <c r="C969" t="s">
        <v>3256</v>
      </c>
      <c r="D969" t="s">
        <v>6483</v>
      </c>
      <c r="E969" t="s">
        <v>6484</v>
      </c>
      <c r="F969" t="s">
        <v>6485</v>
      </c>
      <c r="G969" t="s">
        <v>6239</v>
      </c>
      <c r="H969" t="s">
        <v>6440</v>
      </c>
      <c r="K969">
        <v>0.11567671242595694</v>
      </c>
    </row>
    <row r="970" spans="2:20" x14ac:dyDescent="0.25">
      <c r="B970" t="s">
        <v>133</v>
      </c>
      <c r="C970" t="s">
        <v>3256</v>
      </c>
      <c r="D970" t="s">
        <v>6486</v>
      </c>
      <c r="E970" t="s">
        <v>6487</v>
      </c>
      <c r="F970" t="s">
        <v>6488</v>
      </c>
      <c r="G970" t="s">
        <v>6239</v>
      </c>
      <c r="H970" t="s">
        <v>6440</v>
      </c>
      <c r="K970">
        <v>5.7497323130182132E-2</v>
      </c>
    </row>
    <row r="971" spans="2:20" x14ac:dyDescent="0.25">
      <c r="B971" t="s">
        <v>133</v>
      </c>
      <c r="C971" t="s">
        <v>3256</v>
      </c>
      <c r="D971" t="s">
        <v>6489</v>
      </c>
      <c r="E971" t="s">
        <v>6490</v>
      </c>
      <c r="F971" t="s">
        <v>6491</v>
      </c>
      <c r="G971" t="s">
        <v>6239</v>
      </c>
      <c r="H971" t="s">
        <v>6440</v>
      </c>
      <c r="K971">
        <v>0.24499403133789502</v>
      </c>
    </row>
    <row r="972" spans="2:20" x14ac:dyDescent="0.25">
      <c r="B972" t="s">
        <v>133</v>
      </c>
      <c r="C972" t="s">
        <v>3256</v>
      </c>
      <c r="D972" t="s">
        <v>6492</v>
      </c>
      <c r="E972" t="s">
        <v>6493</v>
      </c>
      <c r="F972" t="s">
        <v>6494</v>
      </c>
      <c r="G972" t="s">
        <v>6239</v>
      </c>
      <c r="H972" t="s">
        <v>6440</v>
      </c>
      <c r="K972">
        <v>0.35357202901257612</v>
      </c>
    </row>
    <row r="973" spans="2:20" x14ac:dyDescent="0.25">
      <c r="B973" t="s">
        <v>133</v>
      </c>
      <c r="C973" t="s">
        <v>3256</v>
      </c>
      <c r="D973" t="s">
        <v>6495</v>
      </c>
      <c r="E973" t="s">
        <v>6496</v>
      </c>
      <c r="F973" t="s">
        <v>6497</v>
      </c>
      <c r="G973" t="s">
        <v>6239</v>
      </c>
      <c r="H973" t="s">
        <v>6440</v>
      </c>
      <c r="K973">
        <v>0.11142897916232178</v>
      </c>
    </row>
    <row r="974" spans="2:20" x14ac:dyDescent="0.25">
      <c r="B974" t="s">
        <v>133</v>
      </c>
      <c r="C974" t="s">
        <v>3256</v>
      </c>
      <c r="D974" t="s">
        <v>6498</v>
      </c>
      <c r="E974" t="s">
        <v>6499</v>
      </c>
      <c r="F974" t="s">
        <v>6500</v>
      </c>
      <c r="G974" t="s">
        <v>6239</v>
      </c>
      <c r="H974" t="s">
        <v>6440</v>
      </c>
      <c r="K974">
        <v>0.12753516074963542</v>
      </c>
    </row>
    <row r="975" spans="2:20" x14ac:dyDescent="0.25">
      <c r="B975" t="s">
        <v>133</v>
      </c>
      <c r="C975" t="s">
        <v>3256</v>
      </c>
      <c r="D975" t="s">
        <v>6501</v>
      </c>
      <c r="E975" t="s">
        <v>6502</v>
      </c>
      <c r="F975" t="s">
        <v>6503</v>
      </c>
      <c r="G975" t="s">
        <v>6239</v>
      </c>
      <c r="H975" t="s">
        <v>6440</v>
      </c>
      <c r="K975">
        <v>0.54388246171904231</v>
      </c>
    </row>
    <row r="976" spans="2:20" x14ac:dyDescent="0.25">
      <c r="B976" t="s">
        <v>133</v>
      </c>
      <c r="C976" t="s">
        <v>3256</v>
      </c>
      <c r="D976" t="s">
        <v>6504</v>
      </c>
      <c r="E976" t="s">
        <v>6505</v>
      </c>
      <c r="F976" t="s">
        <v>6506</v>
      </c>
      <c r="G976" t="s">
        <v>6239</v>
      </c>
      <c r="H976" t="s">
        <v>6507</v>
      </c>
      <c r="I976" t="s">
        <v>6241</v>
      </c>
      <c r="K976">
        <v>0.39982000000000001</v>
      </c>
      <c r="L976">
        <v>0.65102000000000004</v>
      </c>
      <c r="M976">
        <v>0.76649999999999996</v>
      </c>
      <c r="N976">
        <v>0.67896999999999996</v>
      </c>
      <c r="O976">
        <v>0.60541999999999996</v>
      </c>
      <c r="P976">
        <v>0.54054000000000002</v>
      </c>
      <c r="Q976">
        <v>0.47817999999999999</v>
      </c>
      <c r="R976">
        <v>0.42004000000000002</v>
      </c>
      <c r="S976">
        <v>0.35031000000000001</v>
      </c>
      <c r="T976">
        <v>0.23408000000000001</v>
      </c>
    </row>
    <row r="977" spans="2:20" x14ac:dyDescent="0.25">
      <c r="B977" t="s">
        <v>133</v>
      </c>
      <c r="C977" t="s">
        <v>3256</v>
      </c>
      <c r="D977" t="s">
        <v>6508</v>
      </c>
      <c r="E977" t="s">
        <v>6509</v>
      </c>
      <c r="F977" t="s">
        <v>6510</v>
      </c>
      <c r="G977" t="s">
        <v>6239</v>
      </c>
      <c r="H977" t="s">
        <v>6511</v>
      </c>
      <c r="I977" t="s">
        <v>6241</v>
      </c>
      <c r="K977">
        <v>2.9946600000000001</v>
      </c>
      <c r="L977">
        <v>1.82067</v>
      </c>
      <c r="M977">
        <v>1.3064800000000001</v>
      </c>
      <c r="N977">
        <v>1.03548</v>
      </c>
      <c r="O977">
        <v>0.81503000000000003</v>
      </c>
      <c r="P977">
        <v>0.67088000000000003</v>
      </c>
      <c r="Q977">
        <v>0.57020999999999999</v>
      </c>
      <c r="R977">
        <v>0.51253000000000004</v>
      </c>
      <c r="S977">
        <v>0.41341</v>
      </c>
      <c r="T977">
        <v>0.26484000000000002</v>
      </c>
    </row>
    <row r="978" spans="2:20" x14ac:dyDescent="0.25">
      <c r="B978" t="s">
        <v>133</v>
      </c>
      <c r="C978" t="s">
        <v>3256</v>
      </c>
      <c r="D978" t="s">
        <v>6512</v>
      </c>
      <c r="E978" t="s">
        <v>6513</v>
      </c>
      <c r="F978" t="s">
        <v>6514</v>
      </c>
      <c r="G978" t="s">
        <v>6239</v>
      </c>
      <c r="H978" t="s">
        <v>6515</v>
      </c>
      <c r="I978" t="s">
        <v>6241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2:20" x14ac:dyDescent="0.25">
      <c r="B979" t="s">
        <v>133</v>
      </c>
      <c r="C979" t="s">
        <v>3256</v>
      </c>
      <c r="D979" t="s">
        <v>6516</v>
      </c>
      <c r="E979" t="s">
        <v>6517</v>
      </c>
      <c r="F979" t="s">
        <v>6518</v>
      </c>
      <c r="G979" t="s">
        <v>6239</v>
      </c>
      <c r="H979" t="s">
        <v>6519</v>
      </c>
      <c r="I979" t="s">
        <v>6241</v>
      </c>
      <c r="K979">
        <v>1.7907299999999999</v>
      </c>
      <c r="L979">
        <v>1.34598</v>
      </c>
      <c r="M979">
        <v>1.15863</v>
      </c>
      <c r="N979">
        <v>1.02573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2:20" x14ac:dyDescent="0.25">
      <c r="B980" t="s">
        <v>133</v>
      </c>
      <c r="C980" t="s">
        <v>3256</v>
      </c>
      <c r="D980" t="s">
        <v>6520</v>
      </c>
      <c r="E980" t="s">
        <v>6521</v>
      </c>
      <c r="F980" t="s">
        <v>6522</v>
      </c>
      <c r="G980" t="s">
        <v>6239</v>
      </c>
      <c r="H980" t="s">
        <v>6240</v>
      </c>
      <c r="I980" t="s">
        <v>6241</v>
      </c>
      <c r="K980">
        <v>-1.57897</v>
      </c>
      <c r="L980">
        <v>-1.3927799999999999</v>
      </c>
      <c r="M980">
        <v>-1.3458399999999999</v>
      </c>
      <c r="N980">
        <v>-1.2942400000000001</v>
      </c>
      <c r="O980">
        <v>-1.26685</v>
      </c>
      <c r="P980">
        <v>-1.2578199999999999</v>
      </c>
      <c r="Q980">
        <v>-1.2772300000000001</v>
      </c>
      <c r="R980">
        <v>-1.29539</v>
      </c>
      <c r="S980">
        <v>-1.2606900000000001</v>
      </c>
      <c r="T980">
        <v>-1.28179</v>
      </c>
    </row>
    <row r="981" spans="2:20" x14ac:dyDescent="0.25">
      <c r="B981" t="s">
        <v>133</v>
      </c>
      <c r="C981" t="s">
        <v>3256</v>
      </c>
      <c r="D981" t="s">
        <v>6523</v>
      </c>
      <c r="E981" t="s">
        <v>6524</v>
      </c>
      <c r="F981" t="s">
        <v>6525</v>
      </c>
      <c r="K981">
        <v>2030</v>
      </c>
    </row>
    <row r="982" spans="2:20" x14ac:dyDescent="0.25">
      <c r="B982" t="s">
        <v>133</v>
      </c>
      <c r="C982" t="s">
        <v>3256</v>
      </c>
      <c r="D982" t="s">
        <v>6526</v>
      </c>
      <c r="E982" t="s">
        <v>6527</v>
      </c>
      <c r="F982" t="s">
        <v>6528</v>
      </c>
      <c r="K982" t="s">
        <v>660</v>
      </c>
    </row>
    <row r="983" spans="2:20" x14ac:dyDescent="0.25">
      <c r="B983" t="s">
        <v>133</v>
      </c>
      <c r="C983" t="s">
        <v>3256</v>
      </c>
      <c r="D983" t="s">
        <v>6529</v>
      </c>
      <c r="E983" t="s">
        <v>6530</v>
      </c>
      <c r="F983" t="s">
        <v>138</v>
      </c>
      <c r="G983" t="s">
        <v>6239</v>
      </c>
      <c r="H983" t="s">
        <v>6507</v>
      </c>
      <c r="I983" t="s">
        <v>6241</v>
      </c>
      <c r="K983">
        <v>0.39982415685807726</v>
      </c>
      <c r="L983">
        <v>0.65102170481328536</v>
      </c>
      <c r="M983">
        <v>0.76649592899825458</v>
      </c>
      <c r="N983">
        <v>0.67896751837859537</v>
      </c>
      <c r="O983">
        <v>0.60542427987333425</v>
      </c>
      <c r="P983">
        <v>0.54054172570349124</v>
      </c>
      <c r="Q983">
        <v>0.47818472949628854</v>
      </c>
      <c r="R983">
        <v>0.42004067028804459</v>
      </c>
      <c r="S983">
        <v>0.3503093180871466</v>
      </c>
      <c r="T983">
        <v>0.23407658346503302</v>
      </c>
    </row>
    <row r="984" spans="2:20" x14ac:dyDescent="0.25">
      <c r="B984" t="s">
        <v>133</v>
      </c>
      <c r="C984" t="s">
        <v>3256</v>
      </c>
      <c r="D984" t="s">
        <v>6531</v>
      </c>
      <c r="E984" t="s">
        <v>6532</v>
      </c>
      <c r="F984" t="s">
        <v>138</v>
      </c>
      <c r="G984" t="s">
        <v>6239</v>
      </c>
      <c r="H984" t="s">
        <v>6511</v>
      </c>
      <c r="I984" t="s">
        <v>6241</v>
      </c>
      <c r="K984">
        <v>2.9946584413658299</v>
      </c>
      <c r="L984">
        <v>1.8206704592896472</v>
      </c>
      <c r="M984">
        <v>1.3064769194703791</v>
      </c>
      <c r="N984">
        <v>1.0354761813901014</v>
      </c>
      <c r="O984">
        <v>0.81502928725905721</v>
      </c>
      <c r="P984">
        <v>0.67087659748505468</v>
      </c>
      <c r="Q984">
        <v>0.57020678259209479</v>
      </c>
      <c r="R984">
        <v>0.51252670897655417</v>
      </c>
      <c r="S984">
        <v>0.4134141168937201</v>
      </c>
      <c r="T984">
        <v>0.26483507067484902</v>
      </c>
    </row>
    <row r="985" spans="2:20" x14ac:dyDescent="0.25">
      <c r="B985" t="s">
        <v>133</v>
      </c>
      <c r="C985" t="s">
        <v>3256</v>
      </c>
      <c r="D985" t="s">
        <v>6533</v>
      </c>
      <c r="E985" t="s">
        <v>6534</v>
      </c>
      <c r="F985" t="s">
        <v>138</v>
      </c>
      <c r="G985" t="s">
        <v>6239</v>
      </c>
      <c r="H985" t="s">
        <v>6515</v>
      </c>
      <c r="I985" t="s">
        <v>6241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2:20" x14ac:dyDescent="0.25">
      <c r="B986" t="s">
        <v>133</v>
      </c>
      <c r="C986" t="s">
        <v>3256</v>
      </c>
      <c r="D986" t="s">
        <v>6535</v>
      </c>
      <c r="E986" t="s">
        <v>6536</v>
      </c>
      <c r="F986" t="s">
        <v>138</v>
      </c>
      <c r="G986" t="s">
        <v>6239</v>
      </c>
      <c r="H986" t="s">
        <v>6519</v>
      </c>
      <c r="I986" t="s">
        <v>6241</v>
      </c>
      <c r="K986">
        <v>1.7907294689264459</v>
      </c>
      <c r="L986">
        <v>1.3459770601039613</v>
      </c>
      <c r="M986">
        <v>1.1586320609513272</v>
      </c>
      <c r="N986">
        <v>1.0257306165996112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2:20" x14ac:dyDescent="0.25">
      <c r="B987" t="s">
        <v>133</v>
      </c>
      <c r="C987" t="s">
        <v>3256</v>
      </c>
      <c r="D987" t="s">
        <v>6537</v>
      </c>
      <c r="E987" t="s">
        <v>6538</v>
      </c>
      <c r="F987" t="s">
        <v>138</v>
      </c>
      <c r="G987" t="s">
        <v>6239</v>
      </c>
      <c r="H987" t="s">
        <v>6539</v>
      </c>
      <c r="I987" t="s">
        <v>6241</v>
      </c>
      <c r="K987">
        <v>5.1852120671503528</v>
      </c>
      <c r="L987">
        <v>3.8176692242068939</v>
      </c>
      <c r="M987">
        <v>3.2316049094199606</v>
      </c>
      <c r="N987">
        <v>2.7401743163683081</v>
      </c>
      <c r="O987">
        <v>1.4204535671323915</v>
      </c>
      <c r="P987">
        <v>1.2114183231885458</v>
      </c>
      <c r="Q987">
        <v>1.0483915120883833</v>
      </c>
      <c r="R987">
        <v>0.93256737926459876</v>
      </c>
      <c r="S987">
        <v>0.7637234349808667</v>
      </c>
      <c r="T987">
        <v>0.49891165413988203</v>
      </c>
    </row>
    <row r="988" spans="2:20" x14ac:dyDescent="0.25">
      <c r="B988" t="s">
        <v>133</v>
      </c>
      <c r="C988" t="s">
        <v>3256</v>
      </c>
      <c r="D988" t="s">
        <v>6540</v>
      </c>
      <c r="E988" t="s">
        <v>6541</v>
      </c>
      <c r="F988" t="s">
        <v>138</v>
      </c>
      <c r="G988" t="s">
        <v>6239</v>
      </c>
      <c r="H988" t="s">
        <v>6507</v>
      </c>
      <c r="I988" t="s">
        <v>6241</v>
      </c>
      <c r="K988">
        <v>0.42277168004969978</v>
      </c>
      <c r="L988">
        <v>0.69435563708580572</v>
      </c>
      <c r="M988">
        <v>0.82362884116347646</v>
      </c>
      <c r="N988">
        <v>0.73463273399547691</v>
      </c>
      <c r="O988">
        <v>0.661556754538563</v>
      </c>
      <c r="P988">
        <v>0.59565466516779031</v>
      </c>
      <c r="Q988">
        <v>0.53289654505062511</v>
      </c>
      <c r="R988">
        <v>0.46976740683265367</v>
      </c>
      <c r="S988">
        <v>0.40117790485820559</v>
      </c>
      <c r="T988">
        <v>0.27902434749651056</v>
      </c>
    </row>
    <row r="989" spans="2:20" x14ac:dyDescent="0.25">
      <c r="B989" t="s">
        <v>133</v>
      </c>
      <c r="C989" t="s">
        <v>3256</v>
      </c>
      <c r="D989" t="s">
        <v>6542</v>
      </c>
      <c r="E989" t="s">
        <v>6543</v>
      </c>
      <c r="F989" t="s">
        <v>138</v>
      </c>
      <c r="G989" t="s">
        <v>6239</v>
      </c>
      <c r="H989" t="s">
        <v>6511</v>
      </c>
      <c r="I989" t="s">
        <v>6241</v>
      </c>
      <c r="K989">
        <v>3.8473449731945579</v>
      </c>
      <c r="L989">
        <v>2.435729675564398</v>
      </c>
      <c r="M989">
        <v>1.8778064512144668</v>
      </c>
      <c r="N989">
        <v>1.5000367161093699</v>
      </c>
      <c r="O989">
        <v>1.2468455598310779</v>
      </c>
      <c r="P989">
        <v>1.054343588713893</v>
      </c>
      <c r="Q989">
        <v>0.87994773547559124</v>
      </c>
      <c r="R989">
        <v>0.80782187412575035</v>
      </c>
      <c r="S989">
        <v>0.70934337502664779</v>
      </c>
      <c r="T989">
        <v>0.51534312747235556</v>
      </c>
    </row>
    <row r="990" spans="2:20" x14ac:dyDescent="0.25">
      <c r="B990" t="s">
        <v>133</v>
      </c>
      <c r="C990" t="s">
        <v>3256</v>
      </c>
      <c r="D990" t="s">
        <v>6544</v>
      </c>
      <c r="E990" t="s">
        <v>6545</v>
      </c>
      <c r="F990" t="s">
        <v>138</v>
      </c>
      <c r="G990" t="s">
        <v>6239</v>
      </c>
      <c r="H990" t="s">
        <v>6515</v>
      </c>
      <c r="I990" t="s">
        <v>6241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2:20" x14ac:dyDescent="0.25">
      <c r="B991" t="s">
        <v>133</v>
      </c>
      <c r="C991" t="s">
        <v>3256</v>
      </c>
      <c r="D991" t="s">
        <v>6546</v>
      </c>
      <c r="E991" t="s">
        <v>6547</v>
      </c>
      <c r="F991" t="s">
        <v>138</v>
      </c>
      <c r="G991" t="s">
        <v>6239</v>
      </c>
      <c r="H991" t="s">
        <v>6519</v>
      </c>
      <c r="I991" t="s">
        <v>6241</v>
      </c>
      <c r="K991">
        <v>1.8935066656346928</v>
      </c>
      <c r="L991">
        <v>1.4355692785072471</v>
      </c>
      <c r="M991">
        <v>1.2449939335533835</v>
      </c>
      <c r="N991">
        <v>1.1098252373175588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2:20" x14ac:dyDescent="0.25">
      <c r="B992" t="s">
        <v>133</v>
      </c>
      <c r="C992" t="s">
        <v>3256</v>
      </c>
      <c r="D992" t="s">
        <v>6548</v>
      </c>
      <c r="E992" t="s">
        <v>6549</v>
      </c>
      <c r="F992" t="s">
        <v>138</v>
      </c>
      <c r="G992" t="s">
        <v>6239</v>
      </c>
      <c r="H992" t="s">
        <v>6539</v>
      </c>
      <c r="I992" t="s">
        <v>6241</v>
      </c>
      <c r="K992">
        <v>6.1636233188789502</v>
      </c>
      <c r="L992">
        <v>4.5656545911574504</v>
      </c>
      <c r="M992">
        <v>3.9464292259313267</v>
      </c>
      <c r="N992">
        <v>3.3444946874224057</v>
      </c>
      <c r="O992">
        <v>1.9084023143696409</v>
      </c>
      <c r="P992">
        <v>1.6499982538816833</v>
      </c>
      <c r="Q992">
        <v>1.4128442805262162</v>
      </c>
      <c r="R992">
        <v>1.277589280958404</v>
      </c>
      <c r="S992">
        <v>1.1105212798848534</v>
      </c>
      <c r="T992">
        <v>0.79436747496886606</v>
      </c>
    </row>
    <row r="993" spans="2:20" x14ac:dyDescent="0.25">
      <c r="B993" t="s">
        <v>133</v>
      </c>
      <c r="C993" t="s">
        <v>3256</v>
      </c>
      <c r="D993" t="s">
        <v>6550</v>
      </c>
      <c r="E993" t="s">
        <v>6551</v>
      </c>
      <c r="F993" t="s">
        <v>138</v>
      </c>
      <c r="G993" t="s">
        <v>6239</v>
      </c>
      <c r="H993" t="s">
        <v>6507</v>
      </c>
      <c r="I993" t="s">
        <v>6241</v>
      </c>
      <c r="K993">
        <v>0.36353683722629432</v>
      </c>
      <c r="L993">
        <v>0.58866109043522163</v>
      </c>
      <c r="M993">
        <v>0.69008743097956826</v>
      </c>
      <c r="N993">
        <v>0.60353357921429485</v>
      </c>
      <c r="O993">
        <v>0.53969434209664435</v>
      </c>
      <c r="P993">
        <v>0.47592503281870996</v>
      </c>
      <c r="Q993">
        <v>0.42631666585910388</v>
      </c>
      <c r="R993">
        <v>0.36664938449491602</v>
      </c>
      <c r="S993">
        <v>0.30925703129821097</v>
      </c>
      <c r="T993">
        <v>0.20645709166473791</v>
      </c>
    </row>
    <row r="994" spans="2:20" x14ac:dyDescent="0.25">
      <c r="B994" t="s">
        <v>133</v>
      </c>
      <c r="C994" t="s">
        <v>3256</v>
      </c>
      <c r="D994" t="s">
        <v>6552</v>
      </c>
      <c r="E994" t="s">
        <v>6553</v>
      </c>
      <c r="F994" t="s">
        <v>138</v>
      </c>
      <c r="G994" t="s">
        <v>6239</v>
      </c>
      <c r="H994" t="s">
        <v>6511</v>
      </c>
      <c r="I994" t="s">
        <v>6241</v>
      </c>
      <c r="K994">
        <v>1.5816788188718991</v>
      </c>
      <c r="L994">
        <v>0.88458613681279707</v>
      </c>
      <c r="M994">
        <v>0.65176963622778761</v>
      </c>
      <c r="N994">
        <v>0.49546844475828128</v>
      </c>
      <c r="O994">
        <v>0.35970782487171477</v>
      </c>
      <c r="P994">
        <v>0.30520629921143877</v>
      </c>
      <c r="Q994">
        <v>0.29166539659950236</v>
      </c>
      <c r="R994">
        <v>0.26245647118190429</v>
      </c>
      <c r="S994">
        <v>0.23311316643473881</v>
      </c>
      <c r="T994">
        <v>0.17410646134659893</v>
      </c>
    </row>
    <row r="995" spans="2:20" x14ac:dyDescent="0.25">
      <c r="B995" t="s">
        <v>133</v>
      </c>
      <c r="C995" t="s">
        <v>3256</v>
      </c>
      <c r="D995" t="s">
        <v>6554</v>
      </c>
      <c r="E995" t="s">
        <v>6555</v>
      </c>
      <c r="F995" t="s">
        <v>138</v>
      </c>
      <c r="G995" t="s">
        <v>6239</v>
      </c>
      <c r="H995" t="s">
        <v>6515</v>
      </c>
      <c r="I995" t="s">
        <v>6241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2:20" x14ac:dyDescent="0.25">
      <c r="B996" t="s">
        <v>133</v>
      </c>
      <c r="C996" t="s">
        <v>3256</v>
      </c>
      <c r="D996" t="s">
        <v>6556</v>
      </c>
      <c r="E996" t="s">
        <v>6557</v>
      </c>
      <c r="F996" t="s">
        <v>138</v>
      </c>
      <c r="G996" t="s">
        <v>6239</v>
      </c>
      <c r="H996" t="s">
        <v>6519</v>
      </c>
      <c r="I996" t="s">
        <v>6241</v>
      </c>
      <c r="K996">
        <v>1.6282060908403826</v>
      </c>
      <c r="L996">
        <v>1.2170474779006524</v>
      </c>
      <c r="M996">
        <v>1.0431332928766079</v>
      </c>
      <c r="N996">
        <v>0.9117709663407737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2:20" x14ac:dyDescent="0.25">
      <c r="B997" t="s">
        <v>133</v>
      </c>
      <c r="C997" t="s">
        <v>3256</v>
      </c>
      <c r="D997" t="s">
        <v>6558</v>
      </c>
      <c r="E997" t="s">
        <v>6559</v>
      </c>
      <c r="F997" t="s">
        <v>138</v>
      </c>
      <c r="G997" t="s">
        <v>6239</v>
      </c>
      <c r="H997" t="s">
        <v>6539</v>
      </c>
      <c r="I997" t="s">
        <v>6241</v>
      </c>
      <c r="K997">
        <v>3.5734217469385761</v>
      </c>
      <c r="L997">
        <v>2.6902947051486712</v>
      </c>
      <c r="M997">
        <v>2.3849903600839637</v>
      </c>
      <c r="N997">
        <v>2.0107729903133498</v>
      </c>
      <c r="O997">
        <v>0.89940216696835917</v>
      </c>
      <c r="P997">
        <v>0.78113133203014873</v>
      </c>
      <c r="Q997">
        <v>0.71798206245860619</v>
      </c>
      <c r="R997">
        <v>0.62910585567682031</v>
      </c>
      <c r="S997">
        <v>0.54237019773294981</v>
      </c>
      <c r="T997">
        <v>0.38056355301133682</v>
      </c>
    </row>
    <row r="998" spans="2:20" x14ac:dyDescent="0.25">
      <c r="B998" t="s">
        <v>133</v>
      </c>
      <c r="C998" t="s">
        <v>3256</v>
      </c>
      <c r="D998" t="s">
        <v>6560</v>
      </c>
      <c r="E998" t="s">
        <v>6478</v>
      </c>
      <c r="F998" t="s">
        <v>6479</v>
      </c>
      <c r="G998" t="s">
        <v>6239</v>
      </c>
      <c r="H998" t="s">
        <v>6440</v>
      </c>
      <c r="K998">
        <v>0.13354238405787597</v>
      </c>
    </row>
    <row r="999" spans="2:20" x14ac:dyDescent="0.25">
      <c r="B999" t="s">
        <v>133</v>
      </c>
      <c r="C999" t="s">
        <v>3256</v>
      </c>
      <c r="D999" t="s">
        <v>6561</v>
      </c>
      <c r="E999" t="s">
        <v>6475</v>
      </c>
      <c r="F999" t="s">
        <v>6476</v>
      </c>
      <c r="G999" t="s">
        <v>6239</v>
      </c>
      <c r="H999" t="s">
        <v>6440</v>
      </c>
      <c r="K999">
        <v>0.12364902813408482</v>
      </c>
    </row>
    <row r="1000" spans="2:20" x14ac:dyDescent="0.25">
      <c r="B1000" t="s">
        <v>133</v>
      </c>
      <c r="C1000" t="s">
        <v>3256</v>
      </c>
      <c r="D1000" t="s">
        <v>6562</v>
      </c>
      <c r="E1000" t="s">
        <v>6481</v>
      </c>
      <c r="F1000" t="s">
        <v>6482</v>
      </c>
      <c r="G1000" t="s">
        <v>6239</v>
      </c>
      <c r="H1000" t="s">
        <v>6440</v>
      </c>
      <c r="K1000">
        <v>0.15223019650022326</v>
      </c>
    </row>
    <row r="1001" spans="2:20" x14ac:dyDescent="0.25">
      <c r="B1001" t="s">
        <v>133</v>
      </c>
      <c r="C1001" t="s">
        <v>3256</v>
      </c>
      <c r="D1001" t="s">
        <v>6563</v>
      </c>
      <c r="E1001" t="s">
        <v>6469</v>
      </c>
      <c r="F1001" t="s">
        <v>6470</v>
      </c>
      <c r="G1001" t="s">
        <v>6239</v>
      </c>
      <c r="H1001" t="s">
        <v>6440</v>
      </c>
      <c r="K1001">
        <v>0.13537021210822292</v>
      </c>
    </row>
    <row r="1002" spans="2:20" x14ac:dyDescent="0.25">
      <c r="B1002" t="s">
        <v>133</v>
      </c>
      <c r="C1002" t="s">
        <v>3256</v>
      </c>
      <c r="D1002" t="s">
        <v>6564</v>
      </c>
      <c r="E1002" t="s">
        <v>6484</v>
      </c>
      <c r="F1002" t="s">
        <v>6485</v>
      </c>
      <c r="G1002" t="s">
        <v>6239</v>
      </c>
      <c r="H1002" t="s">
        <v>6440</v>
      </c>
      <c r="K1002">
        <v>0.11567671242595694</v>
      </c>
    </row>
    <row r="1003" spans="2:20" x14ac:dyDescent="0.25">
      <c r="B1003" t="s">
        <v>133</v>
      </c>
      <c r="C1003" t="s">
        <v>3256</v>
      </c>
      <c r="D1003" t="s">
        <v>6565</v>
      </c>
      <c r="E1003" t="s">
        <v>6463</v>
      </c>
      <c r="F1003" t="s">
        <v>6464</v>
      </c>
      <c r="G1003" t="s">
        <v>6239</v>
      </c>
      <c r="H1003" t="s">
        <v>6440</v>
      </c>
      <c r="K1003">
        <v>0.33237183170956924</v>
      </c>
    </row>
    <row r="1004" spans="2:20" x14ac:dyDescent="0.25">
      <c r="B1004" t="s">
        <v>133</v>
      </c>
      <c r="C1004" t="s">
        <v>3256</v>
      </c>
      <c r="D1004" t="s">
        <v>6566</v>
      </c>
      <c r="E1004" t="s">
        <v>6466</v>
      </c>
      <c r="F1004" t="s">
        <v>6467</v>
      </c>
      <c r="G1004" t="s">
        <v>6239</v>
      </c>
      <c r="H1004" t="s">
        <v>6440</v>
      </c>
      <c r="K1004">
        <v>0.80685513588684887</v>
      </c>
    </row>
    <row r="1005" spans="2:20" x14ac:dyDescent="0.25">
      <c r="B1005" t="s">
        <v>133</v>
      </c>
      <c r="C1005" t="s">
        <v>3256</v>
      </c>
      <c r="D1005" t="s">
        <v>6567</v>
      </c>
      <c r="E1005" t="s">
        <v>6502</v>
      </c>
      <c r="F1005" t="s">
        <v>6503</v>
      </c>
      <c r="G1005" t="s">
        <v>6239</v>
      </c>
      <c r="H1005" t="s">
        <v>6440</v>
      </c>
      <c r="K1005">
        <v>0.54388246171904231</v>
      </c>
    </row>
    <row r="1006" spans="2:20" x14ac:dyDescent="0.25">
      <c r="B1006" t="s">
        <v>133</v>
      </c>
      <c r="C1006" t="s">
        <v>3256</v>
      </c>
      <c r="D1006" t="s">
        <v>6568</v>
      </c>
      <c r="E1006" t="s">
        <v>6499</v>
      </c>
      <c r="F1006" t="s">
        <v>6500</v>
      </c>
      <c r="G1006" t="s">
        <v>6239</v>
      </c>
      <c r="H1006" t="s">
        <v>6440</v>
      </c>
      <c r="K1006">
        <v>0.12753516074963542</v>
      </c>
    </row>
    <row r="1007" spans="2:20" x14ac:dyDescent="0.25">
      <c r="B1007" t="s">
        <v>133</v>
      </c>
      <c r="C1007" t="s">
        <v>3256</v>
      </c>
      <c r="D1007" t="s">
        <v>6569</v>
      </c>
      <c r="E1007" t="s">
        <v>6490</v>
      </c>
      <c r="F1007" t="s">
        <v>6491</v>
      </c>
      <c r="G1007" t="s">
        <v>6239</v>
      </c>
      <c r="H1007" t="s">
        <v>6440</v>
      </c>
      <c r="K1007">
        <v>0.24499403133789502</v>
      </c>
    </row>
    <row r="1008" spans="2:20" x14ac:dyDescent="0.25">
      <c r="B1008" t="s">
        <v>133</v>
      </c>
      <c r="C1008" t="s">
        <v>3256</v>
      </c>
      <c r="D1008" t="s">
        <v>6570</v>
      </c>
      <c r="E1008" t="s">
        <v>6472</v>
      </c>
      <c r="F1008" t="s">
        <v>6473</v>
      </c>
      <c r="G1008" t="s">
        <v>6239</v>
      </c>
      <c r="H1008" t="s">
        <v>6440</v>
      </c>
      <c r="K1008">
        <v>5.0177313929471196E-2</v>
      </c>
    </row>
    <row r="1009" spans="2:12" x14ac:dyDescent="0.25">
      <c r="B1009" t="s">
        <v>133</v>
      </c>
      <c r="C1009" t="s">
        <v>3256</v>
      </c>
      <c r="D1009" t="s">
        <v>6571</v>
      </c>
      <c r="E1009" t="s">
        <v>6493</v>
      </c>
      <c r="F1009" t="s">
        <v>6494</v>
      </c>
      <c r="G1009" t="s">
        <v>6239</v>
      </c>
      <c r="H1009" t="s">
        <v>6440</v>
      </c>
      <c r="K1009">
        <v>0.35357202901257612</v>
      </c>
    </row>
    <row r="1010" spans="2:12" x14ac:dyDescent="0.25">
      <c r="B1010" t="s">
        <v>133</v>
      </c>
      <c r="C1010" t="s">
        <v>3256</v>
      </c>
      <c r="D1010" t="s">
        <v>6572</v>
      </c>
      <c r="E1010" t="s">
        <v>6496</v>
      </c>
      <c r="F1010" t="s">
        <v>6497</v>
      </c>
      <c r="G1010" t="s">
        <v>6239</v>
      </c>
      <c r="H1010" t="s">
        <v>6440</v>
      </c>
      <c r="K1010">
        <v>0.11142897916232178</v>
      </c>
    </row>
    <row r="1011" spans="2:12" x14ac:dyDescent="0.25">
      <c r="B1011" t="s">
        <v>133</v>
      </c>
      <c r="C1011" t="s">
        <v>3256</v>
      </c>
      <c r="D1011" t="s">
        <v>3170</v>
      </c>
      <c r="E1011" t="s">
        <v>6487</v>
      </c>
      <c r="F1011" t="s">
        <v>6488</v>
      </c>
      <c r="G1011" t="s">
        <v>6239</v>
      </c>
      <c r="H1011" t="s">
        <v>6440</v>
      </c>
      <c r="K1011">
        <v>5.7497323130182139E-2</v>
      </c>
    </row>
    <row r="1012" spans="2:12" x14ac:dyDescent="0.25">
      <c r="B1012" t="s">
        <v>133</v>
      </c>
      <c r="C1012" t="s">
        <v>3256</v>
      </c>
      <c r="D1012" t="s">
        <v>6573</v>
      </c>
      <c r="E1012" t="s">
        <v>6574</v>
      </c>
      <c r="F1012" t="s">
        <v>6575</v>
      </c>
      <c r="G1012" t="s">
        <v>6239</v>
      </c>
      <c r="K1012">
        <v>0.791052269564121</v>
      </c>
      <c r="L1012">
        <v>0.791052269564121</v>
      </c>
    </row>
    <row r="1013" spans="2:12" x14ac:dyDescent="0.25">
      <c r="B1013" t="s">
        <v>133</v>
      </c>
      <c r="C1013" t="s">
        <v>3256</v>
      </c>
      <c r="D1013" t="s">
        <v>6576</v>
      </c>
      <c r="E1013" t="s">
        <v>6577</v>
      </c>
      <c r="F1013" t="s">
        <v>6578</v>
      </c>
      <c r="G1013" t="s">
        <v>6239</v>
      </c>
      <c r="K1013">
        <v>0.14052836898374613</v>
      </c>
      <c r="L1013">
        <v>0.14052836898374613</v>
      </c>
    </row>
    <row r="1014" spans="2:12" x14ac:dyDescent="0.25">
      <c r="B1014" t="s">
        <v>133</v>
      </c>
      <c r="C1014" t="s">
        <v>3256</v>
      </c>
      <c r="D1014" t="s">
        <v>1113</v>
      </c>
      <c r="E1014" t="s">
        <v>6579</v>
      </c>
      <c r="F1014" t="s">
        <v>6580</v>
      </c>
      <c r="G1014" t="s">
        <v>6239</v>
      </c>
      <c r="K1014">
        <v>0.10052482658584168</v>
      </c>
      <c r="L1014">
        <v>0.10052482658584168</v>
      </c>
    </row>
    <row r="1015" spans="2:12" x14ac:dyDescent="0.25">
      <c r="B1015" t="s">
        <v>133</v>
      </c>
      <c r="C1015" t="s">
        <v>3256</v>
      </c>
      <c r="D1015" t="s">
        <v>873</v>
      </c>
      <c r="E1015" t="s">
        <v>6581</v>
      </c>
      <c r="F1015" t="s">
        <v>6582</v>
      </c>
      <c r="G1015" t="s">
        <v>6239</v>
      </c>
      <c r="K1015">
        <v>0.23376431184784824</v>
      </c>
      <c r="L1015">
        <v>0.23376431184784824</v>
      </c>
    </row>
    <row r="1016" spans="2:12" x14ac:dyDescent="0.25">
      <c r="B1016" t="s">
        <v>133</v>
      </c>
      <c r="C1016" t="s">
        <v>3256</v>
      </c>
      <c r="D1016" t="s">
        <v>871</v>
      </c>
      <c r="E1016" t="s">
        <v>6583</v>
      </c>
      <c r="F1016" t="s">
        <v>6584</v>
      </c>
      <c r="G1016" t="s">
        <v>6239</v>
      </c>
      <c r="K1016">
        <v>0.2871445551208433</v>
      </c>
      <c r="L1016">
        <v>0.2871445551208433</v>
      </c>
    </row>
    <row r="1017" spans="2:12" x14ac:dyDescent="0.25">
      <c r="B1017" t="s">
        <v>133</v>
      </c>
      <c r="C1017" t="s">
        <v>3256</v>
      </c>
      <c r="D1017" t="s">
        <v>6585</v>
      </c>
      <c r="E1017" t="s">
        <v>6586</v>
      </c>
      <c r="F1017" t="s">
        <v>6587</v>
      </c>
      <c r="G1017" t="s">
        <v>6239</v>
      </c>
      <c r="K1017">
        <v>0.68845197304463968</v>
      </c>
      <c r="L1017">
        <v>0.68845197304463968</v>
      </c>
    </row>
    <row r="1018" spans="2:12" x14ac:dyDescent="0.25">
      <c r="B1018" t="s">
        <v>133</v>
      </c>
      <c r="C1018" t="s">
        <v>3256</v>
      </c>
      <c r="D1018" t="s">
        <v>6588</v>
      </c>
      <c r="E1018" t="s">
        <v>6589</v>
      </c>
      <c r="F1018" t="s">
        <v>6590</v>
      </c>
      <c r="G1018" t="s">
        <v>6239</v>
      </c>
      <c r="K1018">
        <v>0.17136611109910183</v>
      </c>
      <c r="L1018">
        <v>0.17136611109910183</v>
      </c>
    </row>
    <row r="1019" spans="2:12" x14ac:dyDescent="0.25">
      <c r="B1019" t="s">
        <v>133</v>
      </c>
      <c r="C1019" t="s">
        <v>3256</v>
      </c>
      <c r="D1019" t="s">
        <v>870</v>
      </c>
      <c r="E1019" t="s">
        <v>6591</v>
      </c>
      <c r="F1019" t="s">
        <v>6592</v>
      </c>
      <c r="G1019" t="s">
        <v>6239</v>
      </c>
      <c r="K1019">
        <v>0.49782339099926842</v>
      </c>
      <c r="L1019">
        <v>0.49782339099926842</v>
      </c>
    </row>
    <row r="1020" spans="2:12" x14ac:dyDescent="0.25">
      <c r="B1020" t="s">
        <v>133</v>
      </c>
      <c r="C1020" t="s">
        <v>3256</v>
      </c>
      <c r="D1020" t="s">
        <v>112</v>
      </c>
      <c r="E1020" t="s">
        <v>6593</v>
      </c>
      <c r="F1020" t="s">
        <v>6594</v>
      </c>
      <c r="G1020" t="s">
        <v>6239</v>
      </c>
      <c r="K1020">
        <v>0.24219379763870108</v>
      </c>
      <c r="L1020">
        <v>0.24219379763870108</v>
      </c>
    </row>
    <row r="1021" spans="2:12" x14ac:dyDescent="0.25">
      <c r="B1021" t="s">
        <v>133</v>
      </c>
      <c r="C1021" t="s">
        <v>3256</v>
      </c>
      <c r="D1021" t="s">
        <v>6595</v>
      </c>
      <c r="E1021" t="s">
        <v>6596</v>
      </c>
      <c r="F1021" t="s">
        <v>6597</v>
      </c>
      <c r="G1021" t="s">
        <v>6239</v>
      </c>
      <c r="K1021">
        <v>0.60274929658224219</v>
      </c>
      <c r="L1021">
        <v>0.60274929658224219</v>
      </c>
    </row>
    <row r="1022" spans="2:12" x14ac:dyDescent="0.25">
      <c r="B1022" t="s">
        <v>133</v>
      </c>
      <c r="C1022" t="s">
        <v>3256</v>
      </c>
      <c r="D1022" t="s">
        <v>232</v>
      </c>
      <c r="E1022" t="s">
        <v>6598</v>
      </c>
      <c r="F1022" t="s">
        <v>6599</v>
      </c>
      <c r="G1022" t="s">
        <v>6239</v>
      </c>
      <c r="K1022">
        <v>0.12578353120490254</v>
      </c>
      <c r="L1022">
        <v>0.12578353120490254</v>
      </c>
    </row>
    <row r="1023" spans="2:12" x14ac:dyDescent="0.25">
      <c r="B1023" t="s">
        <v>133</v>
      </c>
      <c r="C1023" t="s">
        <v>3256</v>
      </c>
      <c r="D1023" t="s">
        <v>32</v>
      </c>
      <c r="E1023" t="s">
        <v>6600</v>
      </c>
      <c r="F1023" t="s">
        <v>6601</v>
      </c>
      <c r="G1023" t="s">
        <v>6239</v>
      </c>
    </row>
    <row r="1024" spans="2:12" x14ac:dyDescent="0.25">
      <c r="B1024" t="s">
        <v>133</v>
      </c>
      <c r="C1024" t="s">
        <v>3256</v>
      </c>
      <c r="D1024" t="s">
        <v>6573</v>
      </c>
      <c r="E1024" t="s">
        <v>6602</v>
      </c>
      <c r="F1024" t="s">
        <v>6603</v>
      </c>
      <c r="G1024" t="s">
        <v>6239</v>
      </c>
      <c r="K1024">
        <v>0.791052269564121</v>
      </c>
      <c r="L1024">
        <v>0.791052269564121</v>
      </c>
    </row>
    <row r="1025" spans="2:30" x14ac:dyDescent="0.25">
      <c r="B1025" t="s">
        <v>133</v>
      </c>
      <c r="C1025" t="s">
        <v>3256</v>
      </c>
      <c r="D1025" t="s">
        <v>6595</v>
      </c>
      <c r="E1025" t="s">
        <v>6604</v>
      </c>
      <c r="F1025" t="s">
        <v>6605</v>
      </c>
      <c r="G1025" t="s">
        <v>6239</v>
      </c>
      <c r="K1025">
        <v>0.68845197304463968</v>
      </c>
      <c r="L1025">
        <v>0.68845197304463968</v>
      </c>
    </row>
    <row r="1026" spans="2:30" x14ac:dyDescent="0.25">
      <c r="B1026" t="s">
        <v>133</v>
      </c>
      <c r="C1026" t="s">
        <v>3256</v>
      </c>
      <c r="D1026" t="s">
        <v>112</v>
      </c>
      <c r="E1026" t="s">
        <v>6606</v>
      </c>
      <c r="F1026" t="s">
        <v>6607</v>
      </c>
      <c r="G1026" t="s">
        <v>6239</v>
      </c>
      <c r="K1026">
        <v>0.60274929658224219</v>
      </c>
      <c r="L1026">
        <v>0.60274929658224219</v>
      </c>
    </row>
    <row r="1027" spans="2:30" x14ac:dyDescent="0.25">
      <c r="B1027" t="s">
        <v>133</v>
      </c>
      <c r="C1027" t="s">
        <v>3256</v>
      </c>
      <c r="D1027" t="s">
        <v>6585</v>
      </c>
      <c r="E1027" t="s">
        <v>6608</v>
      </c>
      <c r="F1027" t="s">
        <v>6609</v>
      </c>
      <c r="G1027" t="s">
        <v>6239</v>
      </c>
      <c r="K1027">
        <v>0.49782339099926842</v>
      </c>
      <c r="L1027">
        <v>0.49782339099926842</v>
      </c>
    </row>
    <row r="1028" spans="2:30" x14ac:dyDescent="0.25">
      <c r="B1028" t="s">
        <v>133</v>
      </c>
      <c r="C1028" t="s">
        <v>3256</v>
      </c>
      <c r="D1028" t="s">
        <v>870</v>
      </c>
      <c r="E1028" t="s">
        <v>6610</v>
      </c>
      <c r="F1028" t="s">
        <v>6611</v>
      </c>
      <c r="G1028" t="s">
        <v>6239</v>
      </c>
      <c r="K1028">
        <v>0.2871445551208433</v>
      </c>
      <c r="L1028">
        <v>0.2871445551208433</v>
      </c>
    </row>
    <row r="1029" spans="2:30" x14ac:dyDescent="0.25">
      <c r="B1029" t="s">
        <v>133</v>
      </c>
      <c r="C1029" t="s">
        <v>3256</v>
      </c>
      <c r="D1029" t="s">
        <v>6588</v>
      </c>
      <c r="E1029" t="s">
        <v>6612</v>
      </c>
      <c r="F1029" t="s">
        <v>6613</v>
      </c>
      <c r="G1029" t="s">
        <v>6239</v>
      </c>
      <c r="K1029">
        <v>0.24219379763870108</v>
      </c>
      <c r="L1029">
        <v>0.24219379763870108</v>
      </c>
    </row>
    <row r="1030" spans="2:30" x14ac:dyDescent="0.25">
      <c r="B1030" t="s">
        <v>133</v>
      </c>
      <c r="C1030" t="s">
        <v>3256</v>
      </c>
      <c r="D1030" t="s">
        <v>6576</v>
      </c>
      <c r="E1030" t="s">
        <v>6614</v>
      </c>
      <c r="F1030" t="s">
        <v>6615</v>
      </c>
      <c r="G1030" t="s">
        <v>6239</v>
      </c>
      <c r="K1030">
        <v>0.23376431184784824</v>
      </c>
      <c r="L1030">
        <v>0.23376431184784824</v>
      </c>
    </row>
    <row r="1031" spans="2:30" x14ac:dyDescent="0.25">
      <c r="B1031" t="s">
        <v>133</v>
      </c>
      <c r="C1031" t="s">
        <v>3256</v>
      </c>
      <c r="D1031" t="s">
        <v>871</v>
      </c>
      <c r="E1031" t="s">
        <v>6616</v>
      </c>
      <c r="F1031" t="s">
        <v>6617</v>
      </c>
      <c r="G1031" t="s">
        <v>6239</v>
      </c>
      <c r="K1031">
        <v>0.17136611109910183</v>
      </c>
      <c r="L1031">
        <v>0.17136611109910183</v>
      </c>
    </row>
    <row r="1032" spans="2:30" x14ac:dyDescent="0.25">
      <c r="B1032" t="s">
        <v>133</v>
      </c>
      <c r="C1032" t="s">
        <v>3256</v>
      </c>
      <c r="D1032" t="s">
        <v>232</v>
      </c>
      <c r="E1032" t="s">
        <v>6618</v>
      </c>
      <c r="F1032" t="s">
        <v>6619</v>
      </c>
      <c r="G1032" t="s">
        <v>6239</v>
      </c>
      <c r="K1032">
        <v>0.14052836898374613</v>
      </c>
      <c r="L1032">
        <v>0.14052836898374613</v>
      </c>
    </row>
    <row r="1033" spans="2:30" x14ac:dyDescent="0.25">
      <c r="B1033" t="s">
        <v>133</v>
      </c>
      <c r="C1033" t="s">
        <v>3256</v>
      </c>
      <c r="D1033" t="s">
        <v>873</v>
      </c>
      <c r="E1033" t="s">
        <v>6620</v>
      </c>
      <c r="F1033" t="s">
        <v>6621</v>
      </c>
      <c r="G1033" t="s">
        <v>6239</v>
      </c>
      <c r="K1033">
        <v>0.12578353120490254</v>
      </c>
      <c r="L1033">
        <v>0.12578353120490254</v>
      </c>
    </row>
    <row r="1034" spans="2:30" x14ac:dyDescent="0.25">
      <c r="B1034" t="s">
        <v>133</v>
      </c>
      <c r="C1034" t="s">
        <v>3256</v>
      </c>
      <c r="D1034" t="s">
        <v>1113</v>
      </c>
      <c r="E1034" t="s">
        <v>6622</v>
      </c>
      <c r="F1034" t="s">
        <v>6623</v>
      </c>
      <c r="G1034" t="s">
        <v>6239</v>
      </c>
      <c r="K1034">
        <v>0.10052482658584168</v>
      </c>
      <c r="L1034">
        <v>0.10052482658584168</v>
      </c>
      <c r="W1034" s="130"/>
      <c r="X1034" s="130"/>
      <c r="Y1034" s="130"/>
      <c r="Z1034" s="130"/>
      <c r="AA1034" s="130"/>
      <c r="AB1034" s="130"/>
      <c r="AC1034" s="130"/>
      <c r="AD1034" s="130"/>
    </row>
    <row r="1035" spans="2:30" x14ac:dyDescent="0.25">
      <c r="B1035" t="s">
        <v>133</v>
      </c>
      <c r="C1035" t="s">
        <v>3256</v>
      </c>
      <c r="D1035" t="s">
        <v>6624</v>
      </c>
      <c r="E1035" t="s">
        <v>6625</v>
      </c>
      <c r="F1035" t="s">
        <v>6626</v>
      </c>
      <c r="G1035" t="s">
        <v>3890</v>
      </c>
      <c r="H1035" t="s">
        <v>6627</v>
      </c>
      <c r="K1035">
        <v>1.0009999999999999</v>
      </c>
      <c r="L1035">
        <v>1.0009999999999999</v>
      </c>
      <c r="M1035">
        <v>0.995</v>
      </c>
      <c r="N1035">
        <v>0.99199999999999999</v>
      </c>
      <c r="O1035">
        <v>0.98199999999999998</v>
      </c>
      <c r="P1035">
        <v>0.97599999999999998</v>
      </c>
      <c r="Q1035">
        <v>0.96699999999999997</v>
      </c>
      <c r="R1035">
        <v>0.95599999999999996</v>
      </c>
      <c r="S1035">
        <v>0.94599999999999995</v>
      </c>
      <c r="T1035">
        <v>0.94</v>
      </c>
      <c r="U1035">
        <v>0.93799999999999994</v>
      </c>
      <c r="V1035">
        <v>0.93500000000000005</v>
      </c>
      <c r="W1035" s="130">
        <v>0.93200000000000005</v>
      </c>
      <c r="X1035" s="130">
        <v>0.93</v>
      </c>
      <c r="Y1035" s="130">
        <v>0.92800000000000005</v>
      </c>
      <c r="Z1035" s="130">
        <v>0.92600000000000005</v>
      </c>
      <c r="AA1035" s="130">
        <v>0.92400000000000004</v>
      </c>
      <c r="AB1035" s="130">
        <v>0.92200000000000004</v>
      </c>
      <c r="AC1035" s="130">
        <v>0.92100000000000004</v>
      </c>
      <c r="AD1035" s="130">
        <v>0.92</v>
      </c>
    </row>
    <row r="1036" spans="2:30" x14ac:dyDescent="0.25">
      <c r="B1036" t="s">
        <v>133</v>
      </c>
      <c r="C1036" t="s">
        <v>3256</v>
      </c>
      <c r="D1036" t="s">
        <v>6628</v>
      </c>
      <c r="E1036" t="s">
        <v>6629</v>
      </c>
      <c r="F1036" t="s">
        <v>6630</v>
      </c>
      <c r="G1036" t="s">
        <v>3890</v>
      </c>
      <c r="H1036" t="s">
        <v>6627</v>
      </c>
      <c r="K1036">
        <v>0.66800000000000004</v>
      </c>
      <c r="L1036">
        <v>0.66800000000000004</v>
      </c>
      <c r="M1036">
        <v>0.66300000000000003</v>
      </c>
      <c r="N1036">
        <v>0.66100000000000003</v>
      </c>
      <c r="O1036">
        <v>0.65500000000000003</v>
      </c>
      <c r="P1036">
        <v>0.65</v>
      </c>
      <c r="Q1036">
        <v>0.64500000000000002</v>
      </c>
      <c r="R1036">
        <v>0.63800000000000001</v>
      </c>
      <c r="S1036">
        <v>0.63100000000000001</v>
      </c>
      <c r="T1036">
        <v>0.627</v>
      </c>
      <c r="U1036">
        <v>0.625</v>
      </c>
      <c r="V1036">
        <v>0.623</v>
      </c>
      <c r="W1036">
        <v>0.622</v>
      </c>
      <c r="X1036">
        <v>0.62</v>
      </c>
      <c r="Y1036">
        <v>0.61799999999999999</v>
      </c>
      <c r="Z1036">
        <v>0.61699999999999999</v>
      </c>
      <c r="AA1036">
        <v>0.61599999999999999</v>
      </c>
      <c r="AB1036">
        <v>0.61499999999999999</v>
      </c>
      <c r="AC1036">
        <v>0.61399999999999999</v>
      </c>
      <c r="AD1036">
        <v>0.61299999999999999</v>
      </c>
    </row>
    <row r="1037" spans="2:30" x14ac:dyDescent="0.25">
      <c r="B1037" t="s">
        <v>133</v>
      </c>
      <c r="C1037" t="s">
        <v>3256</v>
      </c>
      <c r="D1037" t="s">
        <v>6631</v>
      </c>
      <c r="E1037" t="s">
        <v>6632</v>
      </c>
      <c r="F1037" t="s">
        <v>6633</v>
      </c>
      <c r="G1037" t="s">
        <v>3890</v>
      </c>
      <c r="H1037" t="s">
        <v>6627</v>
      </c>
      <c r="K1037">
        <v>0.51400000000000001</v>
      </c>
      <c r="L1037">
        <v>0.51400000000000001</v>
      </c>
      <c r="M1037">
        <v>0.51</v>
      </c>
      <c r="N1037">
        <v>0.50900000000000001</v>
      </c>
      <c r="O1037">
        <v>0.504</v>
      </c>
      <c r="P1037">
        <v>0.5</v>
      </c>
      <c r="Q1037">
        <v>0.496</v>
      </c>
      <c r="R1037">
        <v>0.49</v>
      </c>
      <c r="S1037">
        <v>0.48499999999999999</v>
      </c>
      <c r="T1037">
        <v>0.48199999999999998</v>
      </c>
      <c r="U1037">
        <v>0.48099999999999998</v>
      </c>
      <c r="V1037">
        <v>0.47899999999999998</v>
      </c>
      <c r="W1037">
        <v>0.47799999999999998</v>
      </c>
      <c r="X1037">
        <v>0.47699999999999998</v>
      </c>
      <c r="Y1037">
        <v>0.47599999999999998</v>
      </c>
      <c r="Z1037">
        <v>0.47499999999999998</v>
      </c>
      <c r="AA1037">
        <v>0.47399999999999998</v>
      </c>
      <c r="AB1037">
        <v>0.47299999999999998</v>
      </c>
      <c r="AC1037">
        <v>0.47199999999999998</v>
      </c>
      <c r="AD1037">
        <v>0.47199999999999998</v>
      </c>
    </row>
    <row r="1038" spans="2:30" x14ac:dyDescent="0.25">
      <c r="B1038" t="s">
        <v>133</v>
      </c>
      <c r="C1038" t="s">
        <v>3256</v>
      </c>
      <c r="D1038" t="s">
        <v>6634</v>
      </c>
      <c r="E1038" t="s">
        <v>3917</v>
      </c>
      <c r="F1038" t="s">
        <v>6635</v>
      </c>
      <c r="G1038" t="s">
        <v>3890</v>
      </c>
      <c r="H1038" t="s">
        <v>6636</v>
      </c>
      <c r="K1038">
        <v>546.971</v>
      </c>
      <c r="L1038">
        <v>567.53899999999999</v>
      </c>
      <c r="M1038">
        <v>581.15300000000002</v>
      </c>
      <c r="N1038">
        <v>606.67899999999997</v>
      </c>
      <c r="O1038">
        <v>632.40099999999995</v>
      </c>
      <c r="P1038">
        <v>662.94100000000003</v>
      </c>
      <c r="Q1038">
        <v>699.63599999999997</v>
      </c>
      <c r="R1038">
        <v>736.20399999999995</v>
      </c>
      <c r="S1038">
        <v>771.85</v>
      </c>
      <c r="T1038">
        <v>808.81200000000001</v>
      </c>
      <c r="U1038">
        <v>847.11400000000003</v>
      </c>
      <c r="V1038">
        <v>886.779</v>
      </c>
      <c r="W1038">
        <v>927.83100000000002</v>
      </c>
      <c r="X1038">
        <v>970.29</v>
      </c>
      <c r="Y1038">
        <v>1014.177</v>
      </c>
      <c r="Z1038">
        <v>1059.509</v>
      </c>
      <c r="AA1038">
        <v>1106.3050000000001</v>
      </c>
      <c r="AB1038">
        <v>1154.58</v>
      </c>
      <c r="AC1038">
        <v>1204.348</v>
      </c>
      <c r="AD1038">
        <v>1255.6210000000001</v>
      </c>
    </row>
    <row r="1039" spans="2:30" x14ac:dyDescent="0.25">
      <c r="B1039" t="s">
        <v>133</v>
      </c>
      <c r="C1039" t="s">
        <v>3256</v>
      </c>
      <c r="D1039" t="s">
        <v>6637</v>
      </c>
      <c r="E1039" t="s">
        <v>6638</v>
      </c>
      <c r="F1039" t="s">
        <v>6639</v>
      </c>
      <c r="G1039" t="s">
        <v>3890</v>
      </c>
      <c r="H1039" t="s">
        <v>3126</v>
      </c>
      <c r="K1039">
        <v>82.215000000000003</v>
      </c>
      <c r="L1039">
        <v>78.396000000000001</v>
      </c>
      <c r="M1039">
        <v>90.617000000000004</v>
      </c>
      <c r="N1039">
        <v>95.048000000000002</v>
      </c>
      <c r="O1039">
        <v>92.555000000000007</v>
      </c>
      <c r="P1039">
        <v>83.265000000000001</v>
      </c>
      <c r="Q1039">
        <v>87.128</v>
      </c>
      <c r="R1039">
        <v>88.363</v>
      </c>
      <c r="S1039">
        <v>90.355999999999995</v>
      </c>
      <c r="T1039">
        <v>91.21</v>
      </c>
      <c r="U1039">
        <v>92.599000000000004</v>
      </c>
      <c r="V1039">
        <v>94.1</v>
      </c>
      <c r="W1039">
        <v>96.171000000000006</v>
      </c>
      <c r="X1039">
        <v>98.716999999999999</v>
      </c>
      <c r="Y1039">
        <v>101.82299999999999</v>
      </c>
      <c r="Z1039">
        <v>105.666</v>
      </c>
      <c r="AA1039">
        <v>110.32</v>
      </c>
      <c r="AB1039">
        <v>115.959</v>
      </c>
      <c r="AC1039">
        <v>122.84699999999999</v>
      </c>
      <c r="AD1039">
        <v>129.785</v>
      </c>
    </row>
    <row r="1040" spans="2:30" x14ac:dyDescent="0.25">
      <c r="B1040" t="s">
        <v>133</v>
      </c>
      <c r="C1040" t="s">
        <v>3256</v>
      </c>
      <c r="D1040" t="s">
        <v>6640</v>
      </c>
      <c r="E1040" t="s">
        <v>3126</v>
      </c>
      <c r="F1040" t="s">
        <v>6641</v>
      </c>
      <c r="G1040" t="s">
        <v>3890</v>
      </c>
      <c r="H1040" t="s">
        <v>3126</v>
      </c>
      <c r="K1040">
        <v>210.916</v>
      </c>
      <c r="L1040">
        <v>206.94</v>
      </c>
      <c r="M1040">
        <v>233.18799999999999</v>
      </c>
      <c r="N1040">
        <v>242.12299999999999</v>
      </c>
      <c r="O1040">
        <v>222.54900000000001</v>
      </c>
      <c r="P1040">
        <v>222.178</v>
      </c>
      <c r="Q1040">
        <v>234.476</v>
      </c>
      <c r="R1040">
        <v>244.11199999999999</v>
      </c>
      <c r="S1040">
        <v>254.89500000000001</v>
      </c>
      <c r="T1040">
        <v>265.58800000000002</v>
      </c>
      <c r="U1040">
        <v>277.51299999999998</v>
      </c>
      <c r="V1040">
        <v>290.2</v>
      </c>
      <c r="W1040">
        <v>304.03699999999998</v>
      </c>
      <c r="X1040">
        <v>318.97800000000001</v>
      </c>
      <c r="Y1040">
        <v>335.03500000000003</v>
      </c>
      <c r="Z1040">
        <v>352.48</v>
      </c>
      <c r="AA1040">
        <v>371.30900000000003</v>
      </c>
      <c r="AB1040">
        <v>391.70400000000001</v>
      </c>
      <c r="AC1040">
        <v>413.94900000000001</v>
      </c>
      <c r="AD1040">
        <v>436.73899999999998</v>
      </c>
    </row>
    <row r="1041" spans="2:30" x14ac:dyDescent="0.25">
      <c r="B1041" t="s">
        <v>133</v>
      </c>
      <c r="C1041" t="s">
        <v>3256</v>
      </c>
      <c r="D1041" t="s">
        <v>6642</v>
      </c>
      <c r="E1041" t="s">
        <v>6643</v>
      </c>
      <c r="F1041" t="s">
        <v>6644</v>
      </c>
      <c r="G1041" t="s">
        <v>3890</v>
      </c>
      <c r="H1041" t="s">
        <v>6645</v>
      </c>
      <c r="K1041">
        <v>0.38561000000000001</v>
      </c>
      <c r="L1041">
        <v>0.36463000000000001</v>
      </c>
      <c r="M1041">
        <v>0.40125</v>
      </c>
      <c r="N1041">
        <v>0.39910000000000001</v>
      </c>
      <c r="O1041">
        <v>0.35191</v>
      </c>
      <c r="P1041">
        <v>0.33513999999999999</v>
      </c>
      <c r="Q1041">
        <v>0.33513999999999999</v>
      </c>
      <c r="R1041">
        <v>0.33157999999999999</v>
      </c>
      <c r="S1041">
        <v>0.33023999999999998</v>
      </c>
      <c r="T1041">
        <v>0.32837</v>
      </c>
      <c r="U1041">
        <v>0.3276</v>
      </c>
      <c r="V1041">
        <v>0.32724999999999999</v>
      </c>
      <c r="W1041">
        <v>0.32768999999999998</v>
      </c>
      <c r="X1041">
        <v>0.32874999999999999</v>
      </c>
      <c r="Y1041">
        <v>0.33034999999999998</v>
      </c>
      <c r="Z1041">
        <v>0.33267999999999998</v>
      </c>
      <c r="AA1041">
        <v>0.33562999999999998</v>
      </c>
      <c r="AB1041">
        <v>0.33926000000000001</v>
      </c>
      <c r="AC1041">
        <v>0.34371000000000002</v>
      </c>
      <c r="AD1041">
        <v>0.34782999999999997</v>
      </c>
    </row>
    <row r="1042" spans="2:30" x14ac:dyDescent="0.25">
      <c r="B1042" t="s">
        <v>133</v>
      </c>
      <c r="C1042" t="s">
        <v>3256</v>
      </c>
      <c r="D1042" t="s">
        <v>6646</v>
      </c>
      <c r="E1042" t="s">
        <v>5467</v>
      </c>
      <c r="F1042" t="s">
        <v>6647</v>
      </c>
      <c r="G1042" t="s">
        <v>3890</v>
      </c>
      <c r="H1042" t="s">
        <v>5467</v>
      </c>
      <c r="K1042">
        <v>208.74</v>
      </c>
      <c r="L1042">
        <v>202.17599999999999</v>
      </c>
      <c r="M1042">
        <v>232.196</v>
      </c>
      <c r="N1042">
        <v>257.23</v>
      </c>
      <c r="O1042">
        <v>270.745</v>
      </c>
      <c r="P1042">
        <v>256.58699999999999</v>
      </c>
      <c r="Q1042">
        <v>265.36500000000001</v>
      </c>
      <c r="R1042">
        <v>272.47300000000001</v>
      </c>
      <c r="S1042">
        <v>283.87</v>
      </c>
      <c r="T1042">
        <v>294.72399999999999</v>
      </c>
      <c r="U1042">
        <v>306.50099999999998</v>
      </c>
      <c r="V1042">
        <v>318.94200000000001</v>
      </c>
      <c r="W1042">
        <v>333.05200000000002</v>
      </c>
      <c r="X1042">
        <v>349.14299999999997</v>
      </c>
      <c r="Y1042">
        <v>367.548</v>
      </c>
      <c r="Z1042">
        <v>388.56299999999999</v>
      </c>
      <c r="AA1042">
        <v>412.52100000000002</v>
      </c>
      <c r="AB1042">
        <v>440.00200000000001</v>
      </c>
      <c r="AC1042">
        <v>471.48</v>
      </c>
      <c r="AD1042">
        <v>506.01799999999997</v>
      </c>
    </row>
    <row r="1043" spans="2:30" x14ac:dyDescent="0.25">
      <c r="B1043" t="s">
        <v>133</v>
      </c>
      <c r="C1043" t="s">
        <v>3256</v>
      </c>
      <c r="D1043" t="s">
        <v>6648</v>
      </c>
      <c r="E1043" t="s">
        <v>6649</v>
      </c>
      <c r="F1043" t="s">
        <v>6650</v>
      </c>
      <c r="G1043" t="s">
        <v>3890</v>
      </c>
      <c r="H1043" t="s">
        <v>6651</v>
      </c>
      <c r="K1043">
        <v>0.12144000000000001</v>
      </c>
      <c r="L1043">
        <v>0.13689999999999999</v>
      </c>
      <c r="M1043">
        <v>0.11724</v>
      </c>
      <c r="N1043">
        <v>0.17491000000000001</v>
      </c>
      <c r="O1043">
        <v>0.23758000000000001</v>
      </c>
      <c r="P1043">
        <v>0.28282000000000002</v>
      </c>
      <c r="Q1043">
        <v>0.26867999999999997</v>
      </c>
      <c r="R1043">
        <v>0.27495000000000003</v>
      </c>
      <c r="S1043">
        <v>0.28545999999999999</v>
      </c>
      <c r="T1043">
        <v>0.30351</v>
      </c>
      <c r="U1043">
        <v>0.31807000000000002</v>
      </c>
      <c r="V1043">
        <v>0.33215</v>
      </c>
      <c r="W1043">
        <v>0.34433000000000002</v>
      </c>
      <c r="X1043">
        <v>0.35591</v>
      </c>
      <c r="Y1043">
        <v>0.36681000000000002</v>
      </c>
      <c r="Z1043">
        <v>0.37629000000000001</v>
      </c>
      <c r="AA1043">
        <v>0.38446000000000002</v>
      </c>
      <c r="AB1043">
        <v>0.39118999999999998</v>
      </c>
      <c r="AC1043">
        <v>0.39584000000000003</v>
      </c>
      <c r="AD1043">
        <v>0.40337000000000001</v>
      </c>
    </row>
    <row r="1044" spans="2:30" x14ac:dyDescent="0.25">
      <c r="B1044" t="s">
        <v>133</v>
      </c>
      <c r="C1044" t="s">
        <v>3256</v>
      </c>
      <c r="D1044" t="s">
        <v>6652</v>
      </c>
      <c r="E1044" t="s">
        <v>6651</v>
      </c>
      <c r="F1044" t="s">
        <v>6653</v>
      </c>
      <c r="G1044" t="s">
        <v>3890</v>
      </c>
      <c r="H1044" t="s">
        <v>6651</v>
      </c>
      <c r="K1044">
        <v>5.1270000000000003E-2</v>
      </c>
      <c r="L1044">
        <v>6.2390000000000001E-2</v>
      </c>
      <c r="M1044">
        <v>5.2359999999999997E-2</v>
      </c>
      <c r="N1044">
        <v>7.7020000000000005E-2</v>
      </c>
      <c r="O1044">
        <v>0.10428</v>
      </c>
      <c r="P1044">
        <v>0.13657</v>
      </c>
      <c r="Q1044">
        <v>0.12726000000000001</v>
      </c>
      <c r="R1044">
        <v>0.13483999999999999</v>
      </c>
      <c r="S1044">
        <v>0.14759</v>
      </c>
      <c r="T1044">
        <v>0.16655</v>
      </c>
      <c r="U1044">
        <v>0.18239</v>
      </c>
      <c r="V1044">
        <v>0.19769</v>
      </c>
      <c r="W1044">
        <v>0.21146000000000001</v>
      </c>
      <c r="X1044">
        <v>0.22489000000000001</v>
      </c>
      <c r="Y1044">
        <v>0.23788000000000001</v>
      </c>
      <c r="Z1044">
        <v>0.24965999999999999</v>
      </c>
      <c r="AA1044">
        <v>0.26032</v>
      </c>
      <c r="AB1044">
        <v>0.26977000000000001</v>
      </c>
      <c r="AC1044">
        <v>0.27732000000000001</v>
      </c>
      <c r="AD1044">
        <v>0.28350999999999998</v>
      </c>
    </row>
    <row r="1045" spans="2:30" x14ac:dyDescent="0.25">
      <c r="B1045" t="s">
        <v>133</v>
      </c>
      <c r="C1045" t="s">
        <v>3256</v>
      </c>
      <c r="D1045" t="s">
        <v>6654</v>
      </c>
      <c r="E1045" t="s">
        <v>6655</v>
      </c>
      <c r="F1045" t="s">
        <v>6656</v>
      </c>
      <c r="G1045" t="s">
        <v>3890</v>
      </c>
      <c r="H1045" t="s">
        <v>6657</v>
      </c>
      <c r="K1045">
        <v>0.39385999999999999</v>
      </c>
      <c r="L1045">
        <v>0.38775999999999999</v>
      </c>
      <c r="M1045">
        <v>0.39026</v>
      </c>
      <c r="N1045">
        <v>0.3695</v>
      </c>
      <c r="O1045">
        <v>0.34184999999999999</v>
      </c>
      <c r="P1045">
        <v>0.32451000000000002</v>
      </c>
      <c r="Q1045">
        <v>0.32833000000000001</v>
      </c>
      <c r="R1045">
        <v>0.32429999999999998</v>
      </c>
      <c r="S1045">
        <v>0.31830000000000003</v>
      </c>
      <c r="T1045">
        <v>0.30947999999999998</v>
      </c>
      <c r="U1045">
        <v>0.30212</v>
      </c>
      <c r="V1045">
        <v>0.29504000000000002</v>
      </c>
      <c r="W1045">
        <v>0.28876000000000002</v>
      </c>
      <c r="X1045">
        <v>0.28273999999999999</v>
      </c>
      <c r="Y1045">
        <v>0.27703</v>
      </c>
      <c r="Z1045">
        <v>0.27194000000000002</v>
      </c>
      <c r="AA1045">
        <v>0.26743</v>
      </c>
      <c r="AB1045">
        <v>0.26354</v>
      </c>
      <c r="AC1045">
        <v>0.26056000000000001</v>
      </c>
      <c r="AD1045">
        <v>0.25647999999999999</v>
      </c>
    </row>
    <row r="1046" spans="2:30" x14ac:dyDescent="0.25">
      <c r="B1046" t="s">
        <v>133</v>
      </c>
      <c r="C1046" t="s">
        <v>3256</v>
      </c>
      <c r="D1046" t="s">
        <v>6658</v>
      </c>
      <c r="E1046" t="s">
        <v>6659</v>
      </c>
      <c r="F1046" t="s">
        <v>6660</v>
      </c>
      <c r="G1046" t="s">
        <v>3890</v>
      </c>
      <c r="H1046" t="s">
        <v>6661</v>
      </c>
      <c r="J1046">
        <v>1</v>
      </c>
      <c r="K1046">
        <v>0.18672085273605965</v>
      </c>
    </row>
    <row r="1047" spans="2:30" x14ac:dyDescent="0.25">
      <c r="B1047" t="s">
        <v>133</v>
      </c>
      <c r="C1047" t="s">
        <v>3256</v>
      </c>
      <c r="D1047" t="s">
        <v>6662</v>
      </c>
      <c r="E1047" t="s">
        <v>6663</v>
      </c>
      <c r="F1047" t="s">
        <v>6664</v>
      </c>
      <c r="G1047" t="s">
        <v>3890</v>
      </c>
      <c r="H1047" t="s">
        <v>6665</v>
      </c>
      <c r="J1047">
        <v>1</v>
      </c>
      <c r="K1047">
        <v>3.8744775031930745E-2</v>
      </c>
    </row>
    <row r="1048" spans="2:30" x14ac:dyDescent="0.25">
      <c r="B1048" t="s">
        <v>133</v>
      </c>
      <c r="C1048" t="s">
        <v>3256</v>
      </c>
      <c r="D1048" t="s">
        <v>6666</v>
      </c>
      <c r="E1048" t="s">
        <v>6667</v>
      </c>
      <c r="F1048" t="s">
        <v>6668</v>
      </c>
      <c r="G1048" t="s">
        <v>3890</v>
      </c>
      <c r="H1048" t="s">
        <v>6669</v>
      </c>
      <c r="J1048">
        <v>1</v>
      </c>
      <c r="K1048">
        <v>9.2562380400507804E-3</v>
      </c>
    </row>
    <row r="1049" spans="2:30" x14ac:dyDescent="0.25">
      <c r="B1049" t="s">
        <v>133</v>
      </c>
      <c r="C1049" t="s">
        <v>3256</v>
      </c>
      <c r="D1049" t="s">
        <v>6670</v>
      </c>
      <c r="E1049" t="s">
        <v>6671</v>
      </c>
      <c r="F1049" t="s">
        <v>6672</v>
      </c>
      <c r="G1049" t="s">
        <v>3890</v>
      </c>
      <c r="H1049" t="s">
        <v>6673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2:30" x14ac:dyDescent="0.25">
      <c r="B1050" t="s">
        <v>133</v>
      </c>
      <c r="C1050" t="s">
        <v>3256</v>
      </c>
      <c r="D1050" t="s">
        <v>6674</v>
      </c>
      <c r="E1050" t="s">
        <v>6675</v>
      </c>
      <c r="F1050" t="s">
        <v>6676</v>
      </c>
      <c r="G1050" t="s">
        <v>3890</v>
      </c>
      <c r="H1050" t="s">
        <v>6673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1.993989130676856</v>
      </c>
      <c r="R1050">
        <v>0</v>
      </c>
      <c r="S1050">
        <v>0</v>
      </c>
      <c r="T1050">
        <v>0</v>
      </c>
      <c r="U1050">
        <v>276.17179900438128</v>
      </c>
      <c r="V1050">
        <v>0</v>
      </c>
      <c r="W1050">
        <v>0</v>
      </c>
      <c r="X1050" s="169">
        <v>1728.6923838696923</v>
      </c>
      <c r="Y1050" s="169">
        <v>0</v>
      </c>
      <c r="Z1050" s="169">
        <v>0</v>
      </c>
      <c r="AA1050" s="169">
        <v>0</v>
      </c>
      <c r="AB1050" s="169">
        <v>0</v>
      </c>
      <c r="AC1050" s="169"/>
      <c r="AD1050" s="169"/>
    </row>
    <row r="1051" spans="2:30" x14ac:dyDescent="0.25">
      <c r="B1051" t="s">
        <v>133</v>
      </c>
      <c r="C1051" t="s">
        <v>3256</v>
      </c>
      <c r="D1051" t="s">
        <v>6677</v>
      </c>
      <c r="E1051" t="s">
        <v>6678</v>
      </c>
      <c r="F1051" t="s">
        <v>6679</v>
      </c>
      <c r="G1051" t="s">
        <v>3890</v>
      </c>
      <c r="H1051" t="s">
        <v>6673</v>
      </c>
      <c r="J1051">
        <v>1</v>
      </c>
      <c r="K1051">
        <v>186318.24144011838</v>
      </c>
      <c r="L1051">
        <v>29824.367684429406</v>
      </c>
      <c r="M1051">
        <v>463.90033137874542</v>
      </c>
      <c r="N1051">
        <v>0</v>
      </c>
      <c r="O1051">
        <v>0</v>
      </c>
      <c r="P1051">
        <v>0</v>
      </c>
      <c r="Q1051">
        <v>2743.7479817675635</v>
      </c>
      <c r="R1051">
        <v>0</v>
      </c>
      <c r="S1051">
        <v>0</v>
      </c>
      <c r="T1051">
        <v>0</v>
      </c>
      <c r="U1051">
        <v>1557.4882109374457</v>
      </c>
      <c r="V1051">
        <v>0</v>
      </c>
      <c r="W1051">
        <v>0</v>
      </c>
      <c r="X1051" s="169">
        <v>1742.9509630814039</v>
      </c>
      <c r="Y1051" s="169">
        <v>951.24441541027238</v>
      </c>
      <c r="Z1051" s="169">
        <v>0</v>
      </c>
      <c r="AA1051" s="169">
        <v>7033.624667825371</v>
      </c>
      <c r="AB1051" s="169">
        <v>0</v>
      </c>
      <c r="AC1051" s="169"/>
      <c r="AD1051" s="169"/>
    </row>
    <row r="1052" spans="2:30" x14ac:dyDescent="0.25">
      <c r="B1052" t="s">
        <v>133</v>
      </c>
      <c r="C1052" t="s">
        <v>3256</v>
      </c>
      <c r="D1052" t="s">
        <v>6680</v>
      </c>
      <c r="E1052" t="s">
        <v>6681</v>
      </c>
      <c r="F1052" t="s">
        <v>6682</v>
      </c>
      <c r="G1052" t="s">
        <v>3890</v>
      </c>
      <c r="H1052" t="s">
        <v>6673</v>
      </c>
      <c r="J1052">
        <v>1</v>
      </c>
      <c r="K1052">
        <v>20190.83650202414</v>
      </c>
      <c r="L1052">
        <v>5639.2429773616032</v>
      </c>
      <c r="M1052">
        <v>0</v>
      </c>
      <c r="N1052">
        <v>0</v>
      </c>
      <c r="O1052">
        <v>0</v>
      </c>
      <c r="P1052">
        <v>406.19916287344472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3738.2677813151518</v>
      </c>
      <c r="Z1052">
        <v>0</v>
      </c>
      <c r="AA1052">
        <v>458.93271398915772</v>
      </c>
      <c r="AB1052">
        <v>132.16618156616914</v>
      </c>
    </row>
    <row r="1053" spans="2:30" x14ac:dyDescent="0.25">
      <c r="B1053" t="s">
        <v>133</v>
      </c>
      <c r="C1053" t="s">
        <v>3256</v>
      </c>
      <c r="D1053" t="s">
        <v>6683</v>
      </c>
      <c r="E1053" t="s">
        <v>6684</v>
      </c>
      <c r="F1053" t="s">
        <v>6685</v>
      </c>
      <c r="G1053" t="s">
        <v>3890</v>
      </c>
      <c r="H1053" t="s">
        <v>6673</v>
      </c>
      <c r="J1053">
        <v>1</v>
      </c>
      <c r="K1053">
        <v>0</v>
      </c>
      <c r="L1053">
        <v>0</v>
      </c>
      <c r="M1053">
        <v>6886.5366177210462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2:30" x14ac:dyDescent="0.25">
      <c r="B1054" t="s">
        <v>133</v>
      </c>
      <c r="C1054" t="s">
        <v>3256</v>
      </c>
      <c r="D1054" t="s">
        <v>6686</v>
      </c>
      <c r="E1054" t="s">
        <v>6687</v>
      </c>
      <c r="F1054" t="s">
        <v>6688</v>
      </c>
      <c r="G1054" t="s">
        <v>3890</v>
      </c>
      <c r="H1054" t="s">
        <v>6673</v>
      </c>
      <c r="J1054">
        <v>1</v>
      </c>
      <c r="K1054">
        <v>0</v>
      </c>
      <c r="L1054">
        <v>0</v>
      </c>
      <c r="M1054">
        <v>9684.2069881781063</v>
      </c>
      <c r="N1054">
        <v>0</v>
      </c>
      <c r="O1054">
        <v>0</v>
      </c>
      <c r="P1054">
        <v>0</v>
      </c>
      <c r="Q1054">
        <v>0</v>
      </c>
      <c r="R1054">
        <v>1387.0134096766124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5596.4219107402141</v>
      </c>
      <c r="Z1054">
        <v>0</v>
      </c>
      <c r="AA1054">
        <v>1263.5535407034979</v>
      </c>
      <c r="AB1054">
        <v>0</v>
      </c>
    </row>
    <row r="1055" spans="2:30" x14ac:dyDescent="0.25">
      <c r="B1055" t="s">
        <v>133</v>
      </c>
      <c r="C1055" t="s">
        <v>3256</v>
      </c>
      <c r="D1055" t="s">
        <v>6689</v>
      </c>
      <c r="E1055" t="s">
        <v>6690</v>
      </c>
      <c r="F1055" t="s">
        <v>6691</v>
      </c>
      <c r="G1055" t="s">
        <v>3890</v>
      </c>
      <c r="H1055" t="s">
        <v>6673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3.3419856694580128</v>
      </c>
      <c r="R1055">
        <v>0.43375111192193644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5.3963225426605339</v>
      </c>
      <c r="Z1055">
        <v>0</v>
      </c>
      <c r="AA1055">
        <v>0</v>
      </c>
      <c r="AB1055">
        <v>0</v>
      </c>
    </row>
    <row r="1056" spans="2:30" x14ac:dyDescent="0.25">
      <c r="B1056" t="s">
        <v>133</v>
      </c>
      <c r="C1056" t="s">
        <v>3256</v>
      </c>
      <c r="D1056" t="s">
        <v>6692</v>
      </c>
      <c r="E1056" t="s">
        <v>6693</v>
      </c>
      <c r="F1056" t="s">
        <v>6694</v>
      </c>
      <c r="G1056" t="s">
        <v>3890</v>
      </c>
      <c r="H1056" t="s">
        <v>6673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4252.483517832944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25.700629101682985</v>
      </c>
      <c r="Z1056">
        <v>0</v>
      </c>
      <c r="AA1056">
        <v>3382.6414899306828</v>
      </c>
      <c r="AB1056">
        <v>0</v>
      </c>
    </row>
    <row r="1057" spans="2:30" x14ac:dyDescent="0.25">
      <c r="B1057" t="s">
        <v>133</v>
      </c>
      <c r="C1057" t="s">
        <v>3256</v>
      </c>
      <c r="D1057" t="s">
        <v>6695</v>
      </c>
      <c r="E1057" t="s">
        <v>6696</v>
      </c>
      <c r="F1057" t="s">
        <v>6697</v>
      </c>
      <c r="G1057" t="s">
        <v>3890</v>
      </c>
      <c r="H1057" t="s">
        <v>6673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911.12642426304808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2:30" x14ac:dyDescent="0.25">
      <c r="B1058" t="s">
        <v>133</v>
      </c>
      <c r="C1058" t="s">
        <v>3256</v>
      </c>
      <c r="D1058" t="s">
        <v>6698</v>
      </c>
      <c r="E1058" t="s">
        <v>6699</v>
      </c>
      <c r="F1058" t="s">
        <v>6700</v>
      </c>
      <c r="G1058" t="s">
        <v>3890</v>
      </c>
      <c r="H1058" t="s">
        <v>6673</v>
      </c>
      <c r="J1058">
        <v>1</v>
      </c>
      <c r="K1058">
        <v>14978.30883657722</v>
      </c>
      <c r="L1058">
        <v>420.29849247125264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2:30" x14ac:dyDescent="0.25">
      <c r="B1059" t="s">
        <v>133</v>
      </c>
      <c r="C1059" t="s">
        <v>3256</v>
      </c>
      <c r="D1059" t="s">
        <v>6701</v>
      </c>
      <c r="E1059" t="s">
        <v>6702</v>
      </c>
      <c r="F1059" t="s">
        <v>6703</v>
      </c>
      <c r="G1059" t="s">
        <v>3890</v>
      </c>
      <c r="H1059" t="s">
        <v>6673</v>
      </c>
      <c r="J1059">
        <v>1</v>
      </c>
      <c r="K1059">
        <v>13021.480196669825</v>
      </c>
      <c r="L1059">
        <v>365.92978728470621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2:30" x14ac:dyDescent="0.25">
      <c r="B1060" t="s">
        <v>133</v>
      </c>
      <c r="C1060" t="s">
        <v>3256</v>
      </c>
      <c r="D1060" t="s">
        <v>6704</v>
      </c>
      <c r="E1060" t="s">
        <v>6705</v>
      </c>
      <c r="F1060" t="s">
        <v>6706</v>
      </c>
      <c r="G1060" t="s">
        <v>3890</v>
      </c>
      <c r="H1060" t="s">
        <v>6673</v>
      </c>
      <c r="J1060">
        <v>1</v>
      </c>
      <c r="K1060">
        <v>36119.685164137016</v>
      </c>
      <c r="L1060">
        <v>1254.589239549776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2:30" x14ac:dyDescent="0.25">
      <c r="B1061" t="s">
        <v>133</v>
      </c>
      <c r="C1061" t="s">
        <v>3256</v>
      </c>
      <c r="D1061" t="s">
        <v>6707</v>
      </c>
      <c r="E1061" t="s">
        <v>6708</v>
      </c>
      <c r="F1061" t="s">
        <v>6709</v>
      </c>
      <c r="G1061" t="s">
        <v>3890</v>
      </c>
      <c r="H1061" t="s">
        <v>6673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2:30" x14ac:dyDescent="0.25">
      <c r="B1062" t="s">
        <v>133</v>
      </c>
      <c r="C1062" t="s">
        <v>3256</v>
      </c>
      <c r="D1062" t="s">
        <v>6710</v>
      </c>
      <c r="E1062" t="s">
        <v>6711</v>
      </c>
      <c r="F1062" t="s">
        <v>6712</v>
      </c>
      <c r="G1062" t="s">
        <v>3890</v>
      </c>
      <c r="H1062" t="s">
        <v>6673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2:30" x14ac:dyDescent="0.25">
      <c r="B1063" t="s">
        <v>133</v>
      </c>
      <c r="C1063" t="s">
        <v>3256</v>
      </c>
      <c r="D1063" t="s">
        <v>6713</v>
      </c>
      <c r="E1063" t="s">
        <v>6714</v>
      </c>
      <c r="F1063" t="s">
        <v>6715</v>
      </c>
      <c r="G1063" t="s">
        <v>3890</v>
      </c>
      <c r="H1063" t="s">
        <v>6673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1304.2656404773859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2:30" x14ac:dyDescent="0.25">
      <c r="B1064" t="s">
        <v>133</v>
      </c>
      <c r="C1064" t="s">
        <v>3256</v>
      </c>
      <c r="D1064" t="s">
        <v>6716</v>
      </c>
      <c r="E1064" t="s">
        <v>6717</v>
      </c>
      <c r="F1064" t="s">
        <v>6718</v>
      </c>
      <c r="G1064" t="s">
        <v>3890</v>
      </c>
      <c r="H1064" t="s">
        <v>6673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2:30" x14ac:dyDescent="0.25">
      <c r="B1065" t="s">
        <v>133</v>
      </c>
      <c r="C1065" t="s">
        <v>3256</v>
      </c>
      <c r="D1065" t="s">
        <v>6719</v>
      </c>
      <c r="E1065" t="s">
        <v>6720</v>
      </c>
      <c r="F1065" t="s">
        <v>6721</v>
      </c>
      <c r="G1065" t="s">
        <v>3890</v>
      </c>
      <c r="H1065" t="s">
        <v>6673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2:30" x14ac:dyDescent="0.25">
      <c r="B1066" t="s">
        <v>133</v>
      </c>
      <c r="C1066" t="s">
        <v>3256</v>
      </c>
      <c r="D1066" t="s">
        <v>6722</v>
      </c>
      <c r="E1066" t="s">
        <v>6723</v>
      </c>
      <c r="F1066" t="s">
        <v>6724</v>
      </c>
      <c r="G1066" t="s">
        <v>3890</v>
      </c>
      <c r="H1066" t="s">
        <v>6673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2:30" x14ac:dyDescent="0.25">
      <c r="B1067" t="s">
        <v>133</v>
      </c>
      <c r="C1067" t="s">
        <v>3256</v>
      </c>
      <c r="D1067" t="s">
        <v>6725</v>
      </c>
      <c r="E1067" t="s">
        <v>6726</v>
      </c>
      <c r="F1067" t="s">
        <v>6727</v>
      </c>
      <c r="G1067" t="s">
        <v>3890</v>
      </c>
      <c r="H1067" t="s">
        <v>6673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2:30" x14ac:dyDescent="0.25">
      <c r="B1068" t="s">
        <v>133</v>
      </c>
      <c r="C1068" t="s">
        <v>3256</v>
      </c>
      <c r="D1068" t="s">
        <v>6728</v>
      </c>
      <c r="E1068" t="s">
        <v>6729</v>
      </c>
      <c r="F1068" t="s">
        <v>6730</v>
      </c>
      <c r="G1068" t="s">
        <v>3890</v>
      </c>
      <c r="K1068">
        <v>208.73974100000004</v>
      </c>
      <c r="L1068">
        <v>202.17573700254144</v>
      </c>
      <c r="M1068">
        <v>232.19628888015956</v>
      </c>
      <c r="N1068">
        <v>257.22993241027774</v>
      </c>
      <c r="O1068">
        <v>270.62855213952645</v>
      </c>
      <c r="P1068">
        <v>275.01978498763725</v>
      </c>
      <c r="Q1068">
        <v>282.76877708440276</v>
      </c>
      <c r="R1068">
        <v>292.86850456091923</v>
      </c>
      <c r="S1068">
        <v>303.31831763607943</v>
      </c>
      <c r="T1068">
        <v>314.24148100389641</v>
      </c>
      <c r="U1068">
        <v>325.73668571864528</v>
      </c>
      <c r="V1068">
        <v>338.34136364452507</v>
      </c>
      <c r="W1068">
        <v>352.28435131218072</v>
      </c>
      <c r="X1068">
        <v>367.97320446260295</v>
      </c>
      <c r="Y1068">
        <v>385.64770388357351</v>
      </c>
      <c r="Z1068">
        <v>405.73757366904999</v>
      </c>
      <c r="AA1068">
        <v>428.71565956124874</v>
      </c>
      <c r="AB1068">
        <v>455.17595647037155</v>
      </c>
      <c r="AC1068">
        <v>485.61048568896473</v>
      </c>
      <c r="AD1068">
        <v>519.09985912709499</v>
      </c>
    </row>
    <row r="1069" spans="2:30" x14ac:dyDescent="0.25">
      <c r="B1069" t="s">
        <v>133</v>
      </c>
      <c r="C1069" t="s">
        <v>3256</v>
      </c>
      <c r="D1069" t="s">
        <v>6731</v>
      </c>
      <c r="E1069" t="s">
        <v>6732</v>
      </c>
      <c r="F1069" t="s">
        <v>6733</v>
      </c>
      <c r="G1069" t="s">
        <v>3890</v>
      </c>
      <c r="K1069">
        <v>208.73974100000004</v>
      </c>
      <c r="L1069">
        <v>202.17573700254144</v>
      </c>
      <c r="M1069">
        <v>232.19628888015956</v>
      </c>
      <c r="N1069">
        <v>257.22993241027774</v>
      </c>
      <c r="O1069">
        <v>270.74495198508407</v>
      </c>
      <c r="P1069">
        <v>256.58657866516802</v>
      </c>
      <c r="Q1069">
        <v>265.36533431146967</v>
      </c>
      <c r="R1069">
        <v>272.47250443458398</v>
      </c>
      <c r="S1069">
        <v>283.86990305453565</v>
      </c>
      <c r="T1069">
        <v>294.72380045870295</v>
      </c>
      <c r="U1069">
        <v>306.50067617156259</v>
      </c>
      <c r="V1069">
        <v>318.94167225126154</v>
      </c>
      <c r="W1069">
        <v>333.05207107820229</v>
      </c>
      <c r="X1069">
        <v>349.1434001190803</v>
      </c>
      <c r="Y1069">
        <v>367.54759328628415</v>
      </c>
      <c r="Z1069">
        <v>388.56305781854195</v>
      </c>
      <c r="AA1069">
        <v>412.52095468357891</v>
      </c>
      <c r="AB1069">
        <v>440.00225730982669</v>
      </c>
      <c r="AC1069">
        <v>471.48049747447322</v>
      </c>
      <c r="AD1069">
        <v>506.01752954471579</v>
      </c>
    </row>
    <row r="1070" spans="2:30" x14ac:dyDescent="0.25">
      <c r="B1070" t="s">
        <v>133</v>
      </c>
      <c r="C1070" t="s">
        <v>3256</v>
      </c>
      <c r="D1070" t="s">
        <v>6734</v>
      </c>
      <c r="E1070" t="s">
        <v>6735</v>
      </c>
      <c r="F1070" t="s">
        <v>6736</v>
      </c>
      <c r="G1070" t="s">
        <v>3890</v>
      </c>
      <c r="H1070" t="s">
        <v>6737</v>
      </c>
      <c r="I1070" t="s">
        <v>6738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2:30" x14ac:dyDescent="0.25">
      <c r="B1071" t="s">
        <v>133</v>
      </c>
      <c r="C1071" t="s">
        <v>3256</v>
      </c>
      <c r="D1071" t="s">
        <v>6739</v>
      </c>
      <c r="E1071" t="s">
        <v>6740</v>
      </c>
      <c r="F1071" t="s">
        <v>6741</v>
      </c>
      <c r="G1071" t="s">
        <v>3890</v>
      </c>
      <c r="H1071" t="s">
        <v>6742</v>
      </c>
      <c r="I1071" t="s">
        <v>6738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2:30" x14ac:dyDescent="0.25">
      <c r="B1072" t="s">
        <v>133</v>
      </c>
      <c r="C1072" t="s">
        <v>3256</v>
      </c>
      <c r="D1072" t="s">
        <v>6743</v>
      </c>
      <c r="E1072" t="s">
        <v>6744</v>
      </c>
      <c r="F1072" t="s">
        <v>6745</v>
      </c>
      <c r="G1072" t="s">
        <v>3890</v>
      </c>
      <c r="H1072" t="s">
        <v>6746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2:30" x14ac:dyDescent="0.25">
      <c r="B1073" t="s">
        <v>133</v>
      </c>
      <c r="C1073" t="s">
        <v>3256</v>
      </c>
      <c r="D1073" t="s">
        <v>6747</v>
      </c>
      <c r="E1073" t="s">
        <v>6748</v>
      </c>
      <c r="F1073" t="s">
        <v>6749</v>
      </c>
      <c r="G1073" t="s">
        <v>3890</v>
      </c>
      <c r="H1073" t="s">
        <v>6746</v>
      </c>
      <c r="J1073">
        <v>1</v>
      </c>
      <c r="K1073">
        <v>806.87211618252275</v>
      </c>
      <c r="L1073">
        <v>0</v>
      </c>
      <c r="M1073">
        <v>2040.3775691490387</v>
      </c>
      <c r="N1073">
        <v>2304.3477166152966</v>
      </c>
      <c r="O1073">
        <v>2471.0934380243948</v>
      </c>
      <c r="P1073">
        <v>1436.0097538045532</v>
      </c>
      <c r="Q1073">
        <v>1818.6975657260982</v>
      </c>
      <c r="R1073">
        <v>2083.8978284612131</v>
      </c>
      <c r="S1073">
        <v>2120.7847986129882</v>
      </c>
      <c r="T1073">
        <v>2208.2824680941562</v>
      </c>
      <c r="U1073">
        <v>2305.450274724375</v>
      </c>
      <c r="V1073">
        <v>2462.2479022470034</v>
      </c>
      <c r="W1073">
        <v>2643.8430519740896</v>
      </c>
      <c r="X1073">
        <v>2870.9657198748196</v>
      </c>
      <c r="Y1073">
        <v>3129.2168612762666</v>
      </c>
      <c r="Z1073">
        <v>3434.0645748948332</v>
      </c>
      <c r="AA1073">
        <v>3794.8012178577455</v>
      </c>
      <c r="AB1073">
        <v>4270.1518970037332</v>
      </c>
      <c r="AC1073">
        <v>4552.9607866877805</v>
      </c>
      <c r="AD1073">
        <v>4859.8743314159983</v>
      </c>
    </row>
    <row r="1074" spans="2:30" x14ac:dyDescent="0.25">
      <c r="B1074" t="s">
        <v>133</v>
      </c>
      <c r="C1074" t="s">
        <v>3256</v>
      </c>
      <c r="D1074" t="s">
        <v>6750</v>
      </c>
      <c r="E1074" t="s">
        <v>6751</v>
      </c>
      <c r="F1074" t="s">
        <v>6752</v>
      </c>
      <c r="G1074" t="s">
        <v>3890</v>
      </c>
      <c r="H1074" t="s">
        <v>6746</v>
      </c>
      <c r="J1074">
        <v>1</v>
      </c>
      <c r="K1074">
        <v>30.025615860050905</v>
      </c>
      <c r="L1074">
        <v>0</v>
      </c>
      <c r="M1074">
        <v>3447.3244899652409</v>
      </c>
      <c r="N1074">
        <v>164.15280510124751</v>
      </c>
      <c r="O1074">
        <v>109.66176751499754</v>
      </c>
      <c r="P1074">
        <v>64.430790069071051</v>
      </c>
      <c r="Q1074">
        <v>81.601201346977476</v>
      </c>
      <c r="R1074">
        <v>93.500189086634862</v>
      </c>
      <c r="S1074">
        <v>95.155231208623448</v>
      </c>
      <c r="T1074">
        <v>99.08107082004534</v>
      </c>
      <c r="U1074">
        <v>103.44078950153535</v>
      </c>
      <c r="V1074">
        <v>110.47597501853708</v>
      </c>
      <c r="W1074">
        <v>118.62377411156449</v>
      </c>
      <c r="X1074">
        <v>128.81429886020834</v>
      </c>
      <c r="Y1074">
        <v>140.40149388632204</v>
      </c>
      <c r="Z1074">
        <v>154.07938081373049</v>
      </c>
      <c r="AA1074">
        <v>170.26488850362347</v>
      </c>
      <c r="AB1074">
        <v>188.11160919406569</v>
      </c>
      <c r="AC1074">
        <v>208.28233937210624</v>
      </c>
      <c r="AD1074">
        <v>227.25340658098784</v>
      </c>
    </row>
    <row r="1075" spans="2:30" x14ac:dyDescent="0.25">
      <c r="B1075" t="s">
        <v>133</v>
      </c>
      <c r="C1075" t="s">
        <v>3256</v>
      </c>
      <c r="D1075" t="s">
        <v>6753</v>
      </c>
      <c r="E1075" t="s">
        <v>6754</v>
      </c>
      <c r="F1075" t="s">
        <v>6755</v>
      </c>
      <c r="G1075" t="s">
        <v>3890</v>
      </c>
      <c r="H1075" t="s">
        <v>6746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2:30" x14ac:dyDescent="0.25">
      <c r="B1076" t="s">
        <v>133</v>
      </c>
      <c r="C1076" t="s">
        <v>3256</v>
      </c>
      <c r="D1076" t="s">
        <v>6756</v>
      </c>
      <c r="E1076" t="s">
        <v>6757</v>
      </c>
      <c r="F1076" t="s">
        <v>6758</v>
      </c>
      <c r="G1076" t="s">
        <v>3890</v>
      </c>
      <c r="H1076" t="s">
        <v>6746</v>
      </c>
      <c r="J1076">
        <v>1</v>
      </c>
      <c r="K1076">
        <v>599.35264415761799</v>
      </c>
      <c r="L1076">
        <v>0</v>
      </c>
      <c r="M1076">
        <v>1539.8049388511413</v>
      </c>
      <c r="N1076">
        <v>1739.0144101390101</v>
      </c>
      <c r="O1076">
        <v>1919.1658722481259</v>
      </c>
      <c r="P1076">
        <v>1092.6166377648299</v>
      </c>
      <c r="Q1076">
        <v>1403.7641535577277</v>
      </c>
      <c r="R1076">
        <v>1622.6889931977535</v>
      </c>
      <c r="S1076">
        <v>1663.0513027247614</v>
      </c>
      <c r="T1076">
        <v>1721.8851360842114</v>
      </c>
      <c r="U1076">
        <v>1792.8323271719692</v>
      </c>
      <c r="V1076">
        <v>1915.390042904259</v>
      </c>
      <c r="W1076">
        <v>2061.5929718568113</v>
      </c>
      <c r="X1076">
        <v>2248.5342097852754</v>
      </c>
      <c r="Y1076">
        <v>2459.556726350912</v>
      </c>
      <c r="Z1076">
        <v>2715.899162794718</v>
      </c>
      <c r="AA1076">
        <v>3021.9551336627501</v>
      </c>
      <c r="AB1076">
        <v>3234.5956177576491</v>
      </c>
      <c r="AC1076">
        <v>3435.9677403537121</v>
      </c>
      <c r="AD1076">
        <v>3667.5851621086063</v>
      </c>
    </row>
    <row r="1077" spans="2:30" x14ac:dyDescent="0.25">
      <c r="B1077" t="s">
        <v>133</v>
      </c>
      <c r="C1077" t="s">
        <v>3256</v>
      </c>
      <c r="D1077" t="s">
        <v>6759</v>
      </c>
      <c r="E1077" t="s">
        <v>6760</v>
      </c>
      <c r="F1077" t="s">
        <v>6761</v>
      </c>
      <c r="G1077" t="s">
        <v>3890</v>
      </c>
      <c r="H1077" t="s">
        <v>6746</v>
      </c>
      <c r="J1077">
        <v>1</v>
      </c>
      <c r="K1077">
        <v>294.69856660367191</v>
      </c>
      <c r="L1077">
        <v>0</v>
      </c>
      <c r="M1077">
        <v>2566.3415647519018</v>
      </c>
      <c r="N1077">
        <v>2898.3573502316831</v>
      </c>
      <c r="O1077">
        <v>1377.0619065393</v>
      </c>
      <c r="P1077">
        <v>876.72135226568696</v>
      </c>
      <c r="Q1077">
        <v>1254.1441154795466</v>
      </c>
      <c r="R1077">
        <v>1621.2179697272504</v>
      </c>
      <c r="S1077">
        <v>1853.0982152131214</v>
      </c>
      <c r="T1077">
        <v>1966.2700363119332</v>
      </c>
      <c r="U1077">
        <v>2098.0935643537923</v>
      </c>
      <c r="V1077">
        <v>2290.98605762531</v>
      </c>
      <c r="W1077">
        <v>2527.0529321122353</v>
      </c>
      <c r="X1077">
        <v>2824.6009855734233</v>
      </c>
      <c r="Y1077">
        <v>3163.1635253890222</v>
      </c>
      <c r="Z1077">
        <v>3579.5186949688577</v>
      </c>
      <c r="AA1077">
        <v>4070.7932862149719</v>
      </c>
      <c r="AB1077">
        <v>4783.2841359626818</v>
      </c>
      <c r="AC1077">
        <v>5726.6129005895191</v>
      </c>
      <c r="AD1077">
        <v>6112.6419368476763</v>
      </c>
    </row>
    <row r="1078" spans="2:30" x14ac:dyDescent="0.25">
      <c r="B1078" t="s">
        <v>133</v>
      </c>
      <c r="C1078" t="s">
        <v>3256</v>
      </c>
      <c r="D1078" t="s">
        <v>6762</v>
      </c>
      <c r="E1078" t="s">
        <v>6763</v>
      </c>
      <c r="F1078" t="s">
        <v>6764</v>
      </c>
      <c r="G1078" t="s">
        <v>3890</v>
      </c>
      <c r="H1078" t="s">
        <v>6746</v>
      </c>
      <c r="J1078">
        <v>1</v>
      </c>
      <c r="K1078">
        <v>90.057937790013483</v>
      </c>
      <c r="L1078">
        <v>0</v>
      </c>
      <c r="M1078">
        <v>2671.4616733757534</v>
      </c>
      <c r="N1078">
        <v>2909.0208218467078</v>
      </c>
      <c r="O1078">
        <v>274.87235124384648</v>
      </c>
      <c r="P1078">
        <v>159.73470341652776</v>
      </c>
      <c r="Q1078">
        <v>202.30302440213006</v>
      </c>
      <c r="R1078">
        <v>231.80260489017766</v>
      </c>
      <c r="S1078">
        <v>235.90573108518956</v>
      </c>
      <c r="T1078">
        <v>245.63854400458825</v>
      </c>
      <c r="U1078">
        <v>256.4470156967833</v>
      </c>
      <c r="V1078">
        <v>273.88841709561467</v>
      </c>
      <c r="W1078">
        <v>294.08817361306512</v>
      </c>
      <c r="X1078">
        <v>319.35218863815487</v>
      </c>
      <c r="Y1078">
        <v>348.07878284787256</v>
      </c>
      <c r="Z1078">
        <v>381.98855190971716</v>
      </c>
      <c r="AA1078">
        <v>422.11513219407175</v>
      </c>
      <c r="AB1078">
        <v>466.36013731335356</v>
      </c>
      <c r="AC1078">
        <v>834.39507283341698</v>
      </c>
      <c r="AD1078">
        <v>1164.4170107893983</v>
      </c>
    </row>
    <row r="1079" spans="2:30" x14ac:dyDescent="0.25">
      <c r="B1079" t="s">
        <v>133</v>
      </c>
      <c r="C1079" t="s">
        <v>3256</v>
      </c>
      <c r="D1079" t="s">
        <v>6765</v>
      </c>
      <c r="E1079" t="s">
        <v>6766</v>
      </c>
      <c r="F1079" t="s">
        <v>6767</v>
      </c>
      <c r="G1079" t="s">
        <v>3890</v>
      </c>
      <c r="H1079" t="s">
        <v>6746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2:30" x14ac:dyDescent="0.25">
      <c r="B1080" t="s">
        <v>133</v>
      </c>
      <c r="C1080" t="s">
        <v>3256</v>
      </c>
      <c r="D1080" t="s">
        <v>6768</v>
      </c>
      <c r="E1080" t="s">
        <v>6769</v>
      </c>
      <c r="F1080" t="s">
        <v>6770</v>
      </c>
      <c r="G1080" t="s">
        <v>3890</v>
      </c>
      <c r="H1080" t="s">
        <v>6746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2:30" x14ac:dyDescent="0.25">
      <c r="B1081" t="s">
        <v>133</v>
      </c>
      <c r="C1081" t="s">
        <v>3256</v>
      </c>
      <c r="D1081" t="s">
        <v>6771</v>
      </c>
      <c r="E1081" t="s">
        <v>6772</v>
      </c>
      <c r="F1081" t="s">
        <v>6773</v>
      </c>
      <c r="G1081" t="s">
        <v>3890</v>
      </c>
      <c r="H1081" t="s">
        <v>6746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2:30" x14ac:dyDescent="0.25">
      <c r="B1082" t="s">
        <v>133</v>
      </c>
      <c r="C1082" t="s">
        <v>3256</v>
      </c>
      <c r="D1082" t="s">
        <v>6774</v>
      </c>
      <c r="E1082" t="s">
        <v>6775</v>
      </c>
      <c r="F1082" t="s">
        <v>6776</v>
      </c>
      <c r="G1082" t="s">
        <v>3890</v>
      </c>
      <c r="H1082" t="s">
        <v>6746</v>
      </c>
      <c r="J1082">
        <v>2</v>
      </c>
      <c r="K1082">
        <v>806.87211618252275</v>
      </c>
      <c r="L1082">
        <v>0</v>
      </c>
      <c r="M1082">
        <v>2040.3775691490387</v>
      </c>
      <c r="N1082">
        <v>2304.3477166152966</v>
      </c>
      <c r="O1082">
        <v>2471.0934380243948</v>
      </c>
      <c r="P1082">
        <v>0</v>
      </c>
      <c r="Q1082">
        <v>955.76049145975128</v>
      </c>
      <c r="R1082">
        <v>1407.5579364835182</v>
      </c>
      <c r="S1082">
        <v>1806.7103650662502</v>
      </c>
      <c r="T1082">
        <v>1794.5197422235578</v>
      </c>
      <c r="U1082">
        <v>1913.9678940464498</v>
      </c>
      <c r="V1082">
        <v>2009.8670786712023</v>
      </c>
      <c r="W1082">
        <v>2197.5897299879866</v>
      </c>
      <c r="X1082">
        <v>2427.1053377014505</v>
      </c>
      <c r="Y1082">
        <v>2756.911095981211</v>
      </c>
      <c r="Z1082">
        <v>3124.9516314167909</v>
      </c>
      <c r="AA1082">
        <v>3538.9311003586499</v>
      </c>
      <c r="AB1082">
        <v>4116.0268087228205</v>
      </c>
      <c r="AC1082">
        <v>4399.9862210194042</v>
      </c>
      <c r="AD1082">
        <v>4717.4249499495563</v>
      </c>
    </row>
    <row r="1083" spans="2:30" x14ac:dyDescent="0.25">
      <c r="B1083" t="s">
        <v>133</v>
      </c>
      <c r="C1083" t="s">
        <v>3256</v>
      </c>
      <c r="D1083" t="s">
        <v>6777</v>
      </c>
      <c r="E1083" t="s">
        <v>6778</v>
      </c>
      <c r="F1083" t="s">
        <v>6779</v>
      </c>
      <c r="G1083" t="s">
        <v>3890</v>
      </c>
      <c r="H1083" t="s">
        <v>6746</v>
      </c>
      <c r="J1083">
        <v>2</v>
      </c>
      <c r="K1083">
        <v>30.025615860050905</v>
      </c>
      <c r="L1083">
        <v>0</v>
      </c>
      <c r="M1083">
        <v>3447.3244899652409</v>
      </c>
      <c r="N1083">
        <v>164.15280510124751</v>
      </c>
      <c r="O1083">
        <v>109.66176751499754</v>
      </c>
      <c r="P1083">
        <v>0</v>
      </c>
      <c r="Q1083">
        <v>84.794721386294526</v>
      </c>
      <c r="R1083">
        <v>126.61325751463187</v>
      </c>
      <c r="S1083">
        <v>163.24235841958614</v>
      </c>
      <c r="T1083">
        <v>162.38330250169278</v>
      </c>
      <c r="U1083">
        <v>173.23701160560248</v>
      </c>
      <c r="V1083">
        <v>181.91703607805226</v>
      </c>
      <c r="W1083">
        <v>198.90818374879305</v>
      </c>
      <c r="X1083">
        <v>218.65956068902881</v>
      </c>
      <c r="Y1083">
        <v>241.60479082929379</v>
      </c>
      <c r="Z1083">
        <v>266.9519736542768</v>
      </c>
      <c r="AA1083">
        <v>295.29689916336446</v>
      </c>
      <c r="AB1083">
        <v>326.1091699422077</v>
      </c>
      <c r="AC1083">
        <v>360.43688539102783</v>
      </c>
      <c r="AD1083">
        <v>392.79459446968559</v>
      </c>
    </row>
    <row r="1084" spans="2:30" x14ac:dyDescent="0.25">
      <c r="B1084" t="s">
        <v>133</v>
      </c>
      <c r="C1084" t="s">
        <v>3256</v>
      </c>
      <c r="D1084" t="s">
        <v>6780</v>
      </c>
      <c r="E1084" t="s">
        <v>6781</v>
      </c>
      <c r="F1084" t="s">
        <v>6782</v>
      </c>
      <c r="G1084" t="s">
        <v>3890</v>
      </c>
      <c r="H1084" t="s">
        <v>6746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2:30" x14ac:dyDescent="0.25">
      <c r="B1085" t="s">
        <v>133</v>
      </c>
      <c r="C1085" t="s">
        <v>3256</v>
      </c>
      <c r="D1085" t="s">
        <v>6783</v>
      </c>
      <c r="E1085" t="s">
        <v>6784</v>
      </c>
      <c r="F1085" t="s">
        <v>6785</v>
      </c>
      <c r="G1085" t="s">
        <v>3890</v>
      </c>
      <c r="H1085" t="s">
        <v>6746</v>
      </c>
      <c r="J1085">
        <v>2</v>
      </c>
      <c r="K1085">
        <v>599.35264415761799</v>
      </c>
      <c r="L1085">
        <v>0</v>
      </c>
      <c r="M1085">
        <v>1539.8049388511413</v>
      </c>
      <c r="N1085">
        <v>1739.0144101390101</v>
      </c>
      <c r="O1085">
        <v>1919.1658722481259</v>
      </c>
      <c r="P1085">
        <v>0</v>
      </c>
      <c r="Q1085">
        <v>1014.088389007228</v>
      </c>
      <c r="R1085">
        <v>1511.3550687451741</v>
      </c>
      <c r="S1085">
        <v>1950.3198527482903</v>
      </c>
      <c r="T1085">
        <v>1907.4194057379507</v>
      </c>
      <c r="U1085">
        <v>2017.1597977484405</v>
      </c>
      <c r="V1085">
        <v>2106.0656845007697</v>
      </c>
      <c r="W1085">
        <v>2298.6865411911135</v>
      </c>
      <c r="X1085">
        <v>2506.5945768688516</v>
      </c>
      <c r="Y1085">
        <v>2629.0552240597044</v>
      </c>
      <c r="Z1085">
        <v>2769.1175769303582</v>
      </c>
      <c r="AA1085">
        <v>2929.052619032776</v>
      </c>
      <c r="AB1085">
        <v>3111.3806012628897</v>
      </c>
      <c r="AC1085">
        <v>3320.5229347959767</v>
      </c>
      <c r="AD1085">
        <v>3560.0833622285982</v>
      </c>
    </row>
    <row r="1086" spans="2:30" x14ac:dyDescent="0.25">
      <c r="B1086" t="s">
        <v>133</v>
      </c>
      <c r="C1086" t="s">
        <v>3256</v>
      </c>
      <c r="D1086" t="s">
        <v>6786</v>
      </c>
      <c r="E1086" t="s">
        <v>6787</v>
      </c>
      <c r="F1086" t="s">
        <v>6788</v>
      </c>
      <c r="G1086" t="s">
        <v>3890</v>
      </c>
      <c r="H1086" t="s">
        <v>6746</v>
      </c>
      <c r="J1086">
        <v>2</v>
      </c>
      <c r="K1086">
        <v>294.69856660367191</v>
      </c>
      <c r="L1086">
        <v>0</v>
      </c>
      <c r="M1086">
        <v>2566.3415647519018</v>
      </c>
      <c r="N1086">
        <v>2898.3573502316831</v>
      </c>
      <c r="O1086">
        <v>1377.0619065393</v>
      </c>
      <c r="P1086">
        <v>0</v>
      </c>
      <c r="Q1086">
        <v>968.64558779599372</v>
      </c>
      <c r="R1086">
        <v>1595.1531678225144</v>
      </c>
      <c r="S1086">
        <v>2269.0674439255658</v>
      </c>
      <c r="T1086">
        <v>2268.2578602201584</v>
      </c>
      <c r="U1086">
        <v>2451.8347522133772</v>
      </c>
      <c r="V1086">
        <v>2610.2755707056945</v>
      </c>
      <c r="W1086">
        <v>2912.0502484155982</v>
      </c>
      <c r="X1086">
        <v>3273.2950584928508</v>
      </c>
      <c r="Y1086">
        <v>3694.9894875073546</v>
      </c>
      <c r="Z1086">
        <v>4190.4455183721793</v>
      </c>
      <c r="AA1086">
        <v>4755.4697628969789</v>
      </c>
      <c r="AB1086">
        <v>5185.6343354381497</v>
      </c>
      <c r="AC1086">
        <v>5534.2048913266271</v>
      </c>
      <c r="AD1086">
        <v>5933.4722703809966</v>
      </c>
    </row>
    <row r="1087" spans="2:30" x14ac:dyDescent="0.25">
      <c r="B1087" t="s">
        <v>133</v>
      </c>
      <c r="C1087" t="s">
        <v>3256</v>
      </c>
      <c r="D1087" t="s">
        <v>6789</v>
      </c>
      <c r="E1087" t="s">
        <v>6790</v>
      </c>
      <c r="F1087" t="s">
        <v>6791</v>
      </c>
      <c r="G1087" t="s">
        <v>3890</v>
      </c>
      <c r="H1087" t="s">
        <v>6746</v>
      </c>
      <c r="J1087">
        <v>2</v>
      </c>
      <c r="K1087">
        <v>90.057937790013483</v>
      </c>
      <c r="L1087">
        <v>0</v>
      </c>
      <c r="M1087">
        <v>2671.4616733757534</v>
      </c>
      <c r="N1087">
        <v>2909.0208218467078</v>
      </c>
      <c r="O1087">
        <v>274.87235124384648</v>
      </c>
      <c r="P1087">
        <v>0</v>
      </c>
      <c r="Q1087">
        <v>171.60890472992722</v>
      </c>
      <c r="R1087">
        <v>252.73013268724895</v>
      </c>
      <c r="S1087">
        <v>324.39883180323227</v>
      </c>
      <c r="T1087">
        <v>322.20997857828365</v>
      </c>
      <c r="U1087">
        <v>343.65715775079053</v>
      </c>
      <c r="V1087">
        <v>360.87606791186192</v>
      </c>
      <c r="W1087">
        <v>394.58208408780678</v>
      </c>
      <c r="X1087">
        <v>433.76367697050483</v>
      </c>
      <c r="Y1087">
        <v>479.2810436166871</v>
      </c>
      <c r="Z1087">
        <v>529.56325944279763</v>
      </c>
      <c r="AA1087">
        <v>585.79221679336365</v>
      </c>
      <c r="AB1087">
        <v>646.9157451985526</v>
      </c>
      <c r="AC1087">
        <v>1260.8853737232939</v>
      </c>
      <c r="AD1087">
        <v>1556.8769090984124</v>
      </c>
    </row>
    <row r="1088" spans="2:30" x14ac:dyDescent="0.25">
      <c r="B1088" t="s">
        <v>133</v>
      </c>
      <c r="C1088" t="s">
        <v>3256</v>
      </c>
      <c r="D1088" t="s">
        <v>6792</v>
      </c>
      <c r="E1088" t="s">
        <v>6793</v>
      </c>
      <c r="F1088" t="s">
        <v>6794</v>
      </c>
      <c r="G1088" t="s">
        <v>3890</v>
      </c>
      <c r="H1088" t="s">
        <v>6746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2:30" x14ac:dyDescent="0.25">
      <c r="B1089" t="s">
        <v>133</v>
      </c>
      <c r="C1089" t="s">
        <v>3256</v>
      </c>
      <c r="D1089" t="s">
        <v>6795</v>
      </c>
      <c r="E1089" t="s">
        <v>6796</v>
      </c>
      <c r="F1089" t="s">
        <v>6797</v>
      </c>
      <c r="G1089" t="s">
        <v>3890</v>
      </c>
      <c r="H1089" t="s">
        <v>6746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2:30" x14ac:dyDescent="0.25">
      <c r="B1090" t="s">
        <v>133</v>
      </c>
      <c r="C1090" t="s">
        <v>3256</v>
      </c>
      <c r="D1090" t="s">
        <v>6798</v>
      </c>
      <c r="E1090" t="s">
        <v>6799</v>
      </c>
      <c r="F1090" t="s">
        <v>6800</v>
      </c>
      <c r="G1090" t="s">
        <v>3890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2:30" x14ac:dyDescent="0.25">
      <c r="B1091" t="s">
        <v>133</v>
      </c>
      <c r="C1091" t="s">
        <v>3256</v>
      </c>
      <c r="D1091" t="s">
        <v>6801</v>
      </c>
      <c r="E1091" t="s">
        <v>6802</v>
      </c>
      <c r="F1091" t="s">
        <v>6803</v>
      </c>
      <c r="G1091" t="s">
        <v>3890</v>
      </c>
      <c r="K1091">
        <v>1.0523185795646652</v>
      </c>
      <c r="L1091">
        <v>0</v>
      </c>
      <c r="M1091">
        <v>2.6610502237963307</v>
      </c>
      <c r="N1091">
        <v>3.0053187702710864</v>
      </c>
      <c r="O1091">
        <v>3.2227877064042256</v>
      </c>
      <c r="P1091">
        <v>1.872836740863129</v>
      </c>
      <c r="Q1091">
        <v>2.3719362717321486</v>
      </c>
      <c r="R1091">
        <v>2.7178091283899715</v>
      </c>
      <c r="S1091">
        <v>2.7659169304270659</v>
      </c>
      <c r="T1091">
        <v>2.8800309534760578</v>
      </c>
      <c r="U1091">
        <v>3.0067567210441561</v>
      </c>
      <c r="V1091">
        <v>3.2112514028710302</v>
      </c>
      <c r="W1091">
        <v>3.4480868891693475</v>
      </c>
      <c r="X1091">
        <v>3.7442991370321401</v>
      </c>
      <c r="Y1091">
        <v>4.0811089843922002</v>
      </c>
      <c r="Z1091">
        <v>4.4786898482549669</v>
      </c>
      <c r="AA1091">
        <v>4.9491607743239818</v>
      </c>
      <c r="AB1091">
        <v>5.569110753312783</v>
      </c>
      <c r="AC1091">
        <v>5.9379486931942695</v>
      </c>
      <c r="AD1091">
        <v>6.3382238036610881</v>
      </c>
    </row>
    <row r="1092" spans="2:30" x14ac:dyDescent="0.25">
      <c r="B1092" t="s">
        <v>133</v>
      </c>
      <c r="C1092" t="s">
        <v>3256</v>
      </c>
      <c r="D1092" t="s">
        <v>6804</v>
      </c>
      <c r="E1092" t="s">
        <v>6805</v>
      </c>
      <c r="F1092" t="s">
        <v>6806</v>
      </c>
      <c r="G1092" t="s">
        <v>3890</v>
      </c>
      <c r="K1092">
        <v>4.0395862328930464E-2</v>
      </c>
      <c r="L1092">
        <v>0</v>
      </c>
      <c r="M1092">
        <v>4.6379613377079352</v>
      </c>
      <c r="N1092">
        <v>0.22084789689860856</v>
      </c>
      <c r="O1092">
        <v>0.14753674608809536</v>
      </c>
      <c r="P1092">
        <v>8.6683894761917513E-2</v>
      </c>
      <c r="Q1092">
        <v>0.10978462226560465</v>
      </c>
      <c r="R1092">
        <v>0.12579328209876942</v>
      </c>
      <c r="S1092">
        <v>0.12801994262823368</v>
      </c>
      <c r="T1092">
        <v>0.13330168862830363</v>
      </c>
      <c r="U1092">
        <v>0.13916716684101391</v>
      </c>
      <c r="V1092">
        <v>0.14863216455922573</v>
      </c>
      <c r="W1092">
        <v>0.15959405030304616</v>
      </c>
      <c r="X1092">
        <v>0.17330417823928887</v>
      </c>
      <c r="Y1092">
        <v>0.18889335839915797</v>
      </c>
      <c r="Z1092">
        <v>0.20729531357788292</v>
      </c>
      <c r="AA1092">
        <v>0.22907097151649924</v>
      </c>
      <c r="AB1092">
        <v>0.25308159216102633</v>
      </c>
      <c r="AC1092">
        <v>0.28021888863294447</v>
      </c>
      <c r="AD1092">
        <v>0.30574218256885671</v>
      </c>
    </row>
    <row r="1093" spans="2:30" x14ac:dyDescent="0.25">
      <c r="B1093" t="s">
        <v>133</v>
      </c>
      <c r="C1093" t="s">
        <v>3256</v>
      </c>
      <c r="D1093" t="s">
        <v>6807</v>
      </c>
      <c r="E1093" t="s">
        <v>6808</v>
      </c>
      <c r="F1093" t="s">
        <v>6809</v>
      </c>
      <c r="G1093" t="s">
        <v>3890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2:30" x14ac:dyDescent="0.25">
      <c r="B1094" t="s">
        <v>133</v>
      </c>
      <c r="C1094" t="s">
        <v>3256</v>
      </c>
      <c r="D1094" t="s">
        <v>6810</v>
      </c>
      <c r="E1094" t="s">
        <v>6811</v>
      </c>
      <c r="F1094" t="s">
        <v>6812</v>
      </c>
      <c r="G1094" t="s">
        <v>3890</v>
      </c>
      <c r="K1094">
        <v>0.77915843740490331</v>
      </c>
      <c r="L1094">
        <v>0</v>
      </c>
      <c r="M1094">
        <v>2.0017464205064837</v>
      </c>
      <c r="N1094">
        <v>2.2607187331807137</v>
      </c>
      <c r="O1094">
        <v>2.4949156339225635</v>
      </c>
      <c r="P1094">
        <v>1.4204016290942789</v>
      </c>
      <c r="Q1094">
        <v>1.824893399625046</v>
      </c>
      <c r="R1094">
        <v>2.1094956911570795</v>
      </c>
      <c r="S1094">
        <v>2.16196669354219</v>
      </c>
      <c r="T1094">
        <v>2.2384506769094745</v>
      </c>
      <c r="U1094">
        <v>2.3306820253235601</v>
      </c>
      <c r="V1094">
        <v>2.4900070557755365</v>
      </c>
      <c r="W1094">
        <v>2.6800708634138548</v>
      </c>
      <c r="X1094">
        <v>2.9230944727208579</v>
      </c>
      <c r="Y1094">
        <v>3.1974237442561853</v>
      </c>
      <c r="Z1094">
        <v>3.5306689116331338</v>
      </c>
      <c r="AA1094">
        <v>3.928541673761575</v>
      </c>
      <c r="AB1094">
        <v>4.2049743030849429</v>
      </c>
      <c r="AC1094">
        <v>4.4667580624598262</v>
      </c>
      <c r="AD1094">
        <v>4.7678607107411883</v>
      </c>
    </row>
    <row r="1095" spans="2:30" x14ac:dyDescent="0.25">
      <c r="B1095" t="s">
        <v>133</v>
      </c>
      <c r="C1095" t="s">
        <v>3256</v>
      </c>
      <c r="D1095" t="s">
        <v>6813</v>
      </c>
      <c r="E1095" t="s">
        <v>6814</v>
      </c>
      <c r="F1095" t="s">
        <v>6815</v>
      </c>
      <c r="G1095" t="s">
        <v>3890</v>
      </c>
      <c r="K1095">
        <v>0.36032292751067735</v>
      </c>
      <c r="L1095">
        <v>0</v>
      </c>
      <c r="M1095">
        <v>3.1378222034155492</v>
      </c>
      <c r="N1095">
        <v>3.5437722600533248</v>
      </c>
      <c r="O1095">
        <v>1.6837101830731911</v>
      </c>
      <c r="P1095">
        <v>1.0719522931522669</v>
      </c>
      <c r="Q1095">
        <v>1.5334206895468785</v>
      </c>
      <c r="R1095">
        <v>1.9822356508800234</v>
      </c>
      <c r="S1095">
        <v>2.2657516850714252</v>
      </c>
      <c r="T1095">
        <v>2.4041249468079831</v>
      </c>
      <c r="U1095">
        <v>2.5653033335447879</v>
      </c>
      <c r="V1095">
        <v>2.8011497058954871</v>
      </c>
      <c r="W1095">
        <v>3.0897846601937839</v>
      </c>
      <c r="X1095">
        <v>3.4535916068438697</v>
      </c>
      <c r="Y1095">
        <v>3.8675462687132258</v>
      </c>
      <c r="Z1095">
        <v>4.3766166565206079</v>
      </c>
      <c r="AA1095">
        <v>4.9772897475691797</v>
      </c>
      <c r="AB1095">
        <v>5.8484401972112599</v>
      </c>
      <c r="AC1095">
        <v>7.0018322411314946</v>
      </c>
      <c r="AD1095">
        <v>7.4738233812707264</v>
      </c>
    </row>
    <row r="1096" spans="2:30" x14ac:dyDescent="0.25">
      <c r="B1096" t="s">
        <v>133</v>
      </c>
      <c r="C1096" t="s">
        <v>3256</v>
      </c>
      <c r="D1096" t="s">
        <v>6816</v>
      </c>
      <c r="E1096" t="s">
        <v>6817</v>
      </c>
      <c r="F1096" t="s">
        <v>6818</v>
      </c>
      <c r="G1096" t="s">
        <v>3890</v>
      </c>
      <c r="K1096">
        <v>0.29719119470704453</v>
      </c>
      <c r="L1096">
        <v>0</v>
      </c>
      <c r="M1096">
        <v>8.8158235221399863</v>
      </c>
      <c r="N1096">
        <v>9.5997687120941357</v>
      </c>
      <c r="O1096">
        <v>0.90707875910469338</v>
      </c>
      <c r="P1096">
        <v>0.52712452127454157</v>
      </c>
      <c r="Q1096">
        <v>0.66759998052702929</v>
      </c>
      <c r="R1096">
        <v>0.76494859613758626</v>
      </c>
      <c r="S1096">
        <v>0.77848891258112551</v>
      </c>
      <c r="T1096">
        <v>0.81060719521514124</v>
      </c>
      <c r="U1096">
        <v>0.84627515179938484</v>
      </c>
      <c r="V1096">
        <v>0.90383177641552837</v>
      </c>
      <c r="W1096">
        <v>0.97049097292311493</v>
      </c>
      <c r="X1096">
        <v>1.0538622225059109</v>
      </c>
      <c r="Y1096">
        <v>1.1486599833979794</v>
      </c>
      <c r="Z1096">
        <v>1.2605622213020669</v>
      </c>
      <c r="AA1096">
        <v>1.3929799362404367</v>
      </c>
      <c r="AB1096">
        <v>1.5389884531340667</v>
      </c>
      <c r="AC1096">
        <v>2.753503740350276</v>
      </c>
      <c r="AD1096">
        <v>3.8425761356050141</v>
      </c>
    </row>
    <row r="1097" spans="2:30" x14ac:dyDescent="0.25">
      <c r="B1097" t="s">
        <v>133</v>
      </c>
      <c r="C1097" t="s">
        <v>3256</v>
      </c>
      <c r="D1097" t="s">
        <v>6819</v>
      </c>
      <c r="E1097" t="s">
        <v>6820</v>
      </c>
      <c r="F1097" t="s">
        <v>6821</v>
      </c>
      <c r="G1097" t="s">
        <v>3890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2:30" x14ac:dyDescent="0.25">
      <c r="B1098" t="s">
        <v>133</v>
      </c>
      <c r="C1098" t="s">
        <v>3256</v>
      </c>
      <c r="D1098" t="s">
        <v>6822</v>
      </c>
      <c r="E1098" t="s">
        <v>6823</v>
      </c>
      <c r="F1098" t="s">
        <v>6824</v>
      </c>
      <c r="G1098" t="s">
        <v>3890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2:30" x14ac:dyDescent="0.25">
      <c r="B1099" t="s">
        <v>133</v>
      </c>
      <c r="C1099" t="s">
        <v>3256</v>
      </c>
      <c r="D1099" t="s">
        <v>6825</v>
      </c>
      <c r="E1099" t="s">
        <v>6826</v>
      </c>
      <c r="F1099" t="s">
        <v>6827</v>
      </c>
      <c r="G1099" t="s">
        <v>3890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2:30" x14ac:dyDescent="0.25">
      <c r="B1100" t="s">
        <v>133</v>
      </c>
      <c r="C1100" t="s">
        <v>3256</v>
      </c>
      <c r="D1100" t="s">
        <v>6828</v>
      </c>
      <c r="E1100" t="s">
        <v>6829</v>
      </c>
      <c r="F1100" t="s">
        <v>6830</v>
      </c>
      <c r="G1100" t="s">
        <v>3890</v>
      </c>
      <c r="K1100">
        <v>1.0523185795646652</v>
      </c>
      <c r="L1100">
        <v>0</v>
      </c>
      <c r="M1100">
        <v>2.6610502237963307</v>
      </c>
      <c r="N1100">
        <v>3.0053187702710864</v>
      </c>
      <c r="O1100">
        <v>3.2227877064042256</v>
      </c>
      <c r="P1100">
        <v>0</v>
      </c>
      <c r="Q1100">
        <v>1.2464980541593502</v>
      </c>
      <c r="R1100">
        <v>1.8357300229721221</v>
      </c>
      <c r="S1100">
        <v>2.3563026245675784</v>
      </c>
      <c r="T1100">
        <v>2.3404036752092527</v>
      </c>
      <c r="U1100">
        <v>2.4961873575759097</v>
      </c>
      <c r="V1100">
        <v>2.6212585946675886</v>
      </c>
      <c r="W1100">
        <v>2.8660855379016827</v>
      </c>
      <c r="X1100">
        <v>3.1654186459035434</v>
      </c>
      <c r="Y1100">
        <v>3.5955496668232154</v>
      </c>
      <c r="Z1100">
        <v>4.0755462929356217</v>
      </c>
      <c r="AA1100">
        <v>4.6154562464322497</v>
      </c>
      <c r="AB1100">
        <v>5.3681015838022583</v>
      </c>
      <c r="AC1100">
        <v>5.7384400295224012</v>
      </c>
      <c r="AD1100">
        <v>6.1524420325994615</v>
      </c>
    </row>
    <row r="1101" spans="2:30" x14ac:dyDescent="0.25">
      <c r="B1101" t="s">
        <v>133</v>
      </c>
      <c r="C1101" t="s">
        <v>3256</v>
      </c>
      <c r="D1101" t="s">
        <v>6831</v>
      </c>
      <c r="E1101" t="s">
        <v>6832</v>
      </c>
      <c r="F1101" t="s">
        <v>6833</v>
      </c>
      <c r="G1101" t="s">
        <v>3890</v>
      </c>
      <c r="K1101">
        <v>4.0395862328930464E-2</v>
      </c>
      <c r="L1101">
        <v>0</v>
      </c>
      <c r="M1101">
        <v>4.6379613377079352</v>
      </c>
      <c r="N1101">
        <v>0.22084789689860856</v>
      </c>
      <c r="O1101">
        <v>0.14753674608809536</v>
      </c>
      <c r="P1101">
        <v>0</v>
      </c>
      <c r="Q1101">
        <v>0.1140811201777282</v>
      </c>
      <c r="R1101">
        <v>0.1703429412877934</v>
      </c>
      <c r="S1101">
        <v>0.21962300016437844</v>
      </c>
      <c r="T1101">
        <v>0.21846724353464536</v>
      </c>
      <c r="U1101">
        <v>0.23306960642250027</v>
      </c>
      <c r="V1101">
        <v>0.24474753753422648</v>
      </c>
      <c r="W1101">
        <v>0.26760708737050448</v>
      </c>
      <c r="X1101">
        <v>0.2941801943936363</v>
      </c>
      <c r="Y1101">
        <v>0.3250502475566423</v>
      </c>
      <c r="Z1101">
        <v>0.35915183976366755</v>
      </c>
      <c r="AA1101">
        <v>0.39728653494946525</v>
      </c>
      <c r="AB1101">
        <v>0.43874074705373506</v>
      </c>
      <c r="AC1101">
        <v>0.48492456802182515</v>
      </c>
      <c r="AD1101">
        <v>0.52845798186797255</v>
      </c>
    </row>
    <row r="1102" spans="2:30" x14ac:dyDescent="0.25">
      <c r="B1102" t="s">
        <v>133</v>
      </c>
      <c r="C1102" t="s">
        <v>3256</v>
      </c>
      <c r="D1102" t="s">
        <v>6834</v>
      </c>
      <c r="E1102" t="s">
        <v>6835</v>
      </c>
      <c r="F1102" t="s">
        <v>6836</v>
      </c>
      <c r="G1102" t="s">
        <v>3890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2:30" x14ac:dyDescent="0.25">
      <c r="B1103" t="s">
        <v>133</v>
      </c>
      <c r="C1103" t="s">
        <v>3256</v>
      </c>
      <c r="D1103" t="s">
        <v>6837</v>
      </c>
      <c r="E1103" t="s">
        <v>6838</v>
      </c>
      <c r="F1103" t="s">
        <v>6839</v>
      </c>
      <c r="G1103" t="s">
        <v>3890</v>
      </c>
      <c r="K1103">
        <v>0.77915843740490331</v>
      </c>
      <c r="L1103">
        <v>0</v>
      </c>
      <c r="M1103">
        <v>2.0017464205064837</v>
      </c>
      <c r="N1103">
        <v>2.2607187331807137</v>
      </c>
      <c r="O1103">
        <v>2.4949156339225635</v>
      </c>
      <c r="P1103">
        <v>0</v>
      </c>
      <c r="Q1103">
        <v>1.3183149057093964</v>
      </c>
      <c r="R1103">
        <v>1.9647615893687265</v>
      </c>
      <c r="S1103">
        <v>2.5354158085727776</v>
      </c>
      <c r="T1103">
        <v>2.4796452274593359</v>
      </c>
      <c r="U1103">
        <v>2.6223077370729726</v>
      </c>
      <c r="V1103">
        <v>2.7378853898510007</v>
      </c>
      <c r="W1103">
        <v>2.9882925035484478</v>
      </c>
      <c r="X1103">
        <v>3.2585729499295071</v>
      </c>
      <c r="Y1103">
        <v>3.4177717912776155</v>
      </c>
      <c r="Z1103">
        <v>3.5998528500094658</v>
      </c>
      <c r="AA1103">
        <v>3.8077684047426086</v>
      </c>
      <c r="AB1103">
        <v>4.0447947816417571</v>
      </c>
      <c r="AC1103">
        <v>4.3166798152347701</v>
      </c>
      <c r="AD1103">
        <v>4.6281083708971771</v>
      </c>
    </row>
    <row r="1104" spans="2:30" x14ac:dyDescent="0.25">
      <c r="B1104" t="s">
        <v>133</v>
      </c>
      <c r="C1104" t="s">
        <v>3256</v>
      </c>
      <c r="D1104" t="s">
        <v>6840</v>
      </c>
      <c r="E1104" t="s">
        <v>6841</v>
      </c>
      <c r="F1104" t="s">
        <v>6842</v>
      </c>
      <c r="G1104" t="s">
        <v>3890</v>
      </c>
      <c r="K1104">
        <v>0.36032292751067735</v>
      </c>
      <c r="L1104">
        <v>0</v>
      </c>
      <c r="M1104">
        <v>3.1378222034155492</v>
      </c>
      <c r="N1104">
        <v>3.5437722600533248</v>
      </c>
      <c r="O1104">
        <v>1.6837101830731911</v>
      </c>
      <c r="P1104">
        <v>0</v>
      </c>
      <c r="Q1104">
        <v>1.1843464932231689</v>
      </c>
      <c r="R1104">
        <v>1.9503666606927355</v>
      </c>
      <c r="S1104">
        <v>2.7743501895412424</v>
      </c>
      <c r="T1104">
        <v>2.7733603253075638</v>
      </c>
      <c r="U1104">
        <v>2.9978166703405087</v>
      </c>
      <c r="V1104">
        <v>3.1915395656171506</v>
      </c>
      <c r="W1104">
        <v>3.5605143338835288</v>
      </c>
      <c r="X1104">
        <v>4.0022022220032136</v>
      </c>
      <c r="Y1104">
        <v>4.5178008315539548</v>
      </c>
      <c r="Z1104">
        <v>5.1235864977398515</v>
      </c>
      <c r="AA1104">
        <v>5.8144320361081672</v>
      </c>
      <c r="AB1104">
        <v>6.3403869461565225</v>
      </c>
      <c r="AC1104">
        <v>6.7665782391419143</v>
      </c>
      <c r="AD1104">
        <v>7.2547556759662477</v>
      </c>
    </row>
    <row r="1105" spans="2:30" x14ac:dyDescent="0.25">
      <c r="B1105" t="s">
        <v>133</v>
      </c>
      <c r="C1105" t="s">
        <v>3256</v>
      </c>
      <c r="D1105" t="s">
        <v>6843</v>
      </c>
      <c r="E1105" t="s">
        <v>6844</v>
      </c>
      <c r="F1105" t="s">
        <v>6845</v>
      </c>
      <c r="G1105" t="s">
        <v>3890</v>
      </c>
      <c r="K1105">
        <v>0.29719119470704453</v>
      </c>
      <c r="L1105">
        <v>0</v>
      </c>
      <c r="M1105">
        <v>8.8158235221399863</v>
      </c>
      <c r="N1105">
        <v>9.5997687120941357</v>
      </c>
      <c r="O1105">
        <v>0.90707875910469338</v>
      </c>
      <c r="P1105">
        <v>0</v>
      </c>
      <c r="Q1105">
        <v>0.56630938560875987</v>
      </c>
      <c r="R1105">
        <v>0.83400943786792148</v>
      </c>
      <c r="S1105">
        <v>1.0705161449506666</v>
      </c>
      <c r="T1105">
        <v>1.063292929308336</v>
      </c>
      <c r="U1105">
        <v>1.1340686205776087</v>
      </c>
      <c r="V1105">
        <v>1.1908910241091444</v>
      </c>
      <c r="W1105">
        <v>1.3021208774897624</v>
      </c>
      <c r="X1105">
        <v>1.431420134002666</v>
      </c>
      <c r="Y1105">
        <v>1.5816274439350675</v>
      </c>
      <c r="Z1105">
        <v>1.7475587561612322</v>
      </c>
      <c r="AA1105">
        <v>1.9331143154181001</v>
      </c>
      <c r="AB1105">
        <v>2.1348219591552238</v>
      </c>
      <c r="AC1105">
        <v>4.1609217332868704</v>
      </c>
      <c r="AD1105">
        <v>5.1376938000247607</v>
      </c>
    </row>
    <row r="1106" spans="2:30" x14ac:dyDescent="0.25">
      <c r="B1106" t="s">
        <v>133</v>
      </c>
      <c r="C1106" t="s">
        <v>3256</v>
      </c>
      <c r="D1106" t="s">
        <v>6846</v>
      </c>
      <c r="E1106" t="s">
        <v>6847</v>
      </c>
      <c r="F1106" t="s">
        <v>6848</v>
      </c>
      <c r="G1106" t="s">
        <v>3890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2:30" x14ac:dyDescent="0.25">
      <c r="B1107" t="s">
        <v>133</v>
      </c>
      <c r="C1107" t="s">
        <v>3256</v>
      </c>
      <c r="D1107" t="s">
        <v>6849</v>
      </c>
      <c r="E1107" t="s">
        <v>6850</v>
      </c>
      <c r="F1107" t="s">
        <v>6851</v>
      </c>
      <c r="G1107" t="s">
        <v>3890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2:30" x14ac:dyDescent="0.25">
      <c r="B1108" t="s">
        <v>133</v>
      </c>
      <c r="C1108" t="s">
        <v>3256</v>
      </c>
      <c r="D1108" t="s">
        <v>6852</v>
      </c>
      <c r="E1108" t="s">
        <v>6853</v>
      </c>
      <c r="F1108" t="s">
        <v>6854</v>
      </c>
      <c r="G1108" t="s">
        <v>3890</v>
      </c>
      <c r="H1108" t="s">
        <v>6853</v>
      </c>
      <c r="I1108" t="s">
        <v>4165</v>
      </c>
      <c r="K1108">
        <v>1.1368175895069652</v>
      </c>
      <c r="L1108">
        <v>1.0917610197470982</v>
      </c>
      <c r="M1108">
        <v>1.0604552177698889</v>
      </c>
      <c r="N1108">
        <v>1.03227909878657</v>
      </c>
      <c r="O1108">
        <v>1</v>
      </c>
      <c r="P1108">
        <v>0.97903567880143105</v>
      </c>
      <c r="Q1108">
        <v>0.95811374720502052</v>
      </c>
      <c r="R1108">
        <v>0.93759960694773214</v>
      </c>
      <c r="S1108">
        <v>0.91750779927332549</v>
      </c>
      <c r="T1108">
        <v>0.897896011223145</v>
      </c>
      <c r="U1108">
        <v>0.897896011223145</v>
      </c>
      <c r="V1108">
        <v>0.897896011223145</v>
      </c>
      <c r="W1108">
        <v>0.897896011223145</v>
      </c>
      <c r="X1108">
        <v>0.897896011223145</v>
      </c>
      <c r="Y1108">
        <v>0.897896011223145</v>
      </c>
      <c r="Z1108">
        <v>0.897896011223145</v>
      </c>
      <c r="AA1108">
        <v>0.897896011223145</v>
      </c>
      <c r="AB1108">
        <v>0.897896011223145</v>
      </c>
      <c r="AC1108">
        <v>0.897896011223145</v>
      </c>
      <c r="AD1108">
        <v>0.897896011223145</v>
      </c>
    </row>
    <row r="1109" spans="2:30" x14ac:dyDescent="0.25">
      <c r="B1109" t="s">
        <v>133</v>
      </c>
      <c r="C1109" t="s">
        <v>3256</v>
      </c>
      <c r="D1109" t="s">
        <v>6855</v>
      </c>
      <c r="E1109" t="s">
        <v>4476</v>
      </c>
      <c r="F1109" t="s">
        <v>6856</v>
      </c>
      <c r="G1109" t="s">
        <v>3890</v>
      </c>
      <c r="H1109" t="s">
        <v>4476</v>
      </c>
      <c r="I1109" t="s">
        <v>3892</v>
      </c>
      <c r="K1109">
        <v>0.14000000000000001</v>
      </c>
      <c r="L1109">
        <v>0.14000000000000001</v>
      </c>
      <c r="M1109">
        <v>0.14000000000000001</v>
      </c>
      <c r="N1109">
        <v>0.14000000000000001</v>
      </c>
      <c r="O1109">
        <v>0.14000000000000001</v>
      </c>
      <c r="P1109">
        <v>0.14000000000000001</v>
      </c>
      <c r="Q1109">
        <v>0.14000000000000001</v>
      </c>
      <c r="R1109">
        <v>0.14000000000000001</v>
      </c>
      <c r="S1109">
        <v>0.14000000000000001</v>
      </c>
      <c r="T1109">
        <v>0.14000000000000001</v>
      </c>
      <c r="U1109">
        <v>0.14000000000000001</v>
      </c>
      <c r="V1109">
        <v>0.14000000000000001</v>
      </c>
      <c r="W1109">
        <v>0.14000000000000001</v>
      </c>
      <c r="X1109">
        <v>0.14000000000000001</v>
      </c>
      <c r="Y1109">
        <v>0.14000000000000001</v>
      </c>
      <c r="Z1109">
        <v>0.14000000000000001</v>
      </c>
      <c r="AA1109">
        <v>0.14000000000000001</v>
      </c>
      <c r="AB1109">
        <v>0.14000000000000001</v>
      </c>
      <c r="AC1109">
        <v>0.14000000000000001</v>
      </c>
      <c r="AD1109">
        <v>0.14000000000000001</v>
      </c>
    </row>
    <row r="1110" spans="2:30" x14ac:dyDescent="0.25">
      <c r="B1110" t="s">
        <v>133</v>
      </c>
      <c r="C1110" t="s">
        <v>3256</v>
      </c>
      <c r="D1110" t="s">
        <v>6857</v>
      </c>
      <c r="E1110" t="s">
        <v>6858</v>
      </c>
      <c r="F1110" t="s">
        <v>6859</v>
      </c>
      <c r="G1110" t="s">
        <v>3890</v>
      </c>
      <c r="H1110" t="s">
        <v>6858</v>
      </c>
      <c r="I1110" t="s">
        <v>6860</v>
      </c>
      <c r="K1110">
        <v>111.75716230528862</v>
      </c>
      <c r="L1110">
        <v>89.403538478705627</v>
      </c>
      <c r="M1110">
        <v>84.949161735266472</v>
      </c>
      <c r="N1110">
        <v>72.686827484089392</v>
      </c>
      <c r="O1110">
        <v>76.093255999999997</v>
      </c>
      <c r="P1110">
        <v>70.958268078865274</v>
      </c>
      <c r="Q1110">
        <v>69.545549719803304</v>
      </c>
      <c r="R1110">
        <v>68.833425107272674</v>
      </c>
      <c r="S1110">
        <v>68.210667701936828</v>
      </c>
      <c r="T1110">
        <v>67.534099175383218</v>
      </c>
      <c r="U1110">
        <v>67.534099175383218</v>
      </c>
      <c r="V1110">
        <v>67.534099175383218</v>
      </c>
      <c r="W1110">
        <v>67.534099175383218</v>
      </c>
      <c r="X1110">
        <v>67.534099175383218</v>
      </c>
      <c r="Y1110">
        <v>67.534099175383218</v>
      </c>
      <c r="Z1110">
        <v>67.534099175383218</v>
      </c>
      <c r="AA1110">
        <v>67.534099175383218</v>
      </c>
      <c r="AB1110">
        <v>67.534099175383218</v>
      </c>
      <c r="AC1110">
        <v>67.534099175383218</v>
      </c>
      <c r="AD1110">
        <v>67.534099175383218</v>
      </c>
    </row>
    <row r="1111" spans="2:30" x14ac:dyDescent="0.25">
      <c r="B1111" t="s">
        <v>133</v>
      </c>
      <c r="C1111" t="s">
        <v>3256</v>
      </c>
      <c r="D1111" t="s">
        <v>6861</v>
      </c>
      <c r="E1111" t="s">
        <v>6862</v>
      </c>
      <c r="F1111" t="s">
        <v>6863</v>
      </c>
      <c r="G1111" t="s">
        <v>3890</v>
      </c>
      <c r="H1111" t="s">
        <v>6862</v>
      </c>
      <c r="I1111" t="s">
        <v>6864</v>
      </c>
      <c r="K1111">
        <v>409.80694455874033</v>
      </c>
      <c r="L1111">
        <v>195.64124003578868</v>
      </c>
      <c r="M1111">
        <v>147.93633497530044</v>
      </c>
      <c r="N1111">
        <v>119.54828976084644</v>
      </c>
      <c r="O1111">
        <v>120.300743</v>
      </c>
      <c r="P1111">
        <v>122.55003123620016</v>
      </c>
      <c r="Q1111">
        <v>121.48350328436834</v>
      </c>
      <c r="R1111">
        <v>120.3397797631516</v>
      </c>
      <c r="S1111">
        <v>119.11569833746792</v>
      </c>
      <c r="T1111">
        <v>117.93440993934053</v>
      </c>
      <c r="U1111">
        <v>117.93440993934054</v>
      </c>
      <c r="V1111">
        <v>117.93440993934055</v>
      </c>
      <c r="W1111">
        <v>117.93440993934054</v>
      </c>
      <c r="X1111">
        <v>117.93440993934053</v>
      </c>
      <c r="Y1111">
        <v>117.93440993934054</v>
      </c>
      <c r="Z1111">
        <v>117.93440993934051</v>
      </c>
      <c r="AA1111">
        <v>117.93440993934053</v>
      </c>
      <c r="AB1111">
        <v>117.93440993934053</v>
      </c>
      <c r="AC1111">
        <v>117.93440993934053</v>
      </c>
      <c r="AD1111">
        <v>117.93440993934051</v>
      </c>
    </row>
    <row r="1112" spans="2:30" x14ac:dyDescent="0.25">
      <c r="B1112" t="s">
        <v>133</v>
      </c>
      <c r="C1112" t="s">
        <v>3256</v>
      </c>
      <c r="D1112" t="s">
        <v>6865</v>
      </c>
      <c r="E1112" t="s">
        <v>6866</v>
      </c>
      <c r="F1112" t="s">
        <v>6867</v>
      </c>
      <c r="G1112" t="s">
        <v>3890</v>
      </c>
      <c r="H1112" t="s">
        <v>6866</v>
      </c>
      <c r="I1112" t="s">
        <v>6868</v>
      </c>
      <c r="K1112">
        <v>26.693896382197355</v>
      </c>
      <c r="L1112">
        <v>10.670418595749961</v>
      </c>
      <c r="M1112">
        <v>8.9942369846005317</v>
      </c>
      <c r="N1112">
        <v>9.6066996433622407</v>
      </c>
      <c r="O1112">
        <v>9.9645608333333335</v>
      </c>
      <c r="P1112">
        <v>9.0393681253503324</v>
      </c>
      <c r="Q1112">
        <v>7.9510314623354663</v>
      </c>
      <c r="R1112">
        <v>7.563351911337068</v>
      </c>
      <c r="S1112">
        <v>7.4533706916082316</v>
      </c>
      <c r="T1112">
        <v>7.3910456015428156</v>
      </c>
      <c r="U1112">
        <v>7.3910456015428165</v>
      </c>
      <c r="V1112">
        <v>7.3910456015428165</v>
      </c>
      <c r="W1112">
        <v>7.3910456015428165</v>
      </c>
      <c r="X1112">
        <v>7.3910456015428156</v>
      </c>
      <c r="Y1112">
        <v>7.3910456015428165</v>
      </c>
      <c r="Z1112">
        <v>7.3910456015428165</v>
      </c>
      <c r="AA1112">
        <v>7.3910456015428156</v>
      </c>
      <c r="AB1112">
        <v>7.3910456015428156</v>
      </c>
      <c r="AC1112">
        <v>7.3910456015428174</v>
      </c>
      <c r="AD1112">
        <v>7.3910456015428156</v>
      </c>
    </row>
    <row r="1113" spans="2:30" x14ac:dyDescent="0.25">
      <c r="B1113" t="s">
        <v>133</v>
      </c>
      <c r="C1113" t="s">
        <v>3256</v>
      </c>
      <c r="D1113" t="s">
        <v>6857</v>
      </c>
      <c r="E1113" t="s">
        <v>6869</v>
      </c>
      <c r="F1113" t="s">
        <v>6870</v>
      </c>
      <c r="G1113" t="s">
        <v>3890</v>
      </c>
      <c r="H1113" t="s">
        <v>6869</v>
      </c>
      <c r="I1113" t="s">
        <v>6860</v>
      </c>
      <c r="K1113">
        <v>18.260974232890298</v>
      </c>
      <c r="L1113">
        <v>14.608421320049938</v>
      </c>
      <c r="M1113">
        <v>13.880581982886678</v>
      </c>
      <c r="N1113">
        <v>11.876932595439444</v>
      </c>
      <c r="O1113">
        <v>12.433538562091503</v>
      </c>
      <c r="P1113">
        <v>11.5944882481806</v>
      </c>
      <c r="Q1113">
        <v>11.36365191500054</v>
      </c>
      <c r="R1113">
        <v>11.247291684194881</v>
      </c>
      <c r="S1113">
        <v>11.145533938224972</v>
      </c>
      <c r="T1113">
        <v>11.034983525389414</v>
      </c>
      <c r="U1113">
        <v>11.034983525389414</v>
      </c>
      <c r="V1113">
        <v>11.034983525389414</v>
      </c>
      <c r="W1113">
        <v>11.034983525389414</v>
      </c>
      <c r="X1113">
        <v>11.034983525389414</v>
      </c>
      <c r="Y1113">
        <v>11.034983525389414</v>
      </c>
      <c r="Z1113">
        <v>11.034983525389414</v>
      </c>
      <c r="AA1113">
        <v>11.034983525389414</v>
      </c>
      <c r="AB1113">
        <v>11.034983525389414</v>
      </c>
      <c r="AC1113">
        <v>11.034983525389414</v>
      </c>
      <c r="AD1113">
        <v>11.034983525389414</v>
      </c>
    </row>
    <row r="1114" spans="2:30" x14ac:dyDescent="0.25">
      <c r="B1114" t="s">
        <v>133</v>
      </c>
      <c r="C1114" t="s">
        <v>3256</v>
      </c>
      <c r="D1114" t="s">
        <v>6861</v>
      </c>
      <c r="E1114" t="s">
        <v>6871</v>
      </c>
      <c r="F1114" t="s">
        <v>6872</v>
      </c>
      <c r="G1114" t="s">
        <v>3890</v>
      </c>
      <c r="H1114" t="s">
        <v>6871</v>
      </c>
      <c r="I1114" t="s">
        <v>6864</v>
      </c>
      <c r="K1114">
        <v>16.300992225884656</v>
      </c>
      <c r="L1114">
        <v>7.7820700093790238</v>
      </c>
      <c r="M1114">
        <v>5.8845001979037557</v>
      </c>
      <c r="N1114">
        <v>4.7553018997950049</v>
      </c>
      <c r="O1114">
        <v>4.7852324184566415</v>
      </c>
      <c r="P1114">
        <v>4.8747029131344526</v>
      </c>
      <c r="Q1114">
        <v>4.8322793669199813</v>
      </c>
      <c r="R1114">
        <v>4.7867851934427836</v>
      </c>
      <c r="S1114">
        <v>4.7380946037178955</v>
      </c>
      <c r="T1114">
        <v>4.6911062028377293</v>
      </c>
      <c r="U1114">
        <v>4.6911062028377293</v>
      </c>
      <c r="V1114">
        <v>4.6911062028377302</v>
      </c>
      <c r="W1114">
        <v>4.6911062028377293</v>
      </c>
      <c r="X1114">
        <v>4.6911062028377293</v>
      </c>
      <c r="Y1114">
        <v>4.6911062028377293</v>
      </c>
      <c r="Z1114">
        <v>4.6911062028377284</v>
      </c>
      <c r="AA1114">
        <v>4.6911062028377293</v>
      </c>
      <c r="AB1114">
        <v>4.6911062028377293</v>
      </c>
      <c r="AC1114">
        <v>4.6911062028377293</v>
      </c>
      <c r="AD1114">
        <v>4.6911062028377284</v>
      </c>
    </row>
    <row r="1115" spans="2:30" x14ac:dyDescent="0.25">
      <c r="B1115" t="s">
        <v>133</v>
      </c>
      <c r="C1115" t="s">
        <v>3256</v>
      </c>
      <c r="D1115" t="s">
        <v>6865</v>
      </c>
      <c r="E1115" t="s">
        <v>6873</v>
      </c>
      <c r="F1115" t="s">
        <v>6874</v>
      </c>
      <c r="G1115" t="s">
        <v>3890</v>
      </c>
      <c r="H1115" t="s">
        <v>6873</v>
      </c>
      <c r="I1115" t="s">
        <v>6868</v>
      </c>
      <c r="K1115">
        <v>25.300928464647711</v>
      </c>
      <c r="L1115">
        <v>10.113604013199263</v>
      </c>
      <c r="M1115">
        <v>8.5248906073237176</v>
      </c>
      <c r="N1115">
        <v>9.1053931197606968</v>
      </c>
      <c r="O1115">
        <v>9.4445800349302154</v>
      </c>
      <c r="P1115">
        <v>8.5676666692102899</v>
      </c>
      <c r="Q1115">
        <v>7.5361226914357777</v>
      </c>
      <c r="R1115">
        <v>7.1686734271328421</v>
      </c>
      <c r="S1115">
        <v>7.0644313587224108</v>
      </c>
      <c r="T1115">
        <v>7.0053585795851747</v>
      </c>
      <c r="U1115">
        <v>7.0053585795851756</v>
      </c>
      <c r="V1115">
        <v>7.0053585795851756</v>
      </c>
      <c r="W1115">
        <v>7.0053585795851756</v>
      </c>
      <c r="X1115">
        <v>7.0053585795851747</v>
      </c>
      <c r="Y1115">
        <v>7.0053585795851756</v>
      </c>
      <c r="Z1115">
        <v>7.0053585795851756</v>
      </c>
      <c r="AA1115">
        <v>7.0053585795851747</v>
      </c>
      <c r="AB1115">
        <v>7.0053585795851747</v>
      </c>
      <c r="AC1115">
        <v>7.0053585795851756</v>
      </c>
      <c r="AD1115">
        <v>7.0053585795851747</v>
      </c>
    </row>
    <row r="1116" spans="2:30" x14ac:dyDescent="0.25">
      <c r="B1116" t="s">
        <v>133</v>
      </c>
      <c r="C1116" t="s">
        <v>3256</v>
      </c>
      <c r="D1116" t="s">
        <v>6875</v>
      </c>
      <c r="E1116" t="s">
        <v>6876</v>
      </c>
      <c r="F1116" t="s">
        <v>6877</v>
      </c>
      <c r="G1116" t="s">
        <v>3890</v>
      </c>
      <c r="H1116" t="s">
        <v>6876</v>
      </c>
      <c r="I1116" t="s">
        <v>6878</v>
      </c>
      <c r="K1116">
        <v>0.66649403623702208</v>
      </c>
      <c r="L1116">
        <v>0.52974010355228474</v>
      </c>
      <c r="M1116">
        <v>0.5026069413629517</v>
      </c>
      <c r="N1116">
        <v>0.44257796119644682</v>
      </c>
      <c r="O1116">
        <v>0.46331913590053142</v>
      </c>
      <c r="P1116">
        <v>0.43205305147276285</v>
      </c>
      <c r="Q1116">
        <v>0.4234512451656256</v>
      </c>
      <c r="R1116">
        <v>0.41911523725276678</v>
      </c>
      <c r="S1116">
        <v>0.4153233713492252</v>
      </c>
      <c r="T1116">
        <v>0.41120385850960756</v>
      </c>
      <c r="U1116">
        <v>0.41120385850960756</v>
      </c>
      <c r="V1116">
        <v>0.41120385850960756</v>
      </c>
      <c r="W1116">
        <v>0.41120385850960756</v>
      </c>
      <c r="X1116">
        <v>0.41120385850960756</v>
      </c>
      <c r="Y1116">
        <v>0.41120385850960756</v>
      </c>
      <c r="Z1116">
        <v>0.41120385850960756</v>
      </c>
      <c r="AA1116">
        <v>0.41120385850960756</v>
      </c>
      <c r="AB1116">
        <v>0.41120385850960756</v>
      </c>
      <c r="AC1116">
        <v>0.41120385850960756</v>
      </c>
      <c r="AD1116">
        <v>0.41120385850960756</v>
      </c>
    </row>
    <row r="1117" spans="2:30" x14ac:dyDescent="0.25">
      <c r="B1117" t="s">
        <v>133</v>
      </c>
      <c r="C1117" t="s">
        <v>3256</v>
      </c>
      <c r="D1117" t="s">
        <v>6879</v>
      </c>
      <c r="E1117" t="s">
        <v>6880</v>
      </c>
      <c r="F1117" t="s">
        <v>6881</v>
      </c>
      <c r="G1117" t="s">
        <v>3890</v>
      </c>
      <c r="H1117" t="s">
        <v>6880</v>
      </c>
      <c r="I1117" t="s">
        <v>6878</v>
      </c>
      <c r="K1117">
        <v>0.69186626801993456</v>
      </c>
      <c r="L1117">
        <v>0.54990635855423164</v>
      </c>
      <c r="M1117">
        <v>0.52174028557704244</v>
      </c>
      <c r="N1117">
        <v>0.45942610987139121</v>
      </c>
      <c r="O1117">
        <v>0.48095686387165837</v>
      </c>
      <c r="P1117">
        <v>0.44850053572389442</v>
      </c>
      <c r="Q1117">
        <v>0.43957127408856161</v>
      </c>
      <c r="R1117">
        <v>0.43507020213642233</v>
      </c>
      <c r="S1117">
        <v>0.43113398670330721</v>
      </c>
      <c r="T1117">
        <v>0.42685765140329729</v>
      </c>
      <c r="U1117">
        <v>0.42685765140329729</v>
      </c>
      <c r="V1117">
        <v>0.42685765140329729</v>
      </c>
      <c r="W1117">
        <v>0.42685765140329729</v>
      </c>
      <c r="X1117">
        <v>0.42685765140329729</v>
      </c>
      <c r="Y1117">
        <v>0.42685765140329729</v>
      </c>
      <c r="Z1117">
        <v>0.42685765140329729</v>
      </c>
      <c r="AA1117">
        <v>0.42685765140329729</v>
      </c>
      <c r="AB1117">
        <v>0.42685765140329729</v>
      </c>
      <c r="AC1117">
        <v>0.42685765140329729</v>
      </c>
      <c r="AD1117">
        <v>0.42685765140329729</v>
      </c>
    </row>
    <row r="1118" spans="2:30" x14ac:dyDescent="0.25">
      <c r="B1118" t="s">
        <v>133</v>
      </c>
      <c r="C1118" t="s">
        <v>3256</v>
      </c>
      <c r="D1118" t="s">
        <v>6882</v>
      </c>
      <c r="E1118" t="s">
        <v>6883</v>
      </c>
      <c r="F1118" t="s">
        <v>6884</v>
      </c>
      <c r="G1118" t="s">
        <v>3890</v>
      </c>
      <c r="H1118" t="s">
        <v>6883</v>
      </c>
      <c r="I1118" t="s">
        <v>6878</v>
      </c>
      <c r="K1118">
        <v>0.69186626801993456</v>
      </c>
      <c r="L1118">
        <v>0.54990635855423164</v>
      </c>
      <c r="M1118">
        <v>0.52174028557704244</v>
      </c>
      <c r="N1118">
        <v>0.45942610987139121</v>
      </c>
      <c r="O1118">
        <v>0.48095686387165837</v>
      </c>
      <c r="P1118">
        <v>0.44850053572389442</v>
      </c>
      <c r="Q1118">
        <v>0.43957127408856161</v>
      </c>
      <c r="R1118">
        <v>0.43507020213642233</v>
      </c>
      <c r="S1118">
        <v>0.43113398670330721</v>
      </c>
      <c r="T1118">
        <v>0.42685765140329729</v>
      </c>
      <c r="U1118">
        <v>0.42685765140329729</v>
      </c>
      <c r="V1118">
        <v>0.42685765140329729</v>
      </c>
      <c r="W1118">
        <v>0.42685765140329729</v>
      </c>
      <c r="X1118">
        <v>0.42685765140329729</v>
      </c>
      <c r="Y1118">
        <v>0.42685765140329729</v>
      </c>
      <c r="Z1118">
        <v>0.42685765140329729</v>
      </c>
      <c r="AA1118">
        <v>0.42685765140329729</v>
      </c>
      <c r="AB1118">
        <v>0.42685765140329729</v>
      </c>
      <c r="AC1118">
        <v>0.42685765140329729</v>
      </c>
      <c r="AD1118">
        <v>0.42685765140329729</v>
      </c>
    </row>
    <row r="1119" spans="2:30" x14ac:dyDescent="0.25">
      <c r="B1119" t="s">
        <v>133</v>
      </c>
      <c r="C1119" t="s">
        <v>3256</v>
      </c>
      <c r="D1119" t="s">
        <v>6885</v>
      </c>
      <c r="E1119" t="s">
        <v>6886</v>
      </c>
      <c r="F1119" t="s">
        <v>6887</v>
      </c>
      <c r="G1119" t="s">
        <v>3890</v>
      </c>
      <c r="H1119" t="s">
        <v>6886</v>
      </c>
      <c r="I1119" t="s">
        <v>6878</v>
      </c>
      <c r="K1119">
        <v>0.55763179275081687</v>
      </c>
      <c r="L1119">
        <v>0.44321465395800225</v>
      </c>
      <c r="M1119">
        <v>0.42051330473054166</v>
      </c>
      <c r="N1119">
        <v>0.37028919767589552</v>
      </c>
      <c r="O1119">
        <v>0.38764259891455777</v>
      </c>
      <c r="P1119">
        <v>0.36148338103139183</v>
      </c>
      <c r="Q1119">
        <v>0.35428655643709278</v>
      </c>
      <c r="R1119">
        <v>0.35065877323969097</v>
      </c>
      <c r="S1119">
        <v>0.34748625425722457</v>
      </c>
      <c r="T1119">
        <v>0.34403960476732715</v>
      </c>
      <c r="U1119">
        <v>0.34403960476732715</v>
      </c>
      <c r="V1119">
        <v>0.34403960476732715</v>
      </c>
      <c r="W1119">
        <v>0.34403960476732715</v>
      </c>
      <c r="X1119">
        <v>0.34403960476732715</v>
      </c>
      <c r="Y1119">
        <v>0.34403960476732715</v>
      </c>
      <c r="Z1119">
        <v>0.34403960476732715</v>
      </c>
      <c r="AA1119">
        <v>0.34403960476732715</v>
      </c>
      <c r="AB1119">
        <v>0.34403960476732715</v>
      </c>
      <c r="AC1119">
        <v>0.34403960476732715</v>
      </c>
      <c r="AD1119">
        <v>0.34403960476732715</v>
      </c>
    </row>
    <row r="1120" spans="2:30" x14ac:dyDescent="0.25">
      <c r="B1120" t="s">
        <v>133</v>
      </c>
      <c r="C1120" t="s">
        <v>3256</v>
      </c>
      <c r="D1120" t="s">
        <v>6888</v>
      </c>
      <c r="E1120" t="s">
        <v>6889</v>
      </c>
      <c r="F1120" t="s">
        <v>6890</v>
      </c>
      <c r="G1120" t="s">
        <v>3890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2:30" x14ac:dyDescent="0.25">
      <c r="B1121" t="s">
        <v>133</v>
      </c>
      <c r="C1121" t="s">
        <v>3256</v>
      </c>
      <c r="D1121" t="s">
        <v>6891</v>
      </c>
      <c r="E1121" t="s">
        <v>6892</v>
      </c>
      <c r="F1121" t="s">
        <v>6893</v>
      </c>
      <c r="G1121" t="s">
        <v>3890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2:30" x14ac:dyDescent="0.25">
      <c r="B1122" t="s">
        <v>133</v>
      </c>
      <c r="C1122" t="s">
        <v>3256</v>
      </c>
      <c r="D1122" t="s">
        <v>6894</v>
      </c>
      <c r="E1122" t="s">
        <v>6895</v>
      </c>
      <c r="F1122" t="s">
        <v>6896</v>
      </c>
      <c r="G1122" t="s">
        <v>3890</v>
      </c>
      <c r="H1122" t="s">
        <v>6897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2:30" x14ac:dyDescent="0.25">
      <c r="B1123" t="s">
        <v>133</v>
      </c>
      <c r="C1123" t="s">
        <v>3256</v>
      </c>
      <c r="D1123" t="s">
        <v>6898</v>
      </c>
      <c r="E1123" t="s">
        <v>6899</v>
      </c>
      <c r="F1123" t="s">
        <v>6900</v>
      </c>
      <c r="G1123" t="s">
        <v>3890</v>
      </c>
      <c r="H1123" t="s">
        <v>6897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2:30" x14ac:dyDescent="0.25">
      <c r="B1124" t="s">
        <v>133</v>
      </c>
      <c r="C1124" t="s">
        <v>3256</v>
      </c>
      <c r="D1124" t="s">
        <v>6901</v>
      </c>
      <c r="E1124" t="s">
        <v>6902</v>
      </c>
      <c r="F1124" t="s">
        <v>6903</v>
      </c>
      <c r="G1124" t="s">
        <v>3890</v>
      </c>
      <c r="H1124" t="s">
        <v>6897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2:30" x14ac:dyDescent="0.25">
      <c r="B1125" t="s">
        <v>133</v>
      </c>
      <c r="C1125" t="s">
        <v>3256</v>
      </c>
      <c r="D1125" t="s">
        <v>6904</v>
      </c>
      <c r="E1125" t="s">
        <v>6905</v>
      </c>
      <c r="F1125" t="s">
        <v>6906</v>
      </c>
      <c r="G1125" t="s">
        <v>3890</v>
      </c>
      <c r="H1125" t="s">
        <v>6897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2:30" x14ac:dyDescent="0.25">
      <c r="B1126" t="s">
        <v>133</v>
      </c>
      <c r="C1126" t="s">
        <v>3256</v>
      </c>
      <c r="D1126" t="s">
        <v>6907</v>
      </c>
      <c r="E1126" t="s">
        <v>6908</v>
      </c>
      <c r="F1126" t="s">
        <v>6909</v>
      </c>
      <c r="G1126" t="s">
        <v>3890</v>
      </c>
      <c r="H1126" t="s">
        <v>6897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2:30" x14ac:dyDescent="0.25">
      <c r="B1127" t="s">
        <v>133</v>
      </c>
      <c r="C1127" t="s">
        <v>3256</v>
      </c>
      <c r="D1127" t="s">
        <v>6910</v>
      </c>
      <c r="E1127" t="s">
        <v>6911</v>
      </c>
      <c r="F1127" t="s">
        <v>6912</v>
      </c>
      <c r="G1127" t="s">
        <v>3890</v>
      </c>
      <c r="H1127" t="s">
        <v>6897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2:30" x14ac:dyDescent="0.25">
      <c r="B1128" t="s">
        <v>133</v>
      </c>
      <c r="C1128" t="s">
        <v>3256</v>
      </c>
      <c r="D1128" t="s">
        <v>6913</v>
      </c>
      <c r="E1128" t="s">
        <v>6914</v>
      </c>
      <c r="F1128" t="s">
        <v>6915</v>
      </c>
      <c r="G1128" t="s">
        <v>3890</v>
      </c>
      <c r="H1128" t="s">
        <v>6897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2:30" x14ac:dyDescent="0.25">
      <c r="B1129" t="s">
        <v>133</v>
      </c>
      <c r="C1129" t="s">
        <v>3256</v>
      </c>
      <c r="D1129" t="s">
        <v>6916</v>
      </c>
      <c r="E1129" t="s">
        <v>6917</v>
      </c>
      <c r="F1129" t="s">
        <v>6918</v>
      </c>
      <c r="G1129" t="s">
        <v>3890</v>
      </c>
      <c r="H1129" t="s">
        <v>6897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2:30" x14ac:dyDescent="0.25">
      <c r="B1130" t="s">
        <v>133</v>
      </c>
      <c r="C1130" t="s">
        <v>3256</v>
      </c>
      <c r="D1130" t="s">
        <v>6919</v>
      </c>
      <c r="E1130" t="s">
        <v>6920</v>
      </c>
      <c r="F1130" t="s">
        <v>6921</v>
      </c>
      <c r="G1130" t="s">
        <v>3890</v>
      </c>
      <c r="H1130" t="s">
        <v>6897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2:30" x14ac:dyDescent="0.25">
      <c r="B1131" t="s">
        <v>133</v>
      </c>
      <c r="C1131" t="s">
        <v>3256</v>
      </c>
      <c r="D1131" t="s">
        <v>6922</v>
      </c>
      <c r="E1131" t="s">
        <v>6923</v>
      </c>
      <c r="F1131" t="s">
        <v>6924</v>
      </c>
      <c r="G1131" t="s">
        <v>3890</v>
      </c>
      <c r="H1131" t="s">
        <v>6925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2:30" x14ac:dyDescent="0.25">
      <c r="B1132" t="s">
        <v>133</v>
      </c>
      <c r="C1132" t="s">
        <v>3256</v>
      </c>
      <c r="D1132" t="s">
        <v>6926</v>
      </c>
      <c r="E1132" t="s">
        <v>6927</v>
      </c>
      <c r="F1132" t="s">
        <v>6928</v>
      </c>
      <c r="G1132" t="s">
        <v>3890</v>
      </c>
      <c r="H1132" t="s">
        <v>6925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2:30" x14ac:dyDescent="0.25">
      <c r="B1133" t="s">
        <v>133</v>
      </c>
      <c r="C1133" t="s">
        <v>3256</v>
      </c>
      <c r="D1133" t="s">
        <v>6929</v>
      </c>
      <c r="E1133" t="s">
        <v>6930</v>
      </c>
      <c r="F1133" t="s">
        <v>6931</v>
      </c>
      <c r="G1133" t="s">
        <v>3890</v>
      </c>
      <c r="H1133" t="s">
        <v>6925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2:30" x14ac:dyDescent="0.25">
      <c r="B1134" t="s">
        <v>133</v>
      </c>
      <c r="C1134" t="s">
        <v>3256</v>
      </c>
      <c r="D1134" t="s">
        <v>6932</v>
      </c>
      <c r="E1134" t="s">
        <v>6933</v>
      </c>
      <c r="F1134" t="s">
        <v>6934</v>
      </c>
      <c r="G1134" t="s">
        <v>3890</v>
      </c>
      <c r="H1134" t="s">
        <v>6925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2:30" x14ac:dyDescent="0.25">
      <c r="B1135" t="s">
        <v>133</v>
      </c>
      <c r="C1135" t="s">
        <v>3256</v>
      </c>
      <c r="D1135" t="s">
        <v>6935</v>
      </c>
      <c r="E1135" t="s">
        <v>6936</v>
      </c>
      <c r="F1135" t="s">
        <v>6937</v>
      </c>
      <c r="G1135" t="s">
        <v>3890</v>
      </c>
      <c r="H1135" t="s">
        <v>6925</v>
      </c>
      <c r="J1135">
        <v>1</v>
      </c>
      <c r="K1135">
        <v>6.5115671266546826E-4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2:30" x14ac:dyDescent="0.25">
      <c r="B1136" t="s">
        <v>133</v>
      </c>
      <c r="C1136" t="s">
        <v>3256</v>
      </c>
      <c r="D1136" t="s">
        <v>6938</v>
      </c>
      <c r="E1136" t="s">
        <v>6939</v>
      </c>
      <c r="F1136" t="s">
        <v>6940</v>
      </c>
      <c r="G1136" t="s">
        <v>3890</v>
      </c>
      <c r="H1136" t="s">
        <v>6925</v>
      </c>
      <c r="J1136">
        <v>1</v>
      </c>
      <c r="K1136">
        <v>0.16861237962541242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2:30" x14ac:dyDescent="0.25">
      <c r="B1137" t="s">
        <v>133</v>
      </c>
      <c r="C1137" t="s">
        <v>3256</v>
      </c>
      <c r="D1137" t="s">
        <v>6941</v>
      </c>
      <c r="E1137" t="s">
        <v>6942</v>
      </c>
      <c r="F1137" t="s">
        <v>6943</v>
      </c>
      <c r="G1137" t="s">
        <v>3890</v>
      </c>
      <c r="H1137" t="s">
        <v>6925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2:30" x14ac:dyDescent="0.25">
      <c r="B1138" t="s">
        <v>133</v>
      </c>
      <c r="C1138" t="s">
        <v>3256</v>
      </c>
      <c r="D1138" t="s">
        <v>6944</v>
      </c>
      <c r="E1138" t="s">
        <v>6945</v>
      </c>
      <c r="F1138" t="s">
        <v>6946</v>
      </c>
      <c r="G1138" t="s">
        <v>3890</v>
      </c>
      <c r="H1138" t="s">
        <v>6925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2:30" x14ac:dyDescent="0.25">
      <c r="B1139" t="s">
        <v>133</v>
      </c>
      <c r="C1139" t="s">
        <v>3256</v>
      </c>
      <c r="D1139" t="s">
        <v>6947</v>
      </c>
      <c r="E1139" t="s">
        <v>6948</v>
      </c>
      <c r="F1139" t="s">
        <v>6949</v>
      </c>
      <c r="G1139" t="s">
        <v>3890</v>
      </c>
      <c r="H1139" t="s">
        <v>6925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2:30" x14ac:dyDescent="0.25">
      <c r="B1140" t="s">
        <v>133</v>
      </c>
      <c r="C1140" t="s">
        <v>3256</v>
      </c>
      <c r="D1140" t="s">
        <v>6950</v>
      </c>
      <c r="E1140" t="s">
        <v>6951</v>
      </c>
      <c r="F1140" t="s">
        <v>6952</v>
      </c>
      <c r="G1140" t="s">
        <v>3890</v>
      </c>
      <c r="H1140" t="s">
        <v>6925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2:30" x14ac:dyDescent="0.25">
      <c r="B1141" t="s">
        <v>133</v>
      </c>
      <c r="C1141" t="s">
        <v>3256</v>
      </c>
      <c r="D1141" t="s">
        <v>6953</v>
      </c>
      <c r="E1141" t="s">
        <v>6954</v>
      </c>
      <c r="F1141" t="s">
        <v>6955</v>
      </c>
      <c r="G1141" t="s">
        <v>3890</v>
      </c>
      <c r="H1141" t="s">
        <v>6925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2:30" x14ac:dyDescent="0.25">
      <c r="B1142" t="s">
        <v>133</v>
      </c>
      <c r="C1142" t="s">
        <v>3256</v>
      </c>
      <c r="D1142" t="s">
        <v>6956</v>
      </c>
      <c r="E1142" t="s">
        <v>6957</v>
      </c>
      <c r="F1142" t="s">
        <v>6958</v>
      </c>
      <c r="G1142" t="s">
        <v>3890</v>
      </c>
      <c r="H1142" t="s">
        <v>6925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2:30" x14ac:dyDescent="0.25">
      <c r="B1143" t="s">
        <v>133</v>
      </c>
      <c r="C1143" t="s">
        <v>3256</v>
      </c>
      <c r="D1143" t="s">
        <v>6959</v>
      </c>
      <c r="E1143" t="s">
        <v>6960</v>
      </c>
      <c r="F1143" t="s">
        <v>6961</v>
      </c>
      <c r="G1143" t="s">
        <v>3890</v>
      </c>
      <c r="H1143" t="s">
        <v>4401</v>
      </c>
      <c r="J1143">
        <v>1</v>
      </c>
      <c r="K1143">
        <v>13.300765797231492</v>
      </c>
      <c r="L1143">
        <v>6.6597422204572982</v>
      </c>
      <c r="M1143">
        <v>5.9120378390671311</v>
      </c>
      <c r="N1143">
        <v>10.667339738862136</v>
      </c>
      <c r="O1143">
        <v>10.697270257523773</v>
      </c>
      <c r="P1143">
        <v>10.786740752201585</v>
      </c>
      <c r="Q1143">
        <v>10.744317205987112</v>
      </c>
      <c r="R1143">
        <v>10.698823032509914</v>
      </c>
      <c r="S1143">
        <v>10.650132442785026</v>
      </c>
      <c r="T1143">
        <v>10.60314404190486</v>
      </c>
      <c r="U1143">
        <v>10.60314404190486</v>
      </c>
      <c r="V1143">
        <v>10.603144041904862</v>
      </c>
      <c r="W1143">
        <v>10.60314404190486</v>
      </c>
      <c r="X1143">
        <v>10.60314404190486</v>
      </c>
      <c r="Y1143">
        <v>10.60314404190486</v>
      </c>
      <c r="Z1143">
        <v>10.603144041904859</v>
      </c>
      <c r="AA1143">
        <v>10.60314404190486</v>
      </c>
      <c r="AB1143">
        <v>10.60314404190486</v>
      </c>
      <c r="AC1143">
        <v>10.60314404190486</v>
      </c>
      <c r="AD1143">
        <v>10.603144041904859</v>
      </c>
    </row>
    <row r="1144" spans="2:30" x14ac:dyDescent="0.25">
      <c r="B1144" t="s">
        <v>133</v>
      </c>
      <c r="C1144" t="s">
        <v>3256</v>
      </c>
      <c r="D1144" t="s">
        <v>6962</v>
      </c>
      <c r="E1144" t="s">
        <v>6963</v>
      </c>
      <c r="F1144" t="s">
        <v>6964</v>
      </c>
      <c r="G1144" t="s">
        <v>3890</v>
      </c>
      <c r="H1144" t="s">
        <v>4401</v>
      </c>
      <c r="J1144">
        <v>1</v>
      </c>
      <c r="K1144">
        <v>20.341077129048131</v>
      </c>
      <c r="L1144">
        <v>13.728894823319759</v>
      </c>
      <c r="M1144">
        <v>12.932251380703796</v>
      </c>
      <c r="N1144">
        <v>4.7553018997950049</v>
      </c>
      <c r="O1144">
        <v>4.7852324184566415</v>
      </c>
      <c r="P1144">
        <v>4.8747029131344526</v>
      </c>
      <c r="Q1144">
        <v>4.8322793669199813</v>
      </c>
      <c r="R1144">
        <v>4.7867851934427836</v>
      </c>
      <c r="S1144">
        <v>4.7380946037178955</v>
      </c>
      <c r="T1144">
        <v>4.6911062028377293</v>
      </c>
      <c r="U1144">
        <v>4.6911062028377293</v>
      </c>
      <c r="V1144">
        <v>4.6911062028377302</v>
      </c>
      <c r="W1144">
        <v>4.6911062028377293</v>
      </c>
      <c r="X1144">
        <v>4.6911062028377293</v>
      </c>
      <c r="Y1144">
        <v>4.6911062028377293</v>
      </c>
      <c r="Z1144">
        <v>4.6911062028377284</v>
      </c>
      <c r="AA1144">
        <v>4.6911062028377293</v>
      </c>
      <c r="AB1144">
        <v>4.6911062028377293</v>
      </c>
      <c r="AC1144">
        <v>4.6911062028377293</v>
      </c>
      <c r="AD1144">
        <v>4.6911062028377284</v>
      </c>
    </row>
    <row r="1145" spans="2:30" x14ac:dyDescent="0.25">
      <c r="B1145" t="s">
        <v>133</v>
      </c>
      <c r="C1145" t="s">
        <v>3256</v>
      </c>
      <c r="D1145" t="s">
        <v>6965</v>
      </c>
      <c r="E1145" t="s">
        <v>6966</v>
      </c>
      <c r="F1145" t="s">
        <v>6967</v>
      </c>
      <c r="G1145" t="s">
        <v>3890</v>
      </c>
      <c r="H1145" t="s">
        <v>4401</v>
      </c>
      <c r="J1145">
        <v>1</v>
      </c>
      <c r="K1145">
        <v>11.120349660557133</v>
      </c>
      <c r="L1145">
        <v>8.6107191627453634</v>
      </c>
      <c r="M1145">
        <v>7.5769525309658565</v>
      </c>
      <c r="N1145">
        <v>4.7553018997950049</v>
      </c>
      <c r="O1145">
        <v>4.7852324184566415</v>
      </c>
      <c r="P1145">
        <v>4.8747029131344526</v>
      </c>
      <c r="Q1145">
        <v>4.8322793669199813</v>
      </c>
      <c r="R1145">
        <v>4.7867851934427836</v>
      </c>
      <c r="S1145">
        <v>4.7380946037178955</v>
      </c>
      <c r="T1145">
        <v>4.6911062028377293</v>
      </c>
      <c r="U1145">
        <v>4.6911062028377293</v>
      </c>
      <c r="V1145">
        <v>4.6911062028377302</v>
      </c>
      <c r="W1145">
        <v>4.6911062028377293</v>
      </c>
      <c r="X1145">
        <v>4.6911062028377293</v>
      </c>
      <c r="Y1145">
        <v>4.6911062028377293</v>
      </c>
      <c r="Z1145">
        <v>4.6911062028377284</v>
      </c>
      <c r="AA1145">
        <v>4.6911062028377293</v>
      </c>
      <c r="AB1145">
        <v>4.6911062028377293</v>
      </c>
      <c r="AC1145">
        <v>4.6911062028377293</v>
      </c>
      <c r="AD1145">
        <v>4.6911062028377284</v>
      </c>
    </row>
    <row r="1146" spans="2:30" x14ac:dyDescent="0.25">
      <c r="B1146" t="s">
        <v>133</v>
      </c>
      <c r="C1146" t="s">
        <v>3256</v>
      </c>
      <c r="D1146" t="s">
        <v>6968</v>
      </c>
      <c r="E1146" t="s">
        <v>6969</v>
      </c>
      <c r="F1146" t="s">
        <v>6970</v>
      </c>
      <c r="G1146" t="s">
        <v>3890</v>
      </c>
      <c r="H1146" t="s">
        <v>4401</v>
      </c>
      <c r="J1146">
        <v>1</v>
      </c>
      <c r="K1146">
        <v>11.487541741967885</v>
      </c>
      <c r="L1146">
        <v>9.3891447698250445</v>
      </c>
      <c r="M1146">
        <v>8.7667832853036707</v>
      </c>
      <c r="N1146">
        <v>9.1053931197606968</v>
      </c>
      <c r="O1146">
        <v>9.4445800349302154</v>
      </c>
      <c r="P1146">
        <v>8.5676666692102899</v>
      </c>
      <c r="Q1146">
        <v>7.5361226914357777</v>
      </c>
      <c r="R1146">
        <v>7.1686734271328421</v>
      </c>
      <c r="S1146">
        <v>7.0644313587224108</v>
      </c>
      <c r="T1146">
        <v>7.0053585795851747</v>
      </c>
      <c r="U1146">
        <v>7.0053585795851756</v>
      </c>
      <c r="V1146">
        <v>7.0053585795851756</v>
      </c>
      <c r="W1146">
        <v>7.0053585795851756</v>
      </c>
      <c r="X1146">
        <v>7.0053585795851747</v>
      </c>
      <c r="Y1146">
        <v>7.0053585795851756</v>
      </c>
      <c r="Z1146">
        <v>7.0053585795851756</v>
      </c>
      <c r="AA1146">
        <v>7.0053585795851747</v>
      </c>
      <c r="AB1146">
        <v>7.0053585795851747</v>
      </c>
      <c r="AC1146">
        <v>7.0053585795851756</v>
      </c>
      <c r="AD1146">
        <v>7.0053585795851747</v>
      </c>
    </row>
    <row r="1147" spans="2:30" x14ac:dyDescent="0.25">
      <c r="B1147" t="s">
        <v>133</v>
      </c>
      <c r="C1147" t="s">
        <v>3256</v>
      </c>
      <c r="D1147" t="s">
        <v>6971</v>
      </c>
      <c r="E1147" t="s">
        <v>6972</v>
      </c>
      <c r="F1147" t="s">
        <v>6973</v>
      </c>
      <c r="G1147" t="s">
        <v>3890</v>
      </c>
      <c r="H1147" t="s">
        <v>4401</v>
      </c>
      <c r="J1147">
        <v>1</v>
      </c>
      <c r="K1147">
        <v>16.896519832842024</v>
      </c>
      <c r="L1147">
        <v>15.007346977443612</v>
      </c>
      <c r="M1147">
        <v>14.387195939484084</v>
      </c>
      <c r="N1147">
        <v>9.1053931197606968</v>
      </c>
      <c r="O1147">
        <v>9.4445800349302154</v>
      </c>
      <c r="P1147">
        <v>8.5676666692102899</v>
      </c>
      <c r="Q1147">
        <v>7.5361226914357777</v>
      </c>
      <c r="R1147">
        <v>7.1686734271328421</v>
      </c>
      <c r="S1147">
        <v>7.0644313587224108</v>
      </c>
      <c r="T1147">
        <v>7.0053585795851747</v>
      </c>
      <c r="U1147">
        <v>7.0053585795851756</v>
      </c>
      <c r="V1147">
        <v>7.0053585795851756</v>
      </c>
      <c r="W1147">
        <v>7.0053585795851756</v>
      </c>
      <c r="X1147">
        <v>7.0053585795851747</v>
      </c>
      <c r="Y1147">
        <v>7.0053585795851756</v>
      </c>
      <c r="Z1147">
        <v>7.0053585795851756</v>
      </c>
      <c r="AA1147">
        <v>7.0053585795851747</v>
      </c>
      <c r="AB1147">
        <v>7.0053585795851747</v>
      </c>
      <c r="AC1147">
        <v>7.0053585795851756</v>
      </c>
      <c r="AD1147">
        <v>7.0053585795851747</v>
      </c>
    </row>
    <row r="1148" spans="2:30" x14ac:dyDescent="0.25">
      <c r="B1148" t="s">
        <v>133</v>
      </c>
      <c r="C1148" t="s">
        <v>3256</v>
      </c>
      <c r="D1148" t="s">
        <v>6974</v>
      </c>
      <c r="E1148" t="s">
        <v>6975</v>
      </c>
      <c r="F1148" t="s">
        <v>6976</v>
      </c>
      <c r="G1148" t="s">
        <v>3890</v>
      </c>
      <c r="H1148" t="s">
        <v>4401</v>
      </c>
      <c r="J1148">
        <v>1</v>
      </c>
      <c r="K1148">
        <v>12.26057770283262</v>
      </c>
      <c r="L1148">
        <v>10.191589119339163</v>
      </c>
      <c r="M1148">
        <v>9.5695478851554761</v>
      </c>
      <c r="N1148">
        <v>9.1053931197606968</v>
      </c>
      <c r="O1148">
        <v>9.4445800349302154</v>
      </c>
      <c r="P1148">
        <v>8.5676666692102899</v>
      </c>
      <c r="Q1148">
        <v>7.5361226914357777</v>
      </c>
      <c r="R1148">
        <v>7.1686734271328421</v>
      </c>
      <c r="S1148">
        <v>7.0644313587224108</v>
      </c>
      <c r="T1148">
        <v>7.0053585795851747</v>
      </c>
      <c r="U1148">
        <v>7.0053585795851756</v>
      </c>
      <c r="V1148">
        <v>7.0053585795851756</v>
      </c>
      <c r="W1148">
        <v>7.0053585795851756</v>
      </c>
      <c r="X1148">
        <v>7.0053585795851747</v>
      </c>
      <c r="Y1148">
        <v>7.0053585795851756</v>
      </c>
      <c r="Z1148">
        <v>7.0053585795851756</v>
      </c>
      <c r="AA1148">
        <v>7.0053585795851747</v>
      </c>
      <c r="AB1148">
        <v>7.0053585795851747</v>
      </c>
      <c r="AC1148">
        <v>7.0053585795851756</v>
      </c>
      <c r="AD1148">
        <v>7.0053585795851747</v>
      </c>
    </row>
    <row r="1149" spans="2:30" x14ac:dyDescent="0.25">
      <c r="B1149" t="s">
        <v>133</v>
      </c>
      <c r="C1149" t="s">
        <v>3256</v>
      </c>
      <c r="D1149" t="s">
        <v>6977</v>
      </c>
      <c r="E1149" t="s">
        <v>6978</v>
      </c>
      <c r="F1149" t="s">
        <v>6979</v>
      </c>
      <c r="G1149" t="s">
        <v>3890</v>
      </c>
      <c r="H1149" t="s">
        <v>4401</v>
      </c>
      <c r="J1149">
        <v>1</v>
      </c>
      <c r="K1149">
        <v>0.96288449831239953</v>
      </c>
      <c r="L1149">
        <v>0.81772900379057656</v>
      </c>
      <c r="M1149">
        <v>0.76352775679432006</v>
      </c>
      <c r="N1149">
        <v>0.44257796119644682</v>
      </c>
      <c r="O1149">
        <v>0.46331913590053142</v>
      </c>
      <c r="P1149">
        <v>0.43205305147276285</v>
      </c>
      <c r="Q1149">
        <v>0.4234512451656256</v>
      </c>
      <c r="R1149">
        <v>0.41911523725276678</v>
      </c>
      <c r="S1149">
        <v>0.4153233713492252</v>
      </c>
      <c r="T1149">
        <v>0.41120385850960756</v>
      </c>
      <c r="U1149">
        <v>0.41120385850960756</v>
      </c>
      <c r="V1149">
        <v>0.41120385850960756</v>
      </c>
      <c r="W1149">
        <v>0.41120385850960756</v>
      </c>
      <c r="X1149">
        <v>0.41120385850960756</v>
      </c>
      <c r="Y1149">
        <v>0.41120385850960756</v>
      </c>
      <c r="Z1149">
        <v>0.41120385850960756</v>
      </c>
      <c r="AA1149">
        <v>0.41120385850960756</v>
      </c>
      <c r="AB1149">
        <v>0.41120385850960756</v>
      </c>
      <c r="AC1149">
        <v>0.41120385850960756</v>
      </c>
      <c r="AD1149">
        <v>0.41120385850960756</v>
      </c>
    </row>
    <row r="1150" spans="2:30" x14ac:dyDescent="0.25">
      <c r="B1150" t="s">
        <v>133</v>
      </c>
      <c r="C1150" t="s">
        <v>3256</v>
      </c>
      <c r="D1150" t="s">
        <v>6980</v>
      </c>
      <c r="E1150" t="s">
        <v>6981</v>
      </c>
      <c r="F1150" t="s">
        <v>6982</v>
      </c>
      <c r="G1150" t="s">
        <v>3890</v>
      </c>
      <c r="H1150" t="s">
        <v>4401</v>
      </c>
      <c r="J1150">
        <v>1</v>
      </c>
      <c r="K1150">
        <v>1.0765662572630961</v>
      </c>
      <c r="L1150">
        <v>0.85484887846197788</v>
      </c>
      <c r="M1150">
        <v>0.77837412984309851</v>
      </c>
      <c r="N1150">
        <v>0.44257796119644682</v>
      </c>
      <c r="O1150">
        <v>0.48095686387165837</v>
      </c>
      <c r="P1150">
        <v>0.44850053572389442</v>
      </c>
      <c r="Q1150">
        <v>0.43957127408856161</v>
      </c>
      <c r="R1150">
        <v>0.43507020213642233</v>
      </c>
      <c r="S1150">
        <v>0.43113398670330721</v>
      </c>
      <c r="T1150">
        <v>0.42685765140329729</v>
      </c>
      <c r="U1150">
        <v>0.42685765140329729</v>
      </c>
      <c r="V1150">
        <v>0.42685765140329729</v>
      </c>
      <c r="W1150">
        <v>0.42685765140329729</v>
      </c>
      <c r="X1150">
        <v>0.42685765140329729</v>
      </c>
      <c r="Y1150">
        <v>0.42685765140329729</v>
      </c>
      <c r="Z1150">
        <v>0.42685765140329729</v>
      </c>
      <c r="AA1150">
        <v>0.42685765140329729</v>
      </c>
      <c r="AB1150">
        <v>0.42685765140329729</v>
      </c>
      <c r="AC1150">
        <v>0.42685765140329729</v>
      </c>
      <c r="AD1150">
        <v>0.42685765140329729</v>
      </c>
    </row>
    <row r="1151" spans="2:30" x14ac:dyDescent="0.25">
      <c r="B1151" t="s">
        <v>133</v>
      </c>
      <c r="C1151" t="s">
        <v>3256</v>
      </c>
      <c r="D1151" t="s">
        <v>6983</v>
      </c>
      <c r="E1151" t="s">
        <v>6984</v>
      </c>
      <c r="F1151" t="s">
        <v>6985</v>
      </c>
      <c r="G1151" t="s">
        <v>3890</v>
      </c>
      <c r="H1151" t="s">
        <v>4401</v>
      </c>
      <c r="J1151">
        <v>1</v>
      </c>
      <c r="K1151">
        <v>0.67072237780910948</v>
      </c>
      <c r="L1151">
        <v>0.57754157944621498</v>
      </c>
      <c r="M1151">
        <v>0.54295307149818317</v>
      </c>
      <c r="N1151">
        <v>0.37028919767589552</v>
      </c>
      <c r="O1151">
        <v>0.38764259891455777</v>
      </c>
      <c r="P1151">
        <v>0.36148338103139183</v>
      </c>
      <c r="Q1151">
        <v>0.35428655643709278</v>
      </c>
      <c r="R1151">
        <v>0.35065877323969097</v>
      </c>
      <c r="S1151">
        <v>0.34748625425722457</v>
      </c>
      <c r="T1151">
        <v>0.34403960476732715</v>
      </c>
      <c r="U1151">
        <v>0.34403960476732715</v>
      </c>
      <c r="V1151">
        <v>0.34403960476732715</v>
      </c>
      <c r="W1151">
        <v>0.34403960476732715</v>
      </c>
      <c r="X1151">
        <v>0.34403960476732715</v>
      </c>
      <c r="Y1151">
        <v>0.34403960476732715</v>
      </c>
      <c r="Z1151">
        <v>0.34403960476732715</v>
      </c>
      <c r="AA1151">
        <v>0.34403960476732715</v>
      </c>
      <c r="AB1151">
        <v>0.34403960476732715</v>
      </c>
      <c r="AC1151">
        <v>0.34403960476732715</v>
      </c>
      <c r="AD1151">
        <v>0.34403960476732715</v>
      </c>
    </row>
    <row r="1152" spans="2:30" x14ac:dyDescent="0.25">
      <c r="B1152" t="s">
        <v>133</v>
      </c>
      <c r="C1152" t="s">
        <v>3256</v>
      </c>
      <c r="D1152" t="s">
        <v>6986</v>
      </c>
      <c r="E1152" t="s">
        <v>6987</v>
      </c>
      <c r="F1152" t="s">
        <v>6988</v>
      </c>
      <c r="G1152" t="s">
        <v>3890</v>
      </c>
      <c r="H1152" t="s">
        <v>4401</v>
      </c>
      <c r="J1152">
        <v>1</v>
      </c>
      <c r="K1152">
        <v>0.78326731917029901</v>
      </c>
      <c r="L1152">
        <v>0.69872705263814272</v>
      </c>
      <c r="M1152">
        <v>0.69141680198596767</v>
      </c>
      <c r="N1152">
        <v>0.45942610987139121</v>
      </c>
      <c r="O1152">
        <v>0.48095686387165837</v>
      </c>
      <c r="P1152">
        <v>0.44850053572389442</v>
      </c>
      <c r="Q1152">
        <v>0.43957127408856161</v>
      </c>
      <c r="R1152">
        <v>0.43507020213642233</v>
      </c>
      <c r="S1152">
        <v>0.43113398670330721</v>
      </c>
      <c r="T1152">
        <v>0.42685765140329729</v>
      </c>
      <c r="U1152">
        <v>0.42685765140329729</v>
      </c>
      <c r="V1152">
        <v>0.42685765140329729</v>
      </c>
      <c r="W1152">
        <v>0.42685765140329729</v>
      </c>
      <c r="X1152">
        <v>0.42685765140329729</v>
      </c>
      <c r="Y1152">
        <v>0.42685765140329729</v>
      </c>
      <c r="Z1152">
        <v>0.42685765140329729</v>
      </c>
      <c r="AA1152">
        <v>0.42685765140329729</v>
      </c>
      <c r="AB1152">
        <v>0.42685765140329729</v>
      </c>
      <c r="AC1152">
        <v>0.42685765140329729</v>
      </c>
      <c r="AD1152">
        <v>0.42685765140329729</v>
      </c>
    </row>
    <row r="1153" spans="2:30" x14ac:dyDescent="0.25">
      <c r="B1153" t="s">
        <v>133</v>
      </c>
      <c r="C1153" t="s">
        <v>3256</v>
      </c>
      <c r="D1153" t="s">
        <v>6989</v>
      </c>
      <c r="E1153" t="s">
        <v>6990</v>
      </c>
      <c r="F1153" t="s">
        <v>6991</v>
      </c>
      <c r="G1153" t="s">
        <v>3890</v>
      </c>
      <c r="H1153" t="s">
        <v>4401</v>
      </c>
      <c r="J1153">
        <v>1</v>
      </c>
      <c r="K1153">
        <v>116.49765611990527</v>
      </c>
      <c r="L1153">
        <v>95.069457838557554</v>
      </c>
      <c r="M1153">
        <v>91.60742398705186</v>
      </c>
      <c r="N1153">
        <v>78.383975634268623</v>
      </c>
      <c r="O1153">
        <v>82.05739789017133</v>
      </c>
      <c r="P1153">
        <v>76.519932822231851</v>
      </c>
      <c r="Q1153">
        <v>74.996486480333985</v>
      </c>
      <c r="R1153">
        <v>74.228545985347012</v>
      </c>
      <c r="S1153">
        <v>73.556977243450959</v>
      </c>
      <c r="T1153">
        <v>72.827379698257502</v>
      </c>
      <c r="U1153">
        <v>72.827379698257502</v>
      </c>
      <c r="V1153">
        <v>72.827379698257502</v>
      </c>
      <c r="W1153">
        <v>72.827379698257502</v>
      </c>
      <c r="X1153">
        <v>72.827379698257502</v>
      </c>
      <c r="Y1153">
        <v>72.827379698257502</v>
      </c>
      <c r="Z1153">
        <v>72.827379698257502</v>
      </c>
      <c r="AA1153">
        <v>72.827379698257502</v>
      </c>
      <c r="AB1153">
        <v>72.827379698257502</v>
      </c>
      <c r="AC1153">
        <v>72.827379698257502</v>
      </c>
      <c r="AD1153">
        <v>72.827379698257502</v>
      </c>
    </row>
    <row r="1154" spans="2:30" x14ac:dyDescent="0.25">
      <c r="B1154" t="s">
        <v>133</v>
      </c>
      <c r="C1154" t="s">
        <v>3256</v>
      </c>
      <c r="D1154" t="s">
        <v>6992</v>
      </c>
      <c r="E1154" t="s">
        <v>4362</v>
      </c>
      <c r="F1154" t="s">
        <v>4363</v>
      </c>
      <c r="G1154" t="s">
        <v>3890</v>
      </c>
      <c r="H1154" t="s">
        <v>4262</v>
      </c>
      <c r="J1154">
        <v>1</v>
      </c>
      <c r="K1154">
        <v>13.300765797231492</v>
      </c>
      <c r="L1154">
        <v>6.6597422204572982</v>
      </c>
      <c r="M1154">
        <v>5.9120378390671311</v>
      </c>
      <c r="N1154">
        <v>5.0316224519831581</v>
      </c>
      <c r="O1154">
        <v>5.0549587333229749</v>
      </c>
      <c r="P1154">
        <v>5.1247172516773594</v>
      </c>
      <c r="Q1154">
        <v>5.0916403838460447</v>
      </c>
      <c r="R1154">
        <v>5.056169403754172</v>
      </c>
      <c r="S1154">
        <v>5.0182062360166881</v>
      </c>
      <c r="T1154">
        <v>4.9815702339799719</v>
      </c>
      <c r="U1154">
        <v>4.9815702339799719</v>
      </c>
      <c r="V1154">
        <v>4.9815702339799728</v>
      </c>
      <c r="W1154">
        <v>4.9815702339799719</v>
      </c>
      <c r="X1154">
        <v>4.9815702339799719</v>
      </c>
      <c r="Y1154">
        <v>4.9815702339799719</v>
      </c>
      <c r="Z1154">
        <v>4.981570233979971</v>
      </c>
      <c r="AA1154">
        <v>4.9815702339799719</v>
      </c>
      <c r="AB1154">
        <v>4.9815702339799719</v>
      </c>
      <c r="AC1154">
        <v>4.9815702339799719</v>
      </c>
      <c r="AD1154">
        <v>4.981570233979971</v>
      </c>
    </row>
    <row r="1155" spans="2:30" x14ac:dyDescent="0.25">
      <c r="B1155" t="s">
        <v>133</v>
      </c>
      <c r="C1155" t="s">
        <v>3256</v>
      </c>
      <c r="D1155" t="s">
        <v>6993</v>
      </c>
      <c r="E1155" t="s">
        <v>4356</v>
      </c>
      <c r="F1155" t="s">
        <v>4357</v>
      </c>
      <c r="G1155" t="s">
        <v>3890</v>
      </c>
      <c r="H1155" t="s">
        <v>4262</v>
      </c>
      <c r="J1155">
        <v>1</v>
      </c>
      <c r="K1155">
        <v>23.399139181173656</v>
      </c>
      <c r="L1155">
        <v>15.863833497435211</v>
      </c>
      <c r="M1155">
        <v>14.743508892654766</v>
      </c>
      <c r="N1155">
        <v>13.652285126927826</v>
      </c>
      <c r="O1155">
        <v>13.68120909301847</v>
      </c>
      <c r="P1155">
        <v>13.767670727159517</v>
      </c>
      <c r="Q1155">
        <v>13.726673869536567</v>
      </c>
      <c r="R1155">
        <v>13.682709648740651</v>
      </c>
      <c r="S1155">
        <v>13.635656506025111</v>
      </c>
      <c r="T1155">
        <v>13.59024830815604</v>
      </c>
      <c r="U1155">
        <v>13.59024830815604</v>
      </c>
      <c r="V1155">
        <v>13.59024830815604</v>
      </c>
      <c r="W1155">
        <v>13.59024830815604</v>
      </c>
      <c r="X1155">
        <v>13.59024830815604</v>
      </c>
      <c r="Y1155">
        <v>13.59024830815604</v>
      </c>
      <c r="Z1155">
        <v>13.590248308156037</v>
      </c>
      <c r="AA1155">
        <v>13.59024830815604</v>
      </c>
      <c r="AB1155">
        <v>13.59024830815604</v>
      </c>
      <c r="AC1155">
        <v>13.59024830815604</v>
      </c>
      <c r="AD1155">
        <v>13.590248308156037</v>
      </c>
    </row>
    <row r="1156" spans="2:30" x14ac:dyDescent="0.25">
      <c r="B1156" t="s">
        <v>133</v>
      </c>
      <c r="C1156" t="s">
        <v>3256</v>
      </c>
      <c r="D1156" t="s">
        <v>6994</v>
      </c>
      <c r="E1156" t="s">
        <v>4350</v>
      </c>
      <c r="F1156" t="s">
        <v>4351</v>
      </c>
      <c r="G1156" t="s">
        <v>3890</v>
      </c>
      <c r="H1156" t="s">
        <v>4262</v>
      </c>
      <c r="J1156">
        <v>1</v>
      </c>
      <c r="K1156">
        <v>11.465942207767251</v>
      </c>
      <c r="L1156">
        <v>8.8301631277145294</v>
      </c>
      <c r="M1156">
        <v>7.7455649105912689</v>
      </c>
      <c r="N1156">
        <v>7.0537973643552112</v>
      </c>
      <c r="O1156">
        <v>7.072133347934721</v>
      </c>
      <c r="P1156">
        <v>7.1269446106398249</v>
      </c>
      <c r="Q1156">
        <v>7.1009551697094144</v>
      </c>
      <c r="R1156">
        <v>7.0730846063131816</v>
      </c>
      <c r="S1156">
        <v>7.0432558598164983</v>
      </c>
      <c r="T1156">
        <v>7.0144699053629092</v>
      </c>
      <c r="U1156">
        <v>7.0144699053629092</v>
      </c>
      <c r="V1156">
        <v>7.0144699053629092</v>
      </c>
      <c r="W1156">
        <v>7.0144699053629092</v>
      </c>
      <c r="X1156">
        <v>7.0144699053629092</v>
      </c>
      <c r="Y1156">
        <v>7.0144699053629092</v>
      </c>
      <c r="Z1156">
        <v>7.0144699053629083</v>
      </c>
      <c r="AA1156">
        <v>7.0144699053629092</v>
      </c>
      <c r="AB1156">
        <v>7.0144699053629092</v>
      </c>
      <c r="AC1156">
        <v>7.0144699053629092</v>
      </c>
      <c r="AD1156">
        <v>7.0144699053629083</v>
      </c>
    </row>
    <row r="1157" spans="2:30" x14ac:dyDescent="0.25">
      <c r="B1157" t="s">
        <v>133</v>
      </c>
      <c r="C1157" t="s">
        <v>3256</v>
      </c>
      <c r="D1157" t="s">
        <v>6995</v>
      </c>
      <c r="E1157" t="s">
        <v>4365</v>
      </c>
      <c r="F1157" t="s">
        <v>4366</v>
      </c>
      <c r="G1157" t="s">
        <v>3890</v>
      </c>
      <c r="H1157" t="s">
        <v>4262</v>
      </c>
      <c r="J1157">
        <v>1</v>
      </c>
      <c r="K1157">
        <v>2.7840662767025575</v>
      </c>
      <c r="L1157">
        <v>2.6136758812745531</v>
      </c>
      <c r="M1157">
        <v>2.6543194100780321</v>
      </c>
      <c r="N1157">
        <v>2.6543194100780321</v>
      </c>
      <c r="O1157">
        <v>2.6543194100780321</v>
      </c>
      <c r="P1157">
        <v>2.6543194100780321</v>
      </c>
      <c r="Q1157">
        <v>2.6543194100780321</v>
      </c>
      <c r="R1157">
        <v>2.6543194100780321</v>
      </c>
      <c r="S1157">
        <v>2.6543194100780321</v>
      </c>
      <c r="T1157">
        <v>2.6543194100780321</v>
      </c>
      <c r="U1157">
        <v>2.6543194100780321</v>
      </c>
      <c r="V1157">
        <v>2.6543194100780321</v>
      </c>
      <c r="W1157">
        <v>2.6543194100780321</v>
      </c>
      <c r="X1157">
        <v>2.6543194100780321</v>
      </c>
      <c r="Y1157">
        <v>2.6543194100780321</v>
      </c>
      <c r="Z1157">
        <v>2.6543194100780321</v>
      </c>
      <c r="AA1157">
        <v>2.6543194100780321</v>
      </c>
      <c r="AB1157">
        <v>2.6543194100780321</v>
      </c>
      <c r="AC1157">
        <v>2.6543194100780321</v>
      </c>
      <c r="AD1157">
        <v>2.6543194100780321</v>
      </c>
    </row>
    <row r="1158" spans="2:30" x14ac:dyDescent="0.25">
      <c r="B1158" t="s">
        <v>133</v>
      </c>
      <c r="C1158" t="s">
        <v>3256</v>
      </c>
      <c r="D1158" t="s">
        <v>6996</v>
      </c>
      <c r="E1158" t="s">
        <v>4359</v>
      </c>
      <c r="F1158" t="s">
        <v>4360</v>
      </c>
      <c r="G1158" t="s">
        <v>3890</v>
      </c>
      <c r="H1158" t="s">
        <v>4262</v>
      </c>
      <c r="J1158">
        <v>1</v>
      </c>
      <c r="K1158">
        <v>4.6336684948303901</v>
      </c>
      <c r="L1158">
        <v>3.2086856370367216</v>
      </c>
      <c r="M1158">
        <v>2.3308805686582157</v>
      </c>
      <c r="N1158">
        <v>2.3308805686582161</v>
      </c>
      <c r="O1158">
        <v>2.3308805686582161</v>
      </c>
      <c r="P1158">
        <v>2.3308805686582161</v>
      </c>
      <c r="Q1158">
        <v>2.3308805686582161</v>
      </c>
      <c r="R1158">
        <v>2.3308805686582161</v>
      </c>
      <c r="S1158">
        <v>2.3308805686582161</v>
      </c>
      <c r="T1158">
        <v>2.3308805686582161</v>
      </c>
      <c r="U1158">
        <v>2.3308805686582161</v>
      </c>
      <c r="V1158">
        <v>2.3308805686582161</v>
      </c>
      <c r="W1158">
        <v>2.3308805686582161</v>
      </c>
      <c r="X1158">
        <v>2.3308805686582161</v>
      </c>
      <c r="Y1158">
        <v>2.3308805686582161</v>
      </c>
      <c r="Z1158">
        <v>2.3308805686582161</v>
      </c>
      <c r="AA1158">
        <v>2.3308805686582161</v>
      </c>
      <c r="AB1158">
        <v>2.3308805686582161</v>
      </c>
      <c r="AC1158">
        <v>2.3308805686582161</v>
      </c>
      <c r="AD1158">
        <v>2.3308805686582161</v>
      </c>
    </row>
    <row r="1159" spans="2:30" x14ac:dyDescent="0.25">
      <c r="B1159" t="s">
        <v>133</v>
      </c>
      <c r="C1159" t="s">
        <v>3256</v>
      </c>
      <c r="D1159" t="s">
        <v>6997</v>
      </c>
      <c r="E1159" t="s">
        <v>4353</v>
      </c>
      <c r="F1159" t="s">
        <v>4354</v>
      </c>
      <c r="G1159" t="s">
        <v>3890</v>
      </c>
      <c r="H1159" t="s">
        <v>4262</v>
      </c>
      <c r="J1159">
        <v>1</v>
      </c>
      <c r="K1159">
        <v>5.3362217651456945</v>
      </c>
      <c r="L1159">
        <v>5.0100913196194341</v>
      </c>
      <c r="M1159">
        <v>5.0870036796421569</v>
      </c>
      <c r="N1159">
        <v>5.0870036796421569</v>
      </c>
      <c r="O1159">
        <v>5.0870036796421569</v>
      </c>
      <c r="P1159">
        <v>5.0870036796421569</v>
      </c>
      <c r="Q1159">
        <v>5.0870036796421569</v>
      </c>
      <c r="R1159">
        <v>5.0870036796421569</v>
      </c>
      <c r="S1159">
        <v>5.0870036796421569</v>
      </c>
      <c r="T1159">
        <v>5.0870036796421569</v>
      </c>
      <c r="U1159">
        <v>5.0870036796421569</v>
      </c>
      <c r="V1159">
        <v>5.0870036796421569</v>
      </c>
      <c r="W1159">
        <v>5.0870036796421569</v>
      </c>
      <c r="X1159">
        <v>5.0870036796421569</v>
      </c>
      <c r="Y1159">
        <v>5.0870036796421569</v>
      </c>
      <c r="Z1159">
        <v>5.0870036796421569</v>
      </c>
      <c r="AA1159">
        <v>5.0870036796421569</v>
      </c>
      <c r="AB1159">
        <v>5.0870036796421569</v>
      </c>
      <c r="AC1159">
        <v>5.0870036796421569</v>
      </c>
      <c r="AD1159">
        <v>5.0870036796421569</v>
      </c>
    </row>
    <row r="1160" spans="2:30" x14ac:dyDescent="0.25">
      <c r="B1160" t="s">
        <v>133</v>
      </c>
      <c r="C1160" t="s">
        <v>3256</v>
      </c>
      <c r="D1160" t="s">
        <v>6998</v>
      </c>
      <c r="E1160" t="s">
        <v>6999</v>
      </c>
      <c r="F1160" t="s">
        <v>7000</v>
      </c>
      <c r="G1160" t="s">
        <v>3890</v>
      </c>
      <c r="H1160" t="s">
        <v>4262</v>
      </c>
      <c r="J1160">
        <v>1</v>
      </c>
      <c r="K1160">
        <v>0.41380160258053544</v>
      </c>
      <c r="L1160">
        <v>0.28058258207500419</v>
      </c>
      <c r="M1160">
        <v>0.24920697617592391</v>
      </c>
      <c r="N1160">
        <v>0.24920697617592391</v>
      </c>
      <c r="O1160">
        <v>0.24920697617592391</v>
      </c>
      <c r="P1160">
        <v>0.24920697617592391</v>
      </c>
      <c r="Q1160">
        <v>0.24920697617592391</v>
      </c>
      <c r="R1160">
        <v>0.24920697617592391</v>
      </c>
      <c r="S1160">
        <v>0.24920697617592391</v>
      </c>
      <c r="T1160">
        <v>0.24920697617592391</v>
      </c>
      <c r="U1160">
        <v>0.24920697617592391</v>
      </c>
      <c r="V1160">
        <v>0.24920697617592391</v>
      </c>
      <c r="W1160">
        <v>0.24920697617592391</v>
      </c>
      <c r="X1160">
        <v>0.24920697617592391</v>
      </c>
      <c r="Y1160">
        <v>0.24920697617592391</v>
      </c>
      <c r="Z1160">
        <v>0.24920697617592391</v>
      </c>
      <c r="AA1160">
        <v>0.24920697617592391</v>
      </c>
      <c r="AB1160">
        <v>0.24920697617592391</v>
      </c>
      <c r="AC1160">
        <v>0.24920697617592391</v>
      </c>
      <c r="AD1160">
        <v>0.24920697617592391</v>
      </c>
    </row>
    <row r="1161" spans="2:30" x14ac:dyDescent="0.25">
      <c r="B1161" t="s">
        <v>133</v>
      </c>
      <c r="C1161" t="s">
        <v>3256</v>
      </c>
      <c r="D1161" t="s">
        <v>7001</v>
      </c>
      <c r="E1161" t="s">
        <v>7002</v>
      </c>
      <c r="F1161" t="s">
        <v>7003</v>
      </c>
      <c r="G1161" t="s">
        <v>3890</v>
      </c>
      <c r="H1161" t="s">
        <v>4262</v>
      </c>
      <c r="J1161">
        <v>1</v>
      </c>
      <c r="K1161">
        <v>0.17506990878407264</v>
      </c>
      <c r="L1161">
        <v>0.10153377483648018</v>
      </c>
      <c r="M1161">
        <v>8.8017783074900768E-2</v>
      </c>
      <c r="N1161">
        <v>8.8017783074900768E-2</v>
      </c>
      <c r="O1161">
        <v>8.8017783074900768E-2</v>
      </c>
      <c r="P1161">
        <v>8.8017783074900768E-2</v>
      </c>
      <c r="Q1161">
        <v>8.8017783074900768E-2</v>
      </c>
      <c r="R1161">
        <v>8.8017783074900768E-2</v>
      </c>
      <c r="S1161">
        <v>8.8017783074900768E-2</v>
      </c>
      <c r="T1161">
        <v>8.8017783074900768E-2</v>
      </c>
      <c r="U1161">
        <v>8.8017783074900768E-2</v>
      </c>
      <c r="V1161">
        <v>8.8017783074900768E-2</v>
      </c>
      <c r="W1161">
        <v>8.8017783074900768E-2</v>
      </c>
      <c r="X1161">
        <v>8.8017783074900768E-2</v>
      </c>
      <c r="Y1161">
        <v>8.8017783074900768E-2</v>
      </c>
      <c r="Z1161">
        <v>8.8017783074900768E-2</v>
      </c>
      <c r="AA1161">
        <v>8.8017783074900768E-2</v>
      </c>
      <c r="AB1161">
        <v>8.8017783074900768E-2</v>
      </c>
      <c r="AC1161">
        <v>8.8017783074900768E-2</v>
      </c>
      <c r="AD1161">
        <v>8.8017783074900768E-2</v>
      </c>
    </row>
    <row r="1162" spans="2:30" x14ac:dyDescent="0.25">
      <c r="B1162" t="s">
        <v>133</v>
      </c>
      <c r="C1162" t="s">
        <v>3256</v>
      </c>
      <c r="D1162" t="s">
        <v>7004</v>
      </c>
      <c r="E1162" t="s">
        <v>7005</v>
      </c>
      <c r="F1162" t="s">
        <v>7006</v>
      </c>
      <c r="G1162" t="s">
        <v>3890</v>
      </c>
      <c r="H1162" t="s">
        <v>4262</v>
      </c>
      <c r="J1162">
        <v>1</v>
      </c>
      <c r="K1162">
        <v>0.41380160258053539</v>
      </c>
      <c r="L1162">
        <v>0.25874736168006218</v>
      </c>
      <c r="M1162">
        <v>0.24390470008707449</v>
      </c>
      <c r="N1162">
        <v>0.24390470008707449</v>
      </c>
      <c r="O1162">
        <v>0.24390470008707449</v>
      </c>
      <c r="P1162">
        <v>0.24390470008707449</v>
      </c>
      <c r="Q1162">
        <v>0.24390470008707449</v>
      </c>
      <c r="R1162">
        <v>0.24390470008707449</v>
      </c>
      <c r="S1162">
        <v>0.24390470008707449</v>
      </c>
      <c r="T1162">
        <v>0.24390470008707449</v>
      </c>
      <c r="U1162">
        <v>0.24390470008707449</v>
      </c>
      <c r="V1162">
        <v>0.24390470008707449</v>
      </c>
      <c r="W1162">
        <v>0.24390470008707449</v>
      </c>
      <c r="X1162">
        <v>0.24390470008707449</v>
      </c>
      <c r="Y1162">
        <v>0.24390470008707449</v>
      </c>
      <c r="Z1162">
        <v>0.24390470008707449</v>
      </c>
      <c r="AA1162">
        <v>0.24390470008707449</v>
      </c>
      <c r="AB1162">
        <v>0.24390470008707449</v>
      </c>
      <c r="AC1162">
        <v>0.24390470008707449</v>
      </c>
      <c r="AD1162">
        <v>0.24390470008707449</v>
      </c>
    </row>
    <row r="1163" spans="2:30" x14ac:dyDescent="0.25">
      <c r="B1163" t="s">
        <v>133</v>
      </c>
      <c r="C1163" t="s">
        <v>3256</v>
      </c>
      <c r="D1163" t="s">
        <v>7007</v>
      </c>
      <c r="E1163" t="s">
        <v>7008</v>
      </c>
      <c r="F1163" t="s">
        <v>7009</v>
      </c>
      <c r="G1163" t="s">
        <v>3890</v>
      </c>
      <c r="H1163" t="s">
        <v>4262</v>
      </c>
      <c r="J1163">
        <v>1</v>
      </c>
      <c r="K1163">
        <v>33.050697779735998</v>
      </c>
      <c r="L1163">
        <v>26.300522965707586</v>
      </c>
      <c r="M1163">
        <v>23.176248784360922</v>
      </c>
      <c r="N1163">
        <v>15</v>
      </c>
      <c r="O1163">
        <v>15</v>
      </c>
      <c r="P1163">
        <v>15</v>
      </c>
      <c r="Q1163">
        <v>15</v>
      </c>
      <c r="R1163">
        <v>15</v>
      </c>
      <c r="S1163">
        <v>15</v>
      </c>
      <c r="T1163">
        <v>15</v>
      </c>
      <c r="U1163">
        <v>15</v>
      </c>
      <c r="V1163">
        <v>15</v>
      </c>
      <c r="W1163">
        <v>15</v>
      </c>
      <c r="X1163">
        <v>15</v>
      </c>
      <c r="Y1163">
        <v>15</v>
      </c>
      <c r="Z1163">
        <v>15</v>
      </c>
      <c r="AA1163">
        <v>15</v>
      </c>
      <c r="AB1163">
        <v>15</v>
      </c>
      <c r="AC1163">
        <v>15</v>
      </c>
      <c r="AD1163">
        <v>15</v>
      </c>
    </row>
    <row r="1164" spans="2:30" x14ac:dyDescent="0.25">
      <c r="B1164" t="s">
        <v>133</v>
      </c>
      <c r="C1164" t="s">
        <v>3256</v>
      </c>
      <c r="D1164" t="s">
        <v>7010</v>
      </c>
      <c r="E1164" t="s">
        <v>7011</v>
      </c>
      <c r="F1164" t="s">
        <v>7012</v>
      </c>
      <c r="G1164" t="s">
        <v>3890</v>
      </c>
      <c r="H1164" t="s">
        <v>7013</v>
      </c>
      <c r="J1164">
        <v>1</v>
      </c>
      <c r="K1164">
        <v>0.61781329947639674</v>
      </c>
      <c r="L1164">
        <v>0.6195087385311161</v>
      </c>
      <c r="M1164">
        <v>0.61795996668478836</v>
      </c>
      <c r="N1164">
        <v>0.61641506676807645</v>
      </c>
      <c r="O1164">
        <v>0.61487402910115629</v>
      </c>
      <c r="P1164">
        <v>0.61333684402840338</v>
      </c>
      <c r="Q1164">
        <v>0.61180350191833244</v>
      </c>
      <c r="R1164">
        <v>0.61027399316353659</v>
      </c>
      <c r="S1164">
        <v>0.60874830818062775</v>
      </c>
      <c r="T1164">
        <v>0.60722643741017623</v>
      </c>
      <c r="U1164">
        <v>0.60570837131665078</v>
      </c>
      <c r="V1164">
        <v>0.60419410038835919</v>
      </c>
      <c r="W1164">
        <v>0.60268361513738833</v>
      </c>
      <c r="X1164">
        <v>0.60117690609954488</v>
      </c>
      <c r="Y1164">
        <v>0.59967396383429605</v>
      </c>
      <c r="Z1164">
        <v>0.59817477892471038</v>
      </c>
      <c r="AA1164">
        <v>0.59667934197739869</v>
      </c>
      <c r="AB1164">
        <v>0.59518764362245524</v>
      </c>
      <c r="AC1164">
        <v>0.59369967451339911</v>
      </c>
      <c r="AD1164">
        <v>0.59221542532711569</v>
      </c>
    </row>
    <row r="1165" spans="2:30" x14ac:dyDescent="0.25">
      <c r="B1165" t="s">
        <v>133</v>
      </c>
      <c r="C1165" t="s">
        <v>3256</v>
      </c>
      <c r="D1165" t="s">
        <v>7014</v>
      </c>
      <c r="E1165" t="s">
        <v>7015</v>
      </c>
      <c r="F1165" t="s">
        <v>7016</v>
      </c>
      <c r="G1165" t="s">
        <v>3890</v>
      </c>
      <c r="H1165" t="s">
        <v>7013</v>
      </c>
      <c r="J1165">
        <v>2</v>
      </c>
      <c r="K1165">
        <v>0.61781329947639674</v>
      </c>
      <c r="L1165">
        <v>0.6195087385311161</v>
      </c>
      <c r="M1165">
        <v>0.61795996668478836</v>
      </c>
      <c r="N1165">
        <v>0.61641506676807645</v>
      </c>
      <c r="O1165">
        <v>0.61487402910115629</v>
      </c>
      <c r="P1165">
        <v>0.61333684402840338</v>
      </c>
      <c r="Q1165">
        <v>0.61180350191833244</v>
      </c>
      <c r="R1165">
        <v>0.61027399316353659</v>
      </c>
      <c r="S1165">
        <v>0.60874830818062775</v>
      </c>
      <c r="T1165">
        <v>0.60722643741017623</v>
      </c>
      <c r="U1165">
        <v>0.60570837131665078</v>
      </c>
      <c r="V1165">
        <v>0.60419410038835919</v>
      </c>
      <c r="W1165">
        <v>0.60268361513738833</v>
      </c>
      <c r="X1165">
        <v>0.60117690609954488</v>
      </c>
      <c r="Y1165">
        <v>0.59967396383429605</v>
      </c>
      <c r="Z1165">
        <v>0.59817477892471038</v>
      </c>
      <c r="AA1165">
        <v>0.59667934197739869</v>
      </c>
      <c r="AB1165">
        <v>0.59518764362245524</v>
      </c>
      <c r="AC1165">
        <v>0.59369967451339911</v>
      </c>
      <c r="AD1165">
        <v>0.59221542532711569</v>
      </c>
    </row>
    <row r="1166" spans="2:30" x14ac:dyDescent="0.25">
      <c r="B1166" t="s">
        <v>133</v>
      </c>
      <c r="C1166" t="s">
        <v>3256</v>
      </c>
      <c r="D1166" t="s">
        <v>7017</v>
      </c>
      <c r="E1166" t="s">
        <v>7018</v>
      </c>
      <c r="F1166" t="s">
        <v>7019</v>
      </c>
      <c r="G1166" t="s">
        <v>3890</v>
      </c>
      <c r="H1166" t="s">
        <v>7013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2:30" x14ac:dyDescent="0.25">
      <c r="B1167" t="s">
        <v>133</v>
      </c>
      <c r="C1167" t="s">
        <v>3256</v>
      </c>
      <c r="D1167" t="s">
        <v>7020</v>
      </c>
      <c r="E1167" t="s">
        <v>7021</v>
      </c>
      <c r="F1167" t="s">
        <v>7022</v>
      </c>
      <c r="G1167" t="s">
        <v>3890</v>
      </c>
      <c r="H1167" t="s">
        <v>7013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2:30" x14ac:dyDescent="0.25">
      <c r="B1168" t="s">
        <v>133</v>
      </c>
      <c r="C1168" t="s">
        <v>3256</v>
      </c>
      <c r="D1168" t="s">
        <v>7023</v>
      </c>
      <c r="E1168" t="s">
        <v>4116</v>
      </c>
      <c r="F1168" t="s">
        <v>4117</v>
      </c>
      <c r="G1168" t="s">
        <v>3890</v>
      </c>
      <c r="H1168" t="s">
        <v>7013</v>
      </c>
      <c r="J1168">
        <v>1</v>
      </c>
      <c r="K1168">
        <v>1.9183594836308</v>
      </c>
      <c r="L1168">
        <v>1.9236239568823399</v>
      </c>
      <c r="M1168">
        <v>1.9495786224001388</v>
      </c>
      <c r="N1168">
        <v>1.9528324758330775</v>
      </c>
      <c r="O1168">
        <v>1.9534450933804692</v>
      </c>
      <c r="P1168">
        <v>1.9551539131253526</v>
      </c>
      <c r="Q1168">
        <v>1.9589917133836747</v>
      </c>
      <c r="R1168">
        <v>1.9630166950625969</v>
      </c>
      <c r="S1168">
        <v>1.9667559743802079</v>
      </c>
      <c r="T1168">
        <v>1.9705482294793291</v>
      </c>
      <c r="U1168">
        <v>1.9602591945498284</v>
      </c>
      <c r="V1168">
        <v>1.950282685511969</v>
      </c>
      <c r="W1168">
        <v>1.9406091533185987</v>
      </c>
      <c r="X1168">
        <v>1.9313136477730053</v>
      </c>
      <c r="Y1168">
        <v>1.9224019024004297</v>
      </c>
      <c r="Z1168">
        <v>1.9126501266081062</v>
      </c>
      <c r="AA1168">
        <v>1.9034360265766122</v>
      </c>
      <c r="AB1168">
        <v>1.8948533497241411</v>
      </c>
      <c r="AC1168">
        <v>1.887011421656992</v>
      </c>
      <c r="AD1168">
        <v>1.8792374416312119</v>
      </c>
    </row>
    <row r="1169" spans="2:30" x14ac:dyDescent="0.25">
      <c r="B1169" t="s">
        <v>133</v>
      </c>
      <c r="C1169" t="s">
        <v>3256</v>
      </c>
      <c r="D1169" t="s">
        <v>7024</v>
      </c>
      <c r="E1169" t="s">
        <v>4122</v>
      </c>
      <c r="F1169" t="s">
        <v>4123</v>
      </c>
      <c r="G1169" t="s">
        <v>3890</v>
      </c>
      <c r="H1169" t="s">
        <v>7013</v>
      </c>
      <c r="J1169">
        <v>1</v>
      </c>
      <c r="K1169">
        <v>15.788350712964199</v>
      </c>
      <c r="L1169">
        <v>17.709445005999601</v>
      </c>
      <c r="M1169">
        <v>18.013645438268195</v>
      </c>
      <c r="N1169">
        <v>18.257946899703906</v>
      </c>
      <c r="O1169">
        <v>18.54387298167482</v>
      </c>
      <c r="P1169">
        <v>18.938934819449567</v>
      </c>
      <c r="Q1169">
        <v>19.358782038364822</v>
      </c>
      <c r="R1169">
        <v>19.807872441783321</v>
      </c>
      <c r="S1169">
        <v>20.258477071761995</v>
      </c>
      <c r="T1169">
        <v>20.860030119397162</v>
      </c>
      <c r="U1169">
        <v>21.634014903127714</v>
      </c>
      <c r="V1169">
        <v>22.435010302638723</v>
      </c>
      <c r="W1169">
        <v>23.263891338460716</v>
      </c>
      <c r="X1169">
        <v>24.121558811041407</v>
      </c>
      <c r="Y1169">
        <v>25.008939966964491</v>
      </c>
      <c r="Z1169">
        <v>25.926989179128281</v>
      </c>
      <c r="AA1169">
        <v>26.876688641065538</v>
      </c>
      <c r="AB1169">
        <v>27.859049075584327</v>
      </c>
      <c r="AC1169">
        <v>28.875110457908111</v>
      </c>
      <c r="AD1169">
        <v>29.92594275349088</v>
      </c>
    </row>
    <row r="1170" spans="2:30" x14ac:dyDescent="0.25">
      <c r="B1170" t="s">
        <v>133</v>
      </c>
      <c r="C1170" t="s">
        <v>3256</v>
      </c>
      <c r="D1170" t="s">
        <v>7025</v>
      </c>
      <c r="E1170" t="s">
        <v>4128</v>
      </c>
      <c r="F1170" t="s">
        <v>4129</v>
      </c>
      <c r="G1170" t="s">
        <v>3890</v>
      </c>
      <c r="H1170" t="s">
        <v>7013</v>
      </c>
      <c r="J1170">
        <v>1</v>
      </c>
      <c r="K1170">
        <v>35.126042972388703</v>
      </c>
      <c r="L1170">
        <v>35.772328129626999</v>
      </c>
      <c r="M1170">
        <v>36.324796517729354</v>
      </c>
      <c r="N1170">
        <v>36.808206357318902</v>
      </c>
      <c r="O1170">
        <v>37.257086922652057</v>
      </c>
      <c r="P1170">
        <v>38.002228661105107</v>
      </c>
      <c r="Q1170">
        <v>38.762273234327196</v>
      </c>
      <c r="R1170">
        <v>39.537518629955187</v>
      </c>
      <c r="S1170">
        <v>40.32826905089528</v>
      </c>
      <c r="T1170">
        <v>41.538117156951415</v>
      </c>
      <c r="U1170">
        <v>43.199641663677241</v>
      </c>
      <c r="V1170">
        <v>44.927627143490007</v>
      </c>
      <c r="W1170">
        <v>46.724732035025916</v>
      </c>
      <c r="X1170">
        <v>48.593721114455107</v>
      </c>
      <c r="Y1170">
        <v>50.537469748982602</v>
      </c>
      <c r="Z1170">
        <v>52.558968320489171</v>
      </c>
      <c r="AA1170">
        <v>54.661326826117879</v>
      </c>
      <c r="AB1170">
        <v>56.847779662884115</v>
      </c>
      <c r="AC1170">
        <v>59.121690603669862</v>
      </c>
      <c r="AD1170">
        <v>61.486557972257835</v>
      </c>
    </row>
    <row r="1171" spans="2:30" x14ac:dyDescent="0.25">
      <c r="B1171" t="s">
        <v>133</v>
      </c>
      <c r="C1171" t="s">
        <v>3256</v>
      </c>
      <c r="D1171" t="s">
        <v>7026</v>
      </c>
      <c r="E1171" t="s">
        <v>4131</v>
      </c>
      <c r="F1171" t="s">
        <v>4132</v>
      </c>
      <c r="G1171" t="s">
        <v>3890</v>
      </c>
      <c r="H1171" t="s">
        <v>7013</v>
      </c>
      <c r="J1171">
        <v>1</v>
      </c>
      <c r="K1171">
        <v>8.9167735999999997E-2</v>
      </c>
      <c r="L1171">
        <v>0.106864256591645</v>
      </c>
      <c r="M1171">
        <v>0.10843425056703646</v>
      </c>
      <c r="N1171">
        <v>0.11010891080745402</v>
      </c>
      <c r="O1171">
        <v>0.11157423851781936</v>
      </c>
      <c r="P1171">
        <v>0.11293489996315863</v>
      </c>
      <c r="Q1171">
        <v>0.1151935979624218</v>
      </c>
      <c r="R1171">
        <v>0.11749746992167022</v>
      </c>
      <c r="S1171">
        <v>0.1198474191107711</v>
      </c>
      <c r="T1171">
        <v>0.12224436763951929</v>
      </c>
      <c r="U1171">
        <v>0.12591169877337113</v>
      </c>
      <c r="V1171">
        <v>0.13094816618004138</v>
      </c>
      <c r="W1171">
        <v>0.13618609226120784</v>
      </c>
      <c r="X1171">
        <v>0.14163353536297957</v>
      </c>
      <c r="Y1171">
        <v>0.14729887616527509</v>
      </c>
      <c r="Z1171">
        <v>0.15319083057517352</v>
      </c>
      <c r="AA1171">
        <v>0.15931846313599937</v>
      </c>
      <c r="AB1171">
        <v>0.16569120097277101</v>
      </c>
      <c r="AC1171">
        <v>0.17231884829546679</v>
      </c>
      <c r="AD1171">
        <v>0.1792116014824218</v>
      </c>
    </row>
    <row r="1172" spans="2:30" x14ac:dyDescent="0.25">
      <c r="B1172" t="s">
        <v>133</v>
      </c>
      <c r="C1172" t="s">
        <v>3256</v>
      </c>
      <c r="D1172" t="s">
        <v>7027</v>
      </c>
      <c r="E1172" t="s">
        <v>4110</v>
      </c>
      <c r="F1172" t="s">
        <v>4111</v>
      </c>
      <c r="G1172" t="s">
        <v>3890</v>
      </c>
      <c r="H1172" t="s">
        <v>7013</v>
      </c>
      <c r="J1172">
        <v>1</v>
      </c>
      <c r="K1172">
        <v>53.087639112183702</v>
      </c>
      <c r="L1172">
        <v>55.678150773981152</v>
      </c>
      <c r="M1172">
        <v>56.591949464302623</v>
      </c>
      <c r="N1172">
        <v>57.340453153368216</v>
      </c>
      <c r="O1172">
        <v>58.083369000928201</v>
      </c>
      <c r="P1172">
        <v>59.233699190437143</v>
      </c>
      <c r="Q1172">
        <v>60.428256184953092</v>
      </c>
      <c r="R1172">
        <v>61.667203421556167</v>
      </c>
      <c r="S1172">
        <v>62.922470538923662</v>
      </c>
      <c r="T1172">
        <v>64.748000314064839</v>
      </c>
      <c r="U1172">
        <v>67.184910935311578</v>
      </c>
      <c r="V1172">
        <v>69.717117766655775</v>
      </c>
      <c r="W1172">
        <v>72.346976143125957</v>
      </c>
      <c r="X1172">
        <v>75.078233759580968</v>
      </c>
      <c r="Y1172">
        <v>77.914706259845602</v>
      </c>
      <c r="Z1172">
        <v>80.859122143440842</v>
      </c>
      <c r="AA1172">
        <v>83.916959092338857</v>
      </c>
      <c r="AB1172">
        <v>87.09256401985111</v>
      </c>
      <c r="AC1172">
        <v>90.390458318112564</v>
      </c>
      <c r="AD1172">
        <v>93.814546078030361</v>
      </c>
    </row>
    <row r="1173" spans="2:30" x14ac:dyDescent="0.25">
      <c r="B1173" t="s">
        <v>133</v>
      </c>
      <c r="C1173" t="s">
        <v>3256</v>
      </c>
      <c r="D1173" t="s">
        <v>7028</v>
      </c>
      <c r="E1173" t="s">
        <v>4113</v>
      </c>
      <c r="F1173" t="s">
        <v>4114</v>
      </c>
      <c r="G1173" t="s">
        <v>3890</v>
      </c>
      <c r="H1173" t="s">
        <v>7013</v>
      </c>
      <c r="J1173">
        <v>1</v>
      </c>
      <c r="K1173">
        <v>53.087639112183702</v>
      </c>
      <c r="L1173">
        <v>55.678150773981152</v>
      </c>
      <c r="M1173">
        <v>56.591949464302623</v>
      </c>
      <c r="N1173">
        <v>57.340453153368216</v>
      </c>
      <c r="O1173">
        <v>58.083369000928201</v>
      </c>
      <c r="P1173">
        <v>59.233699190437143</v>
      </c>
      <c r="Q1173">
        <v>60.428256184953092</v>
      </c>
      <c r="R1173">
        <v>61.667203421556167</v>
      </c>
      <c r="S1173">
        <v>62.922470538923662</v>
      </c>
      <c r="T1173">
        <v>64.748000314064839</v>
      </c>
      <c r="U1173">
        <v>67.184910935311578</v>
      </c>
      <c r="V1173">
        <v>69.717117766655775</v>
      </c>
      <c r="W1173">
        <v>72.346976143125957</v>
      </c>
      <c r="X1173">
        <v>75.078233759580968</v>
      </c>
      <c r="Y1173">
        <v>77.914706259845602</v>
      </c>
      <c r="Z1173">
        <v>80.859122143440842</v>
      </c>
      <c r="AA1173">
        <v>83.916959092338857</v>
      </c>
      <c r="AB1173">
        <v>87.09256401985111</v>
      </c>
      <c r="AC1173">
        <v>90.390458318112564</v>
      </c>
      <c r="AD1173">
        <v>93.814546078030361</v>
      </c>
    </row>
    <row r="1174" spans="2:30" x14ac:dyDescent="0.25">
      <c r="B1174" t="s">
        <v>133</v>
      </c>
      <c r="C1174" t="s">
        <v>3256</v>
      </c>
      <c r="D1174" t="s">
        <v>7029</v>
      </c>
      <c r="E1174" t="s">
        <v>4143</v>
      </c>
      <c r="F1174" t="s">
        <v>4144</v>
      </c>
      <c r="G1174" t="s">
        <v>3890</v>
      </c>
      <c r="H1174" t="s">
        <v>7013</v>
      </c>
      <c r="J1174">
        <v>2</v>
      </c>
      <c r="K1174">
        <v>1.9183594836308</v>
      </c>
      <c r="L1174">
        <v>1.9236239568823399</v>
      </c>
      <c r="M1174">
        <v>1.9495324479443195</v>
      </c>
      <c r="N1174">
        <v>1.9527892144201127</v>
      </c>
      <c r="O1174">
        <v>1.9497983393309868</v>
      </c>
      <c r="P1174">
        <v>1.9458374563277152</v>
      </c>
      <c r="Q1174">
        <v>1.9512137772726812</v>
      </c>
      <c r="R1174">
        <v>1.9546611542582801</v>
      </c>
      <c r="S1174">
        <v>1.958526528102652</v>
      </c>
      <c r="T1174">
        <v>1.9615933675316102</v>
      </c>
      <c r="U1174">
        <v>1.9508511161040194</v>
      </c>
      <c r="V1174">
        <v>1.9402587972411771</v>
      </c>
      <c r="W1174">
        <v>1.9301352028991781</v>
      </c>
      <c r="X1174">
        <v>1.9204212190980239</v>
      </c>
      <c r="Y1174">
        <v>1.9111604491867118</v>
      </c>
      <c r="Z1174">
        <v>1.9011769336443609</v>
      </c>
      <c r="AA1174">
        <v>1.8918017784611565</v>
      </c>
      <c r="AB1174">
        <v>1.8831463102988582</v>
      </c>
      <c r="AC1174">
        <v>1.8753831145816229</v>
      </c>
      <c r="AD1174">
        <v>1.8676985305473375</v>
      </c>
    </row>
    <row r="1175" spans="2:30" x14ac:dyDescent="0.25">
      <c r="B1175" t="s">
        <v>133</v>
      </c>
      <c r="C1175" t="s">
        <v>3256</v>
      </c>
      <c r="D1175" t="s">
        <v>7030</v>
      </c>
      <c r="E1175" t="s">
        <v>4148</v>
      </c>
      <c r="F1175" t="s">
        <v>4149</v>
      </c>
      <c r="G1175" t="s">
        <v>3890</v>
      </c>
      <c r="H1175" t="s">
        <v>7013</v>
      </c>
      <c r="J1175">
        <v>2</v>
      </c>
      <c r="K1175">
        <v>15.788350712964199</v>
      </c>
      <c r="L1175">
        <v>17.709445005999601</v>
      </c>
      <c r="M1175">
        <v>18.013645438268195</v>
      </c>
      <c r="N1175">
        <v>18.257946899703906</v>
      </c>
      <c r="O1175">
        <v>18.54387298167482</v>
      </c>
      <c r="P1175">
        <v>18.938935123082576</v>
      </c>
      <c r="Q1175">
        <v>19.360381520115986</v>
      </c>
      <c r="R1175">
        <v>19.805686092783763</v>
      </c>
      <c r="S1175">
        <v>20.257187436107667</v>
      </c>
      <c r="T1175">
        <v>20.857065845566336</v>
      </c>
      <c r="U1175">
        <v>21.633246698496713</v>
      </c>
      <c r="V1175">
        <v>22.437862519748336</v>
      </c>
      <c r="W1175">
        <v>23.269683523950118</v>
      </c>
      <c r="X1175">
        <v>24.131245627455296</v>
      </c>
      <c r="Y1175">
        <v>25.0248139068249</v>
      </c>
      <c r="Z1175">
        <v>25.947448687879913</v>
      </c>
      <c r="AA1175">
        <v>26.901185015711114</v>
      </c>
      <c r="AB1175">
        <v>27.885517808553832</v>
      </c>
      <c r="AC1175">
        <v>28.903334852957745</v>
      </c>
      <c r="AD1175">
        <v>29.95621357260055</v>
      </c>
    </row>
    <row r="1176" spans="2:30" x14ac:dyDescent="0.25">
      <c r="B1176" t="s">
        <v>133</v>
      </c>
      <c r="C1176" t="s">
        <v>3256</v>
      </c>
      <c r="D1176" t="s">
        <v>7031</v>
      </c>
      <c r="E1176" t="s">
        <v>4154</v>
      </c>
      <c r="F1176" t="s">
        <v>4155</v>
      </c>
      <c r="G1176" t="s">
        <v>3890</v>
      </c>
      <c r="H1176" t="s">
        <v>7013</v>
      </c>
      <c r="J1176">
        <v>2</v>
      </c>
      <c r="K1176">
        <v>35.126042972388703</v>
      </c>
      <c r="L1176">
        <v>35.772328129626999</v>
      </c>
      <c r="M1176">
        <v>36.324796517729354</v>
      </c>
      <c r="N1176">
        <v>36.808206357318902</v>
      </c>
      <c r="O1176">
        <v>37.257086922652057</v>
      </c>
      <c r="P1176">
        <v>38.002228661105107</v>
      </c>
      <c r="Q1176">
        <v>38.762273234327196</v>
      </c>
      <c r="R1176">
        <v>39.537518629955187</v>
      </c>
      <c r="S1176">
        <v>40.32826905089528</v>
      </c>
      <c r="T1176">
        <v>41.538117156951415</v>
      </c>
      <c r="U1176">
        <v>43.199641663677241</v>
      </c>
      <c r="V1176">
        <v>44.927627143490007</v>
      </c>
      <c r="W1176">
        <v>46.724732035025916</v>
      </c>
      <c r="X1176">
        <v>48.593721114455107</v>
      </c>
      <c r="Y1176">
        <v>50.537469748982602</v>
      </c>
      <c r="Z1176">
        <v>52.558968320489171</v>
      </c>
      <c r="AA1176">
        <v>54.661326826117879</v>
      </c>
      <c r="AB1176">
        <v>56.847779662884115</v>
      </c>
      <c r="AC1176">
        <v>59.121690603669862</v>
      </c>
      <c r="AD1176">
        <v>61.486557972257835</v>
      </c>
    </row>
    <row r="1177" spans="2:30" x14ac:dyDescent="0.25">
      <c r="B1177" t="s">
        <v>133</v>
      </c>
      <c r="C1177" t="s">
        <v>3256</v>
      </c>
      <c r="D1177" t="s">
        <v>7032</v>
      </c>
      <c r="E1177" t="s">
        <v>4157</v>
      </c>
      <c r="F1177" t="s">
        <v>4158</v>
      </c>
      <c r="G1177" t="s">
        <v>3890</v>
      </c>
      <c r="H1177" t="s">
        <v>7013</v>
      </c>
      <c r="J1177">
        <v>2</v>
      </c>
      <c r="K1177">
        <v>8.9167735999999997E-2</v>
      </c>
      <c r="L1177">
        <v>0.106864256591645</v>
      </c>
      <c r="M1177">
        <v>0.10843425056703646</v>
      </c>
      <c r="N1177">
        <v>0.11010891080745402</v>
      </c>
      <c r="O1177">
        <v>0.11157423851781936</v>
      </c>
      <c r="P1177">
        <v>0.11293489996315863</v>
      </c>
      <c r="Q1177">
        <v>0.1151935979624218</v>
      </c>
      <c r="R1177">
        <v>0.11749746992167022</v>
      </c>
      <c r="S1177">
        <v>0.1198474191107711</v>
      </c>
      <c r="T1177">
        <v>0.12224436763951929</v>
      </c>
      <c r="U1177">
        <v>0.12591169877337113</v>
      </c>
      <c r="V1177">
        <v>0.13094816618004138</v>
      </c>
      <c r="W1177">
        <v>0.13618609226120784</v>
      </c>
      <c r="X1177">
        <v>0.14163353536297957</v>
      </c>
      <c r="Y1177">
        <v>0.14729887616527509</v>
      </c>
      <c r="Z1177">
        <v>0.15319083057517352</v>
      </c>
      <c r="AA1177">
        <v>0.15931846313599937</v>
      </c>
      <c r="AB1177">
        <v>0.16569120097277101</v>
      </c>
      <c r="AC1177">
        <v>0.17231884829546679</v>
      </c>
      <c r="AD1177">
        <v>0.1792116014824218</v>
      </c>
    </row>
    <row r="1178" spans="2:30" x14ac:dyDescent="0.25">
      <c r="B1178" t="s">
        <v>133</v>
      </c>
      <c r="C1178" t="s">
        <v>3256</v>
      </c>
      <c r="D1178" t="s">
        <v>7033</v>
      </c>
      <c r="E1178" t="s">
        <v>4137</v>
      </c>
      <c r="F1178" t="s">
        <v>4138</v>
      </c>
      <c r="G1178" t="s">
        <v>3890</v>
      </c>
      <c r="H1178" t="s">
        <v>7013</v>
      </c>
      <c r="J1178">
        <v>2</v>
      </c>
      <c r="K1178">
        <v>53.087639112183702</v>
      </c>
      <c r="L1178">
        <v>55.678150773981152</v>
      </c>
      <c r="M1178">
        <v>56.591903289846805</v>
      </c>
      <c r="N1178">
        <v>57.340409891955247</v>
      </c>
      <c r="O1178">
        <v>58.041835325185531</v>
      </c>
      <c r="P1178">
        <v>59.191023644442581</v>
      </c>
      <c r="Q1178">
        <v>60.389542922722192</v>
      </c>
      <c r="R1178">
        <v>61.624214799732727</v>
      </c>
      <c r="S1178">
        <v>62.879662877865769</v>
      </c>
      <c r="T1178">
        <v>64.701719937260208</v>
      </c>
      <c r="U1178">
        <v>67.139483017696918</v>
      </c>
      <c r="V1178">
        <v>69.673935254355527</v>
      </c>
      <c r="W1178">
        <v>72.305707467276278</v>
      </c>
      <c r="X1178">
        <v>75.04016682502467</v>
      </c>
      <c r="Y1178">
        <v>77.882431182593052</v>
      </c>
      <c r="Z1178">
        <v>80.831363504731783</v>
      </c>
      <c r="AA1178">
        <v>83.893351835307996</v>
      </c>
      <c r="AB1178">
        <v>87.071238844014715</v>
      </c>
      <c r="AC1178">
        <v>90.371473980076672</v>
      </c>
      <c r="AD1178">
        <v>93.798330769344417</v>
      </c>
    </row>
    <row r="1179" spans="2:30" x14ac:dyDescent="0.25">
      <c r="B1179" t="s">
        <v>133</v>
      </c>
      <c r="C1179" t="s">
        <v>3256</v>
      </c>
      <c r="D1179" t="s">
        <v>7034</v>
      </c>
      <c r="E1179" t="s">
        <v>4140</v>
      </c>
      <c r="F1179" t="s">
        <v>4141</v>
      </c>
      <c r="G1179" t="s">
        <v>3890</v>
      </c>
      <c r="H1179" t="s">
        <v>7013</v>
      </c>
      <c r="J1179">
        <v>2</v>
      </c>
      <c r="K1179">
        <v>53.087639112183702</v>
      </c>
      <c r="L1179">
        <v>55.678150773981152</v>
      </c>
      <c r="M1179">
        <v>56.591903289846805</v>
      </c>
      <c r="N1179">
        <v>57.340409891955247</v>
      </c>
      <c r="O1179">
        <v>58.041835325185531</v>
      </c>
      <c r="P1179">
        <v>59.191023644442581</v>
      </c>
      <c r="Q1179">
        <v>60.389542922722192</v>
      </c>
      <c r="R1179">
        <v>61.624214799732727</v>
      </c>
      <c r="S1179">
        <v>62.879662877865769</v>
      </c>
      <c r="T1179">
        <v>64.701719937260208</v>
      </c>
      <c r="U1179">
        <v>67.139483017696918</v>
      </c>
      <c r="V1179">
        <v>69.673935254355527</v>
      </c>
      <c r="W1179">
        <v>72.305707467276278</v>
      </c>
      <c r="X1179">
        <v>75.04016682502467</v>
      </c>
      <c r="Y1179">
        <v>77.882431182593052</v>
      </c>
      <c r="Z1179">
        <v>80.831363504731783</v>
      </c>
      <c r="AA1179">
        <v>83.893351835307996</v>
      </c>
      <c r="AB1179">
        <v>87.071238844014715</v>
      </c>
      <c r="AC1179">
        <v>90.371473980076672</v>
      </c>
      <c r="AD1179">
        <v>93.798330769344417</v>
      </c>
    </row>
    <row r="1180" spans="2:30" x14ac:dyDescent="0.25">
      <c r="B1180" t="s">
        <v>133</v>
      </c>
      <c r="C1180" t="s">
        <v>3256</v>
      </c>
      <c r="D1180" t="s">
        <v>7035</v>
      </c>
      <c r="E1180" t="s">
        <v>7036</v>
      </c>
      <c r="F1180" t="s">
        <v>7037</v>
      </c>
      <c r="G1180" t="s">
        <v>3890</v>
      </c>
      <c r="H1180" t="s">
        <v>7013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2:30" x14ac:dyDescent="0.25">
      <c r="B1181" t="s">
        <v>133</v>
      </c>
      <c r="C1181" t="s">
        <v>3256</v>
      </c>
      <c r="D1181" t="s">
        <v>7038</v>
      </c>
      <c r="E1181" t="s">
        <v>7039</v>
      </c>
      <c r="F1181" t="s">
        <v>7040</v>
      </c>
      <c r="G1181" t="s">
        <v>3890</v>
      </c>
      <c r="H1181" t="s">
        <v>7013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2:30" x14ac:dyDescent="0.25">
      <c r="B1182" t="s">
        <v>133</v>
      </c>
      <c r="C1182" t="s">
        <v>3256</v>
      </c>
      <c r="D1182" t="s">
        <v>7041</v>
      </c>
      <c r="E1182" t="s">
        <v>7042</v>
      </c>
      <c r="F1182" t="s">
        <v>7043</v>
      </c>
      <c r="G1182" t="s">
        <v>3890</v>
      </c>
      <c r="H1182" t="s">
        <v>7013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spans="2:30" x14ac:dyDescent="0.25">
      <c r="B1183" t="s">
        <v>133</v>
      </c>
      <c r="C1183" t="s">
        <v>3256</v>
      </c>
      <c r="D1183" t="s">
        <v>7044</v>
      </c>
      <c r="E1183" t="s">
        <v>7045</v>
      </c>
      <c r="F1183" t="s">
        <v>7046</v>
      </c>
      <c r="G1183" t="s">
        <v>3890</v>
      </c>
      <c r="H1183" t="s">
        <v>7013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2:30" x14ac:dyDescent="0.25">
      <c r="B1184" t="s">
        <v>133</v>
      </c>
      <c r="C1184" t="s">
        <v>3256</v>
      </c>
      <c r="D1184" t="s">
        <v>7047</v>
      </c>
      <c r="E1184" t="s">
        <v>7048</v>
      </c>
      <c r="F1184" t="s">
        <v>7049</v>
      </c>
      <c r="G1184" t="s">
        <v>3890</v>
      </c>
      <c r="H1184" t="s">
        <v>7013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2:30" x14ac:dyDescent="0.25">
      <c r="B1185" t="s">
        <v>133</v>
      </c>
      <c r="C1185" t="s">
        <v>3256</v>
      </c>
      <c r="D1185" t="s">
        <v>7050</v>
      </c>
      <c r="E1185" t="s">
        <v>7051</v>
      </c>
      <c r="F1185" t="s">
        <v>7052</v>
      </c>
      <c r="G1185" t="s">
        <v>3890</v>
      </c>
      <c r="H1185" t="s">
        <v>7013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2:30" x14ac:dyDescent="0.25">
      <c r="B1186" t="s">
        <v>133</v>
      </c>
      <c r="C1186" t="s">
        <v>3256</v>
      </c>
      <c r="D1186" t="s">
        <v>7053</v>
      </c>
      <c r="E1186" t="s">
        <v>7054</v>
      </c>
      <c r="F1186" t="s">
        <v>7055</v>
      </c>
      <c r="G1186" t="s">
        <v>3890</v>
      </c>
      <c r="H1186" t="s">
        <v>7013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2:30" x14ac:dyDescent="0.25">
      <c r="B1187" t="s">
        <v>133</v>
      </c>
      <c r="C1187" t="s">
        <v>3256</v>
      </c>
      <c r="D1187" t="s">
        <v>7056</v>
      </c>
      <c r="E1187" t="s">
        <v>7057</v>
      </c>
      <c r="F1187" t="s">
        <v>7058</v>
      </c>
      <c r="G1187" t="s">
        <v>3890</v>
      </c>
      <c r="H1187" t="s">
        <v>7013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2:30" x14ac:dyDescent="0.25">
      <c r="B1188" t="s">
        <v>133</v>
      </c>
      <c r="C1188" t="s">
        <v>3256</v>
      </c>
      <c r="D1188" t="s">
        <v>7059</v>
      </c>
      <c r="E1188" t="s">
        <v>7060</v>
      </c>
      <c r="F1188" t="s">
        <v>7061</v>
      </c>
      <c r="G1188" t="s">
        <v>3890</v>
      </c>
      <c r="H1188" t="s">
        <v>7013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2:30" x14ac:dyDescent="0.25">
      <c r="B1189" t="s">
        <v>133</v>
      </c>
      <c r="C1189" t="s">
        <v>3256</v>
      </c>
      <c r="D1189" t="s">
        <v>7062</v>
      </c>
      <c r="E1189" t="s">
        <v>7063</v>
      </c>
      <c r="F1189" t="s">
        <v>7064</v>
      </c>
      <c r="G1189" t="s">
        <v>3890</v>
      </c>
      <c r="H1189" t="s">
        <v>7013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2:30" x14ac:dyDescent="0.25">
      <c r="B1190" t="s">
        <v>133</v>
      </c>
      <c r="C1190" t="s">
        <v>3256</v>
      </c>
      <c r="D1190" t="s">
        <v>7065</v>
      </c>
      <c r="E1190" t="s">
        <v>7066</v>
      </c>
      <c r="F1190" t="s">
        <v>7067</v>
      </c>
      <c r="G1190" t="s">
        <v>3890</v>
      </c>
      <c r="H1190" t="s">
        <v>7068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</row>
    <row r="1191" spans="2:30" x14ac:dyDescent="0.25">
      <c r="B1191" t="s">
        <v>133</v>
      </c>
      <c r="C1191" t="s">
        <v>3256</v>
      </c>
      <c r="D1191" t="s">
        <v>7069</v>
      </c>
      <c r="E1191" t="s">
        <v>7070</v>
      </c>
      <c r="F1191" t="s">
        <v>7071</v>
      </c>
      <c r="G1191" t="s">
        <v>3890</v>
      </c>
      <c r="H1191" t="s">
        <v>4476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2:30" x14ac:dyDescent="0.25">
      <c r="B1192" t="s">
        <v>133</v>
      </c>
      <c r="C1192" t="s">
        <v>3256</v>
      </c>
      <c r="D1192" t="s">
        <v>7072</v>
      </c>
      <c r="E1192" t="s">
        <v>7073</v>
      </c>
      <c r="F1192" t="s">
        <v>7074</v>
      </c>
      <c r="G1192" t="s">
        <v>3890</v>
      </c>
      <c r="H1192" t="s">
        <v>884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</row>
    <row r="1193" spans="2:30" x14ac:dyDescent="0.25">
      <c r="B1193" t="s">
        <v>133</v>
      </c>
      <c r="C1193" t="s">
        <v>3256</v>
      </c>
      <c r="D1193" t="s">
        <v>7075</v>
      </c>
      <c r="E1193" t="s">
        <v>7076</v>
      </c>
      <c r="F1193" t="s">
        <v>7077</v>
      </c>
      <c r="G1193" t="s">
        <v>3890</v>
      </c>
      <c r="H1193" t="s">
        <v>7078</v>
      </c>
      <c r="J1193">
        <v>1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  <c r="W1193" t="e">
        <v>#N/A</v>
      </c>
      <c r="X1193" t="e">
        <v>#N/A</v>
      </c>
      <c r="Y1193" t="e">
        <v>#N/A</v>
      </c>
      <c r="Z1193" t="e">
        <v>#N/A</v>
      </c>
      <c r="AA1193" t="e">
        <v>#N/A</v>
      </c>
      <c r="AB1193" t="e">
        <v>#N/A</v>
      </c>
      <c r="AC1193" t="e">
        <v>#N/A</v>
      </c>
      <c r="AD1193" t="e">
        <v>#N/A</v>
      </c>
    </row>
    <row r="1194" spans="2:30" x14ac:dyDescent="0.25">
      <c r="B1194" t="s">
        <v>133</v>
      </c>
      <c r="C1194" t="s">
        <v>3256</v>
      </c>
      <c r="D1194" t="s">
        <v>7079</v>
      </c>
      <c r="E1194" t="s">
        <v>7080</v>
      </c>
      <c r="F1194" t="s">
        <v>7081</v>
      </c>
      <c r="G1194" t="s">
        <v>3890</v>
      </c>
      <c r="H1194" t="s">
        <v>7082</v>
      </c>
      <c r="J1194">
        <v>1</v>
      </c>
      <c r="K1194">
        <v>8.8716917086029241</v>
      </c>
      <c r="L1194">
        <v>8.5644978351756595</v>
      </c>
      <c r="M1194">
        <v>8.3886588486919944</v>
      </c>
      <c r="N1194">
        <v>8.0920965483836973</v>
      </c>
      <c r="O1194">
        <v>8.2513019622825858</v>
      </c>
      <c r="P1194">
        <v>9.0448654195698879</v>
      </c>
      <c r="Q1194">
        <v>9.9024311893545622</v>
      </c>
      <c r="R1194">
        <v>10.830429536925404</v>
      </c>
      <c r="S1194">
        <v>11.937330520511658</v>
      </c>
      <c r="T1194">
        <v>13.245866289163711</v>
      </c>
      <c r="U1194">
        <v>14.659607172703971</v>
      </c>
      <c r="V1194">
        <v>16.170961797431815</v>
      </c>
      <c r="W1194">
        <v>17.771968652327125</v>
      </c>
      <c r="X1194">
        <v>19.453959635201674</v>
      </c>
      <c r="Y1194">
        <v>21.205664968067008</v>
      </c>
      <c r="Z1194">
        <v>23.042890070278919</v>
      </c>
      <c r="AA1194">
        <v>24.962714757195489</v>
      </c>
      <c r="AB1194">
        <v>26.962131602506165</v>
      </c>
      <c r="AC1194">
        <v>29.039093418621174</v>
      </c>
      <c r="AD1194">
        <v>31.153556937608005</v>
      </c>
    </row>
    <row r="1195" spans="2:30" x14ac:dyDescent="0.25">
      <c r="B1195" t="s">
        <v>133</v>
      </c>
      <c r="C1195" t="s">
        <v>3256</v>
      </c>
      <c r="D1195" t="s">
        <v>7083</v>
      </c>
      <c r="E1195" t="s">
        <v>7084</v>
      </c>
      <c r="F1195" t="s">
        <v>7085</v>
      </c>
      <c r="G1195" t="s">
        <v>3890</v>
      </c>
      <c r="H1195" t="s">
        <v>7086</v>
      </c>
      <c r="J1195">
        <v>1</v>
      </c>
      <c r="K1195">
        <v>3.2172729633843065</v>
      </c>
      <c r="L1195">
        <v>3.4876935640271411</v>
      </c>
      <c r="M1195">
        <v>3.5939020066595377</v>
      </c>
      <c r="N1195">
        <v>2.7186556230175296</v>
      </c>
      <c r="O1195">
        <v>2.9840769510823266</v>
      </c>
      <c r="P1195">
        <v>2.9208651320491938</v>
      </c>
      <c r="Q1195">
        <v>3.0923179897128521</v>
      </c>
      <c r="R1195">
        <v>3.3239579484754502</v>
      </c>
      <c r="S1195">
        <v>3.6076222018563118</v>
      </c>
      <c r="T1195">
        <v>3.9355066907315273</v>
      </c>
      <c r="U1195">
        <v>4.3555461645321243</v>
      </c>
      <c r="V1195">
        <v>4.8045878585850383</v>
      </c>
      <c r="W1195">
        <v>5.2802663119076518</v>
      </c>
      <c r="X1195">
        <v>5.7800061267560174</v>
      </c>
      <c r="Y1195">
        <v>6.3004589161157742</v>
      </c>
      <c r="Z1195">
        <v>6.8463206607756915</v>
      </c>
      <c r="AA1195">
        <v>7.41672373864556</v>
      </c>
      <c r="AB1195">
        <v>8.0107746070828174</v>
      </c>
      <c r="AC1195">
        <v>8.6278650219544737</v>
      </c>
      <c r="AD1195">
        <v>9.256097645221109</v>
      </c>
    </row>
    <row r="1196" spans="2:30" x14ac:dyDescent="0.25">
      <c r="B1196" t="s">
        <v>133</v>
      </c>
      <c r="C1196" t="s">
        <v>3256</v>
      </c>
      <c r="D1196" t="s">
        <v>7087</v>
      </c>
      <c r="E1196" t="s">
        <v>7088</v>
      </c>
      <c r="F1196" t="s">
        <v>7089</v>
      </c>
      <c r="G1196" t="s">
        <v>3890</v>
      </c>
      <c r="H1196" t="s">
        <v>7090</v>
      </c>
      <c r="J1196">
        <v>1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  <c r="W1196" t="e">
        <v>#N/A</v>
      </c>
      <c r="X1196" t="e">
        <v>#N/A</v>
      </c>
      <c r="Y1196" t="e">
        <v>#N/A</v>
      </c>
      <c r="Z1196" t="e">
        <v>#N/A</v>
      </c>
      <c r="AA1196" t="e">
        <v>#N/A</v>
      </c>
      <c r="AB1196" t="e">
        <v>#N/A</v>
      </c>
      <c r="AC1196" t="e">
        <v>#N/A</v>
      </c>
      <c r="AD1196" t="e">
        <v>#N/A</v>
      </c>
    </row>
    <row r="1197" spans="2:30" x14ac:dyDescent="0.25">
      <c r="B1197" t="s">
        <v>133</v>
      </c>
      <c r="C1197" t="s">
        <v>3256</v>
      </c>
      <c r="D1197" t="s">
        <v>7091</v>
      </c>
      <c r="E1197" t="s">
        <v>7092</v>
      </c>
      <c r="F1197" t="s">
        <v>7093</v>
      </c>
      <c r="G1197" t="s">
        <v>3890</v>
      </c>
      <c r="H1197" t="s">
        <v>7068</v>
      </c>
      <c r="J1197">
        <v>1</v>
      </c>
      <c r="K1197">
        <v>0.65794924908352259</v>
      </c>
      <c r="L1197">
        <v>0.60845193959275345</v>
      </c>
      <c r="M1197">
        <v>0.54630541792531939</v>
      </c>
      <c r="N1197">
        <v>0.53003725334707352</v>
      </c>
      <c r="O1197">
        <v>0.5400759140421193</v>
      </c>
      <c r="P1197">
        <v>0.55729901263447357</v>
      </c>
      <c r="Q1197">
        <v>0.57353529169704798</v>
      </c>
      <c r="R1197">
        <v>0.58991413670284198</v>
      </c>
      <c r="S1197">
        <v>0.60850356052176169</v>
      </c>
      <c r="T1197">
        <v>0.62857513271899157</v>
      </c>
      <c r="U1197">
        <v>0.64784581168589572</v>
      </c>
      <c r="V1197">
        <v>0.66607130085772004</v>
      </c>
      <c r="W1197">
        <v>0.68295984870081283</v>
      </c>
      <c r="X1197">
        <v>0.69864245759263588</v>
      </c>
      <c r="Y1197">
        <v>0.71313770397093301</v>
      </c>
      <c r="Z1197">
        <v>0.72662781923768394</v>
      </c>
      <c r="AA1197">
        <v>0.73918398021715881</v>
      </c>
      <c r="AB1197">
        <v>0.75089939620077151</v>
      </c>
      <c r="AC1197">
        <v>0.76186170987122492</v>
      </c>
      <c r="AD1197">
        <v>0.77208128625452732</v>
      </c>
    </row>
    <row r="1198" spans="2:30" x14ac:dyDescent="0.25">
      <c r="B1198" t="s">
        <v>133</v>
      </c>
      <c r="C1198" t="s">
        <v>3256</v>
      </c>
      <c r="D1198" t="s">
        <v>7094</v>
      </c>
      <c r="E1198" t="s">
        <v>7095</v>
      </c>
      <c r="F1198" t="s">
        <v>7096</v>
      </c>
      <c r="G1198" t="s">
        <v>3890</v>
      </c>
      <c r="H1198" t="s">
        <v>4476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2:30" x14ac:dyDescent="0.25">
      <c r="B1199" t="s">
        <v>133</v>
      </c>
      <c r="C1199" t="s">
        <v>3256</v>
      </c>
      <c r="D1199" t="s">
        <v>7097</v>
      </c>
      <c r="E1199" t="s">
        <v>7098</v>
      </c>
      <c r="F1199" t="s">
        <v>7099</v>
      </c>
      <c r="G1199" t="s">
        <v>3890</v>
      </c>
      <c r="H1199" t="s">
        <v>884</v>
      </c>
      <c r="J1199">
        <v>1</v>
      </c>
      <c r="K1199">
        <v>3.1462278217077255E-2</v>
      </c>
      <c r="L1199">
        <v>3.1462278217077255E-2</v>
      </c>
      <c r="M1199">
        <v>3.1462278217077255E-2</v>
      </c>
      <c r="N1199">
        <v>3.1462278217077255E-2</v>
      </c>
      <c r="O1199">
        <v>3.1462278217077255E-2</v>
      </c>
      <c r="P1199">
        <v>3.1462278217077255E-2</v>
      </c>
      <c r="Q1199">
        <v>3.1462278217077255E-2</v>
      </c>
      <c r="R1199">
        <v>3.1462278217077255E-2</v>
      </c>
      <c r="S1199">
        <v>3.1462278217077255E-2</v>
      </c>
      <c r="T1199">
        <v>3.1462278217077255E-2</v>
      </c>
      <c r="U1199">
        <v>3.1462278217077255E-2</v>
      </c>
      <c r="V1199">
        <v>3.1462278217077255E-2</v>
      </c>
      <c r="W1199">
        <v>3.1462278217077255E-2</v>
      </c>
      <c r="X1199">
        <v>3.1462278217077255E-2</v>
      </c>
      <c r="Y1199">
        <v>3.1462278217077255E-2</v>
      </c>
      <c r="Z1199">
        <v>3.1462278217077255E-2</v>
      </c>
      <c r="AA1199">
        <v>3.1462278217077255E-2</v>
      </c>
      <c r="AB1199">
        <v>3.1462278217077255E-2</v>
      </c>
      <c r="AC1199">
        <v>3.1462278217077255E-2</v>
      </c>
      <c r="AD1199">
        <v>3.1462278217077255E-2</v>
      </c>
    </row>
    <row r="1200" spans="2:30" x14ac:dyDescent="0.25">
      <c r="B1200" t="s">
        <v>133</v>
      </c>
      <c r="C1200" t="s">
        <v>3256</v>
      </c>
      <c r="D1200" t="s">
        <v>7100</v>
      </c>
      <c r="E1200" t="s">
        <v>7101</v>
      </c>
      <c r="F1200" t="s">
        <v>7102</v>
      </c>
      <c r="G1200" t="s">
        <v>3890</v>
      </c>
      <c r="H1200" t="s">
        <v>7078</v>
      </c>
      <c r="J1200">
        <v>1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  <c r="W1200" t="e">
        <v>#N/A</v>
      </c>
      <c r="X1200" t="e">
        <v>#N/A</v>
      </c>
      <c r="Y1200" t="e">
        <v>#N/A</v>
      </c>
      <c r="Z1200" t="e">
        <v>#N/A</v>
      </c>
      <c r="AA1200" t="e">
        <v>#N/A</v>
      </c>
      <c r="AB1200" t="e">
        <v>#N/A</v>
      </c>
      <c r="AC1200" t="e">
        <v>#N/A</v>
      </c>
      <c r="AD1200" t="e">
        <v>#N/A</v>
      </c>
    </row>
    <row r="1201" spans="2:30" x14ac:dyDescent="0.25">
      <c r="B1201" t="s">
        <v>133</v>
      </c>
      <c r="C1201" t="s">
        <v>3256</v>
      </c>
      <c r="D1201" t="s">
        <v>7103</v>
      </c>
      <c r="E1201" t="s">
        <v>7104</v>
      </c>
      <c r="F1201" t="s">
        <v>7105</v>
      </c>
      <c r="G1201" t="s">
        <v>3890</v>
      </c>
      <c r="H1201" t="s">
        <v>7082</v>
      </c>
      <c r="J1201">
        <v>1</v>
      </c>
      <c r="K1201">
        <v>17.093399168632743</v>
      </c>
      <c r="L1201">
        <v>18.164558263381714</v>
      </c>
      <c r="M1201">
        <v>19.625046708005698</v>
      </c>
      <c r="N1201">
        <v>19.335582542555347</v>
      </c>
      <c r="O1201">
        <v>20.145147566900832</v>
      </c>
      <c r="P1201">
        <v>21.396616032809217</v>
      </c>
      <c r="Q1201">
        <v>22.778580481929932</v>
      </c>
      <c r="R1201">
        <v>24.251237959003845</v>
      </c>
      <c r="S1201">
        <v>25.953300675727256</v>
      </c>
      <c r="T1201">
        <v>27.937864998266871</v>
      </c>
      <c r="U1201">
        <v>30.084512993071748</v>
      </c>
      <c r="V1201">
        <v>32.382008614704581</v>
      </c>
      <c r="W1201">
        <v>34.801431221443664</v>
      </c>
      <c r="X1201">
        <v>37.347143191031492</v>
      </c>
      <c r="Y1201">
        <v>40.010165184002858</v>
      </c>
      <c r="Z1201">
        <v>42.802796078230102</v>
      </c>
      <c r="AA1201">
        <v>45.725142911345095</v>
      </c>
      <c r="AB1201">
        <v>48.781996709719095</v>
      </c>
      <c r="AC1201">
        <v>51.979744326232307</v>
      </c>
      <c r="AD1201">
        <v>55.309305872774132</v>
      </c>
    </row>
    <row r="1202" spans="2:30" x14ac:dyDescent="0.25">
      <c r="B1202" t="s">
        <v>133</v>
      </c>
      <c r="C1202" t="s">
        <v>3256</v>
      </c>
      <c r="D1202" t="s">
        <v>7106</v>
      </c>
      <c r="E1202" t="s">
        <v>7107</v>
      </c>
      <c r="F1202" t="s">
        <v>7108</v>
      </c>
      <c r="G1202" t="s">
        <v>3890</v>
      </c>
      <c r="H1202" t="s">
        <v>7086</v>
      </c>
      <c r="J1202">
        <v>1</v>
      </c>
      <c r="K1202">
        <v>11.328900797350048</v>
      </c>
      <c r="L1202">
        <v>10.431293599417616</v>
      </c>
      <c r="M1202">
        <v>10.384930107060731</v>
      </c>
      <c r="N1202">
        <v>8.4025576431049362</v>
      </c>
      <c r="O1202">
        <v>9.2837853528539647</v>
      </c>
      <c r="P1202">
        <v>9.0128716278437704</v>
      </c>
      <c r="Q1202">
        <v>9.3467316486689587</v>
      </c>
      <c r="R1202">
        <v>9.8177714332667954</v>
      </c>
      <c r="S1202">
        <v>10.382134611873608</v>
      </c>
      <c r="T1202">
        <v>11.030196530876275</v>
      </c>
      <c r="U1202">
        <v>11.877718317769371</v>
      </c>
      <c r="V1202">
        <v>12.78479651565636</v>
      </c>
      <c r="W1202">
        <v>13.740012916237886</v>
      </c>
      <c r="X1202">
        <v>14.745089837373406</v>
      </c>
      <c r="Y1202">
        <v>15.796482130604909</v>
      </c>
      <c r="Z1202">
        <v>16.899045537058271</v>
      </c>
      <c r="AA1202">
        <v>18.052822316445024</v>
      </c>
      <c r="AB1202">
        <v>19.259704022126993</v>
      </c>
      <c r="AC1202">
        <v>20.522212258474688</v>
      </c>
      <c r="AD1202">
        <v>21.836762179246477</v>
      </c>
    </row>
    <row r="1203" spans="2:30" x14ac:dyDescent="0.25">
      <c r="B1203" t="s">
        <v>133</v>
      </c>
      <c r="C1203" t="s">
        <v>3256</v>
      </c>
      <c r="D1203" t="s">
        <v>7109</v>
      </c>
      <c r="E1203" t="s">
        <v>7110</v>
      </c>
      <c r="F1203" t="s">
        <v>7111</v>
      </c>
      <c r="G1203" t="s">
        <v>3890</v>
      </c>
      <c r="H1203" t="s">
        <v>7090</v>
      </c>
      <c r="J1203">
        <v>1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  <c r="W1203" t="e">
        <v>#N/A</v>
      </c>
      <c r="X1203" t="e">
        <v>#N/A</v>
      </c>
      <c r="Y1203" t="e">
        <v>#N/A</v>
      </c>
      <c r="Z1203" t="e">
        <v>#N/A</v>
      </c>
      <c r="AA1203" t="e">
        <v>#N/A</v>
      </c>
      <c r="AB1203" t="e">
        <v>#N/A</v>
      </c>
      <c r="AC1203" t="e">
        <v>#N/A</v>
      </c>
      <c r="AD1203" t="e">
        <v>#N/A</v>
      </c>
    </row>
    <row r="1204" spans="2:30" x14ac:dyDescent="0.25">
      <c r="B1204" t="s">
        <v>133</v>
      </c>
      <c r="C1204" t="s">
        <v>3256</v>
      </c>
      <c r="D1204" t="s">
        <v>7112</v>
      </c>
      <c r="E1204" t="s">
        <v>7113</v>
      </c>
      <c r="F1204" t="s">
        <v>7114</v>
      </c>
      <c r="G1204" t="s">
        <v>3890</v>
      </c>
      <c r="H1204" t="s">
        <v>4476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2:30" x14ac:dyDescent="0.25">
      <c r="B1205" t="s">
        <v>133</v>
      </c>
      <c r="C1205" t="s">
        <v>3256</v>
      </c>
      <c r="D1205" t="s">
        <v>7115</v>
      </c>
      <c r="E1205" t="s">
        <v>7116</v>
      </c>
      <c r="F1205" t="s">
        <v>7117</v>
      </c>
      <c r="G1205" t="s">
        <v>3890</v>
      </c>
      <c r="H1205" t="s">
        <v>884</v>
      </c>
      <c r="J1205">
        <v>1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  <c r="W1205" t="e">
        <v>#N/A</v>
      </c>
      <c r="X1205" t="e">
        <v>#N/A</v>
      </c>
      <c r="Y1205" t="e">
        <v>#N/A</v>
      </c>
      <c r="Z1205" t="e">
        <v>#N/A</v>
      </c>
      <c r="AA1205" t="e">
        <v>#N/A</v>
      </c>
      <c r="AB1205" t="e">
        <v>#N/A</v>
      </c>
      <c r="AC1205" t="e">
        <v>#N/A</v>
      </c>
      <c r="AD1205" t="e">
        <v>#N/A</v>
      </c>
    </row>
    <row r="1206" spans="2:30" x14ac:dyDescent="0.25">
      <c r="B1206" t="s">
        <v>133</v>
      </c>
      <c r="C1206" t="s">
        <v>3256</v>
      </c>
      <c r="D1206" t="s">
        <v>7118</v>
      </c>
      <c r="E1206" t="s">
        <v>7119</v>
      </c>
      <c r="F1206" t="s">
        <v>7120</v>
      </c>
      <c r="G1206" t="s">
        <v>3890</v>
      </c>
      <c r="H1206" t="s">
        <v>7078</v>
      </c>
      <c r="J1206">
        <v>1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  <c r="W1206" t="e">
        <v>#N/A</v>
      </c>
      <c r="X1206" t="e">
        <v>#N/A</v>
      </c>
      <c r="Y1206" t="e">
        <v>#N/A</v>
      </c>
      <c r="Z1206" t="e">
        <v>#N/A</v>
      </c>
      <c r="AA1206" t="e">
        <v>#N/A</v>
      </c>
      <c r="AB1206" t="e">
        <v>#N/A</v>
      </c>
      <c r="AC1206" t="e">
        <v>#N/A</v>
      </c>
      <c r="AD1206" t="e">
        <v>#N/A</v>
      </c>
    </row>
    <row r="1207" spans="2:30" x14ac:dyDescent="0.25">
      <c r="B1207" t="s">
        <v>133</v>
      </c>
      <c r="C1207" t="s">
        <v>3256</v>
      </c>
      <c r="D1207" t="s">
        <v>7121</v>
      </c>
      <c r="E1207" t="s">
        <v>7122</v>
      </c>
      <c r="F1207" t="s">
        <v>7123</v>
      </c>
      <c r="G1207" t="s">
        <v>3890</v>
      </c>
      <c r="H1207" t="s">
        <v>7082</v>
      </c>
      <c r="J1207">
        <v>1</v>
      </c>
      <c r="K1207">
        <v>8.7592273594097882</v>
      </c>
      <c r="L1207">
        <v>9.8483367689349723</v>
      </c>
      <c r="M1207">
        <v>11.872645748894794</v>
      </c>
      <c r="N1207">
        <v>12.165496369500795</v>
      </c>
      <c r="O1207">
        <v>12.451220798302455</v>
      </c>
      <c r="P1207">
        <v>12.787576079133844</v>
      </c>
      <c r="Q1207">
        <v>13.185926293726901</v>
      </c>
      <c r="R1207">
        <v>13.567516333534819</v>
      </c>
      <c r="S1207">
        <v>13.924630751853487</v>
      </c>
      <c r="T1207">
        <v>14.284805547580049</v>
      </c>
      <c r="U1207">
        <v>14.649307370291794</v>
      </c>
      <c r="V1207">
        <v>15.018063306158167</v>
      </c>
      <c r="W1207">
        <v>15.390998538298842</v>
      </c>
      <c r="X1207">
        <v>15.768036297169033</v>
      </c>
      <c r="Y1207">
        <v>16.149097798433552</v>
      </c>
      <c r="Z1207">
        <v>16.534102168271236</v>
      </c>
      <c r="AA1207">
        <v>16.922966356059909</v>
      </c>
      <c r="AB1207">
        <v>17.315605034396299</v>
      </c>
      <c r="AC1207">
        <v>17.711930486408583</v>
      </c>
      <c r="AD1207">
        <v>18.111852480319339</v>
      </c>
    </row>
    <row r="1208" spans="2:30" x14ac:dyDescent="0.25">
      <c r="B1208" t="s">
        <v>133</v>
      </c>
      <c r="C1208" t="s">
        <v>3256</v>
      </c>
      <c r="D1208" t="s">
        <v>7124</v>
      </c>
      <c r="E1208" t="s">
        <v>7125</v>
      </c>
      <c r="F1208" t="s">
        <v>7126</v>
      </c>
      <c r="G1208" t="s">
        <v>3890</v>
      </c>
      <c r="H1208" t="s">
        <v>7086</v>
      </c>
      <c r="J1208">
        <v>1</v>
      </c>
      <c r="K1208">
        <v>4.3415326674431149</v>
      </c>
      <c r="L1208">
        <v>4.6878851644380655</v>
      </c>
      <c r="M1208">
        <v>5.4012855181209103</v>
      </c>
      <c r="N1208">
        <v>4.7970431075413851</v>
      </c>
      <c r="O1208">
        <v>5.1193866689866239</v>
      </c>
      <c r="P1208">
        <v>4.9330654080764651</v>
      </c>
      <c r="Q1208">
        <v>4.9946480086541092</v>
      </c>
      <c r="R1208">
        <v>5.0914253757795098</v>
      </c>
      <c r="S1208">
        <v>5.1825691281617061</v>
      </c>
      <c r="T1208">
        <v>5.2688435912409322</v>
      </c>
      <c r="U1208">
        <v>5.4032873599148266</v>
      </c>
      <c r="V1208">
        <v>5.539300226379833</v>
      </c>
      <c r="W1208">
        <v>5.6768545949897167</v>
      </c>
      <c r="X1208">
        <v>5.8159221498725753</v>
      </c>
      <c r="Y1208">
        <v>5.9564738320161474</v>
      </c>
      <c r="Z1208">
        <v>6.0984798117169134</v>
      </c>
      <c r="AA1208">
        <v>6.2419094563745929</v>
      </c>
      <c r="AB1208">
        <v>6.3867312936152452</v>
      </c>
      <c r="AC1208">
        <v>6.5329129697273389</v>
      </c>
      <c r="AD1208">
        <v>6.680421203395241</v>
      </c>
    </row>
    <row r="1209" spans="2:30" x14ac:dyDescent="0.25">
      <c r="B1209" t="s">
        <v>133</v>
      </c>
      <c r="C1209" t="s">
        <v>3256</v>
      </c>
      <c r="D1209" t="s">
        <v>7127</v>
      </c>
      <c r="E1209" t="s">
        <v>7128</v>
      </c>
      <c r="F1209" t="s">
        <v>7129</v>
      </c>
      <c r="G1209" t="s">
        <v>3890</v>
      </c>
      <c r="H1209" t="s">
        <v>7090</v>
      </c>
      <c r="J1209">
        <v>1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  <c r="W1209" t="e">
        <v>#N/A</v>
      </c>
      <c r="X1209" t="e">
        <v>#N/A</v>
      </c>
      <c r="Y1209" t="e">
        <v>#N/A</v>
      </c>
      <c r="Z1209" t="e">
        <v>#N/A</v>
      </c>
      <c r="AA1209" t="e">
        <v>#N/A</v>
      </c>
      <c r="AB1209" t="e">
        <v>#N/A</v>
      </c>
      <c r="AC1209" t="e">
        <v>#N/A</v>
      </c>
      <c r="AD1209" t="e">
        <v>#N/A</v>
      </c>
    </row>
    <row r="1210" spans="2:30" x14ac:dyDescent="0.25">
      <c r="B1210" t="s">
        <v>133</v>
      </c>
      <c r="C1210" t="s">
        <v>3256</v>
      </c>
      <c r="D1210" t="s">
        <v>7130</v>
      </c>
      <c r="E1210" t="s">
        <v>7131</v>
      </c>
      <c r="F1210" t="s">
        <v>7132</v>
      </c>
      <c r="G1210" t="s">
        <v>3890</v>
      </c>
      <c r="H1210" t="s">
        <v>4476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2:30" x14ac:dyDescent="0.25">
      <c r="B1211" t="s">
        <v>133</v>
      </c>
      <c r="C1211" t="s">
        <v>3256</v>
      </c>
      <c r="D1211" t="s">
        <v>7133</v>
      </c>
      <c r="E1211" t="s">
        <v>7134</v>
      </c>
      <c r="F1211" t="s">
        <v>7135</v>
      </c>
      <c r="G1211" t="s">
        <v>3890</v>
      </c>
      <c r="H1211" t="s">
        <v>884</v>
      </c>
      <c r="J1211">
        <v>1</v>
      </c>
      <c r="K1211">
        <v>0.38980710506439209</v>
      </c>
      <c r="L1211">
        <v>0.38980710506439209</v>
      </c>
      <c r="M1211">
        <v>0.38980710506439209</v>
      </c>
      <c r="N1211">
        <v>0.38980710506439209</v>
      </c>
      <c r="O1211">
        <v>0.38980710506439209</v>
      </c>
      <c r="P1211">
        <v>0.38980710506439209</v>
      </c>
      <c r="Q1211">
        <v>0.38980710506439209</v>
      </c>
      <c r="R1211">
        <v>0.38980710506439209</v>
      </c>
      <c r="S1211">
        <v>0.38980710506439209</v>
      </c>
      <c r="T1211">
        <v>0.38980710506439209</v>
      </c>
      <c r="U1211">
        <v>0.38980710506439209</v>
      </c>
      <c r="V1211">
        <v>0.38980710506439209</v>
      </c>
      <c r="W1211">
        <v>0.38980710506439209</v>
      </c>
      <c r="X1211">
        <v>0.38980710506439209</v>
      </c>
      <c r="Y1211">
        <v>0.38980710506439209</v>
      </c>
      <c r="Z1211">
        <v>0.38980710506439209</v>
      </c>
      <c r="AA1211">
        <v>0.38980710506439209</v>
      </c>
      <c r="AB1211">
        <v>0.38980710506439209</v>
      </c>
      <c r="AC1211">
        <v>0.38980710506439209</v>
      </c>
      <c r="AD1211">
        <v>0.38980710506439209</v>
      </c>
    </row>
    <row r="1212" spans="2:30" x14ac:dyDescent="0.25">
      <c r="B1212" t="s">
        <v>133</v>
      </c>
      <c r="C1212" t="s">
        <v>3256</v>
      </c>
      <c r="D1212" t="s">
        <v>7136</v>
      </c>
      <c r="E1212" t="s">
        <v>7137</v>
      </c>
      <c r="F1212" t="s">
        <v>7138</v>
      </c>
      <c r="G1212" t="s">
        <v>3890</v>
      </c>
      <c r="H1212" t="s">
        <v>7078</v>
      </c>
      <c r="J1212">
        <v>1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  <c r="W1212" t="e">
        <v>#N/A</v>
      </c>
      <c r="X1212" t="e">
        <v>#N/A</v>
      </c>
      <c r="Y1212" t="e">
        <v>#N/A</v>
      </c>
      <c r="Z1212" t="e">
        <v>#N/A</v>
      </c>
      <c r="AA1212" t="e">
        <v>#N/A</v>
      </c>
      <c r="AB1212" t="e">
        <v>#N/A</v>
      </c>
      <c r="AC1212" t="e">
        <v>#N/A</v>
      </c>
      <c r="AD1212" t="e">
        <v>#N/A</v>
      </c>
    </row>
    <row r="1213" spans="2:30" x14ac:dyDescent="0.25">
      <c r="B1213" t="s">
        <v>133</v>
      </c>
      <c r="C1213" t="s">
        <v>3256</v>
      </c>
      <c r="D1213" t="s">
        <v>7139</v>
      </c>
      <c r="E1213" t="s">
        <v>7140</v>
      </c>
      <c r="F1213" t="s">
        <v>7141</v>
      </c>
      <c r="G1213" t="s">
        <v>3890</v>
      </c>
      <c r="H1213" t="s">
        <v>7082</v>
      </c>
      <c r="J1213">
        <v>1</v>
      </c>
      <c r="K1213">
        <v>0.74072845747668814</v>
      </c>
      <c r="L1213">
        <v>0.86721354102799408</v>
      </c>
      <c r="M1213">
        <v>0.96364265512465508</v>
      </c>
      <c r="N1213">
        <v>0.9988957686311748</v>
      </c>
      <c r="O1213">
        <v>1.0339270684047732</v>
      </c>
      <c r="P1213">
        <v>1.0762198961506069</v>
      </c>
      <c r="Q1213">
        <v>1.1277638855092658</v>
      </c>
      <c r="R1213">
        <v>1.1783280880287157</v>
      </c>
      <c r="S1213">
        <v>1.2266700805639159</v>
      </c>
      <c r="T1213">
        <v>1.2763498867482865</v>
      </c>
      <c r="U1213">
        <v>1.3273714719702523</v>
      </c>
      <c r="V1213">
        <v>1.3797355811327254</v>
      </c>
      <c r="W1213">
        <v>1.4334408714602123</v>
      </c>
      <c r="X1213">
        <v>1.4884838304763481</v>
      </c>
      <c r="Y1213">
        <v>1.5448586963577673</v>
      </c>
      <c r="Z1213">
        <v>1.6025573810131351</v>
      </c>
      <c r="AA1213">
        <v>1.6615693962402645</v>
      </c>
      <c r="AB1213">
        <v>1.7218817833169799</v>
      </c>
      <c r="AC1213">
        <v>1.7834790463827501</v>
      </c>
      <c r="AD1213">
        <v>1.8463430899680089</v>
      </c>
    </row>
    <row r="1214" spans="2:30" x14ac:dyDescent="0.25">
      <c r="B1214" t="s">
        <v>133</v>
      </c>
      <c r="C1214" t="s">
        <v>3256</v>
      </c>
      <c r="D1214" t="s">
        <v>7142</v>
      </c>
      <c r="E1214" t="s">
        <v>7143</v>
      </c>
      <c r="F1214" t="s">
        <v>7144</v>
      </c>
      <c r="G1214" t="s">
        <v>3890</v>
      </c>
      <c r="H1214" t="s">
        <v>7086</v>
      </c>
      <c r="J1214">
        <v>1</v>
      </c>
      <c r="K1214">
        <v>0.27367377034005486</v>
      </c>
      <c r="L1214">
        <v>0.38155634577615954</v>
      </c>
      <c r="M1214">
        <v>0.43124175007426463</v>
      </c>
      <c r="N1214">
        <v>0.36505809917876048</v>
      </c>
      <c r="O1214">
        <v>0.40142729937355043</v>
      </c>
      <c r="P1214">
        <v>0.38086928737994213</v>
      </c>
      <c r="Q1214">
        <v>0.38844987055893182</v>
      </c>
      <c r="R1214">
        <v>0.40025158852473763</v>
      </c>
      <c r="S1214">
        <v>0.41156070572289422</v>
      </c>
      <c r="T1214">
        <v>0.4224506458058534</v>
      </c>
      <c r="U1214">
        <v>0.43933794438349538</v>
      </c>
      <c r="V1214">
        <v>0.45666959612132135</v>
      </c>
      <c r="W1214">
        <v>0.47444515658291136</v>
      </c>
      <c r="X1214">
        <v>0.49266346319683868</v>
      </c>
      <c r="Y1214">
        <v>0.51132260889512215</v>
      </c>
      <c r="Z1214">
        <v>0.53041991665366117</v>
      </c>
      <c r="AA1214">
        <v>0.54995191505146579</v>
      </c>
      <c r="AB1214">
        <v>0.56991431496640055</v>
      </c>
      <c r="AC1214">
        <v>0.59030198752560969</v>
      </c>
      <c r="AD1214">
        <v>0.61110894342875799</v>
      </c>
    </row>
    <row r="1215" spans="2:30" x14ac:dyDescent="0.25">
      <c r="B1215" t="s">
        <v>133</v>
      </c>
      <c r="C1215" t="s">
        <v>3256</v>
      </c>
      <c r="D1215" t="s">
        <v>7145</v>
      </c>
      <c r="E1215" t="s">
        <v>7146</v>
      </c>
      <c r="F1215" t="s">
        <v>7147</v>
      </c>
      <c r="G1215" t="s">
        <v>3890</v>
      </c>
      <c r="H1215" t="s">
        <v>7090</v>
      </c>
      <c r="J1215">
        <v>1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  <c r="W1215" t="e">
        <v>#N/A</v>
      </c>
      <c r="X1215" t="e">
        <v>#N/A</v>
      </c>
      <c r="Y1215" t="e">
        <v>#N/A</v>
      </c>
      <c r="Z1215" t="e">
        <v>#N/A</v>
      </c>
      <c r="AA1215" t="e">
        <v>#N/A</v>
      </c>
      <c r="AB1215" t="e">
        <v>#N/A</v>
      </c>
      <c r="AC1215" t="e">
        <v>#N/A</v>
      </c>
      <c r="AD1215" t="e">
        <v>#N/A</v>
      </c>
    </row>
    <row r="1216" spans="2:30" x14ac:dyDescent="0.25">
      <c r="B1216" t="s">
        <v>133</v>
      </c>
      <c r="C1216" t="s">
        <v>3256</v>
      </c>
      <c r="D1216" t="s">
        <v>7148</v>
      </c>
      <c r="E1216" t="s">
        <v>7149</v>
      </c>
      <c r="F1216" t="s">
        <v>7150</v>
      </c>
      <c r="G1216" t="s">
        <v>3890</v>
      </c>
      <c r="H1216" t="s">
        <v>4476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2:30" x14ac:dyDescent="0.25">
      <c r="B1217" t="s">
        <v>133</v>
      </c>
      <c r="C1217" t="s">
        <v>3256</v>
      </c>
      <c r="D1217" t="s">
        <v>7151</v>
      </c>
      <c r="E1217" t="s">
        <v>7152</v>
      </c>
      <c r="F1217" t="s">
        <v>7153</v>
      </c>
      <c r="G1217" t="s">
        <v>3890</v>
      </c>
      <c r="H1217" t="s">
        <v>884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2:30" x14ac:dyDescent="0.25">
      <c r="B1218" t="s">
        <v>133</v>
      </c>
      <c r="C1218" t="s">
        <v>3256</v>
      </c>
      <c r="D1218" t="s">
        <v>7154</v>
      </c>
      <c r="E1218" t="s">
        <v>7155</v>
      </c>
      <c r="F1218" t="s">
        <v>7156</v>
      </c>
      <c r="G1218" t="s">
        <v>3890</v>
      </c>
      <c r="H1218" t="s">
        <v>7078</v>
      </c>
      <c r="J1218">
        <v>1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  <c r="W1218" t="e">
        <v>#N/A</v>
      </c>
      <c r="X1218" t="e">
        <v>#N/A</v>
      </c>
      <c r="Y1218" t="e">
        <v>#N/A</v>
      </c>
      <c r="Z1218" t="e">
        <v>#N/A</v>
      </c>
      <c r="AA1218" t="e">
        <v>#N/A</v>
      </c>
      <c r="AB1218" t="e">
        <v>#N/A</v>
      </c>
      <c r="AC1218" t="e">
        <v>#N/A</v>
      </c>
      <c r="AD1218" t="e">
        <v>#N/A</v>
      </c>
    </row>
    <row r="1219" spans="2:30" x14ac:dyDescent="0.25">
      <c r="B1219" t="s">
        <v>133</v>
      </c>
      <c r="C1219" t="s">
        <v>3256</v>
      </c>
      <c r="D1219" t="s">
        <v>7157</v>
      </c>
      <c r="E1219" t="s">
        <v>7158</v>
      </c>
      <c r="F1219" t="s">
        <v>7159</v>
      </c>
      <c r="G1219" t="s">
        <v>3890</v>
      </c>
      <c r="H1219" t="s">
        <v>7160</v>
      </c>
      <c r="J1219">
        <v>1</v>
      </c>
      <c r="K1219">
        <v>5.4004408136823523</v>
      </c>
      <c r="L1219">
        <v>4.2974710728280368</v>
      </c>
      <c r="M1219">
        <v>3.7869687556145295</v>
      </c>
      <c r="N1219">
        <v>2.4509803921568629</v>
      </c>
      <c r="O1219">
        <v>2.4509803921568629</v>
      </c>
      <c r="P1219">
        <v>2.4509803921568629</v>
      </c>
      <c r="Q1219">
        <v>2.4509803921568629</v>
      </c>
      <c r="R1219">
        <v>2.4509803921568629</v>
      </c>
      <c r="S1219">
        <v>2.4509803921568629</v>
      </c>
      <c r="T1219">
        <v>2.4509803921568629</v>
      </c>
      <c r="U1219">
        <v>2.4509803921568629</v>
      </c>
      <c r="V1219">
        <v>2.4509803921568629</v>
      </c>
      <c r="W1219">
        <v>2.4509803921568629</v>
      </c>
      <c r="X1219">
        <v>2.4509803921568629</v>
      </c>
      <c r="Y1219">
        <v>2.4509803921568629</v>
      </c>
      <c r="Z1219">
        <v>2.4509803921568629</v>
      </c>
      <c r="AA1219">
        <v>2.4509803921568629</v>
      </c>
      <c r="AB1219">
        <v>2.4509803921568629</v>
      </c>
      <c r="AC1219">
        <v>2.4509803921568629</v>
      </c>
      <c r="AD1219">
        <v>2.4509803921568629</v>
      </c>
    </row>
    <row r="1220" spans="2:30" x14ac:dyDescent="0.25">
      <c r="B1220" t="s">
        <v>133</v>
      </c>
      <c r="C1220" t="s">
        <v>3256</v>
      </c>
      <c r="D1220" t="s">
        <v>7161</v>
      </c>
      <c r="E1220" t="s">
        <v>7162</v>
      </c>
      <c r="F1220" t="s">
        <v>7163</v>
      </c>
      <c r="G1220" t="s">
        <v>3890</v>
      </c>
      <c r="H1220" t="s">
        <v>7082</v>
      </c>
      <c r="J1220">
        <v>1</v>
      </c>
      <c r="K1220">
        <v>0.32188346580599997</v>
      </c>
      <c r="L1220">
        <v>0.30907468551335748</v>
      </c>
      <c r="M1220">
        <v>0.32742941030768441</v>
      </c>
      <c r="N1220">
        <v>0.41714299562181384</v>
      </c>
      <c r="O1220">
        <v>0.41853233544167368</v>
      </c>
      <c r="P1220">
        <v>0.42037537114824253</v>
      </c>
      <c r="Q1220">
        <v>0.42304891067540284</v>
      </c>
      <c r="R1220">
        <v>0.42581749885475445</v>
      </c>
      <c r="S1220">
        <v>0.42844057373942768</v>
      </c>
      <c r="T1220">
        <v>0.43132378821689515</v>
      </c>
      <c r="U1220">
        <v>0.43451735355254528</v>
      </c>
      <c r="V1220">
        <v>0.43802052103692163</v>
      </c>
      <c r="W1220">
        <v>0.44186115675546345</v>
      </c>
      <c r="X1220">
        <v>0.44604620340491274</v>
      </c>
      <c r="Y1220">
        <v>0.4505941987804567</v>
      </c>
      <c r="Z1220">
        <v>0.45551475744414072</v>
      </c>
      <c r="AA1220">
        <v>0.4608259823323354</v>
      </c>
      <c r="AB1220">
        <v>0.46655066981579063</v>
      </c>
      <c r="AC1220">
        <v>0.47269999343659175</v>
      </c>
      <c r="AD1220">
        <v>0.47929315727775429</v>
      </c>
    </row>
    <row r="1221" spans="2:30" x14ac:dyDescent="0.25">
      <c r="B1221" t="s">
        <v>133</v>
      </c>
      <c r="C1221" t="s">
        <v>3256</v>
      </c>
      <c r="D1221" t="s">
        <v>7164</v>
      </c>
      <c r="E1221" t="s">
        <v>7165</v>
      </c>
      <c r="F1221" t="s">
        <v>7166</v>
      </c>
      <c r="G1221" t="s">
        <v>3890</v>
      </c>
      <c r="H1221" t="s">
        <v>7086</v>
      </c>
      <c r="J1221">
        <v>1</v>
      </c>
      <c r="K1221">
        <v>4.3889209414219907</v>
      </c>
      <c r="L1221">
        <v>3.4729962285808278</v>
      </c>
      <c r="M1221">
        <v>3.661173095307015</v>
      </c>
      <c r="N1221">
        <v>4.3202910899507962</v>
      </c>
      <c r="O1221">
        <v>4.5858969522246671</v>
      </c>
      <c r="P1221">
        <v>4.2257295086863822</v>
      </c>
      <c r="Q1221">
        <v>4.1472954656628804</v>
      </c>
      <c r="R1221">
        <v>4.1210051163863186</v>
      </c>
      <c r="S1221">
        <v>4.0993766219984868</v>
      </c>
      <c r="T1221">
        <v>4.0755432147237256</v>
      </c>
      <c r="U1221">
        <v>4.1057189525106264</v>
      </c>
      <c r="V1221">
        <v>4.1388200956912833</v>
      </c>
      <c r="W1221">
        <v>4.1751099486289966</v>
      </c>
      <c r="X1221">
        <v>4.2146541122977261</v>
      </c>
      <c r="Y1221">
        <v>4.2576277488087557</v>
      </c>
      <c r="Z1221">
        <v>4.3041217053728742</v>
      </c>
      <c r="AA1221">
        <v>4.3543070351559576</v>
      </c>
      <c r="AB1221">
        <v>4.4083991392016486</v>
      </c>
      <c r="AC1221">
        <v>4.4665035953956886</v>
      </c>
      <c r="AD1221">
        <v>4.5288018615485859</v>
      </c>
    </row>
    <row r="1222" spans="2:30" x14ac:dyDescent="0.25">
      <c r="B1222" t="s">
        <v>133</v>
      </c>
      <c r="C1222" t="s">
        <v>3256</v>
      </c>
      <c r="D1222" t="s">
        <v>7167</v>
      </c>
      <c r="E1222" t="s">
        <v>7168</v>
      </c>
      <c r="F1222" t="s">
        <v>7169</v>
      </c>
      <c r="G1222" t="s">
        <v>3890</v>
      </c>
      <c r="H1222" t="s">
        <v>4476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2:30" x14ac:dyDescent="0.25">
      <c r="B1223" t="s">
        <v>133</v>
      </c>
      <c r="C1223" t="s">
        <v>3256</v>
      </c>
      <c r="D1223" t="s">
        <v>7170</v>
      </c>
      <c r="E1223" t="s">
        <v>7171</v>
      </c>
      <c r="F1223" t="s">
        <v>7172</v>
      </c>
      <c r="G1223" t="s">
        <v>3890</v>
      </c>
      <c r="H1223" t="s">
        <v>7078</v>
      </c>
      <c r="J1223">
        <v>1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  <c r="W1223" t="e">
        <v>#N/A</v>
      </c>
      <c r="X1223" t="e">
        <v>#N/A</v>
      </c>
      <c r="Y1223" t="e">
        <v>#N/A</v>
      </c>
      <c r="Z1223" t="e">
        <v>#N/A</v>
      </c>
      <c r="AA1223" t="e">
        <v>#N/A</v>
      </c>
      <c r="AB1223" t="e">
        <v>#N/A</v>
      </c>
      <c r="AC1223" t="e">
        <v>#N/A</v>
      </c>
      <c r="AD1223" t="e">
        <v>#N/A</v>
      </c>
    </row>
    <row r="1224" spans="2:30" x14ac:dyDescent="0.25">
      <c r="B1224" t="s">
        <v>133</v>
      </c>
      <c r="C1224" t="s">
        <v>3256</v>
      </c>
      <c r="D1224" t="s">
        <v>7173</v>
      </c>
      <c r="E1224" t="s">
        <v>7174</v>
      </c>
      <c r="F1224" t="s">
        <v>7175</v>
      </c>
      <c r="G1224" t="s">
        <v>3890</v>
      </c>
      <c r="H1224" t="s">
        <v>7082</v>
      </c>
      <c r="J1224">
        <v>1</v>
      </c>
      <c r="K1224">
        <v>0.4637672137728</v>
      </c>
      <c r="L1224">
        <v>0.39792308812516519</v>
      </c>
      <c r="M1224">
        <v>0.43807968256506025</v>
      </c>
      <c r="N1224">
        <v>0.45539144372591023</v>
      </c>
      <c r="O1224">
        <v>0.47249328611473107</v>
      </c>
      <c r="P1224">
        <v>0.49287018315998643</v>
      </c>
      <c r="Q1224">
        <v>0.51734449869533039</v>
      </c>
      <c r="R1224">
        <v>0.5411488016992192</v>
      </c>
      <c r="S1224">
        <v>0.56374026880622363</v>
      </c>
      <c r="T1224">
        <v>0.58682088394191312</v>
      </c>
      <c r="U1224">
        <v>0.61047490501407875</v>
      </c>
      <c r="V1224">
        <v>0.63470239672366058</v>
      </c>
      <c r="W1224">
        <v>0.65950299482287689</v>
      </c>
      <c r="X1224">
        <v>0.68487589963987638</v>
      </c>
      <c r="Y1224">
        <v>0.71081986871967007</v>
      </c>
      <c r="Z1224">
        <v>0.73733320850855688</v>
      </c>
      <c r="AA1224">
        <v>0.76441376501215852</v>
      </c>
      <c r="AB1224">
        <v>0.79205891335993706</v>
      </c>
      <c r="AC1224">
        <v>0.82026554621181647</v>
      </c>
      <c r="AD1224">
        <v>0.84903006094513367</v>
      </c>
    </row>
    <row r="1225" spans="2:30" x14ac:dyDescent="0.25">
      <c r="B1225" t="s">
        <v>133</v>
      </c>
      <c r="C1225" t="s">
        <v>3256</v>
      </c>
      <c r="D1225" t="s">
        <v>7176</v>
      </c>
      <c r="E1225" t="s">
        <v>7177</v>
      </c>
      <c r="F1225" t="s">
        <v>7178</v>
      </c>
      <c r="G1225" t="s">
        <v>3890</v>
      </c>
      <c r="H1225" t="s">
        <v>7086</v>
      </c>
      <c r="J1225">
        <v>1</v>
      </c>
      <c r="K1225">
        <v>3.2112892603922094</v>
      </c>
      <c r="L1225">
        <v>2.0618376055782233</v>
      </c>
      <c r="M1225">
        <v>1.963711542635125</v>
      </c>
      <c r="N1225">
        <v>2.0734284673921919</v>
      </c>
      <c r="O1225">
        <v>2.1707645000789553</v>
      </c>
      <c r="P1225">
        <v>2.2118737304513205</v>
      </c>
      <c r="Q1225">
        <v>2.2568741472875389</v>
      </c>
      <c r="R1225">
        <v>2.336561180963785</v>
      </c>
      <c r="S1225">
        <v>2.4269668290236366</v>
      </c>
      <c r="T1225">
        <v>2.5221201225048731</v>
      </c>
      <c r="U1225">
        <v>2.6237836524793252</v>
      </c>
      <c r="V1225">
        <v>2.7279119240365537</v>
      </c>
      <c r="W1225">
        <v>2.834503371661961</v>
      </c>
      <c r="X1225">
        <v>2.943554558415038</v>
      </c>
      <c r="Y1225">
        <v>3.055060144300541</v>
      </c>
      <c r="Z1225">
        <v>3.1690128505286643</v>
      </c>
      <c r="AA1225">
        <v>3.2854034193638468</v>
      </c>
      <c r="AB1225">
        <v>3.40422056927371</v>
      </c>
      <c r="AC1225">
        <v>3.5254509451014284</v>
      </c>
      <c r="AD1225">
        <v>3.6490790629960337</v>
      </c>
    </row>
    <row r="1226" spans="2:30" x14ac:dyDescent="0.25">
      <c r="B1226" t="s">
        <v>133</v>
      </c>
      <c r="C1226" t="s">
        <v>3256</v>
      </c>
      <c r="D1226" t="s">
        <v>7179</v>
      </c>
      <c r="E1226" t="s">
        <v>7180</v>
      </c>
      <c r="F1226" t="s">
        <v>7181</v>
      </c>
      <c r="G1226" t="s">
        <v>3890</v>
      </c>
      <c r="H1226" t="s">
        <v>7090</v>
      </c>
      <c r="J1226">
        <v>1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  <c r="W1226" t="e">
        <v>#N/A</v>
      </c>
      <c r="X1226" t="e">
        <v>#N/A</v>
      </c>
      <c r="Y1226" t="e">
        <v>#N/A</v>
      </c>
      <c r="Z1226" t="e">
        <v>#N/A</v>
      </c>
      <c r="AA1226" t="e">
        <v>#N/A</v>
      </c>
      <c r="AB1226" t="e">
        <v>#N/A</v>
      </c>
      <c r="AC1226" t="e">
        <v>#N/A</v>
      </c>
      <c r="AD1226" t="e">
        <v>#N/A</v>
      </c>
    </row>
    <row r="1227" spans="2:30" x14ac:dyDescent="0.25">
      <c r="B1227" t="s">
        <v>133</v>
      </c>
      <c r="C1227" t="s">
        <v>3256</v>
      </c>
      <c r="D1227" t="s">
        <v>7182</v>
      </c>
      <c r="E1227" t="s">
        <v>7183</v>
      </c>
      <c r="F1227" t="s">
        <v>7184</v>
      </c>
      <c r="G1227" t="s">
        <v>3890</v>
      </c>
      <c r="H1227" t="s">
        <v>4476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2:30" x14ac:dyDescent="0.25">
      <c r="B1228" t="s">
        <v>133</v>
      </c>
      <c r="C1228" t="s">
        <v>3256</v>
      </c>
      <c r="D1228" t="s">
        <v>7185</v>
      </c>
      <c r="E1228" t="s">
        <v>7186</v>
      </c>
      <c r="F1228" t="s">
        <v>7187</v>
      </c>
      <c r="G1228" t="s">
        <v>3890</v>
      </c>
      <c r="H1228" t="s">
        <v>7078</v>
      </c>
      <c r="J1228">
        <v>1</v>
      </c>
      <c r="K1228">
        <v>22.748523734833093</v>
      </c>
      <c r="L1228">
        <v>20.734316063112885</v>
      </c>
      <c r="M1228">
        <v>20.172373840271693</v>
      </c>
      <c r="N1228">
        <v>20.399377853331679</v>
      </c>
      <c r="O1228">
        <v>20.600749001389481</v>
      </c>
      <c r="P1228">
        <v>20.648807010553384</v>
      </c>
      <c r="Q1228">
        <v>20.683098104648398</v>
      </c>
      <c r="R1228">
        <v>20.811322806032202</v>
      </c>
      <c r="S1228">
        <v>20.981145026025391</v>
      </c>
      <c r="T1228">
        <v>21.164234353630714</v>
      </c>
      <c r="U1228">
        <v>21.36270902812899</v>
      </c>
      <c r="V1228">
        <v>21.569122352789062</v>
      </c>
      <c r="W1228">
        <v>21.783791918491982</v>
      </c>
      <c r="X1228">
        <v>22.007047947590266</v>
      </c>
      <c r="Y1228">
        <v>22.239233919970122</v>
      </c>
      <c r="Z1228">
        <v>22.480707024597837</v>
      </c>
      <c r="AA1228">
        <v>22.731834181620087</v>
      </c>
      <c r="AB1228">
        <v>22.993006424923227</v>
      </c>
      <c r="AC1228">
        <v>23.264625557958492</v>
      </c>
      <c r="AD1228">
        <v>23.547109456315169</v>
      </c>
    </row>
    <row r="1229" spans="2:30" x14ac:dyDescent="0.25">
      <c r="B1229" t="s">
        <v>133</v>
      </c>
      <c r="C1229" t="s">
        <v>3256</v>
      </c>
      <c r="D1229" t="s">
        <v>7188</v>
      </c>
      <c r="E1229" t="s">
        <v>7189</v>
      </c>
      <c r="F1229" t="s">
        <v>7190</v>
      </c>
      <c r="G1229" t="s">
        <v>3890</v>
      </c>
      <c r="H1229" t="s">
        <v>7082</v>
      </c>
      <c r="J1229">
        <v>1</v>
      </c>
      <c r="K1229">
        <v>8.0436035415600002E-2</v>
      </c>
      <c r="L1229">
        <v>8.2826328027928303E-2</v>
      </c>
      <c r="M1229">
        <v>0.11330860976480066</v>
      </c>
      <c r="N1229">
        <v>0.11412159141724208</v>
      </c>
      <c r="O1229">
        <v>0.11487524050064434</v>
      </c>
      <c r="P1229">
        <v>0.11581982025604542</v>
      </c>
      <c r="Q1229">
        <v>0.1169910005586642</v>
      </c>
      <c r="R1229">
        <v>0.11805078974817901</v>
      </c>
      <c r="S1229">
        <v>0.11897425274284208</v>
      </c>
      <c r="T1229">
        <v>0.11987712491385735</v>
      </c>
      <c r="U1229">
        <v>0.12076480283842975</v>
      </c>
      <c r="V1229">
        <v>0.12163721140263649</v>
      </c>
      <c r="W1229">
        <v>0.12249428500567361</v>
      </c>
      <c r="X1229">
        <v>0.12333596678715079</v>
      </c>
      <c r="Y1229">
        <v>0.12416220786644326</v>
      </c>
      <c r="Z1229">
        <v>0.12497296659523903</v>
      </c>
      <c r="AA1229">
        <v>0.12576820782419945</v>
      </c>
      <c r="AB1229">
        <v>0.12654790218444076</v>
      </c>
      <c r="AC1229">
        <v>0.12731202538435987</v>
      </c>
      <c r="AD1229">
        <v>0.12806055752215423</v>
      </c>
    </row>
    <row r="1230" spans="2:30" x14ac:dyDescent="0.25">
      <c r="B1230" t="s">
        <v>133</v>
      </c>
      <c r="C1230" t="s">
        <v>3256</v>
      </c>
      <c r="D1230" t="s">
        <v>7191</v>
      </c>
      <c r="E1230" t="s">
        <v>7192</v>
      </c>
      <c r="F1230" t="s">
        <v>7193</v>
      </c>
      <c r="G1230" t="s">
        <v>3890</v>
      </c>
      <c r="H1230" t="s">
        <v>7086</v>
      </c>
      <c r="J1230">
        <v>1</v>
      </c>
      <c r="K1230">
        <v>0.98637514452054165</v>
      </c>
      <c r="L1230">
        <v>0.97723979447097742</v>
      </c>
      <c r="M1230">
        <v>1.3660843335542761</v>
      </c>
      <c r="N1230">
        <v>1.3835118739348162</v>
      </c>
      <c r="O1230">
        <v>1.3971337415339518</v>
      </c>
      <c r="P1230">
        <v>1.3969305843117998</v>
      </c>
      <c r="Q1230">
        <v>1.3971645021213579</v>
      </c>
      <c r="R1230">
        <v>1.4048277045120772</v>
      </c>
      <c r="S1230">
        <v>1.4143894535822581</v>
      </c>
      <c r="T1230">
        <v>1.4243078082352829</v>
      </c>
      <c r="U1230">
        <v>1.4348546627755057</v>
      </c>
      <c r="V1230">
        <v>1.4452200959710706</v>
      </c>
      <c r="W1230">
        <v>1.4554033283927301</v>
      </c>
      <c r="X1230">
        <v>1.4654036844595677</v>
      </c>
      <c r="Y1230">
        <v>1.4752205834014356</v>
      </c>
      <c r="Z1230">
        <v>1.4848535303781714</v>
      </c>
      <c r="AA1230">
        <v>1.4943021077665002</v>
      </c>
      <c r="AB1230">
        <v>1.5035659666230312</v>
      </c>
      <c r="AC1230">
        <v>1.5126448183295649</v>
      </c>
      <c r="AD1230">
        <v>1.5215384264248681</v>
      </c>
    </row>
    <row r="1231" spans="2:30" x14ac:dyDescent="0.25">
      <c r="B1231" t="s">
        <v>133</v>
      </c>
      <c r="C1231" t="s">
        <v>3256</v>
      </c>
      <c r="D1231" t="s">
        <v>7194</v>
      </c>
      <c r="E1231" t="s">
        <v>7195</v>
      </c>
      <c r="F1231" t="s">
        <v>7196</v>
      </c>
      <c r="G1231" t="s">
        <v>3890</v>
      </c>
      <c r="H1231" t="s">
        <v>7090</v>
      </c>
      <c r="J1231">
        <v>1</v>
      </c>
      <c r="K1231">
        <v>0.470711993112783</v>
      </c>
      <c r="L1231">
        <v>0.47434382009544784</v>
      </c>
      <c r="M1231">
        <v>0.65551046518029188</v>
      </c>
      <c r="N1231">
        <v>0.67849379071023663</v>
      </c>
      <c r="O1231">
        <v>0.70162178859118229</v>
      </c>
      <c r="P1231">
        <v>0.72464836365196028</v>
      </c>
      <c r="Q1231">
        <v>0.7498797898843963</v>
      </c>
      <c r="R1231">
        <v>0.77680309650552604</v>
      </c>
      <c r="S1231">
        <v>0.80451182368938878</v>
      </c>
      <c r="T1231">
        <v>0.83338049599273345</v>
      </c>
      <c r="U1231">
        <v>0.86352034878729855</v>
      </c>
      <c r="V1231">
        <v>0.89486598694028763</v>
      </c>
      <c r="W1231">
        <v>0.92746713868391006</v>
      </c>
      <c r="X1231">
        <v>0.96137544188681545</v>
      </c>
      <c r="Y1231">
        <v>0.99664452368275558</v>
      </c>
      <c r="Z1231">
        <v>1.0333300581998346</v>
      </c>
      <c r="AA1231">
        <v>1.071489266040341</v>
      </c>
      <c r="AB1231">
        <v>1.1111827151581974</v>
      </c>
      <c r="AC1231">
        <v>1.1524726551379481</v>
      </c>
      <c r="AD1231">
        <v>1.1954236734461154</v>
      </c>
    </row>
    <row r="1232" spans="2:30" x14ac:dyDescent="0.25">
      <c r="B1232" t="s">
        <v>133</v>
      </c>
      <c r="C1232" t="s">
        <v>3256</v>
      </c>
      <c r="D1232" t="s">
        <v>7197</v>
      </c>
      <c r="E1232" t="s">
        <v>7198</v>
      </c>
      <c r="F1232" t="s">
        <v>7199</v>
      </c>
      <c r="G1232" t="s">
        <v>3890</v>
      </c>
      <c r="H1232" t="s">
        <v>7078</v>
      </c>
      <c r="J1232">
        <v>1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  <c r="W1232" t="e">
        <v>#N/A</v>
      </c>
      <c r="X1232" t="e">
        <v>#N/A</v>
      </c>
      <c r="Y1232" t="e">
        <v>#N/A</v>
      </c>
      <c r="Z1232" t="e">
        <v>#N/A</v>
      </c>
      <c r="AA1232" t="e">
        <v>#N/A</v>
      </c>
      <c r="AB1232" t="e">
        <v>#N/A</v>
      </c>
      <c r="AC1232" t="e">
        <v>#N/A</v>
      </c>
      <c r="AD1232" t="e">
        <v>#N/A</v>
      </c>
    </row>
    <row r="1233" spans="2:30" x14ac:dyDescent="0.25">
      <c r="B1233" t="s">
        <v>133</v>
      </c>
      <c r="C1233" t="s">
        <v>3256</v>
      </c>
      <c r="D1233" t="s">
        <v>7200</v>
      </c>
      <c r="E1233" t="s">
        <v>7201</v>
      </c>
      <c r="F1233" t="s">
        <v>7202</v>
      </c>
      <c r="G1233" t="s">
        <v>3890</v>
      </c>
      <c r="H1233" t="s">
        <v>7082</v>
      </c>
      <c r="J1233">
        <v>1</v>
      </c>
      <c r="K1233">
        <v>1.2327486599412001</v>
      </c>
      <c r="L1233">
        <v>1.1725498535410277</v>
      </c>
      <c r="M1233">
        <v>1.4033766257361235</v>
      </c>
      <c r="N1233">
        <v>1.4309089276484832</v>
      </c>
      <c r="O1233">
        <v>1.3887855603775396</v>
      </c>
      <c r="P1233">
        <v>1.3709239007009983</v>
      </c>
      <c r="Q1233">
        <v>1.405333502695209</v>
      </c>
      <c r="R1233">
        <v>1.4460673124581764</v>
      </c>
      <c r="S1233">
        <v>1.4809159686338571</v>
      </c>
      <c r="T1233">
        <v>1.5169720235909432</v>
      </c>
      <c r="U1233">
        <v>1.5559131246288957</v>
      </c>
      <c r="V1233">
        <v>1.6012953086123916</v>
      </c>
      <c r="W1233">
        <v>1.6529409425998396</v>
      </c>
      <c r="X1233">
        <v>1.7129466952684886</v>
      </c>
      <c r="Y1233">
        <v>1.7815671654478555</v>
      </c>
      <c r="Z1233">
        <v>1.861141002950899</v>
      </c>
      <c r="AA1233">
        <v>1.9534533709407098</v>
      </c>
      <c r="AB1233">
        <v>2.0611656660334066</v>
      </c>
      <c r="AC1233">
        <v>2.1873878738852857</v>
      </c>
      <c r="AD1233">
        <v>2.3139890053442147</v>
      </c>
    </row>
    <row r="1234" spans="2:30" x14ac:dyDescent="0.25">
      <c r="B1234" t="s">
        <v>133</v>
      </c>
      <c r="C1234" t="s">
        <v>3256</v>
      </c>
      <c r="D1234" t="s">
        <v>7203</v>
      </c>
      <c r="E1234" t="s">
        <v>7204</v>
      </c>
      <c r="F1234" t="s">
        <v>7205</v>
      </c>
      <c r="G1234" t="s">
        <v>3890</v>
      </c>
      <c r="H1234" t="s">
        <v>7086</v>
      </c>
      <c r="J1234">
        <v>1</v>
      </c>
      <c r="K1234">
        <v>10.729197716636946</v>
      </c>
      <c r="L1234">
        <v>7.9445750529416692</v>
      </c>
      <c r="M1234">
        <v>8.578088928148107</v>
      </c>
      <c r="N1234">
        <v>8.8593982840530714</v>
      </c>
      <c r="O1234">
        <v>8.6626865911711999</v>
      </c>
      <c r="P1234">
        <v>8.3877018488758033</v>
      </c>
      <c r="Q1234">
        <v>8.4009858835835729</v>
      </c>
      <c r="R1234">
        <v>8.5721925016772875</v>
      </c>
      <c r="S1234">
        <v>8.7577687002893185</v>
      </c>
      <c r="T1234">
        <v>8.9588025119718164</v>
      </c>
      <c r="U1234">
        <v>9.1887775071414239</v>
      </c>
      <c r="V1234">
        <v>9.4567916943165358</v>
      </c>
      <c r="W1234">
        <v>9.7617960241945987</v>
      </c>
      <c r="X1234">
        <v>10.116172821775946</v>
      </c>
      <c r="Y1234">
        <v>10.521425674864402</v>
      </c>
      <c r="Z1234">
        <v>10.991365979776536</v>
      </c>
      <c r="AA1234">
        <v>11.536536399119871</v>
      </c>
      <c r="AB1234">
        <v>12.17265437943861</v>
      </c>
      <c r="AC1234">
        <v>12.918086605731906</v>
      </c>
      <c r="AD1234">
        <v>13.665756646375034</v>
      </c>
    </row>
    <row r="1235" spans="2:30" x14ac:dyDescent="0.25">
      <c r="B1235" t="s">
        <v>133</v>
      </c>
      <c r="C1235" t="s">
        <v>3256</v>
      </c>
      <c r="D1235" t="s">
        <v>7206</v>
      </c>
      <c r="E1235" t="s">
        <v>7207</v>
      </c>
      <c r="F1235" t="s">
        <v>7208</v>
      </c>
      <c r="G1235" t="s">
        <v>3890</v>
      </c>
      <c r="H1235" t="s">
        <v>7090</v>
      </c>
      <c r="J1235">
        <v>1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  <c r="W1235" t="e">
        <v>#N/A</v>
      </c>
      <c r="X1235" t="e">
        <v>#N/A</v>
      </c>
      <c r="Y1235" t="e">
        <v>#N/A</v>
      </c>
      <c r="Z1235" t="e">
        <v>#N/A</v>
      </c>
      <c r="AA1235" t="e">
        <v>#N/A</v>
      </c>
      <c r="AB1235" t="e">
        <v>#N/A</v>
      </c>
      <c r="AC1235" t="e">
        <v>#N/A</v>
      </c>
      <c r="AD1235" t="e">
        <v>#N/A</v>
      </c>
    </row>
    <row r="1236" spans="2:30" x14ac:dyDescent="0.25">
      <c r="B1236" t="s">
        <v>133</v>
      </c>
      <c r="C1236" t="s">
        <v>3256</v>
      </c>
      <c r="D1236" t="s">
        <v>7209</v>
      </c>
      <c r="E1236" t="s">
        <v>7210</v>
      </c>
      <c r="F1236" t="s">
        <v>7211</v>
      </c>
      <c r="G1236" t="s">
        <v>3890</v>
      </c>
      <c r="H1236" t="s">
        <v>7212</v>
      </c>
      <c r="J1236">
        <v>1</v>
      </c>
      <c r="K1236">
        <v>11.934141046607984</v>
      </c>
      <c r="L1236">
        <v>9.8637389385673195</v>
      </c>
      <c r="M1236">
        <v>9.2724788787181698</v>
      </c>
      <c r="N1236">
        <v>9.3465329133906021</v>
      </c>
      <c r="O1236">
        <v>9.4062507450471351</v>
      </c>
      <c r="P1236">
        <v>9.3010918182266025</v>
      </c>
      <c r="Q1236">
        <v>9.1630818173852937</v>
      </c>
      <c r="R1236">
        <v>9.1104335154490101</v>
      </c>
      <c r="S1236">
        <v>9.0935178941482739</v>
      </c>
      <c r="T1236">
        <v>9.0824347550541678</v>
      </c>
      <c r="U1236">
        <v>9.0786598757442114</v>
      </c>
      <c r="V1236">
        <v>9.073723849886095</v>
      </c>
      <c r="W1236">
        <v>9.0678069195426865</v>
      </c>
      <c r="X1236">
        <v>9.0606305780844689</v>
      </c>
      <c r="Y1236">
        <v>9.0523445517797505</v>
      </c>
      <c r="Z1236">
        <v>9.042734168814949</v>
      </c>
      <c r="AA1236">
        <v>9.0317689603847953</v>
      </c>
      <c r="AB1236">
        <v>9.0193488829070567</v>
      </c>
      <c r="AC1236">
        <v>9.0054107227450775</v>
      </c>
      <c r="AD1236">
        <v>8.992779379311056</v>
      </c>
    </row>
    <row r="1237" spans="2:30" x14ac:dyDescent="0.25">
      <c r="B1237" t="s">
        <v>133</v>
      </c>
      <c r="C1237" t="s">
        <v>3256</v>
      </c>
      <c r="D1237" t="s">
        <v>7213</v>
      </c>
      <c r="E1237" t="s">
        <v>7214</v>
      </c>
      <c r="F1237" t="s">
        <v>7215</v>
      </c>
      <c r="G1237" t="s">
        <v>3890</v>
      </c>
      <c r="H1237" t="s">
        <v>5985</v>
      </c>
      <c r="J1237">
        <v>1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  <c r="W1237" t="e">
        <v>#N/A</v>
      </c>
      <c r="X1237" t="e">
        <v>#N/A</v>
      </c>
      <c r="Y1237" t="e">
        <v>#N/A</v>
      </c>
      <c r="Z1237" t="e">
        <v>#N/A</v>
      </c>
      <c r="AA1237" t="e">
        <v>#N/A</v>
      </c>
      <c r="AB1237" t="e">
        <v>#N/A</v>
      </c>
      <c r="AC1237" t="e">
        <v>#N/A</v>
      </c>
      <c r="AD1237" t="e">
        <v>#N/A</v>
      </c>
    </row>
    <row r="1238" spans="2:30" x14ac:dyDescent="0.25">
      <c r="B1238" t="s">
        <v>133</v>
      </c>
      <c r="C1238" t="s">
        <v>3256</v>
      </c>
      <c r="D1238" t="s">
        <v>7216</v>
      </c>
      <c r="E1238" t="s">
        <v>7217</v>
      </c>
      <c r="F1238" t="s">
        <v>7218</v>
      </c>
      <c r="G1238" t="s">
        <v>3890</v>
      </c>
      <c r="H1238" t="s">
        <v>4476</v>
      </c>
      <c r="J1238">
        <v>1</v>
      </c>
      <c r="K1238">
        <v>0.12645947806431773</v>
      </c>
      <c r="L1238">
        <v>0.12756450051444032</v>
      </c>
      <c r="M1238">
        <v>0.14359805819631091</v>
      </c>
      <c r="N1238">
        <v>0.14291779658104437</v>
      </c>
      <c r="O1238">
        <v>0.1470658453988665</v>
      </c>
      <c r="P1238">
        <v>0.14836126945545097</v>
      </c>
      <c r="Q1238">
        <v>0.14569060132266123</v>
      </c>
      <c r="R1238">
        <v>0.14331267541830933</v>
      </c>
      <c r="S1238">
        <v>0.14168447421085414</v>
      </c>
      <c r="T1238">
        <v>0.14011728751933397</v>
      </c>
      <c r="U1238">
        <v>0.13852389679989052</v>
      </c>
      <c r="V1238">
        <v>0.13666130347430691</v>
      </c>
      <c r="W1238">
        <v>0.13458124582457398</v>
      </c>
      <c r="X1238">
        <v>0.13221312065558435</v>
      </c>
      <c r="Y1238">
        <v>0.12959955836153667</v>
      </c>
      <c r="Z1238">
        <v>0.12668648101971544</v>
      </c>
      <c r="AA1238">
        <v>0.12346806235780568</v>
      </c>
      <c r="AB1238">
        <v>0.11991977087874954</v>
      </c>
      <c r="AC1238">
        <v>0.11602616034667598</v>
      </c>
      <c r="AD1238">
        <v>0.11252208877552253</v>
      </c>
    </row>
    <row r="1239" spans="2:30" x14ac:dyDescent="0.25">
      <c r="B1239" t="s">
        <v>133</v>
      </c>
      <c r="C1239" t="s">
        <v>3256</v>
      </c>
      <c r="D1239" t="s">
        <v>7219</v>
      </c>
      <c r="E1239" t="s">
        <v>7220</v>
      </c>
      <c r="F1239" t="s">
        <v>7221</v>
      </c>
      <c r="G1239" t="s">
        <v>3890</v>
      </c>
      <c r="H1239" t="s">
        <v>7078</v>
      </c>
      <c r="J1239">
        <v>1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  <c r="W1239" t="e">
        <v>#N/A</v>
      </c>
      <c r="X1239" t="e">
        <v>#N/A</v>
      </c>
      <c r="Y1239" t="e">
        <v>#N/A</v>
      </c>
      <c r="Z1239" t="e">
        <v>#N/A</v>
      </c>
      <c r="AA1239" t="e">
        <v>#N/A</v>
      </c>
      <c r="AB1239" t="e">
        <v>#N/A</v>
      </c>
      <c r="AC1239" t="e">
        <v>#N/A</v>
      </c>
      <c r="AD1239" t="e">
        <v>#N/A</v>
      </c>
    </row>
    <row r="1240" spans="2:30" x14ac:dyDescent="0.25">
      <c r="B1240" t="s">
        <v>133</v>
      </c>
      <c r="C1240" t="s">
        <v>3256</v>
      </c>
      <c r="D1240" t="s">
        <v>7222</v>
      </c>
      <c r="E1240" t="s">
        <v>7223</v>
      </c>
      <c r="F1240" t="s">
        <v>7224</v>
      </c>
      <c r="G1240" t="s">
        <v>3890</v>
      </c>
      <c r="H1240" t="s">
        <v>7160</v>
      </c>
      <c r="J1240">
        <v>1</v>
      </c>
      <c r="K1240">
        <v>3.5338787520243979</v>
      </c>
      <c r="L1240">
        <v>3.220263885788178</v>
      </c>
      <c r="M1240">
        <v>3.1807567006268043</v>
      </c>
      <c r="N1240">
        <v>3.1896625857961474</v>
      </c>
      <c r="O1240">
        <v>3.2171661421378506</v>
      </c>
      <c r="P1240">
        <v>3.2410686295181246</v>
      </c>
      <c r="Q1240">
        <v>3.2527970988980686</v>
      </c>
      <c r="R1240">
        <v>3.2614927638941014</v>
      </c>
      <c r="S1240">
        <v>3.2703770944315771</v>
      </c>
      <c r="T1240">
        <v>3.2788621681122594</v>
      </c>
      <c r="U1240">
        <v>3.2865607933126637</v>
      </c>
      <c r="V1240">
        <v>3.292538808234946</v>
      </c>
      <c r="W1240">
        <v>3.2969407042038128</v>
      </c>
      <c r="X1240">
        <v>3.2993384144998865</v>
      </c>
      <c r="Y1240">
        <v>3.2998419193943698</v>
      </c>
      <c r="Z1240">
        <v>3.2980909509286911</v>
      </c>
      <c r="AA1240">
        <v>3.2939580410078686</v>
      </c>
      <c r="AB1240">
        <v>3.2872196613192104</v>
      </c>
      <c r="AC1240">
        <v>3.2776977123692239</v>
      </c>
      <c r="AD1240">
        <v>3.2693158691876096</v>
      </c>
    </row>
    <row r="1241" spans="2:30" x14ac:dyDescent="0.25">
      <c r="B1241" t="s">
        <v>133</v>
      </c>
      <c r="C1241" t="s">
        <v>3256</v>
      </c>
      <c r="D1241" t="s">
        <v>7225</v>
      </c>
      <c r="E1241" t="s">
        <v>7226</v>
      </c>
      <c r="F1241" t="s">
        <v>7227</v>
      </c>
      <c r="G1241" t="s">
        <v>3890</v>
      </c>
      <c r="H1241" t="s">
        <v>7082</v>
      </c>
      <c r="J1241">
        <v>1</v>
      </c>
      <c r="K1241">
        <v>2.07346120236E-2</v>
      </c>
      <c r="L1241">
        <v>2.0285868083065432E-2</v>
      </c>
      <c r="M1241">
        <v>1.9772134898585956E-2</v>
      </c>
      <c r="N1241">
        <v>1.9035859948046196E-2</v>
      </c>
      <c r="O1241">
        <v>1.9422579074165315E-2</v>
      </c>
      <c r="P1241">
        <v>2.1329280058097252E-2</v>
      </c>
      <c r="Q1241">
        <v>2.3413353899107776E-2</v>
      </c>
      <c r="R1241">
        <v>2.5683290922500476E-2</v>
      </c>
      <c r="S1241">
        <v>2.8390849334554529E-2</v>
      </c>
      <c r="T1241">
        <v>3.1593746187351258E-2</v>
      </c>
      <c r="U1241">
        <v>3.506793832902242E-2</v>
      </c>
      <c r="V1241">
        <v>3.8798034922163702E-2</v>
      </c>
      <c r="W1241">
        <v>4.2764588673719107E-2</v>
      </c>
      <c r="X1241">
        <v>4.6948306438777461E-2</v>
      </c>
      <c r="Y1241">
        <v>5.1323169163651552E-2</v>
      </c>
      <c r="Z1241">
        <v>5.5929800254312441E-2</v>
      </c>
      <c r="AA1241">
        <v>6.0763121295548991E-2</v>
      </c>
      <c r="AB1241">
        <v>6.5817895828502393E-2</v>
      </c>
      <c r="AC1241">
        <v>7.1091293013425538E-2</v>
      </c>
      <c r="AD1241">
        <v>7.6489337131125379E-2</v>
      </c>
    </row>
    <row r="1242" spans="2:30" x14ac:dyDescent="0.25">
      <c r="B1242" t="s">
        <v>133</v>
      </c>
      <c r="C1242" t="s">
        <v>3256</v>
      </c>
      <c r="D1242" t="s">
        <v>7228</v>
      </c>
      <c r="E1242" t="s">
        <v>7229</v>
      </c>
      <c r="F1242" t="s">
        <v>7230</v>
      </c>
      <c r="G1242" t="s">
        <v>3890</v>
      </c>
      <c r="H1242" t="s">
        <v>7086</v>
      </c>
      <c r="J1242">
        <v>1</v>
      </c>
      <c r="K1242">
        <v>0.17417617957466655</v>
      </c>
      <c r="L1242">
        <v>0.13476865853381381</v>
      </c>
      <c r="M1242">
        <v>0.12044635266993034</v>
      </c>
      <c r="N1242">
        <v>0.11720132127436933</v>
      </c>
      <c r="O1242">
        <v>0.12020798509670462</v>
      </c>
      <c r="P1242">
        <v>0.12925593175052666</v>
      </c>
      <c r="Q1242">
        <v>0.13837958775842998</v>
      </c>
      <c r="R1242">
        <v>0.1502200469106533</v>
      </c>
      <c r="S1242">
        <v>0.1653239130986541</v>
      </c>
      <c r="T1242">
        <v>0.18335659929171219</v>
      </c>
      <c r="U1242">
        <v>0.20311697341829688</v>
      </c>
      <c r="V1242">
        <v>0.22429861913747171</v>
      </c>
      <c r="W1242">
        <v>0.24678871999002905</v>
      </c>
      <c r="X1242">
        <v>0.27048290997929619</v>
      </c>
      <c r="Y1242">
        <v>0.29523666571626578</v>
      </c>
      <c r="Z1242">
        <v>0.32129674770866906</v>
      </c>
      <c r="AA1242">
        <v>0.34864730086502566</v>
      </c>
      <c r="AB1242">
        <v>0.37727668398198339</v>
      </c>
      <c r="AC1242">
        <v>0.40719052391743948</v>
      </c>
      <c r="AD1242">
        <v>0.4377839299835265</v>
      </c>
    </row>
    <row r="1243" spans="2:30" x14ac:dyDescent="0.25">
      <c r="B1243" t="s">
        <v>133</v>
      </c>
      <c r="C1243" t="s">
        <v>3256</v>
      </c>
      <c r="D1243" t="s">
        <v>7231</v>
      </c>
      <c r="E1243" t="s">
        <v>7232</v>
      </c>
      <c r="F1243" t="s">
        <v>7233</v>
      </c>
      <c r="G1243" t="s">
        <v>3890</v>
      </c>
      <c r="H1243" t="s">
        <v>7090</v>
      </c>
      <c r="J1243">
        <v>1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  <c r="W1243" t="e">
        <v>#N/A</v>
      </c>
      <c r="X1243" t="e">
        <v>#N/A</v>
      </c>
      <c r="Y1243" t="e">
        <v>#N/A</v>
      </c>
      <c r="Z1243" t="e">
        <v>#N/A</v>
      </c>
      <c r="AA1243" t="e">
        <v>#N/A</v>
      </c>
      <c r="AB1243" t="e">
        <v>#N/A</v>
      </c>
      <c r="AC1243" t="e">
        <v>#N/A</v>
      </c>
      <c r="AD1243" t="e">
        <v>#N/A</v>
      </c>
    </row>
    <row r="1244" spans="2:30" x14ac:dyDescent="0.25">
      <c r="B1244" t="s">
        <v>133</v>
      </c>
      <c r="C1244" t="s">
        <v>3256</v>
      </c>
      <c r="D1244" t="s">
        <v>7234</v>
      </c>
      <c r="E1244" t="s">
        <v>7235</v>
      </c>
      <c r="F1244" t="s">
        <v>7236</v>
      </c>
      <c r="G1244" t="s">
        <v>3890</v>
      </c>
      <c r="H1244" t="s">
        <v>7078</v>
      </c>
      <c r="J1244">
        <v>1</v>
      </c>
      <c r="K1244">
        <v>16.392425627687448</v>
      </c>
      <c r="L1244">
        <v>14.09367816856089</v>
      </c>
      <c r="M1244">
        <v>13.279229897014005</v>
      </c>
      <c r="N1244">
        <v>12.815553445419873</v>
      </c>
      <c r="O1244">
        <v>13.071104167426984</v>
      </c>
      <c r="P1244">
        <v>13.372618758096797</v>
      </c>
      <c r="Q1244">
        <v>13.603200778249683</v>
      </c>
      <c r="R1244">
        <v>13.842164534380075</v>
      </c>
      <c r="S1244">
        <v>14.089843480191085</v>
      </c>
      <c r="T1244">
        <v>14.349665525737496</v>
      </c>
      <c r="U1244">
        <v>14.649817845737497</v>
      </c>
      <c r="V1244">
        <v>14.961976258537497</v>
      </c>
      <c r="W1244">
        <v>15.286621007849497</v>
      </c>
      <c r="X1244">
        <v>15.624251547133976</v>
      </c>
      <c r="Y1244">
        <v>15.975387307989836</v>
      </c>
      <c r="Z1244">
        <v>16.340568499279929</v>
      </c>
      <c r="AA1244">
        <v>16.720356938221627</v>
      </c>
      <c r="AB1244">
        <v>17.115336914720992</v>
      </c>
      <c r="AC1244">
        <v>17.526116090280333</v>
      </c>
      <c r="AD1244">
        <v>17.953326432862045</v>
      </c>
    </row>
    <row r="1245" spans="2:30" x14ac:dyDescent="0.25">
      <c r="B1245" t="s">
        <v>133</v>
      </c>
      <c r="C1245" t="s">
        <v>3256</v>
      </c>
      <c r="D1245" t="s">
        <v>7237</v>
      </c>
      <c r="E1245" t="s">
        <v>7238</v>
      </c>
      <c r="F1245" t="s">
        <v>7239</v>
      </c>
      <c r="G1245" t="s">
        <v>3890</v>
      </c>
      <c r="H1245" t="s">
        <v>7082</v>
      </c>
      <c r="J1245">
        <v>1</v>
      </c>
      <c r="K1245">
        <v>6.9059390313599991E-2</v>
      </c>
      <c r="L1245">
        <v>6.4623086170915042E-2</v>
      </c>
      <c r="M1245">
        <v>7.6825636347470722E-2</v>
      </c>
      <c r="N1245">
        <v>8.2613612343509196E-2</v>
      </c>
      <c r="O1245">
        <v>8.393965360857171E-2</v>
      </c>
      <c r="P1245">
        <v>8.5261902309808402E-2</v>
      </c>
      <c r="Q1245">
        <v>8.7450641271725596E-2</v>
      </c>
      <c r="R1245">
        <v>8.9554234089705073E-2</v>
      </c>
      <c r="S1245">
        <v>9.1536842493587303E-2</v>
      </c>
      <c r="T1245">
        <v>9.3520080623973406E-2</v>
      </c>
      <c r="U1245">
        <v>9.5290608477598807E-2</v>
      </c>
      <c r="V1245">
        <v>9.7065604041481776E-2</v>
      </c>
      <c r="W1245">
        <v>9.8844561385924623E-2</v>
      </c>
      <c r="X1245">
        <v>0.10062697903987067</v>
      </c>
      <c r="Y1245">
        <v>0.10241235956622304</v>
      </c>
      <c r="Z1245">
        <v>0.10420020909157315</v>
      </c>
      <c r="AA1245">
        <v>0.10599003679268053</v>
      </c>
      <c r="AB1245">
        <v>0.10778135434189404</v>
      </c>
      <c r="AC1245">
        <v>0.10957367531355508</v>
      </c>
      <c r="AD1245">
        <v>0.11136651455327028</v>
      </c>
    </row>
    <row r="1246" spans="2:30" x14ac:dyDescent="0.25">
      <c r="B1246" t="s">
        <v>133</v>
      </c>
      <c r="C1246" t="s">
        <v>3256</v>
      </c>
      <c r="D1246" t="s">
        <v>7240</v>
      </c>
      <c r="E1246" t="s">
        <v>7241</v>
      </c>
      <c r="F1246" t="s">
        <v>7242</v>
      </c>
      <c r="G1246" t="s">
        <v>3890</v>
      </c>
      <c r="H1246" t="s">
        <v>7086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2:30" x14ac:dyDescent="0.25">
      <c r="B1247" t="s">
        <v>133</v>
      </c>
      <c r="C1247" t="s">
        <v>3256</v>
      </c>
      <c r="D1247" t="s">
        <v>7243</v>
      </c>
      <c r="E1247" t="s">
        <v>7244</v>
      </c>
      <c r="F1247" t="s">
        <v>7245</v>
      </c>
      <c r="G1247" t="s">
        <v>3890</v>
      </c>
      <c r="H1247" t="s">
        <v>7090</v>
      </c>
      <c r="J1247">
        <v>1</v>
      </c>
      <c r="K1247">
        <v>0.34021994136974787</v>
      </c>
      <c r="L1247">
        <v>0.34014458604652181</v>
      </c>
      <c r="M1247">
        <v>0.42512733391564467</v>
      </c>
      <c r="N1247">
        <v>0.47599948329893271</v>
      </c>
      <c r="O1247">
        <v>0.50355153259611019</v>
      </c>
      <c r="P1247">
        <v>0.53251805901937221</v>
      </c>
      <c r="Q1247">
        <v>0.56862554817310806</v>
      </c>
      <c r="R1247">
        <v>0.60619976845002654</v>
      </c>
      <c r="S1247">
        <v>0.64502238112349075</v>
      </c>
      <c r="T1247">
        <v>0.685988085810048</v>
      </c>
      <c r="U1247">
        <v>0.72757695117647525</v>
      </c>
      <c r="V1247">
        <v>0.77142950479440542</v>
      </c>
      <c r="W1247">
        <v>0.81765714744337969</v>
      </c>
      <c r="X1247">
        <v>0.86637631680436056</v>
      </c>
      <c r="Y1247">
        <v>0.91770869508105413</v>
      </c>
      <c r="Z1247">
        <v>0.97178142349477992</v>
      </c>
      <c r="AA1247">
        <v>1.0287273237182966</v>
      </c>
      <c r="AB1247">
        <v>1.0886851262959711</v>
      </c>
      <c r="AC1247">
        <v>1.1517997060771119</v>
      </c>
      <c r="AD1247">
        <v>1.2182223246658683</v>
      </c>
    </row>
    <row r="1248" spans="2:30" x14ac:dyDescent="0.25">
      <c r="B1248" t="s">
        <v>133</v>
      </c>
      <c r="C1248" t="s">
        <v>3256</v>
      </c>
      <c r="D1248" t="s">
        <v>7246</v>
      </c>
      <c r="E1248" t="s">
        <v>7247</v>
      </c>
      <c r="F1248" t="s">
        <v>7248</v>
      </c>
      <c r="G1248" t="s">
        <v>3890</v>
      </c>
      <c r="H1248" t="s">
        <v>4476</v>
      </c>
      <c r="J1248">
        <v>1</v>
      </c>
      <c r="K1248">
        <v>0.14000000000000001</v>
      </c>
      <c r="L1248">
        <v>0.14000000000000001</v>
      </c>
      <c r="M1248">
        <v>0.14000000000000001</v>
      </c>
      <c r="N1248">
        <v>0.14000000000000001</v>
      </c>
      <c r="O1248">
        <v>0.14000000000000001</v>
      </c>
      <c r="P1248">
        <v>0.14000000000000001</v>
      </c>
      <c r="Q1248">
        <v>0.14000000000000001</v>
      </c>
      <c r="R1248">
        <v>0.14000000000000001</v>
      </c>
      <c r="S1248">
        <v>0.14000000000000001</v>
      </c>
      <c r="T1248">
        <v>0.14000000000000001</v>
      </c>
      <c r="U1248">
        <v>0.14000000000000001</v>
      </c>
      <c r="V1248">
        <v>0.14000000000000001</v>
      </c>
      <c r="W1248">
        <v>0.14000000000000001</v>
      </c>
      <c r="X1248">
        <v>0.14000000000000001</v>
      </c>
      <c r="Y1248">
        <v>0.14000000000000001</v>
      </c>
      <c r="Z1248">
        <v>0.14000000000000001</v>
      </c>
      <c r="AA1248">
        <v>0.14000000000000001</v>
      </c>
      <c r="AB1248">
        <v>0.14000000000000001</v>
      </c>
      <c r="AC1248">
        <v>0.14000000000000001</v>
      </c>
      <c r="AD1248">
        <v>0.14000000000000001</v>
      </c>
    </row>
    <row r="1249" spans="2:30" x14ac:dyDescent="0.25">
      <c r="B1249" t="s">
        <v>133</v>
      </c>
      <c r="C1249" t="s">
        <v>3256</v>
      </c>
      <c r="D1249" t="s">
        <v>7249</v>
      </c>
      <c r="E1249" t="s">
        <v>7250</v>
      </c>
      <c r="F1249" t="s">
        <v>7251</v>
      </c>
      <c r="G1249" t="s">
        <v>3890</v>
      </c>
      <c r="H1249" t="s">
        <v>7078</v>
      </c>
      <c r="J1249">
        <v>1</v>
      </c>
      <c r="K1249">
        <v>29.198994529643425</v>
      </c>
      <c r="L1249">
        <v>21.901513365214228</v>
      </c>
      <c r="M1249">
        <v>21.243362771297214</v>
      </c>
      <c r="N1249">
        <v>20.412162853462071</v>
      </c>
      <c r="O1249">
        <v>20.711511621360181</v>
      </c>
      <c r="P1249">
        <v>21.079215049380998</v>
      </c>
      <c r="Q1249">
        <v>21.330709657393001</v>
      </c>
      <c r="R1249">
        <v>21.590936560857443</v>
      </c>
      <c r="S1249">
        <v>21.86024218737267</v>
      </c>
      <c r="T1249">
        <v>22.1438471095036</v>
      </c>
      <c r="U1249">
        <v>22.486020754303599</v>
      </c>
      <c r="V1249">
        <v>22.841881344895601</v>
      </c>
      <c r="W1249">
        <v>23.211976359111283</v>
      </c>
      <c r="X1249">
        <v>23.596875173895587</v>
      </c>
      <c r="Y1249">
        <v>23.997169941271267</v>
      </c>
      <c r="Z1249">
        <v>24.413476499341975</v>
      </c>
      <c r="AA1249">
        <v>24.846435319735509</v>
      </c>
      <c r="AB1249">
        <v>25.296712492944785</v>
      </c>
      <c r="AC1249">
        <v>25.765000753082433</v>
      </c>
      <c r="AD1249">
        <v>26.252020543625587</v>
      </c>
    </row>
    <row r="1250" spans="2:30" x14ac:dyDescent="0.25">
      <c r="B1250" t="s">
        <v>133</v>
      </c>
      <c r="C1250" t="s">
        <v>3256</v>
      </c>
      <c r="D1250" t="s">
        <v>7252</v>
      </c>
      <c r="E1250" t="s">
        <v>7253</v>
      </c>
      <c r="F1250" t="s">
        <v>7254</v>
      </c>
      <c r="G1250" t="s">
        <v>3890</v>
      </c>
      <c r="H1250" t="s">
        <v>7082</v>
      </c>
      <c r="J1250">
        <v>1</v>
      </c>
      <c r="K1250">
        <v>6.858397079999999E-5</v>
      </c>
      <c r="L1250">
        <v>6.8580036717958112E-5</v>
      </c>
      <c r="M1250">
        <v>7.8460671290462932E-5</v>
      </c>
      <c r="N1250">
        <v>8.2832906860848496E-5</v>
      </c>
      <c r="O1250">
        <v>8.3484336923178609E-5</v>
      </c>
      <c r="P1250">
        <v>8.4071957938455815E-5</v>
      </c>
      <c r="Q1250">
        <v>8.5280257200442635E-5</v>
      </c>
      <c r="R1250">
        <v>8.6427028704826199E-5</v>
      </c>
      <c r="S1250">
        <v>8.7493938512133836E-5</v>
      </c>
      <c r="T1250">
        <v>8.8547866882130361E-5</v>
      </c>
      <c r="U1250">
        <v>8.9424957569430083E-5</v>
      </c>
      <c r="V1250">
        <v>9.0294521793758361E-5</v>
      </c>
      <c r="W1250">
        <v>9.1156439839580711E-5</v>
      </c>
      <c r="X1250">
        <v>9.201059765179075E-5</v>
      </c>
      <c r="Y1250">
        <v>9.2856886343157879E-5</v>
      </c>
      <c r="Z1250">
        <v>9.3695201703777883E-5</v>
      </c>
      <c r="AA1250">
        <v>9.4525443713318116E-5</v>
      </c>
      <c r="AB1250">
        <v>9.5347516056705107E-5</v>
      </c>
      <c r="AC1250">
        <v>9.6161325643775688E-5</v>
      </c>
      <c r="AD1250">
        <v>9.696678213329031E-5</v>
      </c>
    </row>
    <row r="1251" spans="2:30" x14ac:dyDescent="0.25">
      <c r="B1251" t="s">
        <v>133</v>
      </c>
      <c r="C1251" t="s">
        <v>3256</v>
      </c>
      <c r="D1251" t="s">
        <v>7255</v>
      </c>
      <c r="E1251" t="s">
        <v>7256</v>
      </c>
      <c r="F1251" t="s">
        <v>7257</v>
      </c>
      <c r="G1251" t="s">
        <v>3890</v>
      </c>
      <c r="H1251" t="s">
        <v>7086</v>
      </c>
      <c r="J1251">
        <v>1</v>
      </c>
      <c r="K1251">
        <v>1.029092562136108E-3</v>
      </c>
      <c r="L1251">
        <v>5.9793586442043016E-4</v>
      </c>
      <c r="M1251">
        <v>6.1554340106525726E-4</v>
      </c>
      <c r="N1251">
        <v>5.7055586813039118E-4</v>
      </c>
      <c r="O1251">
        <v>5.7716109671923838E-4</v>
      </c>
      <c r="P1251">
        <v>5.8759987403493325E-4</v>
      </c>
      <c r="Q1251">
        <v>5.9297811692145632E-4</v>
      </c>
      <c r="R1251">
        <v>5.9761888097207064E-4</v>
      </c>
      <c r="S1251">
        <v>6.0138498084958867E-4</v>
      </c>
      <c r="T1251">
        <v>6.05102085304453E-4</v>
      </c>
      <c r="U1251">
        <v>6.1109578591604034E-4</v>
      </c>
      <c r="V1251">
        <v>6.1703805357278248E-4</v>
      </c>
      <c r="W1251">
        <v>6.2292807018473424E-4</v>
      </c>
      <c r="X1251">
        <v>6.2876505634314043E-4</v>
      </c>
      <c r="Y1251">
        <v>6.3454826795452226E-4</v>
      </c>
      <c r="Z1251">
        <v>6.4027699288845142E-4</v>
      </c>
      <c r="AA1251">
        <v>6.4595054764442206E-4</v>
      </c>
      <c r="AB1251">
        <v>6.5156827404224424E-4</v>
      </c>
      <c r="AC1251">
        <v>6.5712953593952594E-4</v>
      </c>
      <c r="AD1251">
        <v>6.6263371597896224E-4</v>
      </c>
    </row>
    <row r="1252" spans="2:30" x14ac:dyDescent="0.25">
      <c r="B1252" t="s">
        <v>133</v>
      </c>
      <c r="C1252" t="s">
        <v>3256</v>
      </c>
      <c r="D1252" t="s">
        <v>7258</v>
      </c>
      <c r="E1252" t="s">
        <v>7259</v>
      </c>
      <c r="F1252" t="s">
        <v>7260</v>
      </c>
      <c r="G1252" t="s">
        <v>3890</v>
      </c>
      <c r="H1252" t="s">
        <v>7090</v>
      </c>
      <c r="J1252">
        <v>1</v>
      </c>
      <c r="K1252">
        <v>6.0751114835123953E-4</v>
      </c>
      <c r="L1252">
        <v>5.6047847968498791E-4</v>
      </c>
      <c r="M1252">
        <v>6.5209537887577244E-4</v>
      </c>
      <c r="N1252">
        <v>6.9887161434231172E-4</v>
      </c>
      <c r="O1252">
        <v>7.2724058854602906E-4</v>
      </c>
      <c r="P1252">
        <v>7.5689664758464548E-4</v>
      </c>
      <c r="Q1252">
        <v>7.9228930674950313E-4</v>
      </c>
      <c r="R1252">
        <v>8.2876699989524786E-4</v>
      </c>
      <c r="S1252">
        <v>8.6617171779514038E-4</v>
      </c>
      <c r="T1252">
        <v>9.0524501615225786E-4</v>
      </c>
      <c r="U1252">
        <v>9.4481057773534863E-4</v>
      </c>
      <c r="V1252">
        <v>9.8613013471795814E-4</v>
      </c>
      <c r="W1252">
        <v>1.0292799114653371E-3</v>
      </c>
      <c r="X1252">
        <v>1.0743392823009627E-3</v>
      </c>
      <c r="Y1252">
        <v>1.1213908913317908E-3</v>
      </c>
      <c r="Z1252">
        <v>1.1705207761759039E-3</v>
      </c>
      <c r="AA1252">
        <v>1.2218184956583791E-3</v>
      </c>
      <c r="AB1252">
        <v>1.2753772615354628E-3</v>
      </c>
      <c r="AC1252">
        <v>1.331294074300605E-3</v>
      </c>
      <c r="AD1252">
        <v>1.3896698631183342E-3</v>
      </c>
    </row>
    <row r="1253" spans="2:30" x14ac:dyDescent="0.25">
      <c r="B1253" t="s">
        <v>133</v>
      </c>
      <c r="C1253" t="s">
        <v>3256</v>
      </c>
      <c r="D1253" t="s">
        <v>7261</v>
      </c>
      <c r="E1253" t="s">
        <v>7262</v>
      </c>
      <c r="F1253" t="s">
        <v>7263</v>
      </c>
      <c r="G1253" t="s">
        <v>3890</v>
      </c>
      <c r="H1253" t="s">
        <v>7078</v>
      </c>
      <c r="J1253">
        <v>1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  <c r="W1253" t="e">
        <v>#N/A</v>
      </c>
      <c r="X1253" t="e">
        <v>#N/A</v>
      </c>
      <c r="Y1253" t="e">
        <v>#N/A</v>
      </c>
      <c r="Z1253" t="e">
        <v>#N/A</v>
      </c>
      <c r="AA1253" t="e">
        <v>#N/A</v>
      </c>
      <c r="AB1253" t="e">
        <v>#N/A</v>
      </c>
      <c r="AC1253" t="e">
        <v>#N/A</v>
      </c>
      <c r="AD1253" t="e">
        <v>#N/A</v>
      </c>
    </row>
    <row r="1254" spans="2:30" x14ac:dyDescent="0.25">
      <c r="B1254" t="s">
        <v>133</v>
      </c>
      <c r="C1254" t="s">
        <v>3256</v>
      </c>
      <c r="D1254" t="s">
        <v>7264</v>
      </c>
      <c r="E1254" t="s">
        <v>7265</v>
      </c>
      <c r="F1254" t="s">
        <v>7266</v>
      </c>
      <c r="G1254" t="s">
        <v>3890</v>
      </c>
      <c r="H1254" t="s">
        <v>7082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2:30" x14ac:dyDescent="0.25">
      <c r="B1255" t="s">
        <v>133</v>
      </c>
      <c r="C1255" t="s">
        <v>3256</v>
      </c>
      <c r="D1255" t="s">
        <v>7267</v>
      </c>
      <c r="E1255" t="s">
        <v>7268</v>
      </c>
      <c r="F1255" t="s">
        <v>7269</v>
      </c>
      <c r="G1255" t="s">
        <v>3890</v>
      </c>
      <c r="H1255" t="s">
        <v>7086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2:30" x14ac:dyDescent="0.25">
      <c r="B1256" t="s">
        <v>133</v>
      </c>
      <c r="C1256" t="s">
        <v>3256</v>
      </c>
      <c r="D1256" t="s">
        <v>7270</v>
      </c>
      <c r="E1256" t="s">
        <v>7271</v>
      </c>
      <c r="F1256" t="s">
        <v>7272</v>
      </c>
      <c r="G1256" t="s">
        <v>3890</v>
      </c>
      <c r="H1256" t="s">
        <v>7090</v>
      </c>
      <c r="J1256">
        <v>1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  <c r="W1256" t="e">
        <v>#N/A</v>
      </c>
      <c r="X1256" t="e">
        <v>#N/A</v>
      </c>
      <c r="Y1256" t="e">
        <v>#N/A</v>
      </c>
      <c r="Z1256" t="e">
        <v>#N/A</v>
      </c>
      <c r="AA1256" t="e">
        <v>#N/A</v>
      </c>
      <c r="AB1256" t="e">
        <v>#N/A</v>
      </c>
      <c r="AC1256" t="e">
        <v>#N/A</v>
      </c>
      <c r="AD1256" t="e">
        <v>#N/A</v>
      </c>
    </row>
    <row r="1257" spans="2:30" x14ac:dyDescent="0.25">
      <c r="B1257" t="s">
        <v>133</v>
      </c>
      <c r="C1257" t="s">
        <v>3256</v>
      </c>
      <c r="D1257" t="s">
        <v>7273</v>
      </c>
      <c r="E1257" t="s">
        <v>7274</v>
      </c>
      <c r="F1257" t="s">
        <v>7275</v>
      </c>
      <c r="G1257" t="s">
        <v>3890</v>
      </c>
      <c r="H1257" t="s">
        <v>7212</v>
      </c>
      <c r="J1257">
        <v>1</v>
      </c>
      <c r="K1257">
        <v>11.129497825391994</v>
      </c>
      <c r="L1257">
        <v>8.6161449725182102</v>
      </c>
      <c r="M1257">
        <v>7.5824162235258123</v>
      </c>
      <c r="N1257">
        <v>6.8902832363207906</v>
      </c>
      <c r="O1257">
        <v>6.9085851728340364</v>
      </c>
      <c r="P1257">
        <v>6.9633737531537587</v>
      </c>
      <c r="Q1257">
        <v>6.9373191142644348</v>
      </c>
      <c r="R1257">
        <v>6.9093867428146023</v>
      </c>
      <c r="S1257">
        <v>6.8795000210555131</v>
      </c>
      <c r="T1257">
        <v>6.8506579307463058</v>
      </c>
      <c r="U1257">
        <v>6.8506154435009314</v>
      </c>
      <c r="V1257">
        <v>6.8505738959570159</v>
      </c>
      <c r="W1257">
        <v>6.8505332609071869</v>
      </c>
      <c r="X1257">
        <v>6.8504935121037445</v>
      </c>
      <c r="Y1257">
        <v>6.8504546242323965</v>
      </c>
      <c r="Z1257">
        <v>6.85041657288635</v>
      </c>
      <c r="AA1257">
        <v>6.8503793345408033</v>
      </c>
      <c r="AB1257">
        <v>6.850342886527887</v>
      </c>
      <c r="AC1257">
        <v>6.8503072070121291</v>
      </c>
      <c r="AD1257">
        <v>6.8502722749664349</v>
      </c>
    </row>
    <row r="1258" spans="2:30" x14ac:dyDescent="0.25">
      <c r="B1258" t="s">
        <v>133</v>
      </c>
      <c r="C1258" t="s">
        <v>3256</v>
      </c>
      <c r="D1258" t="s">
        <v>7276</v>
      </c>
      <c r="E1258" t="s">
        <v>7277</v>
      </c>
      <c r="F1258" t="s">
        <v>7278</v>
      </c>
      <c r="G1258" t="s">
        <v>3890</v>
      </c>
      <c r="H1258" t="s">
        <v>5985</v>
      </c>
      <c r="J1258">
        <v>1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  <c r="W1258" t="e">
        <v>#N/A</v>
      </c>
      <c r="X1258" t="e">
        <v>#N/A</v>
      </c>
      <c r="Y1258" t="e">
        <v>#N/A</v>
      </c>
      <c r="Z1258" t="e">
        <v>#N/A</v>
      </c>
      <c r="AA1258" t="e">
        <v>#N/A</v>
      </c>
      <c r="AB1258" t="e">
        <v>#N/A</v>
      </c>
      <c r="AC1258" t="e">
        <v>#N/A</v>
      </c>
      <c r="AD1258" t="e">
        <v>#N/A</v>
      </c>
    </row>
    <row r="1259" spans="2:30" x14ac:dyDescent="0.25">
      <c r="B1259" t="s">
        <v>133</v>
      </c>
      <c r="C1259" t="s">
        <v>3256</v>
      </c>
      <c r="D1259" t="s">
        <v>7279</v>
      </c>
      <c r="E1259" t="s">
        <v>7280</v>
      </c>
      <c r="F1259" t="s">
        <v>7281</v>
      </c>
      <c r="G1259" t="s">
        <v>3890</v>
      </c>
      <c r="H1259" t="s">
        <v>4476</v>
      </c>
      <c r="J1259">
        <v>1</v>
      </c>
      <c r="K1259">
        <v>3.5576226080979117E-3</v>
      </c>
      <c r="L1259">
        <v>2.8513247618490883E-3</v>
      </c>
      <c r="M1259">
        <v>2.6616380243212096E-3</v>
      </c>
      <c r="N1259">
        <v>2.5108933686182619E-3</v>
      </c>
      <c r="O1259">
        <v>2.5272085754152519E-3</v>
      </c>
      <c r="P1259">
        <v>2.5500326446776292E-3</v>
      </c>
      <c r="Q1259">
        <v>2.5520588333246236E-3</v>
      </c>
      <c r="R1259">
        <v>2.5564611507088572E-3</v>
      </c>
      <c r="S1259">
        <v>2.563570572938996E-3</v>
      </c>
      <c r="T1259">
        <v>2.5723998753247011E-3</v>
      </c>
      <c r="U1259">
        <v>2.5890298876198666E-3</v>
      </c>
      <c r="V1259">
        <v>2.6070375413537695E-3</v>
      </c>
      <c r="W1259">
        <v>2.626452494797548E-3</v>
      </c>
      <c r="X1259">
        <v>2.6473061627102792E-3</v>
      </c>
      <c r="Y1259">
        <v>2.6696317655340134E-3</v>
      </c>
      <c r="Z1259">
        <v>2.6934643812052636E-3</v>
      </c>
      <c r="AA1259">
        <v>2.718840999727184E-3</v>
      </c>
      <c r="AB1259">
        <v>2.7458005806517494E-3</v>
      </c>
      <c r="AC1259">
        <v>2.7743841136271424E-3</v>
      </c>
      <c r="AD1259">
        <v>2.8046346821718874E-3</v>
      </c>
    </row>
    <row r="1260" spans="2:30" x14ac:dyDescent="0.25">
      <c r="B1260" t="s">
        <v>133</v>
      </c>
      <c r="C1260" t="s">
        <v>3256</v>
      </c>
      <c r="D1260" t="s">
        <v>7282</v>
      </c>
      <c r="E1260" t="s">
        <v>7283</v>
      </c>
      <c r="F1260" t="s">
        <v>7284</v>
      </c>
      <c r="G1260" t="s">
        <v>3890</v>
      </c>
      <c r="H1260" t="s">
        <v>7078</v>
      </c>
      <c r="J1260">
        <v>1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  <c r="W1260" t="e">
        <v>#N/A</v>
      </c>
      <c r="X1260" t="e">
        <v>#N/A</v>
      </c>
      <c r="Y1260" t="e">
        <v>#N/A</v>
      </c>
      <c r="Z1260" t="e">
        <v>#N/A</v>
      </c>
      <c r="AA1260" t="e">
        <v>#N/A</v>
      </c>
      <c r="AB1260" t="e">
        <v>#N/A</v>
      </c>
      <c r="AC1260" t="e">
        <v>#N/A</v>
      </c>
      <c r="AD1260" t="e">
        <v>#N/A</v>
      </c>
    </row>
    <row r="1261" spans="2:30" x14ac:dyDescent="0.25">
      <c r="B1261" t="s">
        <v>133</v>
      </c>
      <c r="C1261" t="s">
        <v>3256</v>
      </c>
      <c r="D1261" t="s">
        <v>7285</v>
      </c>
      <c r="E1261" t="s">
        <v>7286</v>
      </c>
      <c r="F1261" t="s">
        <v>7287</v>
      </c>
      <c r="G1261" t="s">
        <v>3890</v>
      </c>
      <c r="H1261" t="s">
        <v>7160</v>
      </c>
      <c r="J1261">
        <v>1</v>
      </c>
      <c r="K1261">
        <v>11.459860725238636</v>
      </c>
      <c r="L1261">
        <v>8.8261134458896162</v>
      </c>
      <c r="M1261">
        <v>7.7428525388590312</v>
      </c>
      <c r="N1261">
        <v>7.0518273251642007</v>
      </c>
      <c r="O1261">
        <v>7.070160947973041</v>
      </c>
      <c r="P1261">
        <v>7.1249351212688357</v>
      </c>
      <c r="Q1261">
        <v>7.0989931146117771</v>
      </c>
      <c r="R1261">
        <v>7.0711697267137019</v>
      </c>
      <c r="S1261">
        <v>7.0413877949045824</v>
      </c>
      <c r="T1261">
        <v>7.012646643709294</v>
      </c>
      <c r="U1261">
        <v>7.0126627809654458</v>
      </c>
      <c r="V1261">
        <v>7.0126785613097047</v>
      </c>
      <c r="W1261">
        <v>7.012693995075816</v>
      </c>
      <c r="X1261">
        <v>7.0127090922330266</v>
      </c>
      <c r="Y1261">
        <v>7.0127238623960633</v>
      </c>
      <c r="Z1261">
        <v>7.0127383148349676</v>
      </c>
      <c r="AA1261">
        <v>7.0127524584847976</v>
      </c>
      <c r="AB1261">
        <v>7.012766301955125</v>
      </c>
      <c r="AC1261">
        <v>7.0127798535393735</v>
      </c>
      <c r="AD1261">
        <v>7.0127931212239281</v>
      </c>
    </row>
    <row r="1262" spans="2:30" x14ac:dyDescent="0.25">
      <c r="B1262" t="s">
        <v>133</v>
      </c>
      <c r="C1262" t="s">
        <v>3256</v>
      </c>
      <c r="D1262" t="s">
        <v>7288</v>
      </c>
      <c r="E1262" t="s">
        <v>7289</v>
      </c>
      <c r="F1262" t="s">
        <v>7290</v>
      </c>
      <c r="G1262" t="s">
        <v>3890</v>
      </c>
      <c r="H1262" t="s">
        <v>7082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2:30" x14ac:dyDescent="0.25">
      <c r="B1263" t="s">
        <v>133</v>
      </c>
      <c r="C1263" t="s">
        <v>3256</v>
      </c>
      <c r="D1263" t="s">
        <v>7291</v>
      </c>
      <c r="E1263" t="s">
        <v>7292</v>
      </c>
      <c r="F1263" t="s">
        <v>7293</v>
      </c>
      <c r="G1263" t="s">
        <v>3890</v>
      </c>
      <c r="H1263" t="s">
        <v>7086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2:30" x14ac:dyDescent="0.25">
      <c r="B1264" t="s">
        <v>133</v>
      </c>
      <c r="C1264" t="s">
        <v>3256</v>
      </c>
      <c r="D1264" t="s">
        <v>7294</v>
      </c>
      <c r="E1264" t="s">
        <v>7295</v>
      </c>
      <c r="F1264" t="s">
        <v>7296</v>
      </c>
      <c r="G1264" t="s">
        <v>3890</v>
      </c>
      <c r="H1264" t="s">
        <v>7090</v>
      </c>
      <c r="J1264">
        <v>1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  <c r="W1264" t="e">
        <v>#N/A</v>
      </c>
      <c r="X1264" t="e">
        <v>#N/A</v>
      </c>
      <c r="Y1264" t="e">
        <v>#N/A</v>
      </c>
      <c r="Z1264" t="e">
        <v>#N/A</v>
      </c>
      <c r="AA1264" t="e">
        <v>#N/A</v>
      </c>
      <c r="AB1264" t="e">
        <v>#N/A</v>
      </c>
      <c r="AC1264" t="e">
        <v>#N/A</v>
      </c>
      <c r="AD1264" t="e">
        <v>#N/A</v>
      </c>
    </row>
    <row r="1265" spans="2:30" x14ac:dyDescent="0.25">
      <c r="B1265" t="s">
        <v>133</v>
      </c>
      <c r="C1265" t="s">
        <v>3256</v>
      </c>
      <c r="D1265" t="s">
        <v>7297</v>
      </c>
      <c r="E1265" t="s">
        <v>7298</v>
      </c>
      <c r="F1265" t="s">
        <v>7299</v>
      </c>
      <c r="G1265" t="s">
        <v>3890</v>
      </c>
      <c r="H1265" t="s">
        <v>7078</v>
      </c>
      <c r="J1265">
        <v>1</v>
      </c>
      <c r="K1265">
        <v>6.3657651756497291E-2</v>
      </c>
      <c r="L1265">
        <v>6.2227839357171119E-2</v>
      </c>
      <c r="M1265">
        <v>0.10710597699475878</v>
      </c>
      <c r="N1265">
        <v>0.10463798276974871</v>
      </c>
      <c r="O1265">
        <v>0.10654961486224911</v>
      </c>
      <c r="P1265">
        <v>0.10768613029465351</v>
      </c>
      <c r="Q1265">
        <v>0.10767610301039665</v>
      </c>
      <c r="R1265">
        <v>0.1073571738721998</v>
      </c>
      <c r="S1265">
        <v>0.10704426248060314</v>
      </c>
      <c r="T1265">
        <v>0.10679986559029916</v>
      </c>
      <c r="U1265">
        <v>0.10654996219488333</v>
      </c>
      <c r="V1265">
        <v>0.10630651882443917</v>
      </c>
      <c r="W1265">
        <v>0.10604886862205862</v>
      </c>
      <c r="X1265">
        <v>0.10578505921214379</v>
      </c>
      <c r="Y1265">
        <v>0.10550702606056485</v>
      </c>
      <c r="Z1265">
        <v>0.10522005397257674</v>
      </c>
      <c r="AA1265">
        <v>0.10492040200409505</v>
      </c>
      <c r="AB1265">
        <v>0.10460643816568688</v>
      </c>
      <c r="AC1265">
        <v>0.10427749978766443</v>
      </c>
      <c r="AD1265">
        <v>0.10391169263953905</v>
      </c>
    </row>
    <row r="1266" spans="2:30" x14ac:dyDescent="0.25">
      <c r="B1266" t="s">
        <v>133</v>
      </c>
      <c r="C1266" t="s">
        <v>3256</v>
      </c>
      <c r="D1266" t="s">
        <v>7300</v>
      </c>
      <c r="E1266" t="s">
        <v>7301</v>
      </c>
      <c r="F1266" t="s">
        <v>7302</v>
      </c>
      <c r="G1266" t="s">
        <v>3890</v>
      </c>
      <c r="H1266" t="s">
        <v>7082</v>
      </c>
      <c r="J1266">
        <v>1</v>
      </c>
      <c r="K1266">
        <v>99.833519124999995</v>
      </c>
      <c r="L1266">
        <v>96.467134733572721</v>
      </c>
      <c r="M1266">
        <v>108.07218043494078</v>
      </c>
      <c r="N1266">
        <v>120.63906671537571</v>
      </c>
      <c r="O1266">
        <v>126.8571991259778</v>
      </c>
      <c r="P1266">
        <v>128.91908550862945</v>
      </c>
      <c r="Q1266">
        <v>132.53622661235633</v>
      </c>
      <c r="R1266">
        <v>137.15464337819989</v>
      </c>
      <c r="S1266">
        <v>141.80651312167373</v>
      </c>
      <c r="T1266">
        <v>146.49447185321083</v>
      </c>
      <c r="U1266">
        <v>151.1688653926457</v>
      </c>
      <c r="V1266">
        <v>155.91851530858926</v>
      </c>
      <c r="W1266">
        <v>160.72723703650806</v>
      </c>
      <c r="X1266">
        <v>165.62329308632752</v>
      </c>
      <c r="Y1266">
        <v>170.59655685519297</v>
      </c>
      <c r="Z1266">
        <v>175.66010692134194</v>
      </c>
      <c r="AA1266">
        <v>180.80764706198289</v>
      </c>
      <c r="AB1266">
        <v>186.04671936791274</v>
      </c>
      <c r="AC1266">
        <v>191.38226332596105</v>
      </c>
      <c r="AD1266">
        <v>196.81807187336838</v>
      </c>
    </row>
    <row r="1267" spans="2:30" x14ac:dyDescent="0.25">
      <c r="B1267" t="s">
        <v>133</v>
      </c>
      <c r="C1267" t="s">
        <v>3256</v>
      </c>
      <c r="D1267" t="s">
        <v>7303</v>
      </c>
      <c r="E1267" t="s">
        <v>7304</v>
      </c>
      <c r="F1267" t="s">
        <v>7305</v>
      </c>
      <c r="G1267" t="s">
        <v>3890</v>
      </c>
      <c r="H1267" t="s">
        <v>7086</v>
      </c>
      <c r="J1267">
        <v>1</v>
      </c>
      <c r="K1267">
        <v>0</v>
      </c>
      <c r="L1267">
        <v>0</v>
      </c>
      <c r="M1267">
        <v>5.9594967971760955</v>
      </c>
      <c r="N1267">
        <v>6.6524810437909148</v>
      </c>
      <c r="O1267">
        <v>6.9953716936904815</v>
      </c>
      <c r="P1267">
        <v>7.109071678682926</v>
      </c>
      <c r="Q1267">
        <v>7.3085341188394946</v>
      </c>
      <c r="R1267">
        <v>7.5632105750125813</v>
      </c>
      <c r="S1267">
        <v>7.8197317511889226</v>
      </c>
      <c r="T1267">
        <v>8.0782430066614399</v>
      </c>
      <c r="U1267">
        <v>8.3360062276392259</v>
      </c>
      <c r="V1267">
        <v>8.5979193615082448</v>
      </c>
      <c r="W1267">
        <v>8.8630899319613405</v>
      </c>
      <c r="X1267">
        <v>9.1330764375566336</v>
      </c>
      <c r="Y1267">
        <v>9.4073204602346792</v>
      </c>
      <c r="Z1267">
        <v>9.6865432008151888</v>
      </c>
      <c r="AA1267">
        <v>9.9703974624579654</v>
      </c>
      <c r="AB1267">
        <v>10.259299143739012</v>
      </c>
      <c r="AC1267">
        <v>10.553520626096564</v>
      </c>
      <c r="AD1267">
        <v>10.85327106601517</v>
      </c>
    </row>
    <row r="1268" spans="2:30" x14ac:dyDescent="0.25">
      <c r="B1268" t="s">
        <v>133</v>
      </c>
      <c r="C1268" t="s">
        <v>3256</v>
      </c>
      <c r="D1268" t="s">
        <v>7306</v>
      </c>
      <c r="E1268" t="s">
        <v>7307</v>
      </c>
      <c r="F1268" t="s">
        <v>7308</v>
      </c>
      <c r="G1268" t="s">
        <v>3890</v>
      </c>
      <c r="H1268" t="s">
        <v>7090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2:30" x14ac:dyDescent="0.25">
      <c r="B1269" t="s">
        <v>133</v>
      </c>
      <c r="C1269" t="s">
        <v>3256</v>
      </c>
      <c r="D1269" t="s">
        <v>7309</v>
      </c>
      <c r="E1269" t="s">
        <v>7310</v>
      </c>
      <c r="F1269" t="s">
        <v>7311</v>
      </c>
      <c r="G1269" t="s">
        <v>3890</v>
      </c>
      <c r="H1269" t="s">
        <v>4476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2:30" x14ac:dyDescent="0.25">
      <c r="B1270" t="s">
        <v>133</v>
      </c>
      <c r="C1270" t="s">
        <v>3256</v>
      </c>
      <c r="D1270" t="s">
        <v>7312</v>
      </c>
      <c r="E1270" t="s">
        <v>7313</v>
      </c>
      <c r="F1270" t="s">
        <v>7314</v>
      </c>
      <c r="G1270" t="s">
        <v>3890</v>
      </c>
      <c r="H1270" t="s">
        <v>7078</v>
      </c>
      <c r="J1270">
        <v>1</v>
      </c>
      <c r="K1270">
        <v>6.7626534951170533E-2</v>
      </c>
      <c r="L1270">
        <v>5.8294065004879381E-2</v>
      </c>
      <c r="M1270">
        <v>0.11484730008447896</v>
      </c>
      <c r="N1270">
        <v>0.11227433382692197</v>
      </c>
      <c r="O1270">
        <v>0.11426727401333855</v>
      </c>
      <c r="P1270">
        <v>0.11550867484635895</v>
      </c>
      <c r="Q1270">
        <v>0.11549724374230612</v>
      </c>
      <c r="R1270">
        <v>0.11513366452476173</v>
      </c>
      <c r="S1270">
        <v>0.11478296064603342</v>
      </c>
      <c r="T1270">
        <v>0.11452816874018873</v>
      </c>
      <c r="U1270">
        <v>0.11426763611918908</v>
      </c>
      <c r="V1270">
        <v>0.11401383828958669</v>
      </c>
      <c r="W1270">
        <v>0.11374522936406331</v>
      </c>
      <c r="X1270">
        <v>0.11347019925934979</v>
      </c>
      <c r="Y1270">
        <v>0.1131803404297604</v>
      </c>
      <c r="Z1270">
        <v>0.11288116246095818</v>
      </c>
      <c r="AA1270">
        <v>0.1125687652940196</v>
      </c>
      <c r="AB1270">
        <v>0.11224144752555358</v>
      </c>
      <c r="AC1270">
        <v>0.11189851830031852</v>
      </c>
      <c r="AD1270">
        <v>0.11151715215312023</v>
      </c>
    </row>
    <row r="1271" spans="2:30" x14ac:dyDescent="0.25">
      <c r="B1271" t="s">
        <v>133</v>
      </c>
      <c r="C1271" t="s">
        <v>3256</v>
      </c>
      <c r="D1271" t="s">
        <v>7315</v>
      </c>
      <c r="E1271" t="s">
        <v>7316</v>
      </c>
      <c r="F1271" t="s">
        <v>7317</v>
      </c>
      <c r="G1271" t="s">
        <v>3890</v>
      </c>
      <c r="H1271" t="s">
        <v>7082</v>
      </c>
      <c r="J1271">
        <v>1</v>
      </c>
      <c r="K1271">
        <v>68.708736277</v>
      </c>
      <c r="L1271">
        <v>66.76799770747526</v>
      </c>
      <c r="M1271">
        <v>79.394826027249366</v>
      </c>
      <c r="N1271">
        <v>87.03373454001256</v>
      </c>
      <c r="O1271">
        <v>91.604417560870047</v>
      </c>
      <c r="P1271">
        <v>93.025919588011135</v>
      </c>
      <c r="Q1271">
        <v>95.552063206023107</v>
      </c>
      <c r="R1271">
        <v>98.882857495096403</v>
      </c>
      <c r="S1271">
        <v>102.27455392305374</v>
      </c>
      <c r="T1271">
        <v>105.68916210313284</v>
      </c>
      <c r="U1271">
        <v>109.07109978052702</v>
      </c>
      <c r="V1271">
        <v>112.50825565469347</v>
      </c>
      <c r="W1271">
        <v>115.98849193902825</v>
      </c>
      <c r="X1271">
        <v>119.53311359629578</v>
      </c>
      <c r="Y1271">
        <v>123.13454432304113</v>
      </c>
      <c r="Z1271">
        <v>126.8026773496772</v>
      </c>
      <c r="AA1271">
        <v>130.53281991083355</v>
      </c>
      <c r="AB1271">
        <v>134.33070418585973</v>
      </c>
      <c r="AC1271">
        <v>138.20010865873985</v>
      </c>
      <c r="AD1271">
        <v>142.14395365527432</v>
      </c>
    </row>
    <row r="1272" spans="2:30" x14ac:dyDescent="0.25">
      <c r="B1272" t="s">
        <v>133</v>
      </c>
      <c r="C1272" t="s">
        <v>3256</v>
      </c>
      <c r="D1272" t="s">
        <v>7318</v>
      </c>
      <c r="E1272" t="s">
        <v>7319</v>
      </c>
      <c r="F1272" t="s">
        <v>7320</v>
      </c>
      <c r="G1272" t="s">
        <v>3890</v>
      </c>
      <c r="H1272" t="s">
        <v>7086</v>
      </c>
      <c r="J1272">
        <v>1</v>
      </c>
      <c r="K1272">
        <v>0</v>
      </c>
      <c r="L1272">
        <v>0</v>
      </c>
      <c r="M1272">
        <v>4.3781221912755166</v>
      </c>
      <c r="N1272">
        <v>4.7993596515776975</v>
      </c>
      <c r="O1272">
        <v>5.0514038938062065</v>
      </c>
      <c r="P1272">
        <v>5.1297907343773232</v>
      </c>
      <c r="Q1272">
        <v>5.2690915677662815</v>
      </c>
      <c r="R1272">
        <v>5.4527637932909094</v>
      </c>
      <c r="S1272">
        <v>5.6397943863450903</v>
      </c>
      <c r="T1272">
        <v>5.8280884175277308</v>
      </c>
      <c r="U1272">
        <v>6.0145808772483234</v>
      </c>
      <c r="V1272">
        <v>6.2041182710628311</v>
      </c>
      <c r="W1272">
        <v>6.3960312768561662</v>
      </c>
      <c r="X1272">
        <v>6.5914947284925809</v>
      </c>
      <c r="Y1272">
        <v>6.7900908407845035</v>
      </c>
      <c r="Z1272">
        <v>6.9923651627781584</v>
      </c>
      <c r="AA1272">
        <v>7.1980589181623555</v>
      </c>
      <c r="AB1272">
        <v>7.4074882003511169</v>
      </c>
      <c r="AC1272">
        <v>7.6208613688233662</v>
      </c>
      <c r="AD1272">
        <v>7.8383394610651997</v>
      </c>
    </row>
    <row r="1273" spans="2:30" x14ac:dyDescent="0.25">
      <c r="B1273" t="s">
        <v>133</v>
      </c>
      <c r="C1273" t="s">
        <v>3256</v>
      </c>
      <c r="D1273" t="s">
        <v>7321</v>
      </c>
      <c r="E1273" t="s">
        <v>7322</v>
      </c>
      <c r="F1273" t="s">
        <v>7323</v>
      </c>
      <c r="G1273" t="s">
        <v>3890</v>
      </c>
      <c r="H1273" t="s">
        <v>7090</v>
      </c>
      <c r="J1273">
        <v>1</v>
      </c>
      <c r="K1273">
        <v>0.42863155785289786</v>
      </c>
      <c r="L1273">
        <v>0.39323252995311531</v>
      </c>
      <c r="M1273">
        <v>1.1197889450762379</v>
      </c>
      <c r="N1273">
        <v>1.200027753713045</v>
      </c>
      <c r="O1273">
        <v>1.2854685890495015</v>
      </c>
      <c r="P1273">
        <v>1.319598331330277</v>
      </c>
      <c r="Q1273">
        <v>1.3552982375316496</v>
      </c>
      <c r="R1273">
        <v>1.3981266700812593</v>
      </c>
      <c r="S1273">
        <v>1.4416777664260272</v>
      </c>
      <c r="T1273">
        <v>1.4865035673596028</v>
      </c>
      <c r="U1273">
        <v>1.5305803015067934</v>
      </c>
      <c r="V1273">
        <v>1.5753067800912963</v>
      </c>
      <c r="W1273">
        <v>1.6202098830592295</v>
      </c>
      <c r="X1273">
        <v>1.6656863776321973</v>
      </c>
      <c r="Y1273">
        <v>1.7114889037897638</v>
      </c>
      <c r="Z1273">
        <v>1.7578146553816423</v>
      </c>
      <c r="AA1273">
        <v>1.8045162907712995</v>
      </c>
      <c r="AB1273">
        <v>1.8516194525374541</v>
      </c>
      <c r="AC1273">
        <v>1.8991352932454755</v>
      </c>
      <c r="AD1273">
        <v>1.9466740763499841</v>
      </c>
    </row>
    <row r="1274" spans="2:30" x14ac:dyDescent="0.25">
      <c r="B1274" t="s">
        <v>133</v>
      </c>
      <c r="C1274" t="s">
        <v>3256</v>
      </c>
      <c r="D1274" t="s">
        <v>7324</v>
      </c>
      <c r="E1274" t="s">
        <v>7325</v>
      </c>
      <c r="F1274" t="s">
        <v>7326</v>
      </c>
      <c r="G1274" t="s">
        <v>3890</v>
      </c>
      <c r="H1274" t="s">
        <v>7212</v>
      </c>
      <c r="J1274">
        <v>1</v>
      </c>
      <c r="K1274">
        <v>6.1889964460773897E-2</v>
      </c>
      <c r="L1274">
        <v>0.85484887846197788</v>
      </c>
      <c r="M1274">
        <v>0.77837412984309851</v>
      </c>
      <c r="N1274">
        <v>0.68377147013993522</v>
      </c>
      <c r="O1274">
        <v>0.71005171916045995</v>
      </c>
      <c r="P1274">
        <v>0.67043581040015743</v>
      </c>
      <c r="Q1274">
        <v>0.65953683215986669</v>
      </c>
      <c r="R1274">
        <v>0.6540428633113976</v>
      </c>
      <c r="S1274">
        <v>0.64923835336346858</v>
      </c>
      <c r="T1274">
        <v>0.64401869609655971</v>
      </c>
      <c r="U1274">
        <v>0.64401869609655971</v>
      </c>
      <c r="V1274">
        <v>0.64401869609655971</v>
      </c>
      <c r="W1274">
        <v>0.64401869609655971</v>
      </c>
      <c r="X1274">
        <v>0.64401869609655971</v>
      </c>
      <c r="Y1274">
        <v>0.64401869609655971</v>
      </c>
      <c r="Z1274">
        <v>0.64401869609655971</v>
      </c>
      <c r="AA1274">
        <v>0.64401869609655971</v>
      </c>
      <c r="AB1274">
        <v>0.64401869609655971</v>
      </c>
      <c r="AC1274">
        <v>0.64401869609655971</v>
      </c>
      <c r="AD1274">
        <v>0.64401869609655971</v>
      </c>
    </row>
    <row r="1275" spans="2:30" x14ac:dyDescent="0.25">
      <c r="B1275" t="s">
        <v>133</v>
      </c>
      <c r="C1275" t="s">
        <v>3256</v>
      </c>
      <c r="D1275" t="s">
        <v>7327</v>
      </c>
      <c r="E1275" t="s">
        <v>7328</v>
      </c>
      <c r="F1275" t="s">
        <v>7329</v>
      </c>
      <c r="G1275" t="s">
        <v>3890</v>
      </c>
      <c r="H1275" t="s">
        <v>5985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2:30" x14ac:dyDescent="0.25">
      <c r="B1276" t="s">
        <v>133</v>
      </c>
      <c r="C1276" t="s">
        <v>3256</v>
      </c>
      <c r="D1276" t="s">
        <v>7330</v>
      </c>
      <c r="E1276" t="s">
        <v>7331</v>
      </c>
      <c r="F1276" t="s">
        <v>7332</v>
      </c>
      <c r="G1276" t="s">
        <v>3890</v>
      </c>
      <c r="H1276" t="s">
        <v>4476</v>
      </c>
      <c r="J1276">
        <v>1</v>
      </c>
      <c r="K1276">
        <v>3.3856610678590225E-3</v>
      </c>
      <c r="L1276">
        <v>0.11967884298467692</v>
      </c>
      <c r="M1276">
        <v>0.1089723781780338</v>
      </c>
      <c r="N1276">
        <v>9.5728005819590942E-2</v>
      </c>
      <c r="O1276">
        <v>9.9407240682464398E-2</v>
      </c>
      <c r="P1276">
        <v>9.3861013456022047E-2</v>
      </c>
      <c r="Q1276">
        <v>9.2335156502381346E-2</v>
      </c>
      <c r="R1276">
        <v>9.1566000863595676E-2</v>
      </c>
      <c r="S1276">
        <v>9.089336947088561E-2</v>
      </c>
      <c r="T1276">
        <v>9.0162617453518362E-2</v>
      </c>
      <c r="U1276">
        <v>9.0162617453518362E-2</v>
      </c>
      <c r="V1276">
        <v>9.0162617453518362E-2</v>
      </c>
      <c r="W1276">
        <v>9.0162617453518362E-2</v>
      </c>
      <c r="X1276">
        <v>9.0162617453518362E-2</v>
      </c>
      <c r="Y1276">
        <v>9.0162617453518362E-2</v>
      </c>
      <c r="Z1276">
        <v>9.0162617453518362E-2</v>
      </c>
      <c r="AA1276">
        <v>9.0162617453518362E-2</v>
      </c>
      <c r="AB1276">
        <v>9.0162617453518362E-2</v>
      </c>
      <c r="AC1276">
        <v>9.0162617453518362E-2</v>
      </c>
      <c r="AD1276">
        <v>9.0162617453518362E-2</v>
      </c>
    </row>
    <row r="1277" spans="2:30" x14ac:dyDescent="0.25">
      <c r="B1277" t="s">
        <v>133</v>
      </c>
      <c r="C1277" t="s">
        <v>3256</v>
      </c>
      <c r="D1277" t="s">
        <v>7333</v>
      </c>
      <c r="E1277" t="s">
        <v>7334</v>
      </c>
      <c r="F1277" t="s">
        <v>7335</v>
      </c>
      <c r="G1277" t="s">
        <v>3890</v>
      </c>
      <c r="H1277" t="s">
        <v>7078</v>
      </c>
      <c r="J1277">
        <v>1</v>
      </c>
      <c r="K1277">
        <v>6.5275625528632919E-2</v>
      </c>
      <c r="L1277">
        <v>0.97452772144665478</v>
      </c>
      <c r="M1277">
        <v>0.88734650802113235</v>
      </c>
      <c r="N1277">
        <v>0.77949947595952618</v>
      </c>
      <c r="O1277">
        <v>0.80945895984292437</v>
      </c>
      <c r="P1277">
        <v>0.76429682385617947</v>
      </c>
      <c r="Q1277">
        <v>0.75187198866224803</v>
      </c>
      <c r="R1277">
        <v>0.74560886417499328</v>
      </c>
      <c r="S1277">
        <v>0.74013172283435424</v>
      </c>
      <c r="T1277">
        <v>0.7341813135500781</v>
      </c>
      <c r="U1277">
        <v>0.7341813135500781</v>
      </c>
      <c r="V1277">
        <v>0.7341813135500781</v>
      </c>
      <c r="W1277">
        <v>0.7341813135500781</v>
      </c>
      <c r="X1277">
        <v>0.7341813135500781</v>
      </c>
      <c r="Y1277">
        <v>0.7341813135500781</v>
      </c>
      <c r="Z1277">
        <v>0.7341813135500781</v>
      </c>
      <c r="AA1277">
        <v>0.7341813135500781</v>
      </c>
      <c r="AB1277">
        <v>0.7341813135500781</v>
      </c>
      <c r="AC1277">
        <v>0.7341813135500781</v>
      </c>
      <c r="AD1277">
        <v>0.7341813135500781</v>
      </c>
    </row>
    <row r="1278" spans="2:30" x14ac:dyDescent="0.25">
      <c r="B1278" t="s">
        <v>133</v>
      </c>
      <c r="C1278" t="s">
        <v>3256</v>
      </c>
      <c r="D1278" t="s">
        <v>7336</v>
      </c>
      <c r="E1278" t="s">
        <v>7337</v>
      </c>
      <c r="F1278" t="s">
        <v>7338</v>
      </c>
      <c r="G1278" t="s">
        <v>3890</v>
      </c>
      <c r="H1278" t="s">
        <v>7160</v>
      </c>
      <c r="J1278">
        <v>1</v>
      </c>
      <c r="K1278">
        <v>6.2734904097379335E-2</v>
      </c>
      <c r="L1278">
        <v>0.41050214342490893</v>
      </c>
      <c r="M1278">
        <v>0.33510384881528493</v>
      </c>
      <c r="N1278">
        <v>0.33510384881528493</v>
      </c>
      <c r="O1278">
        <v>0.33510384881528493</v>
      </c>
      <c r="P1278">
        <v>0.33510384881528493</v>
      </c>
      <c r="Q1278">
        <v>0.33510384881528493</v>
      </c>
      <c r="R1278">
        <v>0.33510384881528493</v>
      </c>
      <c r="S1278">
        <v>0.33510384881528493</v>
      </c>
      <c r="T1278">
        <v>0.33510384881528493</v>
      </c>
      <c r="U1278">
        <v>0.33510384881528493</v>
      </c>
      <c r="V1278">
        <v>0.33510384881528493</v>
      </c>
      <c r="W1278">
        <v>0.33510384881528493</v>
      </c>
      <c r="X1278">
        <v>0.33510384881528493</v>
      </c>
      <c r="Y1278">
        <v>0.33510384881528493</v>
      </c>
      <c r="Z1278">
        <v>0.33510384881528493</v>
      </c>
      <c r="AA1278">
        <v>0.33510384881528493</v>
      </c>
      <c r="AB1278">
        <v>0.33510384881528493</v>
      </c>
      <c r="AC1278">
        <v>0.33510384881528493</v>
      </c>
      <c r="AD1278">
        <v>0.33510384881528493</v>
      </c>
    </row>
    <row r="1279" spans="2:30" x14ac:dyDescent="0.25">
      <c r="B1279" t="s">
        <v>133</v>
      </c>
      <c r="C1279" t="s">
        <v>3256</v>
      </c>
      <c r="D1279" t="s">
        <v>7339</v>
      </c>
      <c r="E1279" t="s">
        <v>7340</v>
      </c>
      <c r="F1279" t="s">
        <v>7341</v>
      </c>
      <c r="G1279" t="s">
        <v>3890</v>
      </c>
      <c r="H1279" t="s">
        <v>7082</v>
      </c>
      <c r="J1279">
        <v>1</v>
      </c>
      <c r="K1279">
        <v>0.51585213900000004</v>
      </c>
      <c r="L1279">
        <v>0.50679482500422857</v>
      </c>
      <c r="M1279">
        <v>0.5885357554420465</v>
      </c>
      <c r="N1279">
        <v>0.6574638290207534</v>
      </c>
      <c r="O1279">
        <v>0.72017712053827676</v>
      </c>
      <c r="P1279">
        <v>0.79324380414094009</v>
      </c>
      <c r="Q1279">
        <v>0.92586003424496721</v>
      </c>
      <c r="R1279">
        <v>1.1564081650009717</v>
      </c>
      <c r="S1279">
        <v>1.5761351555737493</v>
      </c>
      <c r="T1279">
        <v>2.3202273347356104</v>
      </c>
      <c r="U1279">
        <v>3.5738509236463418</v>
      </c>
      <c r="V1279">
        <v>5.5955611837361179</v>
      </c>
      <c r="W1279">
        <v>8.5990149435243612</v>
      </c>
      <c r="X1279">
        <v>12.8647237174815</v>
      </c>
      <c r="Y1279">
        <v>18.604588632212099</v>
      </c>
      <c r="Z1279">
        <v>26.143670993130364</v>
      </c>
      <c r="AA1279">
        <v>35.875917082275002</v>
      </c>
      <c r="AB1279">
        <v>48.269128513404802</v>
      </c>
      <c r="AC1279">
        <v>63.713074868623643</v>
      </c>
      <c r="AD1279">
        <v>81.456431390044202</v>
      </c>
    </row>
    <row r="1280" spans="2:30" x14ac:dyDescent="0.25">
      <c r="B1280" t="s">
        <v>133</v>
      </c>
      <c r="C1280" t="s">
        <v>3256</v>
      </c>
      <c r="D1280" t="s">
        <v>7342</v>
      </c>
      <c r="E1280" t="s">
        <v>7343</v>
      </c>
      <c r="F1280" t="s">
        <v>7344</v>
      </c>
      <c r="G1280" t="s">
        <v>3890</v>
      </c>
      <c r="H1280" t="s">
        <v>7086</v>
      </c>
      <c r="J1280">
        <v>1</v>
      </c>
      <c r="K1280">
        <v>0</v>
      </c>
      <c r="L1280">
        <v>0.22519262582431168</v>
      </c>
      <c r="M1280">
        <v>0.26088040970971249</v>
      </c>
      <c r="N1280">
        <v>0.22923634937166268</v>
      </c>
      <c r="O1280">
        <v>0.27002887761714728</v>
      </c>
      <c r="P1280">
        <v>0.26600000085762782</v>
      </c>
      <c r="Q1280">
        <v>0.30037953306961135</v>
      </c>
      <c r="R1280">
        <v>0.36882368050066794</v>
      </c>
      <c r="S1280">
        <v>0.49511843619713408</v>
      </c>
      <c r="T1280">
        <v>0.71675267276769028</v>
      </c>
      <c r="U1280">
        <v>1.1040156122842524</v>
      </c>
      <c r="V1280">
        <v>1.728551928526872</v>
      </c>
      <c r="W1280">
        <v>2.6563633880482276</v>
      </c>
      <c r="X1280">
        <v>3.9741041625015909</v>
      </c>
      <c r="Y1280">
        <v>5.7472336560507413</v>
      </c>
      <c r="Z1280">
        <v>8.0761681322147592</v>
      </c>
      <c r="AA1280">
        <v>11.08260344654666</v>
      </c>
      <c r="AB1280">
        <v>14.91105046311867</v>
      </c>
      <c r="AC1280">
        <v>19.681914792861299</v>
      </c>
      <c r="AD1280">
        <v>25.163101062933141</v>
      </c>
    </row>
    <row r="1281" spans="2:30" x14ac:dyDescent="0.25">
      <c r="B1281" t="s">
        <v>133</v>
      </c>
      <c r="C1281" t="s">
        <v>3256</v>
      </c>
      <c r="D1281" t="s">
        <v>7345</v>
      </c>
      <c r="E1281" t="s">
        <v>7346</v>
      </c>
      <c r="F1281" t="s">
        <v>7347</v>
      </c>
      <c r="G1281" t="s">
        <v>3890</v>
      </c>
      <c r="H1281" t="s">
        <v>7090</v>
      </c>
      <c r="J1281">
        <v>1</v>
      </c>
      <c r="K1281">
        <v>1.310636584915303E-3</v>
      </c>
      <c r="L1281">
        <v>6.0652618287127875E-2</v>
      </c>
      <c r="M1281">
        <v>6.4134140913325532E-2</v>
      </c>
      <c r="N1281">
        <v>6.2937701250669234E-2</v>
      </c>
      <c r="O1281">
        <v>7.1590820355352677E-2</v>
      </c>
      <c r="P1281">
        <v>7.4454667374378891E-2</v>
      </c>
      <c r="Q1281">
        <v>8.5489431161309193E-2</v>
      </c>
      <c r="R1281">
        <v>0.10588767103514807</v>
      </c>
      <c r="S1281">
        <v>0.14326023503161664</v>
      </c>
      <c r="T1281">
        <v>0.2091977695869634</v>
      </c>
      <c r="U1281">
        <v>0.32222775366462847</v>
      </c>
      <c r="V1281">
        <v>0.50451044244695609</v>
      </c>
      <c r="W1281">
        <v>0.77530969483007506</v>
      </c>
      <c r="X1281">
        <v>1.1599171631844893</v>
      </c>
      <c r="Y1281">
        <v>1.6774384077262166</v>
      </c>
      <c r="Z1281">
        <v>2.3571818065842582</v>
      </c>
      <c r="AA1281">
        <v>3.2346665876833067</v>
      </c>
      <c r="AB1281">
        <v>4.3520709689688335</v>
      </c>
      <c r="AC1281">
        <v>5.7445375961670901</v>
      </c>
      <c r="AD1281">
        <v>7.3443250625493226</v>
      </c>
    </row>
    <row r="1282" spans="2:30" x14ac:dyDescent="0.25">
      <c r="B1282" t="s">
        <v>133</v>
      </c>
      <c r="C1282" t="s">
        <v>3256</v>
      </c>
      <c r="D1282" t="s">
        <v>7348</v>
      </c>
      <c r="E1282" t="s">
        <v>7349</v>
      </c>
      <c r="F1282" t="s">
        <v>7350</v>
      </c>
      <c r="G1282" t="s">
        <v>3890</v>
      </c>
      <c r="H1282" t="s">
        <v>7086</v>
      </c>
      <c r="J1282">
        <v>1</v>
      </c>
      <c r="K1282">
        <v>38.65236853362601</v>
      </c>
      <c r="L1282">
        <v>33.805636575453228</v>
      </c>
      <c r="M1282">
        <v>46.099978575792285</v>
      </c>
      <c r="N1282">
        <v>44.718793110056261</v>
      </c>
      <c r="O1282">
        <v>47.042747668612506</v>
      </c>
      <c r="P1282">
        <v>46.104613073217116</v>
      </c>
      <c r="Q1282">
        <v>47.041445301800941</v>
      </c>
      <c r="R1282">
        <v>48.603608564181741</v>
      </c>
      <c r="S1282">
        <v>50.402958124318872</v>
      </c>
      <c r="T1282">
        <v>52.444816914424159</v>
      </c>
      <c r="U1282">
        <v>55.087355347882706</v>
      </c>
      <c r="V1282">
        <v>58.109603225046982</v>
      </c>
      <c r="W1282">
        <v>61.561287897522391</v>
      </c>
      <c r="X1282">
        <v>65.543253757733552</v>
      </c>
      <c r="Y1282">
        <v>70.114587810061238</v>
      </c>
      <c r="Z1282">
        <v>75.400633512770455</v>
      </c>
      <c r="AA1282">
        <v>81.532309466502454</v>
      </c>
      <c r="AB1282">
        <v>88.671730351793286</v>
      </c>
      <c r="AC1282">
        <v>96.960122643475302</v>
      </c>
      <c r="AD1282">
        <v>106.04272412234911</v>
      </c>
    </row>
    <row r="1283" spans="2:30" x14ac:dyDescent="0.25">
      <c r="B1283" t="s">
        <v>133</v>
      </c>
      <c r="C1283" t="s">
        <v>3256</v>
      </c>
      <c r="D1283" t="s">
        <v>7351</v>
      </c>
      <c r="E1283" t="s">
        <v>7352</v>
      </c>
      <c r="F1283" t="s">
        <v>7353</v>
      </c>
      <c r="G1283" t="s">
        <v>3890</v>
      </c>
      <c r="H1283" t="s">
        <v>7090</v>
      </c>
      <c r="J1283">
        <v>1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  <c r="W1283" t="e">
        <v>#N/A</v>
      </c>
      <c r="X1283" t="e">
        <v>#N/A</v>
      </c>
      <c r="Y1283" t="e">
        <v>#N/A</v>
      </c>
      <c r="Z1283" t="e">
        <v>#N/A</v>
      </c>
      <c r="AA1283" t="e">
        <v>#N/A</v>
      </c>
      <c r="AB1283" t="e">
        <v>#N/A</v>
      </c>
      <c r="AC1283" t="e">
        <v>#N/A</v>
      </c>
      <c r="AD1283" t="e">
        <v>#N/A</v>
      </c>
    </row>
    <row r="1284" spans="2:30" x14ac:dyDescent="0.25">
      <c r="B1284" t="s">
        <v>133</v>
      </c>
      <c r="C1284" t="s">
        <v>3256</v>
      </c>
      <c r="D1284" t="s">
        <v>7348</v>
      </c>
      <c r="E1284" t="s">
        <v>7354</v>
      </c>
      <c r="F1284" t="s">
        <v>7355</v>
      </c>
      <c r="G1284" t="s">
        <v>3890</v>
      </c>
      <c r="H1284" t="s">
        <v>7086</v>
      </c>
      <c r="J1284">
        <v>1</v>
      </c>
      <c r="K1284">
        <v>7.5366475799184818E-2</v>
      </c>
      <c r="L1284">
        <v>6.1805180284320277E-2</v>
      </c>
      <c r="M1284">
        <v>8.122792209540465E-2</v>
      </c>
      <c r="N1284">
        <v>7.6948440538852261E-2</v>
      </c>
      <c r="O1284">
        <v>7.7541393329836825E-2</v>
      </c>
      <c r="P1284">
        <v>7.2904128756297343E-2</v>
      </c>
      <c r="Q1284">
        <v>7.0958765800450394E-2</v>
      </c>
      <c r="R1284">
        <v>6.9469807630689343E-2</v>
      </c>
      <c r="S1284">
        <v>6.8463334033280573E-2</v>
      </c>
      <c r="T1284">
        <v>6.7946924659750926E-2</v>
      </c>
      <c r="U1284">
        <v>6.8109007654107892E-2</v>
      </c>
      <c r="V1284">
        <v>6.8597175725227943E-2</v>
      </c>
      <c r="W1284">
        <v>6.9421201718517886E-2</v>
      </c>
      <c r="X1284">
        <v>7.0641360333673228E-2</v>
      </c>
      <c r="Y1284">
        <v>7.2261454904571643E-2</v>
      </c>
      <c r="Z1284">
        <v>7.4346634849882062E-2</v>
      </c>
      <c r="AA1284">
        <v>7.6952888802981206E-2</v>
      </c>
      <c r="AB1284">
        <v>8.0151231518333102E-2</v>
      </c>
      <c r="AC1284">
        <v>8.3978688413020378E-2</v>
      </c>
      <c r="AD1284">
        <v>8.8049910195196451E-2</v>
      </c>
    </row>
    <row r="1285" spans="2:30" x14ac:dyDescent="0.25">
      <c r="B1285" t="s">
        <v>133</v>
      </c>
      <c r="C1285" t="s">
        <v>3256</v>
      </c>
      <c r="D1285" t="s">
        <v>7351</v>
      </c>
      <c r="E1285" t="s">
        <v>7356</v>
      </c>
      <c r="F1285" t="s">
        <v>7357</v>
      </c>
      <c r="G1285" t="s">
        <v>3890</v>
      </c>
      <c r="H1285" t="s">
        <v>7090</v>
      </c>
      <c r="J1285">
        <v>1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  <c r="W1285" t="e">
        <v>#N/A</v>
      </c>
      <c r="X1285" t="e">
        <v>#N/A</v>
      </c>
      <c r="Y1285" t="e">
        <v>#N/A</v>
      </c>
      <c r="Z1285" t="e">
        <v>#N/A</v>
      </c>
      <c r="AA1285" t="e">
        <v>#N/A</v>
      </c>
      <c r="AB1285" t="e">
        <v>#N/A</v>
      </c>
      <c r="AC1285" t="e">
        <v>#N/A</v>
      </c>
      <c r="AD1285" t="e">
        <v>#N/A</v>
      </c>
    </row>
    <row r="1286" spans="2:30" x14ac:dyDescent="0.25">
      <c r="B1286" t="s">
        <v>133</v>
      </c>
      <c r="C1286" t="s">
        <v>3261</v>
      </c>
      <c r="D1286" t="s">
        <v>3887</v>
      </c>
      <c r="E1286" t="s">
        <v>3888</v>
      </c>
      <c r="F1286" t="s">
        <v>7358</v>
      </c>
      <c r="G1286" t="s">
        <v>3890</v>
      </c>
      <c r="H1286" t="s">
        <v>3891</v>
      </c>
      <c r="I1286" t="s">
        <v>3892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0.37892999999999999</v>
      </c>
      <c r="P1286">
        <v>0.36404999999999998</v>
      </c>
      <c r="Q1286">
        <v>0.35554000000000002</v>
      </c>
      <c r="R1286">
        <v>0.33332000000000001</v>
      </c>
      <c r="S1286">
        <v>0.31763999999999998</v>
      </c>
      <c r="T1286">
        <v>0.30081000000000002</v>
      </c>
      <c r="U1286">
        <v>0.28682000000000002</v>
      </c>
      <c r="V1286">
        <v>0.27356999999999998</v>
      </c>
      <c r="W1286">
        <v>0.26189000000000001</v>
      </c>
      <c r="X1286">
        <v>0.25148999999999999</v>
      </c>
      <c r="Y1286">
        <v>0.24248</v>
      </c>
      <c r="Z1286">
        <v>0.23480000000000001</v>
      </c>
      <c r="AA1286">
        <v>0.22847000000000001</v>
      </c>
      <c r="AB1286">
        <v>0.22348999999999999</v>
      </c>
      <c r="AC1286">
        <v>0.21967</v>
      </c>
      <c r="AD1286">
        <v>0.21612999999999999</v>
      </c>
    </row>
    <row r="1287" spans="2:30" x14ac:dyDescent="0.25">
      <c r="B1287" t="s">
        <v>133</v>
      </c>
      <c r="C1287" t="s">
        <v>3261</v>
      </c>
      <c r="D1287" t="s">
        <v>3364</v>
      </c>
      <c r="E1287" t="s">
        <v>1403</v>
      </c>
      <c r="F1287" t="s">
        <v>7359</v>
      </c>
      <c r="G1287" t="s">
        <v>3890</v>
      </c>
      <c r="H1287" t="s">
        <v>1397</v>
      </c>
      <c r="I1287" t="s">
        <v>3894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2:30" x14ac:dyDescent="0.25">
      <c r="B1288" t="s">
        <v>133</v>
      </c>
      <c r="C1288" t="s">
        <v>3261</v>
      </c>
      <c r="D1288" t="s">
        <v>3369</v>
      </c>
      <c r="E1288" t="s">
        <v>3370</v>
      </c>
      <c r="F1288" t="s">
        <v>7360</v>
      </c>
      <c r="G1288" t="s">
        <v>3890</v>
      </c>
      <c r="H1288" t="s">
        <v>3896</v>
      </c>
      <c r="I1288" t="s">
        <v>3894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2:30" x14ac:dyDescent="0.25">
      <c r="B1289" t="s">
        <v>133</v>
      </c>
      <c r="C1289" t="s">
        <v>3261</v>
      </c>
      <c r="D1289" t="s">
        <v>3897</v>
      </c>
      <c r="E1289" t="s">
        <v>1404</v>
      </c>
      <c r="F1289" t="s">
        <v>7361</v>
      </c>
      <c r="G1289" t="s">
        <v>3890</v>
      </c>
      <c r="H1289" t="s">
        <v>1401</v>
      </c>
      <c r="I1289" t="s">
        <v>3894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2:30" x14ac:dyDescent="0.25">
      <c r="B1290" t="s">
        <v>133</v>
      </c>
      <c r="C1290" t="s">
        <v>3261</v>
      </c>
      <c r="D1290" t="s">
        <v>3899</v>
      </c>
      <c r="E1290" t="s">
        <v>3900</v>
      </c>
      <c r="F1290" t="s">
        <v>7362</v>
      </c>
      <c r="G1290" t="s">
        <v>3890</v>
      </c>
      <c r="H1290" t="s">
        <v>3891</v>
      </c>
      <c r="I1290" t="s">
        <v>3892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0.37892999999999999</v>
      </c>
      <c r="P1290">
        <v>0.36404999999999998</v>
      </c>
      <c r="Q1290">
        <v>0.35554000000000002</v>
      </c>
      <c r="R1290">
        <v>0.33332000000000001</v>
      </c>
      <c r="S1290">
        <v>0.31763999999999998</v>
      </c>
      <c r="T1290">
        <v>0.30081000000000002</v>
      </c>
      <c r="U1290">
        <v>0.28682000000000002</v>
      </c>
      <c r="V1290">
        <v>0.27356999999999998</v>
      </c>
      <c r="W1290">
        <v>0.26189000000000001</v>
      </c>
      <c r="X1290">
        <v>0.25148999999999999</v>
      </c>
      <c r="Y1290">
        <v>0.24248</v>
      </c>
      <c r="Z1290">
        <v>0.23480000000000001</v>
      </c>
      <c r="AA1290">
        <v>0.22847000000000001</v>
      </c>
      <c r="AB1290">
        <v>0.22348999999999999</v>
      </c>
      <c r="AC1290">
        <v>0.21967</v>
      </c>
      <c r="AD1290">
        <v>0.21612999999999999</v>
      </c>
    </row>
    <row r="1291" spans="2:30" x14ac:dyDescent="0.25">
      <c r="B1291" t="s">
        <v>133</v>
      </c>
      <c r="C1291" t="s">
        <v>3261</v>
      </c>
      <c r="D1291" t="s">
        <v>3902</v>
      </c>
      <c r="E1291" t="s">
        <v>3903</v>
      </c>
      <c r="F1291" t="s">
        <v>7363</v>
      </c>
      <c r="G1291" t="s">
        <v>3890</v>
      </c>
      <c r="H1291" t="s">
        <v>3891</v>
      </c>
      <c r="I1291" t="s">
        <v>3892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2:30" x14ac:dyDescent="0.25">
      <c r="B1292" t="s">
        <v>133</v>
      </c>
      <c r="C1292" t="s">
        <v>3261</v>
      </c>
      <c r="D1292" t="s">
        <v>3905</v>
      </c>
      <c r="E1292" t="s">
        <v>3906</v>
      </c>
      <c r="F1292" t="s">
        <v>7364</v>
      </c>
      <c r="G1292" t="s">
        <v>3890</v>
      </c>
      <c r="H1292" t="s">
        <v>3891</v>
      </c>
      <c r="I1292" t="s">
        <v>3892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2:30" x14ac:dyDescent="0.25">
      <c r="B1293" t="s">
        <v>133</v>
      </c>
      <c r="C1293" t="s">
        <v>3261</v>
      </c>
      <c r="D1293" t="s">
        <v>3908</v>
      </c>
      <c r="E1293" t="s">
        <v>3909</v>
      </c>
      <c r="F1293" t="s">
        <v>7365</v>
      </c>
      <c r="G1293" t="s">
        <v>3890</v>
      </c>
      <c r="H1293" t="s">
        <v>3891</v>
      </c>
      <c r="I1293" t="s">
        <v>3892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2:30" x14ac:dyDescent="0.25">
      <c r="B1294" t="s">
        <v>133</v>
      </c>
      <c r="C1294" t="s">
        <v>3261</v>
      </c>
      <c r="D1294" t="s">
        <v>3911</v>
      </c>
      <c r="E1294" t="s">
        <v>3912</v>
      </c>
      <c r="F1294" t="s">
        <v>7366</v>
      </c>
      <c r="G1294" t="s">
        <v>3890</v>
      </c>
      <c r="H1294" t="s">
        <v>3891</v>
      </c>
      <c r="I1294" t="s">
        <v>3892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2:30" x14ac:dyDescent="0.25">
      <c r="B1295" t="s">
        <v>133</v>
      </c>
      <c r="C1295" t="s">
        <v>3261</v>
      </c>
      <c r="D1295" t="s">
        <v>3914</v>
      </c>
      <c r="E1295" t="s">
        <v>3915</v>
      </c>
      <c r="F1295" t="s">
        <v>7367</v>
      </c>
      <c r="G1295" t="s">
        <v>3890</v>
      </c>
      <c r="H1295" t="s">
        <v>3917</v>
      </c>
      <c r="I1295" t="s">
        <v>3892</v>
      </c>
      <c r="J1295">
        <v>2</v>
      </c>
      <c r="K1295">
        <v>6.651E-2</v>
      </c>
      <c r="L1295">
        <v>3.7600000000000001E-2</v>
      </c>
      <c r="M1295">
        <v>2.3990000000000001E-2</v>
      </c>
      <c r="N1295">
        <v>4.3920000000000001E-2</v>
      </c>
      <c r="O1295">
        <v>4.24E-2</v>
      </c>
      <c r="P1295">
        <v>4.829E-2</v>
      </c>
      <c r="Q1295">
        <v>5.5350000000000003E-2</v>
      </c>
      <c r="R1295">
        <v>5.2269999999999997E-2</v>
      </c>
      <c r="S1295">
        <v>4.8419999999999998E-2</v>
      </c>
      <c r="T1295">
        <v>4.7890000000000002E-2</v>
      </c>
      <c r="U1295">
        <v>4.7359999999999999E-2</v>
      </c>
      <c r="V1295">
        <v>4.6820000000000001E-2</v>
      </c>
      <c r="W1295">
        <v>4.6289999999999998E-2</v>
      </c>
      <c r="X1295">
        <v>4.5760000000000002E-2</v>
      </c>
      <c r="Y1295">
        <v>4.5229999999999999E-2</v>
      </c>
      <c r="Z1295">
        <v>4.4699999999999997E-2</v>
      </c>
      <c r="AA1295">
        <v>4.4170000000000001E-2</v>
      </c>
      <c r="AB1295">
        <v>4.3639999999999998E-2</v>
      </c>
      <c r="AC1295">
        <v>4.3099999999999999E-2</v>
      </c>
      <c r="AD1295">
        <v>4.2569999999999997E-2</v>
      </c>
    </row>
    <row r="1296" spans="2:30" x14ac:dyDescent="0.25">
      <c r="B1296" t="s">
        <v>133</v>
      </c>
      <c r="C1296" t="s">
        <v>3261</v>
      </c>
      <c r="D1296" t="s">
        <v>3918</v>
      </c>
      <c r="E1296" t="s">
        <v>3919</v>
      </c>
      <c r="F1296" t="s">
        <v>7368</v>
      </c>
      <c r="G1296" t="s">
        <v>3890</v>
      </c>
      <c r="H1296" t="s">
        <v>3917</v>
      </c>
      <c r="I1296" t="s">
        <v>3892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-7.6000000000000004E-4</v>
      </c>
      <c r="R1296">
        <v>-2.4399999999999999E-3</v>
      </c>
      <c r="S1296">
        <v>-4.0299999999999997E-3</v>
      </c>
      <c r="T1296">
        <v>-5.3899999999999998E-3</v>
      </c>
      <c r="U1296">
        <v>-6.5100000000000002E-3</v>
      </c>
      <c r="V1296">
        <v>-7.3200000000000001E-3</v>
      </c>
      <c r="W1296">
        <v>-7.9900000000000006E-3</v>
      </c>
      <c r="X1296">
        <v>-8.5299999999999994E-3</v>
      </c>
      <c r="Y1296">
        <v>-8.9300000000000004E-3</v>
      </c>
      <c r="Z1296">
        <v>-9.2499999999999995E-3</v>
      </c>
      <c r="AA1296">
        <v>-9.5499999999999995E-3</v>
      </c>
      <c r="AB1296">
        <v>-9.9299999999999996E-3</v>
      </c>
      <c r="AC1296">
        <v>-9.41E-3</v>
      </c>
      <c r="AD1296">
        <v>-8.5000000000000006E-3</v>
      </c>
    </row>
    <row r="1297" spans="2:30" x14ac:dyDescent="0.25">
      <c r="B1297" t="s">
        <v>133</v>
      </c>
      <c r="C1297" t="s">
        <v>3261</v>
      </c>
      <c r="D1297" t="s">
        <v>3921</v>
      </c>
      <c r="E1297" t="s">
        <v>3922</v>
      </c>
      <c r="F1297" t="s">
        <v>7369</v>
      </c>
      <c r="G1297" t="s">
        <v>3890</v>
      </c>
      <c r="H1297" t="s">
        <v>3917</v>
      </c>
      <c r="I1297" t="s">
        <v>3892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1.4999999999999999E-4</v>
      </c>
      <c r="R1297">
        <v>4.2999999999999999E-4</v>
      </c>
      <c r="S1297">
        <v>6.4999999999999997E-4</v>
      </c>
      <c r="T1297">
        <v>8.3000000000000001E-4</v>
      </c>
      <c r="U1297">
        <v>9.6000000000000002E-4</v>
      </c>
      <c r="V1297">
        <v>1.09E-3</v>
      </c>
      <c r="W1297">
        <v>1.2099999999999999E-3</v>
      </c>
      <c r="X1297">
        <v>1.34E-3</v>
      </c>
      <c r="Y1297">
        <v>1.47E-3</v>
      </c>
      <c r="Z1297">
        <v>1.5900000000000001E-3</v>
      </c>
      <c r="AA1297">
        <v>1.6999999999999999E-3</v>
      </c>
      <c r="AB1297">
        <v>1.83E-3</v>
      </c>
      <c r="AC1297">
        <v>1.7600000000000001E-3</v>
      </c>
      <c r="AD1297">
        <v>1.6900000000000001E-3</v>
      </c>
    </row>
    <row r="1298" spans="2:30" x14ac:dyDescent="0.25">
      <c r="B1298" t="s">
        <v>133</v>
      </c>
      <c r="C1298" t="s">
        <v>3261</v>
      </c>
      <c r="D1298" t="s">
        <v>3924</v>
      </c>
      <c r="E1298" t="s">
        <v>3925</v>
      </c>
      <c r="F1298" t="s">
        <v>7370</v>
      </c>
      <c r="G1298" t="s">
        <v>3890</v>
      </c>
      <c r="H1298" t="s">
        <v>3917</v>
      </c>
      <c r="I1298" t="s">
        <v>3892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6.3000000000000003E-4</v>
      </c>
      <c r="R1298">
        <v>1.81E-3</v>
      </c>
      <c r="S1298">
        <v>2.7899999999999999E-3</v>
      </c>
      <c r="T1298">
        <v>3.62E-3</v>
      </c>
      <c r="U1298">
        <v>4.3200000000000001E-3</v>
      </c>
      <c r="V1298">
        <v>5.0800000000000003E-3</v>
      </c>
      <c r="W1298">
        <v>5.8999999999999999E-3</v>
      </c>
      <c r="X1298">
        <v>6.8300000000000001E-3</v>
      </c>
      <c r="Y1298">
        <v>7.9000000000000008E-3</v>
      </c>
      <c r="Z1298">
        <v>9.1500000000000001E-3</v>
      </c>
      <c r="AA1298">
        <v>1.0489999999999999E-2</v>
      </c>
      <c r="AB1298">
        <v>1.188E-2</v>
      </c>
      <c r="AC1298">
        <v>1.2409999999999999E-2</v>
      </c>
      <c r="AD1298">
        <v>1.2869999999999999E-2</v>
      </c>
    </row>
    <row r="1299" spans="2:30" x14ac:dyDescent="0.25">
      <c r="B1299" t="s">
        <v>133</v>
      </c>
      <c r="C1299" t="s">
        <v>3261</v>
      </c>
      <c r="D1299" t="s">
        <v>3927</v>
      </c>
      <c r="E1299" t="s">
        <v>3928</v>
      </c>
      <c r="F1299" t="s">
        <v>7371</v>
      </c>
      <c r="G1299" t="s">
        <v>3890</v>
      </c>
      <c r="H1299" t="s">
        <v>3917</v>
      </c>
      <c r="I1299" t="s">
        <v>3892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2:30" x14ac:dyDescent="0.25">
      <c r="B1300" t="s">
        <v>133</v>
      </c>
      <c r="C1300" t="s">
        <v>3261</v>
      </c>
      <c r="D1300" t="s">
        <v>3930</v>
      </c>
      <c r="E1300" t="s">
        <v>3931</v>
      </c>
      <c r="F1300" t="s">
        <v>7372</v>
      </c>
      <c r="G1300" t="s">
        <v>3890</v>
      </c>
      <c r="H1300" t="s">
        <v>3917</v>
      </c>
      <c r="I1300" t="s">
        <v>3892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6.9999999999999994E-5</v>
      </c>
      <c r="R1300">
        <v>2.3000000000000001E-4</v>
      </c>
      <c r="S1300">
        <v>4.2000000000000002E-4</v>
      </c>
      <c r="T1300">
        <v>6.0999999999999997E-4</v>
      </c>
      <c r="U1300">
        <v>7.6999999999999996E-4</v>
      </c>
      <c r="V1300">
        <v>9.1E-4</v>
      </c>
      <c r="W1300">
        <v>1.0399999999999999E-3</v>
      </c>
      <c r="X1300">
        <v>1.17E-3</v>
      </c>
      <c r="Y1300">
        <v>1.2999999999999999E-3</v>
      </c>
      <c r="Z1300">
        <v>1.41E-3</v>
      </c>
      <c r="AA1300">
        <v>1.5200000000000001E-3</v>
      </c>
      <c r="AB1300">
        <v>1.64E-3</v>
      </c>
      <c r="AC1300">
        <v>1.6800000000000001E-3</v>
      </c>
      <c r="AD1300">
        <v>1.66E-3</v>
      </c>
    </row>
    <row r="1301" spans="2:30" x14ac:dyDescent="0.25">
      <c r="B1301" t="s">
        <v>133</v>
      </c>
      <c r="C1301" t="s">
        <v>3261</v>
      </c>
      <c r="D1301" t="s">
        <v>3933</v>
      </c>
      <c r="E1301" t="s">
        <v>3934</v>
      </c>
      <c r="F1301" t="s">
        <v>7373</v>
      </c>
      <c r="G1301" t="s">
        <v>3890</v>
      </c>
      <c r="H1301" t="s">
        <v>3917</v>
      </c>
      <c r="I1301" t="s">
        <v>3892</v>
      </c>
      <c r="J1301">
        <v>2</v>
      </c>
      <c r="K1301">
        <v>6.651E-2</v>
      </c>
      <c r="L1301">
        <v>3.7600000000000001E-2</v>
      </c>
      <c r="M1301">
        <v>2.3990000000000001E-2</v>
      </c>
      <c r="N1301">
        <v>4.3920000000000001E-2</v>
      </c>
      <c r="O1301">
        <v>4.24E-2</v>
      </c>
      <c r="P1301">
        <v>4.829E-2</v>
      </c>
      <c r="Q1301">
        <v>5.5440000000000003E-2</v>
      </c>
      <c r="R1301">
        <v>5.2299999999999999E-2</v>
      </c>
      <c r="S1301">
        <v>4.8249999999999994E-2</v>
      </c>
      <c r="T1301">
        <v>4.7559999999999998E-2</v>
      </c>
      <c r="U1301">
        <v>4.6899999999999997E-2</v>
      </c>
      <c r="V1301">
        <v>4.6580000000000003E-2</v>
      </c>
      <c r="W1301">
        <v>4.6450000000000005E-2</v>
      </c>
      <c r="X1301">
        <v>4.657E-2</v>
      </c>
      <c r="Y1301">
        <v>4.6970000000000005E-2</v>
      </c>
      <c r="Z1301">
        <v>4.7599999999999996E-2</v>
      </c>
      <c r="AA1301">
        <v>4.8329999999999998E-2</v>
      </c>
      <c r="AB1301">
        <v>4.9059999999999999E-2</v>
      </c>
      <c r="AC1301">
        <v>4.9539999999999994E-2</v>
      </c>
      <c r="AD1301">
        <v>5.0289999999999994E-2</v>
      </c>
    </row>
    <row r="1302" spans="2:30" x14ac:dyDescent="0.25">
      <c r="B1302" t="s">
        <v>133</v>
      </c>
      <c r="C1302" t="s">
        <v>3261</v>
      </c>
      <c r="D1302" t="s">
        <v>3936</v>
      </c>
      <c r="E1302" t="s">
        <v>3437</v>
      </c>
      <c r="F1302" t="s">
        <v>7374</v>
      </c>
      <c r="G1302" t="s">
        <v>3890</v>
      </c>
      <c r="H1302" t="s">
        <v>2308</v>
      </c>
      <c r="I1302" t="s">
        <v>3938</v>
      </c>
      <c r="J1302">
        <v>1</v>
      </c>
      <c r="K1302">
        <v>-31.97</v>
      </c>
      <c r="L1302">
        <v>-26.57</v>
      </c>
      <c r="M1302">
        <v>-38.700000000000003</v>
      </c>
      <c r="N1302">
        <v>-37.520000000000003</v>
      </c>
      <c r="O1302">
        <v>-39.340000000000003</v>
      </c>
      <c r="P1302">
        <v>-38.21</v>
      </c>
      <c r="Q1302">
        <v>-38.520000000000003</v>
      </c>
      <c r="R1302">
        <v>-39.229999999999997</v>
      </c>
      <c r="S1302">
        <v>-39.94</v>
      </c>
      <c r="T1302">
        <v>-40.520000000000003</v>
      </c>
      <c r="U1302">
        <v>-41.25</v>
      </c>
      <c r="V1302">
        <v>-41.92</v>
      </c>
      <c r="W1302">
        <v>-42.48</v>
      </c>
      <c r="X1302">
        <v>-42.9</v>
      </c>
      <c r="Y1302">
        <v>-43.07</v>
      </c>
      <c r="Z1302">
        <v>-43.04</v>
      </c>
      <c r="AA1302">
        <v>-42.79</v>
      </c>
      <c r="AB1302">
        <v>-42.3</v>
      </c>
      <c r="AC1302">
        <v>-41.94</v>
      </c>
      <c r="AD1302">
        <v>-43.65</v>
      </c>
    </row>
    <row r="1303" spans="2:30" x14ac:dyDescent="0.25">
      <c r="B1303" t="s">
        <v>133</v>
      </c>
      <c r="C1303" t="s">
        <v>3261</v>
      </c>
      <c r="D1303" t="s">
        <v>3939</v>
      </c>
      <c r="E1303" t="s">
        <v>3443</v>
      </c>
      <c r="F1303" t="s">
        <v>7375</v>
      </c>
      <c r="G1303" t="s">
        <v>3890</v>
      </c>
      <c r="H1303" t="s">
        <v>2308</v>
      </c>
      <c r="I1303" t="s">
        <v>3938</v>
      </c>
      <c r="J1303">
        <v>2</v>
      </c>
      <c r="K1303">
        <v>-31.97</v>
      </c>
      <c r="L1303">
        <v>-26.57</v>
      </c>
      <c r="M1303">
        <v>-38.700000000000003</v>
      </c>
      <c r="N1303">
        <v>-37.520000000000003</v>
      </c>
      <c r="O1303">
        <v>-39.340000000000003</v>
      </c>
      <c r="P1303">
        <v>-38.21</v>
      </c>
      <c r="Q1303">
        <v>-37.08</v>
      </c>
      <c r="R1303">
        <v>-35.1</v>
      </c>
      <c r="S1303">
        <v>-33.51</v>
      </c>
      <c r="T1303">
        <v>-31.76</v>
      </c>
      <c r="U1303">
        <v>-30.31</v>
      </c>
      <c r="V1303">
        <v>-28.77</v>
      </c>
      <c r="W1303">
        <v>-27.1</v>
      </c>
      <c r="X1303">
        <v>-25.22</v>
      </c>
      <c r="Y1303">
        <v>-23</v>
      </c>
      <c r="Z1303">
        <v>-20.440000000000001</v>
      </c>
      <c r="AA1303">
        <v>-17.46</v>
      </c>
      <c r="AB1303">
        <v>-13.99</v>
      </c>
      <c r="AC1303">
        <v>-10.33</v>
      </c>
      <c r="AD1303">
        <v>-8.5299999999999994</v>
      </c>
    </row>
    <row r="1304" spans="2:30" x14ac:dyDescent="0.25">
      <c r="B1304" t="s">
        <v>133</v>
      </c>
      <c r="C1304" t="s">
        <v>3261</v>
      </c>
      <c r="D1304" t="s">
        <v>3941</v>
      </c>
      <c r="E1304" t="s">
        <v>3942</v>
      </c>
      <c r="F1304" t="s">
        <v>7376</v>
      </c>
      <c r="G1304" t="s">
        <v>3890</v>
      </c>
      <c r="H1304" t="s">
        <v>2308</v>
      </c>
      <c r="I1304" t="s">
        <v>3892</v>
      </c>
      <c r="J1304">
        <v>1</v>
      </c>
      <c r="K1304">
        <v>-5.8450000000000002E-2</v>
      </c>
      <c r="L1304">
        <v>-4.6809999999999997E-2</v>
      </c>
      <c r="M1304">
        <v>-6.6600000000000006E-2</v>
      </c>
      <c r="N1304">
        <v>-6.1839999999999999E-2</v>
      </c>
      <c r="O1304">
        <v>-6.2210000000000001E-2</v>
      </c>
      <c r="P1304">
        <v>-5.7639999999999997E-2</v>
      </c>
      <c r="Q1304">
        <v>-5.5050000000000002E-2</v>
      </c>
      <c r="R1304">
        <v>-5.3289999999999997E-2</v>
      </c>
      <c r="S1304">
        <v>-5.1740000000000001E-2</v>
      </c>
      <c r="T1304">
        <v>-5.0090000000000003E-2</v>
      </c>
      <c r="U1304">
        <v>-4.87E-2</v>
      </c>
      <c r="V1304">
        <v>-4.727E-2</v>
      </c>
      <c r="W1304">
        <v>-4.5780000000000001E-2</v>
      </c>
      <c r="X1304">
        <v>-4.4209999999999999E-2</v>
      </c>
      <c r="Y1304">
        <v>-4.2470000000000001E-2</v>
      </c>
      <c r="Z1304">
        <v>-4.0629999999999999E-2</v>
      </c>
      <c r="AA1304">
        <v>-3.8679999999999999E-2</v>
      </c>
      <c r="AB1304">
        <v>-3.6630000000000003E-2</v>
      </c>
      <c r="AC1304">
        <v>-3.483E-2</v>
      </c>
      <c r="AD1304">
        <v>-3.4759999999999999E-2</v>
      </c>
    </row>
    <row r="1305" spans="2:30" x14ac:dyDescent="0.25">
      <c r="B1305" t="s">
        <v>133</v>
      </c>
      <c r="C1305" t="s">
        <v>3261</v>
      </c>
      <c r="D1305" t="s">
        <v>3944</v>
      </c>
      <c r="E1305" t="s">
        <v>3945</v>
      </c>
      <c r="F1305" t="s">
        <v>7377</v>
      </c>
      <c r="G1305" t="s">
        <v>3890</v>
      </c>
      <c r="H1305" t="s">
        <v>2308</v>
      </c>
      <c r="I1305" t="s">
        <v>3892</v>
      </c>
      <c r="J1305">
        <v>2</v>
      </c>
      <c r="K1305">
        <v>-5.8450000000000002E-2</v>
      </c>
      <c r="L1305">
        <v>-4.6809999999999997E-2</v>
      </c>
      <c r="M1305">
        <v>-6.6600000000000006E-2</v>
      </c>
      <c r="N1305">
        <v>-6.1839999999999999E-2</v>
      </c>
      <c r="O1305">
        <v>-6.2210000000000001E-2</v>
      </c>
      <c r="P1305">
        <v>-5.7639999999999997E-2</v>
      </c>
      <c r="Q1305">
        <v>-5.2999999999999999E-2</v>
      </c>
      <c r="R1305">
        <v>-4.768E-2</v>
      </c>
      <c r="S1305">
        <v>-4.3409999999999997E-2</v>
      </c>
      <c r="T1305">
        <v>-3.9269999999999999E-2</v>
      </c>
      <c r="U1305">
        <v>-3.5790000000000002E-2</v>
      </c>
      <c r="V1305">
        <v>-3.2439999999999997E-2</v>
      </c>
      <c r="W1305">
        <v>-2.921E-2</v>
      </c>
      <c r="X1305">
        <v>-2.5989999999999999E-2</v>
      </c>
      <c r="Y1305">
        <v>-2.2679999999999999E-2</v>
      </c>
      <c r="Z1305">
        <v>-1.9290000000000002E-2</v>
      </c>
      <c r="AA1305">
        <v>-1.5789999999999998E-2</v>
      </c>
      <c r="AB1305">
        <v>-1.2109999999999999E-2</v>
      </c>
      <c r="AC1305">
        <v>-8.5800000000000008E-3</v>
      </c>
      <c r="AD1305">
        <v>-6.79E-3</v>
      </c>
    </row>
    <row r="1306" spans="2:30" x14ac:dyDescent="0.25">
      <c r="B1306" t="s">
        <v>133</v>
      </c>
      <c r="C1306" t="s">
        <v>3261</v>
      </c>
      <c r="D1306" t="s">
        <v>3947</v>
      </c>
      <c r="E1306" t="s">
        <v>3948</v>
      </c>
      <c r="F1306" t="s">
        <v>7378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5.2440694601318949E-4</v>
      </c>
      <c r="S1306">
        <v>6.0618522002228725E-4</v>
      </c>
      <c r="T1306">
        <v>7.1446124614762269E-4</v>
      </c>
      <c r="U1306">
        <v>7.4526129710120181E-4</v>
      </c>
      <c r="V1306">
        <v>8.0404384251288319E-4</v>
      </c>
      <c r="W1306">
        <v>8.458021258110765E-4</v>
      </c>
      <c r="X1306">
        <v>8.8507283006297038E-4</v>
      </c>
      <c r="Y1306">
        <v>9.126496608795609E-4</v>
      </c>
      <c r="Z1306">
        <v>9.3148795542979945E-4</v>
      </c>
      <c r="AA1306">
        <v>9.4184681589193353E-4</v>
      </c>
      <c r="AB1306">
        <v>9.4810800483133978E-4</v>
      </c>
      <c r="AC1306">
        <v>9.6575404000003723E-4</v>
      </c>
      <c r="AD1306">
        <v>9.4871313029039339E-4</v>
      </c>
    </row>
    <row r="1307" spans="2:30" x14ac:dyDescent="0.25">
      <c r="B1307" t="s">
        <v>133</v>
      </c>
      <c r="C1307" t="s">
        <v>3261</v>
      </c>
      <c r="D1307" t="s">
        <v>3950</v>
      </c>
      <c r="E1307" t="s">
        <v>3951</v>
      </c>
      <c r="F1307" t="s">
        <v>7379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2:30" x14ac:dyDescent="0.25">
      <c r="B1308" t="s">
        <v>133</v>
      </c>
      <c r="C1308" t="s">
        <v>3261</v>
      </c>
      <c r="D1308" t="s">
        <v>3953</v>
      </c>
      <c r="E1308" t="s">
        <v>3954</v>
      </c>
      <c r="F1308" t="s">
        <v>7380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2:30" x14ac:dyDescent="0.25">
      <c r="B1309" t="s">
        <v>133</v>
      </c>
      <c r="C1309" t="s">
        <v>3261</v>
      </c>
      <c r="D1309" t="s">
        <v>3956</v>
      </c>
      <c r="E1309" t="s">
        <v>3957</v>
      </c>
      <c r="F1309" t="s">
        <v>7381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2:30" x14ac:dyDescent="0.25">
      <c r="B1310" t="s">
        <v>133</v>
      </c>
      <c r="C1310" t="s">
        <v>3261</v>
      </c>
      <c r="D1310" t="s">
        <v>3959</v>
      </c>
      <c r="E1310" t="s">
        <v>3960</v>
      </c>
      <c r="F1310" t="s">
        <v>7382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2:30" x14ac:dyDescent="0.25">
      <c r="B1311" t="s">
        <v>133</v>
      </c>
      <c r="C1311" t="s">
        <v>3261</v>
      </c>
      <c r="D1311" t="s">
        <v>3962</v>
      </c>
      <c r="E1311" t="s">
        <v>3963</v>
      </c>
      <c r="F1311" t="s">
        <v>7383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2:30" x14ac:dyDescent="0.25">
      <c r="B1312" t="s">
        <v>133</v>
      </c>
      <c r="C1312" t="s">
        <v>3261</v>
      </c>
      <c r="D1312" t="s">
        <v>3965</v>
      </c>
      <c r="E1312" t="s">
        <v>3966</v>
      </c>
      <c r="F1312" t="s">
        <v>7384</v>
      </c>
      <c r="G1312" t="s">
        <v>3890</v>
      </c>
      <c r="H1312" t="s">
        <v>3968</v>
      </c>
      <c r="I1312" t="s">
        <v>3969</v>
      </c>
      <c r="J1312">
        <v>1</v>
      </c>
      <c r="K1312">
        <v>6.3</v>
      </c>
      <c r="L1312">
        <v>6.34</v>
      </c>
      <c r="M1312">
        <v>6.37</v>
      </c>
      <c r="N1312">
        <v>6.41</v>
      </c>
      <c r="O1312">
        <v>6.45</v>
      </c>
      <c r="P1312">
        <v>6.5</v>
      </c>
      <c r="Q1312">
        <v>6.55</v>
      </c>
      <c r="R1312">
        <v>6.6</v>
      </c>
      <c r="S1312">
        <v>6.65</v>
      </c>
      <c r="T1312">
        <v>6.7</v>
      </c>
      <c r="U1312">
        <v>6.74</v>
      </c>
      <c r="V1312">
        <v>6.79</v>
      </c>
      <c r="W1312">
        <v>6.83</v>
      </c>
      <c r="X1312">
        <v>6.88</v>
      </c>
      <c r="Y1312">
        <v>6.92</v>
      </c>
      <c r="Z1312">
        <v>6.97</v>
      </c>
      <c r="AA1312">
        <v>7.01</v>
      </c>
      <c r="AB1312">
        <v>7.05</v>
      </c>
      <c r="AC1312">
        <v>7.09</v>
      </c>
      <c r="AD1312">
        <v>7.14</v>
      </c>
    </row>
    <row r="1313" spans="2:30" x14ac:dyDescent="0.25">
      <c r="B1313" t="s">
        <v>133</v>
      </c>
      <c r="C1313" t="s">
        <v>3261</v>
      </c>
      <c r="D1313" t="s">
        <v>3970</v>
      </c>
      <c r="E1313" t="s">
        <v>3971</v>
      </c>
      <c r="F1313" t="s">
        <v>7385</v>
      </c>
      <c r="G1313" t="s">
        <v>3890</v>
      </c>
      <c r="H1313" t="s">
        <v>3917</v>
      </c>
      <c r="I1313" t="s">
        <v>3938</v>
      </c>
      <c r="J1313">
        <v>1</v>
      </c>
      <c r="K1313">
        <v>546.97091999999998</v>
      </c>
      <c r="L1313">
        <v>567.53857000000005</v>
      </c>
      <c r="M1313">
        <v>581.15269000000001</v>
      </c>
      <c r="N1313">
        <v>606.67916000000002</v>
      </c>
      <c r="O1313">
        <v>632.40057999999999</v>
      </c>
      <c r="P1313">
        <v>662.94057999999995</v>
      </c>
      <c r="Q1313">
        <v>699.63643999999999</v>
      </c>
      <c r="R1313">
        <v>736.20367999999996</v>
      </c>
      <c r="S1313">
        <v>771.84974999999997</v>
      </c>
      <c r="T1313">
        <v>808.8116</v>
      </c>
      <c r="U1313">
        <v>847.11364000000003</v>
      </c>
      <c r="V1313">
        <v>886.77935000000002</v>
      </c>
      <c r="W1313">
        <v>927.83114</v>
      </c>
      <c r="X1313">
        <v>970.29029000000003</v>
      </c>
      <c r="Y1313">
        <v>1014.17682</v>
      </c>
      <c r="Z1313">
        <v>1059.5094099999999</v>
      </c>
      <c r="AA1313">
        <v>1106.30528</v>
      </c>
      <c r="AB1313">
        <v>1154.5800999999999</v>
      </c>
      <c r="AC1313">
        <v>1204.3479</v>
      </c>
      <c r="AD1313">
        <v>1255.6209100000001</v>
      </c>
    </row>
    <row r="1314" spans="2:30" x14ac:dyDescent="0.25">
      <c r="B1314" t="s">
        <v>133</v>
      </c>
      <c r="C1314" t="s">
        <v>3261</v>
      </c>
      <c r="D1314" t="s">
        <v>3973</v>
      </c>
      <c r="E1314" t="s">
        <v>3974</v>
      </c>
      <c r="F1314" t="s">
        <v>7386</v>
      </c>
      <c r="G1314" t="s">
        <v>3890</v>
      </c>
      <c r="H1314" t="s">
        <v>3917</v>
      </c>
      <c r="I1314" t="s">
        <v>3938</v>
      </c>
      <c r="J1314">
        <v>2</v>
      </c>
      <c r="K1314">
        <v>546.97091999999998</v>
      </c>
      <c r="L1314">
        <v>567.53857000000005</v>
      </c>
      <c r="M1314">
        <v>581.15269000000001</v>
      </c>
      <c r="N1314">
        <v>606.67916000000002</v>
      </c>
      <c r="O1314">
        <v>632.40057999999999</v>
      </c>
      <c r="P1314">
        <v>662.94057999999995</v>
      </c>
      <c r="Q1314">
        <v>699.63643999999999</v>
      </c>
      <c r="R1314">
        <v>736.27094999999997</v>
      </c>
      <c r="S1314">
        <v>771.86963000000003</v>
      </c>
      <c r="T1314">
        <v>808.68093999999996</v>
      </c>
      <c r="U1314">
        <v>846.84849999999994</v>
      </c>
      <c r="V1314">
        <v>886.39095999999995</v>
      </c>
      <c r="W1314">
        <v>927.61672999999996</v>
      </c>
      <c r="X1314">
        <v>970.45006000000001</v>
      </c>
      <c r="Y1314">
        <v>1014.95788</v>
      </c>
      <c r="Z1314">
        <v>1061.26731</v>
      </c>
      <c r="AA1314">
        <v>1109.3825999999999</v>
      </c>
      <c r="AB1314">
        <v>1159.1872699999999</v>
      </c>
      <c r="AC1314">
        <v>1210.5993000000001</v>
      </c>
      <c r="AD1314">
        <v>1263.37355</v>
      </c>
    </row>
    <row r="1315" spans="2:30" x14ac:dyDescent="0.25">
      <c r="B1315" t="s">
        <v>133</v>
      </c>
      <c r="C1315" t="s">
        <v>3261</v>
      </c>
      <c r="D1315" t="s">
        <v>3976</v>
      </c>
      <c r="E1315" t="s">
        <v>3977</v>
      </c>
      <c r="F1315" t="s">
        <v>7387</v>
      </c>
      <c r="G1315" t="s">
        <v>3890</v>
      </c>
      <c r="H1315" t="s">
        <v>3979</v>
      </c>
      <c r="I1315" t="s">
        <v>3980</v>
      </c>
      <c r="J1315">
        <v>1</v>
      </c>
      <c r="K1315">
        <v>103.6</v>
      </c>
      <c r="L1315">
        <v>105.2</v>
      </c>
      <c r="M1315">
        <v>106.6</v>
      </c>
      <c r="N1315">
        <v>107.9</v>
      </c>
      <c r="O1315">
        <v>110.05800000000001</v>
      </c>
      <c r="P1315">
        <v>112.25915999999999</v>
      </c>
      <c r="Q1315">
        <v>114.50434300000001</v>
      </c>
      <c r="R1315">
        <v>116.79443000000001</v>
      </c>
      <c r="S1315">
        <v>120.29826300000001</v>
      </c>
      <c r="T1315">
        <v>125.110193</v>
      </c>
      <c r="U1315">
        <v>130.11460017919998</v>
      </c>
      <c r="V1315">
        <v>135.31918362393597</v>
      </c>
      <c r="W1315">
        <v>140.73195038396412</v>
      </c>
      <c r="X1315">
        <v>146.36122779099622</v>
      </c>
      <c r="Y1315">
        <v>152.21567626997654</v>
      </c>
      <c r="Z1315">
        <v>158.3043026628097</v>
      </c>
      <c r="AA1315">
        <v>164.63647408503755</v>
      </c>
      <c r="AB1315">
        <v>171.22193233678314</v>
      </c>
      <c r="AC1315">
        <v>178.07080889013233</v>
      </c>
      <c r="AD1315">
        <v>185.19364047601059</v>
      </c>
    </row>
    <row r="1316" spans="2:30" x14ac:dyDescent="0.25">
      <c r="B1316" t="s">
        <v>133</v>
      </c>
      <c r="C1316" t="s">
        <v>3261</v>
      </c>
      <c r="D1316" t="s">
        <v>3981</v>
      </c>
      <c r="E1316" t="s">
        <v>3982</v>
      </c>
      <c r="F1316" t="s">
        <v>7388</v>
      </c>
      <c r="G1316" t="s">
        <v>3890</v>
      </c>
      <c r="H1316" t="s">
        <v>3984</v>
      </c>
      <c r="I1316" t="s">
        <v>3985</v>
      </c>
      <c r="J1316">
        <v>1</v>
      </c>
      <c r="K1316">
        <v>400.91199999999998</v>
      </c>
      <c r="L1316">
        <v>412.10500000000002</v>
      </c>
      <c r="M1316">
        <v>450.92399999999998</v>
      </c>
      <c r="N1316">
        <v>467.51499999999999</v>
      </c>
      <c r="O1316">
        <v>473.64800000000002</v>
      </c>
      <c r="P1316">
        <v>484.76299999999998</v>
      </c>
      <c r="Q1316">
        <v>501.10399999999998</v>
      </c>
      <c r="R1316">
        <v>518.13900000000001</v>
      </c>
      <c r="S1316">
        <v>535.62300000000005</v>
      </c>
      <c r="T1316">
        <v>555.04300000000001</v>
      </c>
      <c r="U1316">
        <v>576.99900000000002</v>
      </c>
      <c r="V1316">
        <v>601.28700000000003</v>
      </c>
      <c r="W1316">
        <v>626.83100000000002</v>
      </c>
      <c r="X1316">
        <v>653.74699999999996</v>
      </c>
      <c r="Y1316">
        <v>682.01</v>
      </c>
      <c r="Z1316">
        <v>711.827</v>
      </c>
      <c r="AA1316">
        <v>743.30399999999997</v>
      </c>
      <c r="AB1316">
        <v>776.60500000000002</v>
      </c>
      <c r="AC1316">
        <v>811.92499999999995</v>
      </c>
      <c r="AD1316">
        <v>848.15700000000004</v>
      </c>
    </row>
    <row r="1317" spans="2:30" x14ac:dyDescent="0.25">
      <c r="B1317" t="s">
        <v>133</v>
      </c>
      <c r="C1317" t="s">
        <v>3261</v>
      </c>
      <c r="D1317" t="s">
        <v>3387</v>
      </c>
      <c r="E1317" t="s">
        <v>3388</v>
      </c>
      <c r="F1317" t="s">
        <v>7389</v>
      </c>
      <c r="G1317" t="s">
        <v>3890</v>
      </c>
      <c r="H1317" t="s">
        <v>3984</v>
      </c>
      <c r="I1317" t="s">
        <v>3985</v>
      </c>
      <c r="J1317">
        <v>1</v>
      </c>
      <c r="K1317">
        <v>400.91199999999998</v>
      </c>
      <c r="L1317">
        <v>412.10500000000002</v>
      </c>
      <c r="M1317">
        <v>450.92399999999998</v>
      </c>
      <c r="N1317">
        <v>467.51499999999999</v>
      </c>
      <c r="O1317">
        <v>473.64800000000002</v>
      </c>
      <c r="P1317">
        <v>484.76299999999998</v>
      </c>
      <c r="Q1317">
        <v>501.10399999999998</v>
      </c>
      <c r="R1317">
        <v>518.13900000000001</v>
      </c>
      <c r="S1317">
        <v>535.62300000000005</v>
      </c>
      <c r="T1317">
        <v>555.04300000000001</v>
      </c>
      <c r="U1317">
        <v>576.99900000000002</v>
      </c>
      <c r="V1317">
        <v>601.28700000000003</v>
      </c>
      <c r="W1317">
        <v>626.83100000000002</v>
      </c>
      <c r="X1317">
        <v>653.74699999999996</v>
      </c>
      <c r="Y1317">
        <v>682.01</v>
      </c>
      <c r="Z1317">
        <v>711.827</v>
      </c>
      <c r="AA1317">
        <v>743.30399999999997</v>
      </c>
      <c r="AB1317">
        <v>776.60500000000002</v>
      </c>
      <c r="AC1317">
        <v>811.92499999999995</v>
      </c>
      <c r="AD1317">
        <v>848.15700000000004</v>
      </c>
    </row>
    <row r="1318" spans="2:30" x14ac:dyDescent="0.25">
      <c r="B1318" t="s">
        <v>133</v>
      </c>
      <c r="C1318" t="s">
        <v>3261</v>
      </c>
      <c r="D1318" t="s">
        <v>3987</v>
      </c>
      <c r="E1318" t="s">
        <v>3988</v>
      </c>
      <c r="F1318" t="s">
        <v>7390</v>
      </c>
      <c r="G1318" t="s">
        <v>3890</v>
      </c>
      <c r="H1318" t="s">
        <v>3984</v>
      </c>
      <c r="I1318" t="s">
        <v>3985</v>
      </c>
      <c r="J1318">
        <v>1</v>
      </c>
      <c r="K1318">
        <v>213.93899999999999</v>
      </c>
      <c r="L1318">
        <v>210.13300000000001</v>
      </c>
      <c r="M1318">
        <v>236.548</v>
      </c>
      <c r="N1318">
        <v>245.53200000000001</v>
      </c>
      <c r="O1318">
        <v>247.51599999999999</v>
      </c>
      <c r="P1318">
        <v>253.84700000000001</v>
      </c>
      <c r="Q1318">
        <v>264.06900000000002</v>
      </c>
      <c r="R1318">
        <v>274.96899999999999</v>
      </c>
      <c r="S1318">
        <v>286.428</v>
      </c>
      <c r="T1318">
        <v>299.23</v>
      </c>
      <c r="U1318">
        <v>312.89699999999999</v>
      </c>
      <c r="V1318">
        <v>327.613</v>
      </c>
      <c r="W1318">
        <v>343.27600000000001</v>
      </c>
      <c r="X1318">
        <v>359.99200000000002</v>
      </c>
      <c r="Y1318">
        <v>377.72500000000002</v>
      </c>
      <c r="Z1318">
        <v>396.67399999999998</v>
      </c>
      <c r="AA1318">
        <v>416.93299999999999</v>
      </c>
      <c r="AB1318">
        <v>438.654</v>
      </c>
      <c r="AC1318">
        <v>462.02199999999999</v>
      </c>
      <c r="AD1318">
        <v>485.91800000000001</v>
      </c>
    </row>
    <row r="1319" spans="2:30" x14ac:dyDescent="0.25">
      <c r="B1319" t="s">
        <v>133</v>
      </c>
      <c r="C1319" t="s">
        <v>3261</v>
      </c>
      <c r="D1319" t="s">
        <v>3375</v>
      </c>
      <c r="E1319" t="s">
        <v>3376</v>
      </c>
      <c r="F1319" t="s">
        <v>7391</v>
      </c>
      <c r="G1319" t="s">
        <v>3890</v>
      </c>
      <c r="H1319" t="s">
        <v>3984</v>
      </c>
      <c r="I1319" t="s">
        <v>3985</v>
      </c>
      <c r="J1319">
        <v>1</v>
      </c>
      <c r="K1319">
        <v>52.2</v>
      </c>
      <c r="L1319">
        <v>56.902999999999999</v>
      </c>
      <c r="M1319">
        <v>67.058999999999997</v>
      </c>
      <c r="N1319">
        <v>72.5</v>
      </c>
      <c r="O1319">
        <v>74.569000000000003</v>
      </c>
      <c r="P1319">
        <v>76.989999999999995</v>
      </c>
      <c r="Q1319">
        <v>79.929000000000002</v>
      </c>
      <c r="R1319">
        <v>82.77</v>
      </c>
      <c r="S1319">
        <v>85.453999999999994</v>
      </c>
      <c r="T1319">
        <v>88.177000000000007</v>
      </c>
      <c r="U1319">
        <v>90.929000000000002</v>
      </c>
      <c r="V1319">
        <v>93.73</v>
      </c>
      <c r="W1319">
        <v>96.58</v>
      </c>
      <c r="X1319">
        <v>99.477999999999994</v>
      </c>
      <c r="Y1319">
        <v>102.42400000000001</v>
      </c>
      <c r="Z1319">
        <v>105.41800000000001</v>
      </c>
      <c r="AA1319">
        <v>108.459</v>
      </c>
      <c r="AB1319">
        <v>111.547</v>
      </c>
      <c r="AC1319">
        <v>114.681</v>
      </c>
      <c r="AD1319">
        <v>117.86</v>
      </c>
    </row>
    <row r="1320" spans="2:30" x14ac:dyDescent="0.25">
      <c r="B1320" t="s">
        <v>133</v>
      </c>
      <c r="C1320" t="s">
        <v>3261</v>
      </c>
      <c r="D1320" t="s">
        <v>3991</v>
      </c>
      <c r="E1320" t="s">
        <v>3992</v>
      </c>
      <c r="F1320" t="s">
        <v>7392</v>
      </c>
      <c r="G1320" t="s">
        <v>3890</v>
      </c>
      <c r="H1320" t="s">
        <v>3984</v>
      </c>
      <c r="I1320" t="s">
        <v>3985</v>
      </c>
      <c r="J1320">
        <v>1</v>
      </c>
      <c r="K1320">
        <v>41.563000000000002</v>
      </c>
      <c r="L1320">
        <v>43.505000000000003</v>
      </c>
      <c r="M1320">
        <v>44.234000000000002</v>
      </c>
      <c r="N1320">
        <v>44.884999999999998</v>
      </c>
      <c r="O1320">
        <v>45.613999999999997</v>
      </c>
      <c r="P1320">
        <v>46.396000000000001</v>
      </c>
      <c r="Q1320">
        <v>47.423999999999999</v>
      </c>
      <c r="R1320">
        <v>48.524000000000001</v>
      </c>
      <c r="S1320">
        <v>49.628</v>
      </c>
      <c r="T1320">
        <v>50.838000000000001</v>
      </c>
      <c r="U1320">
        <v>52.454999999999998</v>
      </c>
      <c r="V1320">
        <v>54.396999999999998</v>
      </c>
      <c r="W1320">
        <v>56.406999999999996</v>
      </c>
      <c r="X1320">
        <v>58.485999999999997</v>
      </c>
      <c r="Y1320">
        <v>60.637999999999998</v>
      </c>
      <c r="Z1320">
        <v>62.863999999999997</v>
      </c>
      <c r="AA1320">
        <v>65.165999999999997</v>
      </c>
      <c r="AB1320">
        <v>67.548000000000002</v>
      </c>
      <c r="AC1320">
        <v>70.012</v>
      </c>
      <c r="AD1320">
        <v>72.56</v>
      </c>
    </row>
    <row r="1321" spans="2:30" x14ac:dyDescent="0.25">
      <c r="B1321" t="s">
        <v>133</v>
      </c>
      <c r="C1321" t="s">
        <v>3261</v>
      </c>
      <c r="D1321" t="s">
        <v>3994</v>
      </c>
      <c r="E1321" t="s">
        <v>3995</v>
      </c>
      <c r="F1321" t="s">
        <v>7393</v>
      </c>
      <c r="G1321" t="s">
        <v>3890</v>
      </c>
      <c r="H1321" t="s">
        <v>3984</v>
      </c>
      <c r="I1321" t="s">
        <v>3985</v>
      </c>
      <c r="J1321">
        <v>1</v>
      </c>
      <c r="K1321">
        <v>93.209000000000003</v>
      </c>
      <c r="L1321">
        <v>101.56399999999999</v>
      </c>
      <c r="M1321">
        <v>103.083</v>
      </c>
      <c r="N1321">
        <v>104.59699999999999</v>
      </c>
      <c r="O1321">
        <v>105.94799999999999</v>
      </c>
      <c r="P1321">
        <v>107.53100000000001</v>
      </c>
      <c r="Q1321">
        <v>109.682</v>
      </c>
      <c r="R1321">
        <v>111.875</v>
      </c>
      <c r="S1321">
        <v>114.113</v>
      </c>
      <c r="T1321">
        <v>116.798</v>
      </c>
      <c r="U1321">
        <v>120.718</v>
      </c>
      <c r="V1321">
        <v>125.54600000000001</v>
      </c>
      <c r="W1321">
        <v>130.56800000000001</v>
      </c>
      <c r="X1321">
        <v>135.791</v>
      </c>
      <c r="Y1321">
        <v>141.22300000000001</v>
      </c>
      <c r="Z1321">
        <v>146.87200000000001</v>
      </c>
      <c r="AA1321">
        <v>152.74600000000001</v>
      </c>
      <c r="AB1321">
        <v>158.85599999999999</v>
      </c>
      <c r="AC1321">
        <v>165.21</v>
      </c>
      <c r="AD1321">
        <v>171.81899999999999</v>
      </c>
    </row>
    <row r="1322" spans="2:30" x14ac:dyDescent="0.25">
      <c r="B1322" t="s">
        <v>133</v>
      </c>
      <c r="C1322" t="s">
        <v>3261</v>
      </c>
      <c r="D1322" t="s">
        <v>3997</v>
      </c>
      <c r="E1322" t="s">
        <v>3998</v>
      </c>
      <c r="F1322" t="s">
        <v>7394</v>
      </c>
      <c r="G1322" t="s">
        <v>3890</v>
      </c>
      <c r="H1322" t="s">
        <v>3984</v>
      </c>
      <c r="I1322" t="s">
        <v>3985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2:30" x14ac:dyDescent="0.25">
      <c r="B1323" t="s">
        <v>133</v>
      </c>
      <c r="C1323" t="s">
        <v>3261</v>
      </c>
      <c r="D1323" t="s">
        <v>4000</v>
      </c>
      <c r="E1323" t="s">
        <v>3341</v>
      </c>
      <c r="F1323" t="s">
        <v>7395</v>
      </c>
      <c r="G1323" t="s">
        <v>3890</v>
      </c>
      <c r="H1323" t="s">
        <v>3984</v>
      </c>
      <c r="I1323" t="s">
        <v>4002</v>
      </c>
      <c r="J1323">
        <v>1</v>
      </c>
      <c r="K1323">
        <v>307.637</v>
      </c>
      <c r="L1323">
        <v>315.625</v>
      </c>
      <c r="M1323">
        <v>350.60500000000002</v>
      </c>
      <c r="N1323">
        <v>364.72300000000001</v>
      </c>
      <c r="O1323">
        <v>369.17599999999999</v>
      </c>
      <c r="P1323">
        <v>378.15499999999997</v>
      </c>
      <c r="Q1323">
        <v>391.94499999999999</v>
      </c>
      <c r="R1323">
        <v>406.36399999999998</v>
      </c>
      <c r="S1323">
        <v>421.24599999999998</v>
      </c>
      <c r="T1323">
        <v>437.51900000000001</v>
      </c>
      <c r="U1323">
        <v>455.45699999999999</v>
      </c>
      <c r="V1323">
        <v>475.30500000000001</v>
      </c>
      <c r="W1323">
        <v>496.25400000000002</v>
      </c>
      <c r="X1323">
        <v>518.41399999999999</v>
      </c>
      <c r="Y1323">
        <v>541.75400000000002</v>
      </c>
      <c r="Z1323">
        <v>566.47799999999995</v>
      </c>
      <c r="AA1323">
        <v>592.68200000000002</v>
      </c>
      <c r="AB1323">
        <v>620.52499999999998</v>
      </c>
      <c r="AC1323">
        <v>650.19399999999996</v>
      </c>
      <c r="AD1323">
        <v>680.58399999999995</v>
      </c>
    </row>
    <row r="1324" spans="2:30" x14ac:dyDescent="0.25">
      <c r="B1324" t="s">
        <v>133</v>
      </c>
      <c r="C1324" t="s">
        <v>3261</v>
      </c>
      <c r="D1324" t="s">
        <v>3292</v>
      </c>
      <c r="E1324" t="s">
        <v>3293</v>
      </c>
      <c r="F1324" t="s">
        <v>7396</v>
      </c>
      <c r="G1324" t="s">
        <v>3890</v>
      </c>
      <c r="H1324" t="s">
        <v>3984</v>
      </c>
      <c r="I1324" t="s">
        <v>4002</v>
      </c>
      <c r="J1324">
        <v>1</v>
      </c>
      <c r="K1324">
        <v>210.916</v>
      </c>
      <c r="L1324">
        <v>207.072</v>
      </c>
      <c r="M1324">
        <v>233.316</v>
      </c>
      <c r="N1324">
        <v>242.24799999999999</v>
      </c>
      <c r="O1324">
        <v>244.22</v>
      </c>
      <c r="P1324">
        <v>250.51400000000001</v>
      </c>
      <c r="Q1324">
        <v>260.67700000000002</v>
      </c>
      <c r="R1324">
        <v>271.51400000000001</v>
      </c>
      <c r="S1324">
        <v>282.90699999999998</v>
      </c>
      <c r="T1324">
        <v>295.63499999999999</v>
      </c>
      <c r="U1324">
        <v>309.23700000000002</v>
      </c>
      <c r="V1324">
        <v>323.88299999999998</v>
      </c>
      <c r="W1324">
        <v>339.46899999999999</v>
      </c>
      <c r="X1324">
        <v>356.10300000000001</v>
      </c>
      <c r="Y1324">
        <v>373.74799999999999</v>
      </c>
      <c r="Z1324">
        <v>392.60300000000001</v>
      </c>
      <c r="AA1324">
        <v>412.76</v>
      </c>
      <c r="AB1324">
        <v>434.37099999999998</v>
      </c>
      <c r="AC1324">
        <v>457.61900000000003</v>
      </c>
      <c r="AD1324">
        <v>481.39299999999997</v>
      </c>
    </row>
    <row r="1325" spans="2:30" x14ac:dyDescent="0.25">
      <c r="B1325" t="s">
        <v>133</v>
      </c>
      <c r="C1325" t="s">
        <v>3261</v>
      </c>
      <c r="D1325" t="s">
        <v>4004</v>
      </c>
      <c r="E1325" t="s">
        <v>4005</v>
      </c>
      <c r="F1325" t="s">
        <v>7397</v>
      </c>
      <c r="G1325" t="s">
        <v>3890</v>
      </c>
      <c r="H1325" t="s">
        <v>3984</v>
      </c>
      <c r="I1325" t="s">
        <v>4002</v>
      </c>
      <c r="J1325">
        <v>1</v>
      </c>
      <c r="K1325">
        <v>6.7770000000000001</v>
      </c>
      <c r="L1325">
        <v>6.3419999999999996</v>
      </c>
      <c r="M1325">
        <v>7.54</v>
      </c>
      <c r="N1325">
        <v>8.1080000000000005</v>
      </c>
      <c r="O1325">
        <v>8.2379999999999995</v>
      </c>
      <c r="P1325">
        <v>8.3670000000000009</v>
      </c>
      <c r="Q1325">
        <v>8.5820000000000007</v>
      </c>
      <c r="R1325">
        <v>8.7880000000000003</v>
      </c>
      <c r="S1325">
        <v>8.9830000000000005</v>
      </c>
      <c r="T1325">
        <v>9.1769999999999996</v>
      </c>
      <c r="U1325">
        <v>9.3510000000000009</v>
      </c>
      <c r="V1325">
        <v>9.5250000000000004</v>
      </c>
      <c r="W1325">
        <v>9.6999999999999993</v>
      </c>
      <c r="X1325">
        <v>9.875</v>
      </c>
      <c r="Y1325">
        <v>10.050000000000001</v>
      </c>
      <c r="Z1325">
        <v>10.225</v>
      </c>
      <c r="AA1325">
        <v>10.401</v>
      </c>
      <c r="AB1325">
        <v>10.576000000000001</v>
      </c>
      <c r="AC1325">
        <v>10.752000000000001</v>
      </c>
      <c r="AD1325">
        <v>10.928000000000001</v>
      </c>
    </row>
    <row r="1326" spans="2:30" x14ac:dyDescent="0.25">
      <c r="B1326" t="s">
        <v>133</v>
      </c>
      <c r="C1326" t="s">
        <v>3261</v>
      </c>
      <c r="D1326" t="s">
        <v>4007</v>
      </c>
      <c r="E1326" t="s">
        <v>4008</v>
      </c>
      <c r="F1326" t="s">
        <v>7398</v>
      </c>
      <c r="G1326" t="s">
        <v>3890</v>
      </c>
      <c r="H1326" t="s">
        <v>3984</v>
      </c>
      <c r="I1326" t="s">
        <v>4002</v>
      </c>
      <c r="J1326">
        <v>1</v>
      </c>
      <c r="K1326">
        <v>98.35</v>
      </c>
      <c r="L1326">
        <v>91.561000000000007</v>
      </c>
      <c r="M1326">
        <v>108.026</v>
      </c>
      <c r="N1326">
        <v>110.483</v>
      </c>
      <c r="O1326">
        <v>109.17700000000001</v>
      </c>
      <c r="P1326">
        <v>109.47</v>
      </c>
      <c r="Q1326">
        <v>112.87</v>
      </c>
      <c r="R1326">
        <v>116.583</v>
      </c>
      <c r="S1326">
        <v>119.92400000000001</v>
      </c>
      <c r="T1326">
        <v>123.384</v>
      </c>
      <c r="U1326">
        <v>127.047</v>
      </c>
      <c r="V1326">
        <v>131.107</v>
      </c>
      <c r="W1326">
        <v>135.553</v>
      </c>
      <c r="X1326">
        <v>140.499</v>
      </c>
      <c r="Y1326">
        <v>145.958</v>
      </c>
      <c r="Z1326">
        <v>152.05799999999999</v>
      </c>
      <c r="AA1326">
        <v>158.898</v>
      </c>
      <c r="AB1326">
        <v>166.62200000000001</v>
      </c>
      <c r="AC1326">
        <v>175.40100000000001</v>
      </c>
      <c r="AD1326">
        <v>184.23699999999999</v>
      </c>
    </row>
    <row r="1327" spans="2:30" x14ac:dyDescent="0.25">
      <c r="B1327" t="s">
        <v>133</v>
      </c>
      <c r="C1327" t="s">
        <v>3261</v>
      </c>
      <c r="D1327" t="s">
        <v>4010</v>
      </c>
      <c r="E1327" t="s">
        <v>4011</v>
      </c>
      <c r="F1327" t="s">
        <v>7399</v>
      </c>
      <c r="G1327" t="s">
        <v>3890</v>
      </c>
      <c r="H1327" t="s">
        <v>3984</v>
      </c>
      <c r="I1327" t="s">
        <v>4002</v>
      </c>
      <c r="J1327">
        <v>1</v>
      </c>
      <c r="K1327">
        <v>24.14</v>
      </c>
      <c r="L1327">
        <v>23.181999999999999</v>
      </c>
      <c r="M1327">
        <v>24.550999999999998</v>
      </c>
      <c r="N1327">
        <v>31.274000000000001</v>
      </c>
      <c r="O1327">
        <v>31.376000000000001</v>
      </c>
      <c r="P1327">
        <v>31.510999999999999</v>
      </c>
      <c r="Q1327">
        <v>31.709</v>
      </c>
      <c r="R1327">
        <v>31.913</v>
      </c>
      <c r="S1327">
        <v>32.106999999999999</v>
      </c>
      <c r="T1327">
        <v>32.320999999999998</v>
      </c>
      <c r="U1327">
        <v>32.558</v>
      </c>
      <c r="V1327">
        <v>32.817999999999998</v>
      </c>
      <c r="W1327">
        <v>33.103000000000002</v>
      </c>
      <c r="X1327">
        <v>33.414000000000001</v>
      </c>
      <c r="Y1327">
        <v>33.753</v>
      </c>
      <c r="Z1327">
        <v>34.119</v>
      </c>
      <c r="AA1327">
        <v>34.515000000000001</v>
      </c>
      <c r="AB1327">
        <v>34.942</v>
      </c>
      <c r="AC1327">
        <v>35.401000000000003</v>
      </c>
      <c r="AD1327">
        <v>35.893000000000001</v>
      </c>
    </row>
    <row r="1328" spans="2:30" x14ac:dyDescent="0.25">
      <c r="B1328" t="s">
        <v>133</v>
      </c>
      <c r="C1328" t="s">
        <v>3261</v>
      </c>
      <c r="D1328" t="s">
        <v>4013</v>
      </c>
      <c r="E1328" t="s">
        <v>4014</v>
      </c>
      <c r="F1328" t="s">
        <v>7400</v>
      </c>
      <c r="G1328" t="s">
        <v>3890</v>
      </c>
      <c r="H1328" t="s">
        <v>3984</v>
      </c>
      <c r="I1328" t="s">
        <v>4002</v>
      </c>
      <c r="J1328">
        <v>1</v>
      </c>
      <c r="K1328">
        <v>20.114000000000001</v>
      </c>
      <c r="L1328">
        <v>19.417999999999999</v>
      </c>
      <c r="M1328">
        <v>19.018999999999998</v>
      </c>
      <c r="N1328">
        <v>18.347000000000001</v>
      </c>
      <c r="O1328">
        <v>18.707999999999998</v>
      </c>
      <c r="P1328">
        <v>20.507000000000001</v>
      </c>
      <c r="Q1328">
        <v>22.451000000000001</v>
      </c>
      <c r="R1328">
        <v>24.555</v>
      </c>
      <c r="S1328">
        <v>27.065000000000001</v>
      </c>
      <c r="T1328">
        <v>30.032</v>
      </c>
      <c r="U1328">
        <v>33.237000000000002</v>
      </c>
      <c r="V1328">
        <v>36.664000000000001</v>
      </c>
      <c r="W1328">
        <v>40.293999999999997</v>
      </c>
      <c r="X1328">
        <v>44.106999999999999</v>
      </c>
      <c r="Y1328">
        <v>48.079000000000001</v>
      </c>
      <c r="Z1328">
        <v>52.244</v>
      </c>
      <c r="AA1328">
        <v>56.597000000000001</v>
      </c>
      <c r="AB1328">
        <v>61.13</v>
      </c>
      <c r="AC1328">
        <v>65.838999999999999</v>
      </c>
      <c r="AD1328">
        <v>70.632999999999996</v>
      </c>
    </row>
    <row r="1329" spans="2:30" x14ac:dyDescent="0.25">
      <c r="B1329" t="s">
        <v>133</v>
      </c>
      <c r="C1329" t="s">
        <v>3261</v>
      </c>
      <c r="D1329" t="s">
        <v>4016</v>
      </c>
      <c r="E1329" t="s">
        <v>4017</v>
      </c>
      <c r="F1329" t="s">
        <v>7401</v>
      </c>
      <c r="G1329" t="s">
        <v>3890</v>
      </c>
      <c r="H1329" t="s">
        <v>3984</v>
      </c>
      <c r="I1329" t="s">
        <v>4002</v>
      </c>
      <c r="J1329">
        <v>1</v>
      </c>
      <c r="K1329">
        <v>44.502000000000002</v>
      </c>
      <c r="L1329">
        <v>47.332999999999998</v>
      </c>
      <c r="M1329">
        <v>51.197000000000003</v>
      </c>
      <c r="N1329">
        <v>50.457000000000001</v>
      </c>
      <c r="O1329">
        <v>52.56</v>
      </c>
      <c r="P1329">
        <v>55.807000000000002</v>
      </c>
      <c r="Q1329">
        <v>59.393999999999998</v>
      </c>
      <c r="R1329">
        <v>63.215000000000003</v>
      </c>
      <c r="S1329">
        <v>67.629000000000005</v>
      </c>
      <c r="T1329">
        <v>72.774000000000001</v>
      </c>
      <c r="U1329">
        <v>78.337999999999994</v>
      </c>
      <c r="V1329">
        <v>84.293000000000006</v>
      </c>
      <c r="W1329">
        <v>90.563000000000002</v>
      </c>
      <c r="X1329">
        <v>97.16</v>
      </c>
      <c r="Y1329">
        <v>104.06</v>
      </c>
      <c r="Z1329">
        <v>111.29600000000001</v>
      </c>
      <c r="AA1329">
        <v>118.867</v>
      </c>
      <c r="AB1329">
        <v>126.78700000000001</v>
      </c>
      <c r="AC1329">
        <v>135.071</v>
      </c>
      <c r="AD1329">
        <v>143.696</v>
      </c>
    </row>
    <row r="1330" spans="2:30" x14ac:dyDescent="0.25">
      <c r="B1330" t="s">
        <v>133</v>
      </c>
      <c r="C1330" t="s">
        <v>3261</v>
      </c>
      <c r="D1330" t="s">
        <v>4019</v>
      </c>
      <c r="E1330" t="s">
        <v>4020</v>
      </c>
      <c r="F1330" t="s">
        <v>7402</v>
      </c>
      <c r="G1330" t="s">
        <v>3890</v>
      </c>
      <c r="H1330" t="s">
        <v>3984</v>
      </c>
      <c r="I1330" t="s">
        <v>4002</v>
      </c>
      <c r="J1330">
        <v>1</v>
      </c>
      <c r="K1330">
        <v>15.176</v>
      </c>
      <c r="L1330">
        <v>17.062999999999999</v>
      </c>
      <c r="M1330">
        <v>20.57</v>
      </c>
      <c r="N1330">
        <v>21.077999999999999</v>
      </c>
      <c r="O1330">
        <v>21.573</v>
      </c>
      <c r="P1330">
        <v>22.155999999999999</v>
      </c>
      <c r="Q1330">
        <v>22.846</v>
      </c>
      <c r="R1330">
        <v>23.507000000000001</v>
      </c>
      <c r="S1330">
        <v>24.126000000000001</v>
      </c>
      <c r="T1330">
        <v>24.75</v>
      </c>
      <c r="U1330">
        <v>25.381</v>
      </c>
      <c r="V1330">
        <v>26.02</v>
      </c>
      <c r="W1330">
        <v>26.666</v>
      </c>
      <c r="X1330">
        <v>27.32</v>
      </c>
      <c r="Y1330">
        <v>27.98</v>
      </c>
      <c r="Z1330">
        <v>28.646999999999998</v>
      </c>
      <c r="AA1330">
        <v>29.321000000000002</v>
      </c>
      <c r="AB1330">
        <v>30.001000000000001</v>
      </c>
      <c r="AC1330">
        <v>30.687999999999999</v>
      </c>
      <c r="AD1330">
        <v>31.381</v>
      </c>
    </row>
    <row r="1331" spans="2:30" x14ac:dyDescent="0.25">
      <c r="B1331" t="s">
        <v>133</v>
      </c>
      <c r="C1331" t="s">
        <v>3261</v>
      </c>
      <c r="D1331" t="s">
        <v>4022</v>
      </c>
      <c r="E1331" t="s">
        <v>4023</v>
      </c>
      <c r="F1331" t="s">
        <v>7403</v>
      </c>
      <c r="G1331" t="s">
        <v>3890</v>
      </c>
      <c r="H1331" t="s">
        <v>3984</v>
      </c>
      <c r="I1331" t="s">
        <v>4002</v>
      </c>
      <c r="J1331">
        <v>1</v>
      </c>
      <c r="K1331">
        <v>1.855</v>
      </c>
      <c r="L1331">
        <v>2.1720000000000002</v>
      </c>
      <c r="M1331">
        <v>2.4140000000000001</v>
      </c>
      <c r="N1331">
        <v>2.5019999999999998</v>
      </c>
      <c r="O1331">
        <v>2.59</v>
      </c>
      <c r="P1331">
        <v>2.6960000000000002</v>
      </c>
      <c r="Q1331">
        <v>2.8250000000000002</v>
      </c>
      <c r="R1331">
        <v>2.9510000000000001</v>
      </c>
      <c r="S1331">
        <v>3.0720000000000001</v>
      </c>
      <c r="T1331">
        <v>3.1970000000000001</v>
      </c>
      <c r="U1331">
        <v>3.3250000000000002</v>
      </c>
      <c r="V1331">
        <v>3.456</v>
      </c>
      <c r="W1331">
        <v>3.59</v>
      </c>
      <c r="X1331">
        <v>3.7280000000000002</v>
      </c>
      <c r="Y1331">
        <v>3.8690000000000002</v>
      </c>
      <c r="Z1331">
        <v>4.0140000000000002</v>
      </c>
      <c r="AA1331">
        <v>4.1619999999999999</v>
      </c>
      <c r="AB1331">
        <v>4.3129999999999997</v>
      </c>
      <c r="AC1331">
        <v>4.4669999999999996</v>
      </c>
      <c r="AD1331">
        <v>4.625</v>
      </c>
    </row>
    <row r="1332" spans="2:30" x14ac:dyDescent="0.25">
      <c r="B1332" t="s">
        <v>133</v>
      </c>
      <c r="C1332" t="s">
        <v>3261</v>
      </c>
      <c r="D1332" t="s">
        <v>3316</v>
      </c>
      <c r="E1332" t="s">
        <v>3317</v>
      </c>
      <c r="F1332" t="s">
        <v>7404</v>
      </c>
      <c r="G1332" t="s">
        <v>3890</v>
      </c>
      <c r="H1332" t="s">
        <v>3984</v>
      </c>
      <c r="I1332" t="s">
        <v>4002</v>
      </c>
      <c r="J1332">
        <v>1</v>
      </c>
      <c r="K1332">
        <v>82.215000000000003</v>
      </c>
      <c r="L1332">
        <v>78.528000000000006</v>
      </c>
      <c r="M1332">
        <v>90.745999999999995</v>
      </c>
      <c r="N1332">
        <v>95.173000000000002</v>
      </c>
      <c r="O1332">
        <v>92.543999999999997</v>
      </c>
      <c r="P1332">
        <v>91.198999999999998</v>
      </c>
      <c r="Q1332">
        <v>92.68</v>
      </c>
      <c r="R1332">
        <v>94.536000000000001</v>
      </c>
      <c r="S1332">
        <v>96.091999999999999</v>
      </c>
      <c r="T1332">
        <v>97.725999999999999</v>
      </c>
      <c r="U1332">
        <v>99.531000000000006</v>
      </c>
      <c r="V1332">
        <v>101.702</v>
      </c>
      <c r="W1332">
        <v>104.23099999999999</v>
      </c>
      <c r="X1332">
        <v>107.23399999999999</v>
      </c>
      <c r="Y1332">
        <v>110.72499999999999</v>
      </c>
      <c r="Z1332">
        <v>114.83499999999999</v>
      </c>
      <c r="AA1332">
        <v>119.66200000000001</v>
      </c>
      <c r="AB1332">
        <v>125.354</v>
      </c>
      <c r="AC1332">
        <v>132.08099999999999</v>
      </c>
      <c r="AD1332">
        <v>138.85300000000001</v>
      </c>
    </row>
    <row r="1333" spans="2:30" x14ac:dyDescent="0.25">
      <c r="B1333" t="s">
        <v>133</v>
      </c>
      <c r="C1333" t="s">
        <v>3261</v>
      </c>
      <c r="D1333" t="s">
        <v>3352</v>
      </c>
      <c r="E1333" t="s">
        <v>3353</v>
      </c>
      <c r="F1333" t="s">
        <v>7405</v>
      </c>
      <c r="G1333" t="s">
        <v>3890</v>
      </c>
      <c r="H1333" t="s">
        <v>3984</v>
      </c>
      <c r="I1333" t="s">
        <v>4002</v>
      </c>
      <c r="J1333">
        <v>1</v>
      </c>
      <c r="K1333">
        <v>52.970999999999997</v>
      </c>
      <c r="L1333">
        <v>52.003</v>
      </c>
      <c r="M1333">
        <v>51.097000000000001</v>
      </c>
      <c r="N1333">
        <v>49.530999999999999</v>
      </c>
      <c r="O1333">
        <v>51.664000000000001</v>
      </c>
      <c r="P1333">
        <v>56.411999999999999</v>
      </c>
      <c r="Q1333">
        <v>61.591999999999999</v>
      </c>
      <c r="R1333">
        <v>67.200999999999993</v>
      </c>
      <c r="S1333">
        <v>73.864999999999995</v>
      </c>
      <c r="T1333">
        <v>81.745000000000005</v>
      </c>
      <c r="U1333">
        <v>90.299000000000007</v>
      </c>
      <c r="V1333">
        <v>99.477999999999994</v>
      </c>
      <c r="W1333">
        <v>109.19</v>
      </c>
      <c r="X1333">
        <v>119.425</v>
      </c>
      <c r="Y1333">
        <v>130.13200000000001</v>
      </c>
      <c r="Z1333">
        <v>141.38200000000001</v>
      </c>
      <c r="AA1333">
        <v>153.16800000000001</v>
      </c>
      <c r="AB1333">
        <v>165.49600000000001</v>
      </c>
      <c r="AC1333">
        <v>178.37700000000001</v>
      </c>
      <c r="AD1333">
        <v>191.69200000000001</v>
      </c>
    </row>
    <row r="1334" spans="2:30" x14ac:dyDescent="0.25">
      <c r="B1334" t="s">
        <v>133</v>
      </c>
      <c r="C1334" t="s">
        <v>3261</v>
      </c>
      <c r="D1334" t="s">
        <v>3328</v>
      </c>
      <c r="E1334" t="s">
        <v>3329</v>
      </c>
      <c r="F1334" t="s">
        <v>7406</v>
      </c>
      <c r="G1334" t="s">
        <v>3890</v>
      </c>
      <c r="H1334" t="s">
        <v>3984</v>
      </c>
      <c r="I1334" t="s">
        <v>4002</v>
      </c>
      <c r="J1334">
        <v>1</v>
      </c>
      <c r="K1334">
        <v>15.803000000000001</v>
      </c>
      <c r="L1334">
        <v>17.407</v>
      </c>
      <c r="M1334">
        <v>21.786000000000001</v>
      </c>
      <c r="N1334">
        <v>22.128</v>
      </c>
      <c r="O1334">
        <v>22.457000000000001</v>
      </c>
      <c r="P1334">
        <v>22.846</v>
      </c>
      <c r="Q1334">
        <v>23.306999999999999</v>
      </c>
      <c r="R1334">
        <v>23.741</v>
      </c>
      <c r="S1334">
        <v>24.14</v>
      </c>
      <c r="T1334">
        <v>24.538</v>
      </c>
      <c r="U1334">
        <v>24.936</v>
      </c>
      <c r="V1334">
        <v>25.335000000000001</v>
      </c>
      <c r="W1334">
        <v>25.734000000000002</v>
      </c>
      <c r="X1334">
        <v>26.132999999999999</v>
      </c>
      <c r="Y1334">
        <v>26.533000000000001</v>
      </c>
      <c r="Z1334">
        <v>26.931999999999999</v>
      </c>
      <c r="AA1334">
        <v>27.331</v>
      </c>
      <c r="AB1334">
        <v>27.731000000000002</v>
      </c>
      <c r="AC1334">
        <v>28.129000000000001</v>
      </c>
      <c r="AD1334">
        <v>28.527999999999999</v>
      </c>
    </row>
    <row r="1335" spans="2:30" x14ac:dyDescent="0.25">
      <c r="B1335" t="s">
        <v>133</v>
      </c>
      <c r="C1335" t="s">
        <v>3261</v>
      </c>
      <c r="D1335" t="s">
        <v>3304</v>
      </c>
      <c r="E1335" t="s">
        <v>3305</v>
      </c>
      <c r="F1335" t="s">
        <v>7407</v>
      </c>
      <c r="G1335" t="s">
        <v>3890</v>
      </c>
      <c r="H1335" t="s">
        <v>3984</v>
      </c>
      <c r="I1335" t="s">
        <v>4002</v>
      </c>
      <c r="J1335">
        <v>1</v>
      </c>
      <c r="K1335">
        <v>59.633000000000003</v>
      </c>
      <c r="L1335">
        <v>58.865000000000002</v>
      </c>
      <c r="M1335">
        <v>69.37</v>
      </c>
      <c r="N1335">
        <v>74.998999999999995</v>
      </c>
      <c r="O1335">
        <v>77.138999999999996</v>
      </c>
      <c r="P1335">
        <v>79.643000000000001</v>
      </c>
      <c r="Q1335">
        <v>82.683999999999997</v>
      </c>
      <c r="R1335">
        <v>85.623000000000005</v>
      </c>
      <c r="S1335">
        <v>88.399000000000001</v>
      </c>
      <c r="T1335">
        <v>91.215999999999994</v>
      </c>
      <c r="U1335">
        <v>94.063000000000002</v>
      </c>
      <c r="V1335">
        <v>96.96</v>
      </c>
      <c r="W1335">
        <v>99.908000000000001</v>
      </c>
      <c r="X1335">
        <v>102.907</v>
      </c>
      <c r="Y1335">
        <v>105.95399999999999</v>
      </c>
      <c r="Z1335">
        <v>109.051</v>
      </c>
      <c r="AA1335">
        <v>112.197</v>
      </c>
      <c r="AB1335">
        <v>115.39100000000001</v>
      </c>
      <c r="AC1335">
        <v>118.633</v>
      </c>
      <c r="AD1335">
        <v>121.922</v>
      </c>
    </row>
    <row r="1336" spans="2:30" x14ac:dyDescent="0.25">
      <c r="B1336" t="s">
        <v>133</v>
      </c>
      <c r="C1336" t="s">
        <v>3261</v>
      </c>
      <c r="D1336" t="s">
        <v>4029</v>
      </c>
      <c r="E1336" t="s">
        <v>4030</v>
      </c>
      <c r="F1336" t="s">
        <v>7408</v>
      </c>
      <c r="G1336" t="s">
        <v>3890</v>
      </c>
      <c r="H1336" t="s">
        <v>3984</v>
      </c>
      <c r="I1336" t="s">
        <v>4002</v>
      </c>
      <c r="J1336">
        <v>1</v>
      </c>
      <c r="K1336">
        <v>0.29399999999999998</v>
      </c>
      <c r="L1336">
        <v>0.26800000000000002</v>
      </c>
      <c r="M1336">
        <v>0.317</v>
      </c>
      <c r="N1336">
        <v>0.41699999999999998</v>
      </c>
      <c r="O1336">
        <v>0.41599999999999998</v>
      </c>
      <c r="P1336">
        <v>0.41499999999999998</v>
      </c>
      <c r="Q1336">
        <v>0.41399999999999998</v>
      </c>
      <c r="R1336">
        <v>0.41199999999999998</v>
      </c>
      <c r="S1336">
        <v>0.41099999999999998</v>
      </c>
      <c r="T1336">
        <v>0.41</v>
      </c>
      <c r="U1336">
        <v>0.40899999999999997</v>
      </c>
      <c r="V1336">
        <v>0.40799999999999997</v>
      </c>
      <c r="W1336">
        <v>0.40600000000000003</v>
      </c>
      <c r="X1336">
        <v>0.40500000000000003</v>
      </c>
      <c r="Y1336">
        <v>0.40400000000000003</v>
      </c>
      <c r="Z1336">
        <v>0.40300000000000002</v>
      </c>
      <c r="AA1336">
        <v>0.40100000000000002</v>
      </c>
      <c r="AB1336">
        <v>0.4</v>
      </c>
      <c r="AC1336">
        <v>0.39900000000000002</v>
      </c>
      <c r="AD1336">
        <v>0.39800000000000002</v>
      </c>
    </row>
    <row r="1337" spans="2:30" x14ac:dyDescent="0.25">
      <c r="B1337" t="s">
        <v>133</v>
      </c>
      <c r="C1337" t="s">
        <v>3261</v>
      </c>
      <c r="D1337" t="s">
        <v>4032</v>
      </c>
      <c r="E1337" t="s">
        <v>4033</v>
      </c>
      <c r="F1337" t="s">
        <v>7409</v>
      </c>
      <c r="G1337" t="s">
        <v>3890</v>
      </c>
      <c r="H1337" t="s">
        <v>3984</v>
      </c>
      <c r="I1337" t="s">
        <v>3985</v>
      </c>
      <c r="J1337">
        <v>2</v>
      </c>
      <c r="K1337">
        <v>400.91199999999998</v>
      </c>
      <c r="L1337">
        <v>412.10500000000002</v>
      </c>
      <c r="M1337">
        <v>450.92399999999998</v>
      </c>
      <c r="N1337">
        <v>467.51499999999999</v>
      </c>
      <c r="O1337">
        <v>473.64800000000002</v>
      </c>
      <c r="P1337">
        <v>484.76299999999998</v>
      </c>
      <c r="Q1337">
        <v>501.10399999999998</v>
      </c>
      <c r="R1337">
        <v>512.06399999999996</v>
      </c>
      <c r="S1337">
        <v>526.46299999999997</v>
      </c>
      <c r="T1337">
        <v>542.39099999999996</v>
      </c>
      <c r="U1337">
        <v>561.69299999999998</v>
      </c>
      <c r="V1337">
        <v>583.11500000000001</v>
      </c>
      <c r="W1337">
        <v>606.00800000000004</v>
      </c>
      <c r="X1337">
        <v>630.32600000000002</v>
      </c>
      <c r="Y1337">
        <v>656.15800000000002</v>
      </c>
      <c r="Z1337">
        <v>683.70500000000004</v>
      </c>
      <c r="AA1337">
        <v>713.10900000000004</v>
      </c>
      <c r="AB1337">
        <v>744.50199999999995</v>
      </c>
      <c r="AC1337">
        <v>777.90599999999995</v>
      </c>
      <c r="AD1337">
        <v>812.73500000000001</v>
      </c>
    </row>
    <row r="1338" spans="2:30" x14ac:dyDescent="0.25">
      <c r="B1338" t="s">
        <v>133</v>
      </c>
      <c r="C1338" t="s">
        <v>3261</v>
      </c>
      <c r="D1338" t="s">
        <v>3393</v>
      </c>
      <c r="E1338" t="s">
        <v>3394</v>
      </c>
      <c r="F1338" t="s">
        <v>7410</v>
      </c>
      <c r="G1338" t="s">
        <v>3890</v>
      </c>
      <c r="H1338" t="s">
        <v>3984</v>
      </c>
      <c r="I1338" t="s">
        <v>3985</v>
      </c>
      <c r="J1338">
        <v>2</v>
      </c>
      <c r="K1338">
        <v>400.91199999999998</v>
      </c>
      <c r="L1338">
        <v>412.10500000000002</v>
      </c>
      <c r="M1338">
        <v>450.92399999999998</v>
      </c>
      <c r="N1338">
        <v>467.51499999999999</v>
      </c>
      <c r="O1338">
        <v>473.64800000000002</v>
      </c>
      <c r="P1338">
        <v>484.76299999999998</v>
      </c>
      <c r="Q1338">
        <v>501.10399999999998</v>
      </c>
      <c r="R1338">
        <v>512.06399999999996</v>
      </c>
      <c r="S1338">
        <v>526.46299999999997</v>
      </c>
      <c r="T1338">
        <v>542.39099999999996</v>
      </c>
      <c r="U1338">
        <v>561.69299999999998</v>
      </c>
      <c r="V1338">
        <v>583.11500000000001</v>
      </c>
      <c r="W1338">
        <v>606.00800000000004</v>
      </c>
      <c r="X1338">
        <v>630.32600000000002</v>
      </c>
      <c r="Y1338">
        <v>656.15800000000002</v>
      </c>
      <c r="Z1338">
        <v>683.70500000000004</v>
      </c>
      <c r="AA1338">
        <v>713.10900000000004</v>
      </c>
      <c r="AB1338">
        <v>744.50199999999995</v>
      </c>
      <c r="AC1338">
        <v>777.90599999999995</v>
      </c>
      <c r="AD1338">
        <v>812.73500000000001</v>
      </c>
    </row>
    <row r="1339" spans="2:30" x14ac:dyDescent="0.25">
      <c r="B1339" t="s">
        <v>133</v>
      </c>
      <c r="C1339" t="s">
        <v>3261</v>
      </c>
      <c r="D1339" t="s">
        <v>4036</v>
      </c>
      <c r="E1339" t="s">
        <v>4037</v>
      </c>
      <c r="F1339" t="s">
        <v>7411</v>
      </c>
      <c r="G1339" t="s">
        <v>3890</v>
      </c>
      <c r="H1339" t="s">
        <v>3984</v>
      </c>
      <c r="I1339" t="s">
        <v>3985</v>
      </c>
      <c r="J1339">
        <v>2</v>
      </c>
      <c r="K1339">
        <v>213.93899999999999</v>
      </c>
      <c r="L1339">
        <v>210.13300000000001</v>
      </c>
      <c r="M1339">
        <v>236.548</v>
      </c>
      <c r="N1339">
        <v>245.53200000000001</v>
      </c>
      <c r="O1339">
        <v>247.51599999999999</v>
      </c>
      <c r="P1339">
        <v>253.84700000000001</v>
      </c>
      <c r="Q1339">
        <v>264.06900000000002</v>
      </c>
      <c r="R1339">
        <v>268.88799999999998</v>
      </c>
      <c r="S1339">
        <v>277.26</v>
      </c>
      <c r="T1339">
        <v>286.58100000000002</v>
      </c>
      <c r="U1339">
        <v>297.61599999999999</v>
      </c>
      <c r="V1339">
        <v>309.49900000000002</v>
      </c>
      <c r="W1339">
        <v>322.52999999999997</v>
      </c>
      <c r="X1339">
        <v>336.63499999999999</v>
      </c>
      <c r="Y1339">
        <v>351.87799999999999</v>
      </c>
      <c r="Z1339">
        <v>368.423</v>
      </c>
      <c r="AA1339">
        <v>386.375</v>
      </c>
      <c r="AB1339">
        <v>405.84</v>
      </c>
      <c r="AC1339">
        <v>426.822</v>
      </c>
      <c r="AD1339">
        <v>448.73099999999999</v>
      </c>
    </row>
    <row r="1340" spans="2:30" x14ac:dyDescent="0.25">
      <c r="B1340" t="s">
        <v>133</v>
      </c>
      <c r="C1340" t="s">
        <v>3261</v>
      </c>
      <c r="D1340" t="s">
        <v>3381</v>
      </c>
      <c r="E1340" t="s">
        <v>3382</v>
      </c>
      <c r="F1340" t="s">
        <v>7412</v>
      </c>
      <c r="G1340" t="s">
        <v>3890</v>
      </c>
      <c r="H1340" t="s">
        <v>3984</v>
      </c>
      <c r="I1340" t="s">
        <v>3985</v>
      </c>
      <c r="J1340">
        <v>2</v>
      </c>
      <c r="K1340">
        <v>52.2</v>
      </c>
      <c r="L1340">
        <v>56.902999999999999</v>
      </c>
      <c r="M1340">
        <v>67.058999999999997</v>
      </c>
      <c r="N1340">
        <v>72.5</v>
      </c>
      <c r="O1340">
        <v>74.569000000000003</v>
      </c>
      <c r="P1340">
        <v>76.989999999999995</v>
      </c>
      <c r="Q1340">
        <v>79.929000000000002</v>
      </c>
      <c r="R1340">
        <v>82.775999999999996</v>
      </c>
      <c r="S1340">
        <v>85.460999999999999</v>
      </c>
      <c r="T1340">
        <v>88.174000000000007</v>
      </c>
      <c r="U1340">
        <v>90.905000000000001</v>
      </c>
      <c r="V1340">
        <v>93.676000000000002</v>
      </c>
      <c r="W1340">
        <v>96.507999999999996</v>
      </c>
      <c r="X1340">
        <v>99.415999999999997</v>
      </c>
      <c r="Y1340">
        <v>102.41800000000001</v>
      </c>
      <c r="Z1340">
        <v>105.54</v>
      </c>
      <c r="AA1340">
        <v>108.80500000000001</v>
      </c>
      <c r="AB1340">
        <v>112.229</v>
      </c>
      <c r="AC1340">
        <v>115.82</v>
      </c>
      <c r="AD1340">
        <v>119.569</v>
      </c>
    </row>
    <row r="1341" spans="2:30" x14ac:dyDescent="0.25">
      <c r="B1341" t="s">
        <v>133</v>
      </c>
      <c r="C1341" t="s">
        <v>3261</v>
      </c>
      <c r="D1341" t="s">
        <v>4040</v>
      </c>
      <c r="E1341" t="s">
        <v>4041</v>
      </c>
      <c r="F1341" t="s">
        <v>7413</v>
      </c>
      <c r="G1341" t="s">
        <v>3890</v>
      </c>
      <c r="H1341" t="s">
        <v>3984</v>
      </c>
      <c r="I1341" t="s">
        <v>3985</v>
      </c>
      <c r="J1341">
        <v>2</v>
      </c>
      <c r="K1341">
        <v>41.563000000000002</v>
      </c>
      <c r="L1341">
        <v>43.505000000000003</v>
      </c>
      <c r="M1341">
        <v>44.234000000000002</v>
      </c>
      <c r="N1341">
        <v>44.884999999999998</v>
      </c>
      <c r="O1341">
        <v>45.613999999999997</v>
      </c>
      <c r="P1341">
        <v>46.396000000000001</v>
      </c>
      <c r="Q1341">
        <v>47.423999999999999</v>
      </c>
      <c r="R1341">
        <v>48.524000000000001</v>
      </c>
      <c r="S1341">
        <v>49.628999999999998</v>
      </c>
      <c r="T1341">
        <v>50.838000000000001</v>
      </c>
      <c r="U1341">
        <v>52.453000000000003</v>
      </c>
      <c r="V1341">
        <v>54.393999999999998</v>
      </c>
      <c r="W1341">
        <v>56.402999999999999</v>
      </c>
      <c r="X1341">
        <v>58.484000000000002</v>
      </c>
      <c r="Y1341">
        <v>60.639000000000003</v>
      </c>
      <c r="Z1341">
        <v>62.871000000000002</v>
      </c>
      <c r="AA1341">
        <v>65.182000000000002</v>
      </c>
      <c r="AB1341">
        <v>67.575999999999993</v>
      </c>
      <c r="AC1341">
        <v>70.054000000000002</v>
      </c>
      <c r="AD1341">
        <v>72.616</v>
      </c>
    </row>
    <row r="1342" spans="2:30" x14ac:dyDescent="0.25">
      <c r="B1342" t="s">
        <v>133</v>
      </c>
      <c r="C1342" t="s">
        <v>3261</v>
      </c>
      <c r="D1342" t="s">
        <v>4043</v>
      </c>
      <c r="E1342" t="s">
        <v>4044</v>
      </c>
      <c r="F1342" t="s">
        <v>7414</v>
      </c>
      <c r="G1342" t="s">
        <v>3890</v>
      </c>
      <c r="H1342" t="s">
        <v>3984</v>
      </c>
      <c r="I1342" t="s">
        <v>3985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2:30" x14ac:dyDescent="0.25">
      <c r="B1343" t="s">
        <v>133</v>
      </c>
      <c r="C1343" t="s">
        <v>3261</v>
      </c>
      <c r="D1343" t="s">
        <v>4046</v>
      </c>
      <c r="E1343" t="s">
        <v>4047</v>
      </c>
      <c r="F1343" t="s">
        <v>7415</v>
      </c>
      <c r="G1343" t="s">
        <v>3890</v>
      </c>
      <c r="H1343" t="s">
        <v>3984</v>
      </c>
      <c r="I1343" t="s">
        <v>3985</v>
      </c>
      <c r="J1343">
        <v>2</v>
      </c>
      <c r="K1343">
        <v>93.209000000000003</v>
      </c>
      <c r="L1343">
        <v>101.56399999999999</v>
      </c>
      <c r="M1343">
        <v>103.083</v>
      </c>
      <c r="N1343">
        <v>104.59699999999999</v>
      </c>
      <c r="O1343">
        <v>105.94799999999999</v>
      </c>
      <c r="P1343">
        <v>107.53100000000001</v>
      </c>
      <c r="Q1343">
        <v>109.682</v>
      </c>
      <c r="R1343">
        <v>111.875</v>
      </c>
      <c r="S1343">
        <v>114.113</v>
      </c>
      <c r="T1343">
        <v>116.798</v>
      </c>
      <c r="U1343">
        <v>120.718</v>
      </c>
      <c r="V1343">
        <v>125.54600000000001</v>
      </c>
      <c r="W1343">
        <v>130.56800000000001</v>
      </c>
      <c r="X1343">
        <v>135.791</v>
      </c>
      <c r="Y1343">
        <v>141.22300000000001</v>
      </c>
      <c r="Z1343">
        <v>146.87200000000001</v>
      </c>
      <c r="AA1343">
        <v>152.74600000000001</v>
      </c>
      <c r="AB1343">
        <v>158.85599999999999</v>
      </c>
      <c r="AC1343">
        <v>165.21</v>
      </c>
      <c r="AD1343">
        <v>171.81899999999999</v>
      </c>
    </row>
    <row r="1344" spans="2:30" x14ac:dyDescent="0.25">
      <c r="B1344" t="s">
        <v>133</v>
      </c>
      <c r="C1344" t="s">
        <v>3261</v>
      </c>
      <c r="D1344" t="s">
        <v>4049</v>
      </c>
      <c r="E1344" t="s">
        <v>3347</v>
      </c>
      <c r="F1344" t="s">
        <v>7416</v>
      </c>
      <c r="G1344" t="s">
        <v>3890</v>
      </c>
      <c r="H1344" t="s">
        <v>3984</v>
      </c>
      <c r="I1344" t="s">
        <v>4002</v>
      </c>
      <c r="J1344">
        <v>2</v>
      </c>
      <c r="K1344">
        <v>307.637</v>
      </c>
      <c r="L1344">
        <v>315.625</v>
      </c>
      <c r="M1344">
        <v>350.60500000000002</v>
      </c>
      <c r="N1344">
        <v>364.72300000000001</v>
      </c>
      <c r="O1344">
        <v>369.17599999999999</v>
      </c>
      <c r="P1344">
        <v>378.15499999999997</v>
      </c>
      <c r="Q1344">
        <v>391.94499999999999</v>
      </c>
      <c r="R1344">
        <v>400.32499999999999</v>
      </c>
      <c r="S1344">
        <v>412.14</v>
      </c>
      <c r="T1344">
        <v>424.94499999999999</v>
      </c>
      <c r="U1344">
        <v>440.25099999999998</v>
      </c>
      <c r="V1344">
        <v>457.26</v>
      </c>
      <c r="W1344">
        <v>475.58</v>
      </c>
      <c r="X1344">
        <v>495.15300000000002</v>
      </c>
      <c r="Y1344">
        <v>516.06100000000004</v>
      </c>
      <c r="Z1344">
        <v>538.49400000000003</v>
      </c>
      <c r="AA1344">
        <v>562.57899999999995</v>
      </c>
      <c r="AB1344">
        <v>588.43700000000001</v>
      </c>
      <c r="AC1344">
        <v>616.08600000000001</v>
      </c>
      <c r="AD1344">
        <v>644.93799999999999</v>
      </c>
    </row>
    <row r="1345" spans="2:30" x14ac:dyDescent="0.25">
      <c r="B1345" t="s">
        <v>133</v>
      </c>
      <c r="C1345" t="s">
        <v>3261</v>
      </c>
      <c r="D1345" t="s">
        <v>3298</v>
      </c>
      <c r="E1345" t="s">
        <v>3299</v>
      </c>
      <c r="F1345" t="s">
        <v>7417</v>
      </c>
      <c r="G1345" t="s">
        <v>3890</v>
      </c>
      <c r="H1345" t="s">
        <v>3984</v>
      </c>
      <c r="I1345" t="s">
        <v>4002</v>
      </c>
      <c r="J1345">
        <v>2</v>
      </c>
      <c r="K1345">
        <v>210.916</v>
      </c>
      <c r="L1345">
        <v>207.072</v>
      </c>
      <c r="M1345">
        <v>233.316</v>
      </c>
      <c r="N1345">
        <v>242.24799999999999</v>
      </c>
      <c r="O1345">
        <v>244.22</v>
      </c>
      <c r="P1345">
        <v>250.51400000000001</v>
      </c>
      <c r="Q1345">
        <v>260.67700000000002</v>
      </c>
      <c r="R1345">
        <v>265.47000000000003</v>
      </c>
      <c r="S1345">
        <v>273.79399999999998</v>
      </c>
      <c r="T1345">
        <v>283.06299999999999</v>
      </c>
      <c r="U1345">
        <v>294.05</v>
      </c>
      <c r="V1345">
        <v>305.88</v>
      </c>
      <c r="W1345">
        <v>318.85000000000002</v>
      </c>
      <c r="X1345">
        <v>332.89</v>
      </c>
      <c r="Y1345">
        <v>348.06</v>
      </c>
      <c r="Z1345">
        <v>364.52600000000001</v>
      </c>
      <c r="AA1345">
        <v>382.39100000000002</v>
      </c>
      <c r="AB1345">
        <v>401.76</v>
      </c>
      <c r="AC1345">
        <v>422.63799999999998</v>
      </c>
      <c r="AD1345">
        <v>444.43700000000001</v>
      </c>
    </row>
    <row r="1346" spans="2:30" x14ac:dyDescent="0.25">
      <c r="B1346" t="s">
        <v>133</v>
      </c>
      <c r="C1346" t="s">
        <v>3261</v>
      </c>
      <c r="D1346" t="s">
        <v>4052</v>
      </c>
      <c r="E1346" t="s">
        <v>4053</v>
      </c>
      <c r="F1346" t="s">
        <v>7418</v>
      </c>
      <c r="G1346" t="s">
        <v>3890</v>
      </c>
      <c r="H1346" t="s">
        <v>3984</v>
      </c>
      <c r="I1346" t="s">
        <v>4002</v>
      </c>
      <c r="J1346">
        <v>2</v>
      </c>
      <c r="K1346">
        <v>6.7770000000000001</v>
      </c>
      <c r="L1346">
        <v>6.3419999999999996</v>
      </c>
      <c r="M1346">
        <v>7.54</v>
      </c>
      <c r="N1346">
        <v>8.1080000000000005</v>
      </c>
      <c r="O1346">
        <v>8.2379999999999995</v>
      </c>
      <c r="P1346">
        <v>8.3670000000000009</v>
      </c>
      <c r="Q1346">
        <v>8.5820000000000007</v>
      </c>
      <c r="R1346">
        <v>8.7889999999999997</v>
      </c>
      <c r="S1346">
        <v>8.9830000000000005</v>
      </c>
      <c r="T1346">
        <v>9.1769999999999996</v>
      </c>
      <c r="U1346">
        <v>9.3490000000000002</v>
      </c>
      <c r="V1346">
        <v>9.5220000000000002</v>
      </c>
      <c r="W1346">
        <v>9.6950000000000003</v>
      </c>
      <c r="X1346">
        <v>9.8710000000000004</v>
      </c>
      <c r="Y1346">
        <v>10.048999999999999</v>
      </c>
      <c r="Z1346">
        <v>10.233000000000001</v>
      </c>
      <c r="AA1346">
        <v>10.422000000000001</v>
      </c>
      <c r="AB1346">
        <v>10.618</v>
      </c>
      <c r="AC1346">
        <v>10.82</v>
      </c>
      <c r="AD1346">
        <v>11.029</v>
      </c>
    </row>
    <row r="1347" spans="2:30" x14ac:dyDescent="0.25">
      <c r="B1347" t="s">
        <v>133</v>
      </c>
      <c r="C1347" t="s">
        <v>3261</v>
      </c>
      <c r="D1347" t="s">
        <v>4055</v>
      </c>
      <c r="E1347" t="s">
        <v>4056</v>
      </c>
      <c r="F1347" t="s">
        <v>7419</v>
      </c>
      <c r="G1347" t="s">
        <v>3890</v>
      </c>
      <c r="H1347" t="s">
        <v>3984</v>
      </c>
      <c r="I1347" t="s">
        <v>4002</v>
      </c>
      <c r="J1347">
        <v>2</v>
      </c>
      <c r="K1347">
        <v>98.35</v>
      </c>
      <c r="L1347">
        <v>91.561000000000007</v>
      </c>
      <c r="M1347">
        <v>108.026</v>
      </c>
      <c r="N1347">
        <v>110.483</v>
      </c>
      <c r="O1347">
        <v>109.17700000000001</v>
      </c>
      <c r="P1347">
        <v>109.47</v>
      </c>
      <c r="Q1347">
        <v>112.87</v>
      </c>
      <c r="R1347">
        <v>110.535</v>
      </c>
      <c r="S1347">
        <v>110.878</v>
      </c>
      <c r="T1347">
        <v>110.946</v>
      </c>
      <c r="U1347">
        <v>112.057</v>
      </c>
      <c r="V1347">
        <v>113.333</v>
      </c>
      <c r="W1347">
        <v>115.128</v>
      </c>
      <c r="X1347">
        <v>117.35299999999999</v>
      </c>
      <c r="Y1347">
        <v>120.09</v>
      </c>
      <c r="Z1347">
        <v>123.407</v>
      </c>
      <c r="AA1347">
        <v>127.381</v>
      </c>
      <c r="AB1347">
        <v>132.09</v>
      </c>
      <c r="AC1347">
        <v>137.512</v>
      </c>
      <c r="AD1347">
        <v>143.18</v>
      </c>
    </row>
    <row r="1348" spans="2:30" x14ac:dyDescent="0.25">
      <c r="B1348" t="s">
        <v>133</v>
      </c>
      <c r="C1348" t="s">
        <v>3261</v>
      </c>
      <c r="D1348" t="s">
        <v>4058</v>
      </c>
      <c r="E1348" t="s">
        <v>4059</v>
      </c>
      <c r="F1348" t="s">
        <v>7420</v>
      </c>
      <c r="G1348" t="s">
        <v>3890</v>
      </c>
      <c r="H1348" t="s">
        <v>3984</v>
      </c>
      <c r="I1348" t="s">
        <v>4002</v>
      </c>
      <c r="J1348">
        <v>2</v>
      </c>
      <c r="K1348">
        <v>24.14</v>
      </c>
      <c r="L1348">
        <v>23.181999999999999</v>
      </c>
      <c r="M1348">
        <v>24.550999999999998</v>
      </c>
      <c r="N1348">
        <v>31.274000000000001</v>
      </c>
      <c r="O1348">
        <v>31.376000000000001</v>
      </c>
      <c r="P1348">
        <v>31.510999999999999</v>
      </c>
      <c r="Q1348">
        <v>31.709</v>
      </c>
      <c r="R1348">
        <v>31.914000000000001</v>
      </c>
      <c r="S1348">
        <v>32.034999999999997</v>
      </c>
      <c r="T1348">
        <v>32.179000000000002</v>
      </c>
      <c r="U1348">
        <v>32.341000000000001</v>
      </c>
      <c r="V1348">
        <v>32.533000000000001</v>
      </c>
      <c r="W1348">
        <v>32.753</v>
      </c>
      <c r="X1348">
        <v>33.006999999999998</v>
      </c>
      <c r="Y1348">
        <v>33.296999999999997</v>
      </c>
      <c r="Z1348">
        <v>33.630000000000003</v>
      </c>
      <c r="AA1348">
        <v>34.009</v>
      </c>
      <c r="AB1348">
        <v>34.44</v>
      </c>
      <c r="AC1348">
        <v>34.924999999999997</v>
      </c>
      <c r="AD1348">
        <v>35.460999999999999</v>
      </c>
    </row>
    <row r="1349" spans="2:30" x14ac:dyDescent="0.25">
      <c r="B1349" t="s">
        <v>133</v>
      </c>
      <c r="C1349" t="s">
        <v>3261</v>
      </c>
      <c r="D1349" t="s">
        <v>4061</v>
      </c>
      <c r="E1349" t="s">
        <v>4062</v>
      </c>
      <c r="F1349" t="s">
        <v>7421</v>
      </c>
      <c r="G1349" t="s">
        <v>3890</v>
      </c>
      <c r="H1349" t="s">
        <v>3984</v>
      </c>
      <c r="I1349" t="s">
        <v>4002</v>
      </c>
      <c r="J1349">
        <v>2</v>
      </c>
      <c r="K1349">
        <v>20.114000000000001</v>
      </c>
      <c r="L1349">
        <v>19.417999999999999</v>
      </c>
      <c r="M1349">
        <v>19.018999999999998</v>
      </c>
      <c r="N1349">
        <v>18.347000000000001</v>
      </c>
      <c r="O1349">
        <v>18.707999999999998</v>
      </c>
      <c r="P1349">
        <v>20.507000000000001</v>
      </c>
      <c r="Q1349">
        <v>22.451000000000001</v>
      </c>
      <c r="R1349">
        <v>24.555</v>
      </c>
      <c r="S1349">
        <v>27.065999999999999</v>
      </c>
      <c r="T1349">
        <v>30.036000000000001</v>
      </c>
      <c r="U1349">
        <v>33.252000000000002</v>
      </c>
      <c r="V1349">
        <v>36.698999999999998</v>
      </c>
      <c r="W1349">
        <v>40.363999999999997</v>
      </c>
      <c r="X1349">
        <v>44.231999999999999</v>
      </c>
      <c r="Y1349">
        <v>48.280999999999999</v>
      </c>
      <c r="Z1349">
        <v>52.548999999999999</v>
      </c>
      <c r="AA1349">
        <v>57.034999999999997</v>
      </c>
      <c r="AB1349">
        <v>61.734999999999999</v>
      </c>
      <c r="AC1349">
        <v>66.649000000000001</v>
      </c>
      <c r="AD1349">
        <v>71.683999999999997</v>
      </c>
    </row>
    <row r="1350" spans="2:30" x14ac:dyDescent="0.25">
      <c r="B1350" t="s">
        <v>133</v>
      </c>
      <c r="C1350" t="s">
        <v>3261</v>
      </c>
      <c r="D1350" t="s">
        <v>4064</v>
      </c>
      <c r="E1350" t="s">
        <v>4065</v>
      </c>
      <c r="F1350" t="s">
        <v>7422</v>
      </c>
      <c r="G1350" t="s">
        <v>3890</v>
      </c>
      <c r="H1350" t="s">
        <v>3984</v>
      </c>
      <c r="I1350" t="s">
        <v>4002</v>
      </c>
      <c r="J1350">
        <v>2</v>
      </c>
      <c r="K1350">
        <v>44.502000000000002</v>
      </c>
      <c r="L1350">
        <v>47.332999999999998</v>
      </c>
      <c r="M1350">
        <v>51.197000000000003</v>
      </c>
      <c r="N1350">
        <v>50.457000000000001</v>
      </c>
      <c r="O1350">
        <v>52.56</v>
      </c>
      <c r="P1350">
        <v>55.807000000000002</v>
      </c>
      <c r="Q1350">
        <v>59.393999999999998</v>
      </c>
      <c r="R1350">
        <v>63.216000000000001</v>
      </c>
      <c r="S1350">
        <v>67.631</v>
      </c>
      <c r="T1350">
        <v>72.778000000000006</v>
      </c>
      <c r="U1350">
        <v>78.350999999999999</v>
      </c>
      <c r="V1350">
        <v>84.332999999999998</v>
      </c>
      <c r="W1350">
        <v>90.674000000000007</v>
      </c>
      <c r="X1350">
        <v>97.397000000000006</v>
      </c>
      <c r="Y1350">
        <v>104.494</v>
      </c>
      <c r="Z1350">
        <v>112.01300000000001</v>
      </c>
      <c r="AA1350">
        <v>119.96599999999999</v>
      </c>
      <c r="AB1350">
        <v>128.374</v>
      </c>
      <c r="AC1350">
        <v>137.26300000000001</v>
      </c>
      <c r="AD1350">
        <v>146.60900000000001</v>
      </c>
    </row>
    <row r="1351" spans="2:30" x14ac:dyDescent="0.25">
      <c r="B1351" t="s">
        <v>133</v>
      </c>
      <c r="C1351" t="s">
        <v>3261</v>
      </c>
      <c r="D1351" t="s">
        <v>4067</v>
      </c>
      <c r="E1351" t="s">
        <v>4068</v>
      </c>
      <c r="F1351" t="s">
        <v>7423</v>
      </c>
      <c r="G1351" t="s">
        <v>3890</v>
      </c>
      <c r="H1351" t="s">
        <v>3984</v>
      </c>
      <c r="I1351" t="s">
        <v>4002</v>
      </c>
      <c r="J1351">
        <v>2</v>
      </c>
      <c r="K1351">
        <v>15.176</v>
      </c>
      <c r="L1351">
        <v>17.062999999999999</v>
      </c>
      <c r="M1351">
        <v>20.57</v>
      </c>
      <c r="N1351">
        <v>21.077999999999999</v>
      </c>
      <c r="O1351">
        <v>21.573</v>
      </c>
      <c r="P1351">
        <v>22.155999999999999</v>
      </c>
      <c r="Q1351">
        <v>22.846</v>
      </c>
      <c r="R1351">
        <v>23.507999999999999</v>
      </c>
      <c r="S1351">
        <v>24.126999999999999</v>
      </c>
      <c r="T1351">
        <v>24.748999999999999</v>
      </c>
      <c r="U1351">
        <v>25.376000000000001</v>
      </c>
      <c r="V1351">
        <v>26.007999999999999</v>
      </c>
      <c r="W1351">
        <v>26.65</v>
      </c>
      <c r="X1351">
        <v>27.305</v>
      </c>
      <c r="Y1351">
        <v>27.978000000000002</v>
      </c>
      <c r="Z1351">
        <v>28.673999999999999</v>
      </c>
      <c r="AA1351">
        <v>29.398</v>
      </c>
      <c r="AB1351">
        <v>30.152999999999999</v>
      </c>
      <c r="AC1351">
        <v>30.940999999999999</v>
      </c>
      <c r="AD1351">
        <v>31.757999999999999</v>
      </c>
    </row>
    <row r="1352" spans="2:30" x14ac:dyDescent="0.25">
      <c r="B1352" t="s">
        <v>133</v>
      </c>
      <c r="C1352" t="s">
        <v>3261</v>
      </c>
      <c r="D1352" t="s">
        <v>4070</v>
      </c>
      <c r="E1352" t="s">
        <v>4071</v>
      </c>
      <c r="F1352" t="s">
        <v>7424</v>
      </c>
      <c r="G1352" t="s">
        <v>3890</v>
      </c>
      <c r="H1352" t="s">
        <v>3984</v>
      </c>
      <c r="I1352" t="s">
        <v>4002</v>
      </c>
      <c r="J1352">
        <v>2</v>
      </c>
      <c r="K1352">
        <v>1.855</v>
      </c>
      <c r="L1352">
        <v>2.1720000000000002</v>
      </c>
      <c r="M1352">
        <v>2.4140000000000001</v>
      </c>
      <c r="N1352">
        <v>2.5019999999999998</v>
      </c>
      <c r="O1352">
        <v>2.59</v>
      </c>
      <c r="P1352">
        <v>2.6960000000000002</v>
      </c>
      <c r="Q1352">
        <v>2.8250000000000002</v>
      </c>
      <c r="R1352">
        <v>2.952</v>
      </c>
      <c r="S1352">
        <v>3.073</v>
      </c>
      <c r="T1352">
        <v>3.1970000000000001</v>
      </c>
      <c r="U1352">
        <v>3.3239999999999998</v>
      </c>
      <c r="V1352">
        <v>3.4529999999999998</v>
      </c>
      <c r="W1352">
        <v>3.5870000000000002</v>
      </c>
      <c r="X1352">
        <v>3.7250000000000001</v>
      </c>
      <c r="Y1352">
        <v>3.8690000000000002</v>
      </c>
      <c r="Z1352">
        <v>4.0199999999999996</v>
      </c>
      <c r="AA1352">
        <v>4.18</v>
      </c>
      <c r="AB1352">
        <v>4.3490000000000002</v>
      </c>
      <c r="AC1352">
        <v>4.5279999999999996</v>
      </c>
      <c r="AD1352">
        <v>4.7160000000000002</v>
      </c>
    </row>
    <row r="1353" spans="2:30" x14ac:dyDescent="0.25">
      <c r="B1353" t="s">
        <v>133</v>
      </c>
      <c r="C1353" t="s">
        <v>3261</v>
      </c>
      <c r="D1353" t="s">
        <v>3322</v>
      </c>
      <c r="E1353" t="s">
        <v>3323</v>
      </c>
      <c r="F1353" t="s">
        <v>7425</v>
      </c>
      <c r="G1353" t="s">
        <v>3890</v>
      </c>
      <c r="H1353" t="s">
        <v>3984</v>
      </c>
      <c r="I1353" t="s">
        <v>4002</v>
      </c>
      <c r="J1353">
        <v>2</v>
      </c>
      <c r="K1353">
        <v>82.215000000000003</v>
      </c>
      <c r="L1353">
        <v>78.528000000000006</v>
      </c>
      <c r="M1353">
        <v>90.745999999999995</v>
      </c>
      <c r="N1353">
        <v>95.173000000000002</v>
      </c>
      <c r="O1353">
        <v>92.543999999999997</v>
      </c>
      <c r="P1353">
        <v>91.198999999999998</v>
      </c>
      <c r="Q1353">
        <v>92.68</v>
      </c>
      <c r="R1353">
        <v>88.486000000000004</v>
      </c>
      <c r="S1353">
        <v>86.968999999999994</v>
      </c>
      <c r="T1353">
        <v>85.149000000000001</v>
      </c>
      <c r="U1353">
        <v>84.340999999999994</v>
      </c>
      <c r="V1353">
        <v>83.679000000000002</v>
      </c>
      <c r="W1353">
        <v>83.503</v>
      </c>
      <c r="X1353">
        <v>83.718000000000004</v>
      </c>
      <c r="Y1353">
        <v>84.396000000000001</v>
      </c>
      <c r="Z1353">
        <v>85.59</v>
      </c>
      <c r="AA1353">
        <v>87.364000000000004</v>
      </c>
      <c r="AB1353">
        <v>89.79</v>
      </c>
      <c r="AC1353">
        <v>92.838999999999999</v>
      </c>
      <c r="AD1353">
        <v>96.054000000000002</v>
      </c>
    </row>
    <row r="1354" spans="2:30" x14ac:dyDescent="0.25">
      <c r="B1354" t="s">
        <v>133</v>
      </c>
      <c r="C1354" t="s">
        <v>3261</v>
      </c>
      <c r="D1354" t="s">
        <v>3358</v>
      </c>
      <c r="E1354" t="s">
        <v>3359</v>
      </c>
      <c r="F1354" t="s">
        <v>7426</v>
      </c>
      <c r="G1354" t="s">
        <v>3890</v>
      </c>
      <c r="H1354" t="s">
        <v>3984</v>
      </c>
      <c r="I1354" t="s">
        <v>4002</v>
      </c>
      <c r="J1354">
        <v>2</v>
      </c>
      <c r="K1354">
        <v>52.970999999999997</v>
      </c>
      <c r="L1354">
        <v>52.003</v>
      </c>
      <c r="M1354">
        <v>51.097000000000001</v>
      </c>
      <c r="N1354">
        <v>49.530999999999999</v>
      </c>
      <c r="O1354">
        <v>51.664000000000001</v>
      </c>
      <c r="P1354">
        <v>56.411999999999999</v>
      </c>
      <c r="Q1354">
        <v>61.591999999999999</v>
      </c>
      <c r="R1354">
        <v>67.201999999999998</v>
      </c>
      <c r="S1354">
        <v>73.867000000000004</v>
      </c>
      <c r="T1354">
        <v>81.754000000000005</v>
      </c>
      <c r="U1354">
        <v>90.33</v>
      </c>
      <c r="V1354">
        <v>99.563000000000002</v>
      </c>
      <c r="W1354">
        <v>109.384</v>
      </c>
      <c r="X1354">
        <v>119.801</v>
      </c>
      <c r="Y1354">
        <v>130.78</v>
      </c>
      <c r="Z1354">
        <v>142.40600000000001</v>
      </c>
      <c r="AA1354">
        <v>154.68799999999999</v>
      </c>
      <c r="AB1354">
        <v>167.64400000000001</v>
      </c>
      <c r="AC1354">
        <v>181.298</v>
      </c>
      <c r="AD1354">
        <v>195.529</v>
      </c>
    </row>
    <row r="1355" spans="2:30" x14ac:dyDescent="0.25">
      <c r="B1355" t="s">
        <v>133</v>
      </c>
      <c r="C1355" t="s">
        <v>3261</v>
      </c>
      <c r="D1355" t="s">
        <v>3334</v>
      </c>
      <c r="E1355" t="s">
        <v>3335</v>
      </c>
      <c r="F1355" t="s">
        <v>7427</v>
      </c>
      <c r="G1355" t="s">
        <v>3890</v>
      </c>
      <c r="H1355" t="s">
        <v>3984</v>
      </c>
      <c r="I1355" t="s">
        <v>4002</v>
      </c>
      <c r="J1355">
        <v>2</v>
      </c>
      <c r="K1355">
        <v>15.803000000000001</v>
      </c>
      <c r="L1355">
        <v>17.407</v>
      </c>
      <c r="M1355">
        <v>21.786000000000001</v>
      </c>
      <c r="N1355">
        <v>22.128</v>
      </c>
      <c r="O1355">
        <v>22.457000000000001</v>
      </c>
      <c r="P1355">
        <v>22.846</v>
      </c>
      <c r="Q1355">
        <v>23.306999999999999</v>
      </c>
      <c r="R1355">
        <v>23.742000000000001</v>
      </c>
      <c r="S1355">
        <v>24.140999999999998</v>
      </c>
      <c r="T1355">
        <v>24.536999999999999</v>
      </c>
      <c r="U1355">
        <v>24.931999999999999</v>
      </c>
      <c r="V1355">
        <v>25.326000000000001</v>
      </c>
      <c r="W1355">
        <v>25.722999999999999</v>
      </c>
      <c r="X1355">
        <v>26.123999999999999</v>
      </c>
      <c r="Y1355">
        <v>26.532</v>
      </c>
      <c r="Z1355">
        <v>26.95</v>
      </c>
      <c r="AA1355">
        <v>27.382000000000001</v>
      </c>
      <c r="AB1355">
        <v>27.827999999999999</v>
      </c>
      <c r="AC1355">
        <v>28.29</v>
      </c>
      <c r="AD1355">
        <v>28.765999999999998</v>
      </c>
    </row>
    <row r="1356" spans="2:30" x14ac:dyDescent="0.25">
      <c r="B1356" t="s">
        <v>133</v>
      </c>
      <c r="C1356" t="s">
        <v>3261</v>
      </c>
      <c r="D1356" t="s">
        <v>3310</v>
      </c>
      <c r="E1356" t="s">
        <v>3311</v>
      </c>
      <c r="F1356" t="s">
        <v>7428</v>
      </c>
      <c r="G1356" t="s">
        <v>3890</v>
      </c>
      <c r="H1356" t="s">
        <v>3984</v>
      </c>
      <c r="I1356" t="s">
        <v>4002</v>
      </c>
      <c r="J1356">
        <v>2</v>
      </c>
      <c r="K1356">
        <v>59.633000000000003</v>
      </c>
      <c r="L1356">
        <v>58.865000000000002</v>
      </c>
      <c r="M1356">
        <v>69.37</v>
      </c>
      <c r="N1356">
        <v>74.998999999999995</v>
      </c>
      <c r="O1356">
        <v>77.138999999999996</v>
      </c>
      <c r="P1356">
        <v>79.643000000000001</v>
      </c>
      <c r="Q1356">
        <v>82.683999999999997</v>
      </c>
      <c r="R1356">
        <v>85.629000000000005</v>
      </c>
      <c r="S1356">
        <v>88.406000000000006</v>
      </c>
      <c r="T1356">
        <v>91.212999999999994</v>
      </c>
      <c r="U1356">
        <v>94.037999999999997</v>
      </c>
      <c r="V1356">
        <v>96.903999999999996</v>
      </c>
      <c r="W1356">
        <v>99.834000000000003</v>
      </c>
      <c r="X1356">
        <v>102.842</v>
      </c>
      <c r="Y1356">
        <v>105.94799999999999</v>
      </c>
      <c r="Z1356">
        <v>109.17700000000001</v>
      </c>
      <c r="AA1356">
        <v>112.55500000000001</v>
      </c>
      <c r="AB1356">
        <v>116.09699999999999</v>
      </c>
      <c r="AC1356">
        <v>119.812</v>
      </c>
      <c r="AD1356">
        <v>123.69</v>
      </c>
    </row>
    <row r="1357" spans="2:30" x14ac:dyDescent="0.25">
      <c r="B1357" t="s">
        <v>133</v>
      </c>
      <c r="C1357" t="s">
        <v>3261</v>
      </c>
      <c r="D1357" t="s">
        <v>4077</v>
      </c>
      <c r="E1357" t="s">
        <v>4078</v>
      </c>
      <c r="F1357" t="s">
        <v>7429</v>
      </c>
      <c r="G1357" t="s">
        <v>3890</v>
      </c>
      <c r="H1357" t="s">
        <v>3984</v>
      </c>
      <c r="I1357" t="s">
        <v>4002</v>
      </c>
      <c r="J1357">
        <v>2</v>
      </c>
      <c r="K1357">
        <v>0.29399999999999998</v>
      </c>
      <c r="L1357">
        <v>0.26800000000000002</v>
      </c>
      <c r="M1357">
        <v>0.317</v>
      </c>
      <c r="N1357">
        <v>0.41699999999999998</v>
      </c>
      <c r="O1357">
        <v>0.41599999999999998</v>
      </c>
      <c r="P1357">
        <v>0.41499999999999998</v>
      </c>
      <c r="Q1357">
        <v>0.41399999999999998</v>
      </c>
      <c r="R1357">
        <v>0.41199999999999998</v>
      </c>
      <c r="S1357">
        <v>0.41099999999999998</v>
      </c>
      <c r="T1357">
        <v>0.41</v>
      </c>
      <c r="U1357">
        <v>0.40899999999999997</v>
      </c>
      <c r="V1357">
        <v>0.40799999999999997</v>
      </c>
      <c r="W1357">
        <v>0.40600000000000003</v>
      </c>
      <c r="X1357">
        <v>0.40500000000000003</v>
      </c>
      <c r="Y1357">
        <v>0.40400000000000003</v>
      </c>
      <c r="Z1357">
        <v>0.40300000000000002</v>
      </c>
      <c r="AA1357">
        <v>0.40100000000000002</v>
      </c>
      <c r="AB1357">
        <v>0.4</v>
      </c>
      <c r="AC1357">
        <v>0.39900000000000002</v>
      </c>
      <c r="AD1357">
        <v>0.39800000000000002</v>
      </c>
    </row>
    <row r="1358" spans="2:30" x14ac:dyDescent="0.25">
      <c r="B1358" t="s">
        <v>133</v>
      </c>
      <c r="C1358" t="s">
        <v>3261</v>
      </c>
      <c r="D1358" t="s">
        <v>4080</v>
      </c>
      <c r="E1358" t="s">
        <v>4081</v>
      </c>
      <c r="F1358" t="s">
        <v>7430</v>
      </c>
      <c r="G1358" t="s">
        <v>3890</v>
      </c>
      <c r="H1358" t="s">
        <v>4083</v>
      </c>
      <c r="I1358" t="s">
        <v>4002</v>
      </c>
      <c r="J1358" t="s">
        <v>4084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-1.4999999999999999E-2</v>
      </c>
      <c r="S1358">
        <v>-2.1999999999999999E-2</v>
      </c>
      <c r="T1358">
        <v>-2.9000000000000001E-2</v>
      </c>
      <c r="U1358">
        <v>-3.3000000000000002E-2</v>
      </c>
      <c r="V1358">
        <v>-3.7999999999999999E-2</v>
      </c>
      <c r="W1358">
        <v>-4.2000000000000003E-2</v>
      </c>
      <c r="X1358">
        <v>-4.4999999999999998E-2</v>
      </c>
      <c r="Y1358">
        <v>-4.7E-2</v>
      </c>
      <c r="Z1358">
        <v>-4.9000000000000002E-2</v>
      </c>
      <c r="AA1358">
        <v>-5.0999999999999997E-2</v>
      </c>
      <c r="AB1358">
        <v>-5.1999999999999998E-2</v>
      </c>
      <c r="AC1358">
        <v>-5.1999999999999998E-2</v>
      </c>
      <c r="AD1358">
        <v>-5.1999999999999998E-2</v>
      </c>
    </row>
    <row r="1359" spans="2:30" x14ac:dyDescent="0.25">
      <c r="B1359" t="s">
        <v>133</v>
      </c>
      <c r="C1359" t="s">
        <v>3261</v>
      </c>
      <c r="D1359" t="s">
        <v>4085</v>
      </c>
      <c r="E1359" t="s">
        <v>4086</v>
      </c>
      <c r="F1359" t="s">
        <v>7431</v>
      </c>
      <c r="G1359" t="s">
        <v>3890</v>
      </c>
      <c r="H1359" t="s">
        <v>3984</v>
      </c>
      <c r="I1359" t="s">
        <v>3985</v>
      </c>
      <c r="J1359">
        <v>1</v>
      </c>
      <c r="K1359">
        <v>400.91199999999998</v>
      </c>
      <c r="L1359">
        <v>412.10500000000002</v>
      </c>
      <c r="M1359">
        <v>450.92399999999998</v>
      </c>
      <c r="N1359">
        <v>467.51499999999999</v>
      </c>
      <c r="O1359">
        <v>473.64800000000002</v>
      </c>
      <c r="P1359">
        <v>484.76299999999998</v>
      </c>
      <c r="Q1359">
        <v>501.10399999999998</v>
      </c>
      <c r="R1359">
        <v>518.13900000000001</v>
      </c>
      <c r="S1359">
        <v>535.62300000000005</v>
      </c>
      <c r="T1359">
        <v>555.04300000000001</v>
      </c>
      <c r="U1359">
        <v>576.99900000000002</v>
      </c>
      <c r="V1359">
        <v>601.28700000000003</v>
      </c>
      <c r="W1359">
        <v>626.83100000000002</v>
      </c>
      <c r="X1359">
        <v>653.74699999999996</v>
      </c>
      <c r="Y1359">
        <v>682.01</v>
      </c>
      <c r="Z1359">
        <v>711.827</v>
      </c>
      <c r="AA1359">
        <v>743.30399999999997</v>
      </c>
      <c r="AB1359">
        <v>776.60500000000002</v>
      </c>
      <c r="AC1359">
        <v>811.92499999999995</v>
      </c>
      <c r="AD1359">
        <v>848.15700000000004</v>
      </c>
    </row>
    <row r="1360" spans="2:30" x14ac:dyDescent="0.25">
      <c r="B1360" t="s">
        <v>133</v>
      </c>
      <c r="C1360" t="s">
        <v>3261</v>
      </c>
      <c r="D1360" t="s">
        <v>3340</v>
      </c>
      <c r="E1360" t="s">
        <v>3341</v>
      </c>
      <c r="F1360" t="s">
        <v>7395</v>
      </c>
      <c r="G1360" t="s">
        <v>3890</v>
      </c>
      <c r="H1360" t="s">
        <v>3984</v>
      </c>
      <c r="I1360" t="s">
        <v>4002</v>
      </c>
      <c r="J1360">
        <v>1</v>
      </c>
      <c r="K1360">
        <v>307.637</v>
      </c>
      <c r="L1360">
        <v>315.625</v>
      </c>
      <c r="M1360">
        <v>350.60500000000002</v>
      </c>
      <c r="N1360">
        <v>364.72300000000001</v>
      </c>
      <c r="O1360">
        <v>369.17599999999999</v>
      </c>
      <c r="P1360">
        <v>378.15499999999997</v>
      </c>
      <c r="Q1360">
        <v>391.94499999999999</v>
      </c>
      <c r="R1360">
        <v>406.36399999999998</v>
      </c>
      <c r="S1360">
        <v>421.24599999999998</v>
      </c>
      <c r="T1360">
        <v>437.51900000000001</v>
      </c>
      <c r="U1360">
        <v>455.45699999999999</v>
      </c>
      <c r="V1360">
        <v>475.30500000000001</v>
      </c>
      <c r="W1360">
        <v>496.25400000000002</v>
      </c>
      <c r="X1360">
        <v>518.41399999999999</v>
      </c>
      <c r="Y1360">
        <v>541.75400000000002</v>
      </c>
      <c r="Z1360">
        <v>566.47799999999995</v>
      </c>
      <c r="AA1360">
        <v>592.68200000000002</v>
      </c>
      <c r="AB1360">
        <v>620.52499999999998</v>
      </c>
      <c r="AC1360">
        <v>650.19399999999996</v>
      </c>
      <c r="AD1360">
        <v>680.58399999999995</v>
      </c>
    </row>
    <row r="1361" spans="2:30" x14ac:dyDescent="0.25">
      <c r="B1361" t="s">
        <v>133</v>
      </c>
      <c r="C1361" t="s">
        <v>3261</v>
      </c>
      <c r="D1361" t="s">
        <v>4088</v>
      </c>
      <c r="E1361" t="s">
        <v>4089</v>
      </c>
      <c r="F1361" t="s">
        <v>7432</v>
      </c>
      <c r="G1361" t="s">
        <v>3890</v>
      </c>
      <c r="H1361" t="s">
        <v>3984</v>
      </c>
      <c r="I1361" t="s">
        <v>3985</v>
      </c>
      <c r="J1361">
        <v>1</v>
      </c>
      <c r="K1361">
        <v>53.088000000000001</v>
      </c>
      <c r="L1361">
        <v>55.677999999999997</v>
      </c>
      <c r="M1361">
        <v>56.591999999999999</v>
      </c>
      <c r="N1361">
        <v>57.34</v>
      </c>
      <c r="O1361">
        <v>58.082999999999998</v>
      </c>
      <c r="P1361">
        <v>59.234000000000002</v>
      </c>
      <c r="Q1361">
        <v>60.427999999999997</v>
      </c>
      <c r="R1361">
        <v>61.667000000000002</v>
      </c>
      <c r="S1361">
        <v>62.921999999999997</v>
      </c>
      <c r="T1361">
        <v>64.748000000000005</v>
      </c>
      <c r="U1361">
        <v>67.185000000000002</v>
      </c>
      <c r="V1361">
        <v>69.716999999999999</v>
      </c>
      <c r="W1361">
        <v>72.346999999999994</v>
      </c>
      <c r="X1361">
        <v>75.078000000000003</v>
      </c>
      <c r="Y1361">
        <v>77.915000000000006</v>
      </c>
      <c r="Z1361">
        <v>80.858999999999995</v>
      </c>
      <c r="AA1361">
        <v>83.917000000000002</v>
      </c>
      <c r="AB1361">
        <v>87.093000000000004</v>
      </c>
      <c r="AC1361">
        <v>90.39</v>
      </c>
      <c r="AD1361">
        <v>93.814999999999998</v>
      </c>
    </row>
    <row r="1362" spans="2:30" x14ac:dyDescent="0.25">
      <c r="B1362" t="s">
        <v>133</v>
      </c>
      <c r="C1362" t="s">
        <v>3261</v>
      </c>
      <c r="D1362" t="s">
        <v>4091</v>
      </c>
      <c r="E1362" t="s">
        <v>4092</v>
      </c>
      <c r="F1362" t="s">
        <v>7433</v>
      </c>
      <c r="G1362" t="s">
        <v>3890</v>
      </c>
      <c r="H1362" t="s">
        <v>3984</v>
      </c>
      <c r="I1362" t="s">
        <v>3985</v>
      </c>
      <c r="J1362">
        <v>1</v>
      </c>
      <c r="K1362">
        <v>28.488</v>
      </c>
      <c r="L1362">
        <v>28.577000000000002</v>
      </c>
      <c r="M1362">
        <v>29.32</v>
      </c>
      <c r="N1362">
        <v>29.875</v>
      </c>
      <c r="O1362">
        <v>30.367999999999999</v>
      </c>
      <c r="P1362">
        <v>30.834</v>
      </c>
      <c r="Q1362">
        <v>31.558</v>
      </c>
      <c r="R1362">
        <v>32.325000000000003</v>
      </c>
      <c r="S1362">
        <v>33.095999999999997</v>
      </c>
      <c r="T1362">
        <v>33.832000000000001</v>
      </c>
      <c r="U1362">
        <v>34.822000000000003</v>
      </c>
      <c r="V1362">
        <v>36.127000000000002</v>
      </c>
      <c r="W1362">
        <v>37.479999999999997</v>
      </c>
      <c r="X1362">
        <v>38.883000000000003</v>
      </c>
      <c r="Y1362">
        <v>40.335999999999999</v>
      </c>
      <c r="Z1362">
        <v>41.841999999999999</v>
      </c>
      <c r="AA1362">
        <v>43.404000000000003</v>
      </c>
      <c r="AB1362">
        <v>45.023000000000003</v>
      </c>
      <c r="AC1362">
        <v>46.703000000000003</v>
      </c>
      <c r="AD1362">
        <v>48.438000000000002</v>
      </c>
    </row>
    <row r="1363" spans="2:30" x14ac:dyDescent="0.25">
      <c r="B1363" t="s">
        <v>133</v>
      </c>
      <c r="C1363" t="s">
        <v>3261</v>
      </c>
      <c r="D1363" t="s">
        <v>4094</v>
      </c>
      <c r="E1363" t="s">
        <v>4095</v>
      </c>
      <c r="F1363" t="s">
        <v>7434</v>
      </c>
      <c r="G1363" t="s">
        <v>3890</v>
      </c>
      <c r="H1363" t="s">
        <v>3984</v>
      </c>
      <c r="I1363" t="s">
        <v>3985</v>
      </c>
      <c r="J1363">
        <v>1</v>
      </c>
      <c r="K1363">
        <v>11.699</v>
      </c>
      <c r="L1363">
        <v>12.225</v>
      </c>
      <c r="M1363">
        <v>14.407</v>
      </c>
      <c r="N1363">
        <v>15.576000000000001</v>
      </c>
      <c r="O1363">
        <v>16.02</v>
      </c>
      <c r="P1363">
        <v>16.54</v>
      </c>
      <c r="Q1363">
        <v>17.172000000000001</v>
      </c>
      <c r="R1363">
        <v>17.782</v>
      </c>
      <c r="S1363">
        <v>18.359000000000002</v>
      </c>
      <c r="T1363">
        <v>18.943999999999999</v>
      </c>
      <c r="U1363">
        <v>19.535</v>
      </c>
      <c r="V1363">
        <v>20.137</v>
      </c>
      <c r="W1363">
        <v>20.748999999999999</v>
      </c>
      <c r="X1363">
        <v>21.372</v>
      </c>
      <c r="Y1363">
        <v>22.004999999999999</v>
      </c>
      <c r="Z1363">
        <v>22.648</v>
      </c>
      <c r="AA1363">
        <v>23.300999999999998</v>
      </c>
      <c r="AB1363">
        <v>23.965</v>
      </c>
      <c r="AC1363">
        <v>24.638000000000002</v>
      </c>
      <c r="AD1363">
        <v>25.321000000000002</v>
      </c>
    </row>
    <row r="1364" spans="2:30" x14ac:dyDescent="0.25">
      <c r="B1364" t="s">
        <v>133</v>
      </c>
      <c r="C1364" t="s">
        <v>3261</v>
      </c>
      <c r="D1364" t="s">
        <v>4097</v>
      </c>
      <c r="E1364" t="s">
        <v>4098</v>
      </c>
      <c r="F1364" t="s">
        <v>7435</v>
      </c>
      <c r="G1364" t="s">
        <v>3890</v>
      </c>
      <c r="H1364" t="s">
        <v>3984</v>
      </c>
      <c r="I1364" t="s">
        <v>3985</v>
      </c>
      <c r="J1364">
        <v>2</v>
      </c>
      <c r="K1364">
        <v>400.91199999999998</v>
      </c>
      <c r="L1364">
        <v>412.10500000000002</v>
      </c>
      <c r="M1364">
        <v>450.92399999999998</v>
      </c>
      <c r="N1364">
        <v>467.51499999999999</v>
      </c>
      <c r="O1364">
        <v>473.64800000000002</v>
      </c>
      <c r="P1364">
        <v>484.76299999999998</v>
      </c>
      <c r="Q1364">
        <v>501.10399999999998</v>
      </c>
      <c r="R1364">
        <v>512.06399999999996</v>
      </c>
      <c r="S1364">
        <v>526.46299999999997</v>
      </c>
      <c r="T1364">
        <v>542.39099999999996</v>
      </c>
      <c r="U1364">
        <v>561.69299999999998</v>
      </c>
      <c r="V1364">
        <v>583.11500000000001</v>
      </c>
      <c r="W1364">
        <v>606.00800000000004</v>
      </c>
      <c r="X1364">
        <v>630.32600000000002</v>
      </c>
      <c r="Y1364">
        <v>656.15800000000002</v>
      </c>
      <c r="Z1364">
        <v>683.70500000000004</v>
      </c>
      <c r="AA1364">
        <v>713.10900000000004</v>
      </c>
      <c r="AB1364">
        <v>744.50199999999995</v>
      </c>
      <c r="AC1364">
        <v>777.90599999999995</v>
      </c>
      <c r="AD1364">
        <v>812.73500000000001</v>
      </c>
    </row>
    <row r="1365" spans="2:30" x14ac:dyDescent="0.25">
      <c r="B1365" t="s">
        <v>133</v>
      </c>
      <c r="C1365" t="s">
        <v>3261</v>
      </c>
      <c r="D1365" t="s">
        <v>3346</v>
      </c>
      <c r="E1365" t="s">
        <v>3347</v>
      </c>
      <c r="F1365" t="s">
        <v>7416</v>
      </c>
      <c r="G1365" t="s">
        <v>3890</v>
      </c>
      <c r="H1365" t="s">
        <v>3984</v>
      </c>
      <c r="I1365" t="s">
        <v>4002</v>
      </c>
      <c r="J1365">
        <v>2</v>
      </c>
      <c r="K1365">
        <v>307.637</v>
      </c>
      <c r="L1365">
        <v>315.625</v>
      </c>
      <c r="M1365">
        <v>350.60500000000002</v>
      </c>
      <c r="N1365">
        <v>364.72300000000001</v>
      </c>
      <c r="O1365">
        <v>369.17599999999999</v>
      </c>
      <c r="P1365">
        <v>378.15499999999997</v>
      </c>
      <c r="Q1365">
        <v>391.94499999999999</v>
      </c>
      <c r="R1365">
        <v>400.32499999999999</v>
      </c>
      <c r="S1365">
        <v>412.14</v>
      </c>
      <c r="T1365">
        <v>424.94499999999999</v>
      </c>
      <c r="U1365">
        <v>440.25099999999998</v>
      </c>
      <c r="V1365">
        <v>457.26</v>
      </c>
      <c r="W1365">
        <v>475.58</v>
      </c>
      <c r="X1365">
        <v>495.15300000000002</v>
      </c>
      <c r="Y1365">
        <v>516.06100000000004</v>
      </c>
      <c r="Z1365">
        <v>538.49400000000003</v>
      </c>
      <c r="AA1365">
        <v>562.57899999999995</v>
      </c>
      <c r="AB1365">
        <v>588.43700000000001</v>
      </c>
      <c r="AC1365">
        <v>616.08600000000001</v>
      </c>
      <c r="AD1365">
        <v>644.93799999999999</v>
      </c>
    </row>
    <row r="1366" spans="2:30" x14ac:dyDescent="0.25">
      <c r="B1366" t="s">
        <v>133</v>
      </c>
      <c r="C1366" t="s">
        <v>3261</v>
      </c>
      <c r="D1366" t="s">
        <v>4100</v>
      </c>
      <c r="E1366" t="s">
        <v>4101</v>
      </c>
      <c r="F1366" t="s">
        <v>7436</v>
      </c>
      <c r="G1366" t="s">
        <v>3890</v>
      </c>
      <c r="H1366" t="s">
        <v>3984</v>
      </c>
      <c r="I1366" t="s">
        <v>3985</v>
      </c>
      <c r="J1366">
        <v>2</v>
      </c>
      <c r="K1366">
        <v>53.088000000000001</v>
      </c>
      <c r="L1366">
        <v>55.677999999999997</v>
      </c>
      <c r="M1366">
        <v>56.591999999999999</v>
      </c>
      <c r="N1366">
        <v>57.34</v>
      </c>
      <c r="O1366">
        <v>58.082999999999998</v>
      </c>
      <c r="P1366">
        <v>59.234000000000002</v>
      </c>
      <c r="Q1366">
        <v>60.427999999999997</v>
      </c>
      <c r="R1366">
        <v>61.662999999999997</v>
      </c>
      <c r="S1366">
        <v>62.917000000000002</v>
      </c>
      <c r="T1366">
        <v>64.739999999999995</v>
      </c>
      <c r="U1366">
        <v>67.174000000000007</v>
      </c>
      <c r="V1366">
        <v>69.703999999999994</v>
      </c>
      <c r="W1366">
        <v>72.331000000000003</v>
      </c>
      <c r="X1366">
        <v>75.061000000000007</v>
      </c>
      <c r="Y1366">
        <v>77.897999999999996</v>
      </c>
      <c r="Z1366">
        <v>80.843000000000004</v>
      </c>
      <c r="AA1366">
        <v>83.903000000000006</v>
      </c>
      <c r="AB1366">
        <v>87.082999999999998</v>
      </c>
      <c r="AC1366">
        <v>90.385999999999996</v>
      </c>
      <c r="AD1366">
        <v>93.814999999999998</v>
      </c>
    </row>
    <row r="1367" spans="2:30" x14ac:dyDescent="0.25">
      <c r="B1367" t="s">
        <v>133</v>
      </c>
      <c r="C1367" t="s">
        <v>3261</v>
      </c>
      <c r="D1367" t="s">
        <v>4103</v>
      </c>
      <c r="E1367" t="s">
        <v>4104</v>
      </c>
      <c r="F1367" t="s">
        <v>7437</v>
      </c>
      <c r="G1367" t="s">
        <v>3890</v>
      </c>
      <c r="H1367" t="s">
        <v>3984</v>
      </c>
      <c r="I1367" t="s">
        <v>3985</v>
      </c>
      <c r="J1367">
        <v>2</v>
      </c>
      <c r="K1367">
        <v>28.488</v>
      </c>
      <c r="L1367">
        <v>28.577000000000002</v>
      </c>
      <c r="M1367">
        <v>29.32</v>
      </c>
      <c r="N1367">
        <v>29.875</v>
      </c>
      <c r="O1367">
        <v>30.367999999999999</v>
      </c>
      <c r="P1367">
        <v>30.834</v>
      </c>
      <c r="Q1367">
        <v>31.558</v>
      </c>
      <c r="R1367">
        <v>32.292000000000002</v>
      </c>
      <c r="S1367">
        <v>33.045999999999999</v>
      </c>
      <c r="T1367">
        <v>33.762999999999998</v>
      </c>
      <c r="U1367">
        <v>34.737000000000002</v>
      </c>
      <c r="V1367">
        <v>36.026000000000003</v>
      </c>
      <c r="W1367">
        <v>37.363999999999997</v>
      </c>
      <c r="X1367">
        <v>38.753</v>
      </c>
      <c r="Y1367">
        <v>40.195</v>
      </c>
      <c r="Z1367">
        <v>41.694000000000003</v>
      </c>
      <c r="AA1367">
        <v>43.250999999999998</v>
      </c>
      <c r="AB1367">
        <v>44.871000000000002</v>
      </c>
      <c r="AC1367">
        <v>46.552</v>
      </c>
      <c r="AD1367">
        <v>48.293999999999997</v>
      </c>
    </row>
    <row r="1368" spans="2:30" x14ac:dyDescent="0.25">
      <c r="B1368" t="s">
        <v>133</v>
      </c>
      <c r="C1368" t="s">
        <v>3261</v>
      </c>
      <c r="D1368" t="s">
        <v>4106</v>
      </c>
      <c r="E1368" t="s">
        <v>4107</v>
      </c>
      <c r="F1368" t="s">
        <v>7438</v>
      </c>
      <c r="G1368" t="s">
        <v>3890</v>
      </c>
      <c r="H1368" t="s">
        <v>3984</v>
      </c>
      <c r="I1368" t="s">
        <v>3985</v>
      </c>
      <c r="J1368">
        <v>2</v>
      </c>
      <c r="K1368">
        <v>11.699</v>
      </c>
      <c r="L1368">
        <v>12.225</v>
      </c>
      <c r="M1368">
        <v>14.407</v>
      </c>
      <c r="N1368">
        <v>15.576000000000001</v>
      </c>
      <c r="O1368">
        <v>16.02</v>
      </c>
      <c r="P1368">
        <v>16.54</v>
      </c>
      <c r="Q1368">
        <v>17.172000000000001</v>
      </c>
      <c r="R1368">
        <v>17.783000000000001</v>
      </c>
      <c r="S1368">
        <v>18.36</v>
      </c>
      <c r="T1368">
        <v>18.943000000000001</v>
      </c>
      <c r="U1368">
        <v>19.53</v>
      </c>
      <c r="V1368">
        <v>20.125</v>
      </c>
      <c r="W1368">
        <v>20.734000000000002</v>
      </c>
      <c r="X1368">
        <v>21.358000000000001</v>
      </c>
      <c r="Y1368">
        <v>22.003</v>
      </c>
      <c r="Z1368">
        <v>22.673999999999999</v>
      </c>
      <c r="AA1368">
        <v>23.376000000000001</v>
      </c>
      <c r="AB1368">
        <v>24.111000000000001</v>
      </c>
      <c r="AC1368">
        <v>24.882999999999999</v>
      </c>
      <c r="AD1368">
        <v>25.687999999999999</v>
      </c>
    </row>
    <row r="1369" spans="2:30" x14ac:dyDescent="0.25">
      <c r="B1369" t="s">
        <v>133</v>
      </c>
      <c r="C1369" t="s">
        <v>3261</v>
      </c>
      <c r="D1369" t="s">
        <v>4109</v>
      </c>
      <c r="E1369" t="s">
        <v>4110</v>
      </c>
      <c r="F1369" t="s">
        <v>7439</v>
      </c>
      <c r="G1369" t="s">
        <v>3890</v>
      </c>
      <c r="H1369" t="s">
        <v>3984</v>
      </c>
      <c r="I1369" t="s">
        <v>3985</v>
      </c>
      <c r="J1369">
        <v>1</v>
      </c>
      <c r="K1369">
        <v>53.088000000000001</v>
      </c>
      <c r="L1369">
        <v>55.677999999999997</v>
      </c>
      <c r="M1369">
        <v>56.591999999999999</v>
      </c>
      <c r="N1369">
        <v>57.34</v>
      </c>
      <c r="O1369">
        <v>58.082999999999998</v>
      </c>
      <c r="P1369">
        <v>59.234000000000002</v>
      </c>
      <c r="Q1369">
        <v>60.427999999999997</v>
      </c>
      <c r="R1369">
        <v>61.667000000000002</v>
      </c>
      <c r="S1369">
        <v>62.921999999999997</v>
      </c>
      <c r="T1369">
        <v>64.748000000000005</v>
      </c>
      <c r="U1369">
        <v>67.185000000000002</v>
      </c>
      <c r="V1369">
        <v>69.716999999999999</v>
      </c>
      <c r="W1369">
        <v>72.346999999999994</v>
      </c>
      <c r="X1369">
        <v>75.078000000000003</v>
      </c>
      <c r="Y1369">
        <v>77.915000000000006</v>
      </c>
      <c r="Z1369">
        <v>80.858999999999995</v>
      </c>
      <c r="AA1369">
        <v>83.917000000000002</v>
      </c>
      <c r="AB1369">
        <v>87.093000000000004</v>
      </c>
      <c r="AC1369">
        <v>90.39</v>
      </c>
      <c r="AD1369">
        <v>93.814999999999998</v>
      </c>
    </row>
    <row r="1370" spans="2:30" x14ac:dyDescent="0.25">
      <c r="B1370" t="s">
        <v>133</v>
      </c>
      <c r="C1370" t="s">
        <v>3261</v>
      </c>
      <c r="D1370" t="s">
        <v>4112</v>
      </c>
      <c r="E1370" t="s">
        <v>4113</v>
      </c>
      <c r="F1370" t="s">
        <v>7440</v>
      </c>
      <c r="G1370" t="s">
        <v>3890</v>
      </c>
      <c r="H1370" t="s">
        <v>3984</v>
      </c>
      <c r="I1370" t="s">
        <v>3985</v>
      </c>
      <c r="J1370">
        <v>1</v>
      </c>
      <c r="K1370">
        <v>53.088000000000001</v>
      </c>
      <c r="L1370">
        <v>55.677999999999997</v>
      </c>
      <c r="M1370">
        <v>56.591999999999999</v>
      </c>
      <c r="N1370">
        <v>57.34</v>
      </c>
      <c r="O1370">
        <v>58.082999999999998</v>
      </c>
      <c r="P1370">
        <v>59.234000000000002</v>
      </c>
      <c r="Q1370">
        <v>60.427999999999997</v>
      </c>
      <c r="R1370">
        <v>61.667000000000002</v>
      </c>
      <c r="S1370">
        <v>62.921999999999997</v>
      </c>
      <c r="T1370">
        <v>64.748000000000005</v>
      </c>
      <c r="U1370">
        <v>67.185000000000002</v>
      </c>
      <c r="V1370">
        <v>69.716999999999999</v>
      </c>
      <c r="W1370">
        <v>72.346999999999994</v>
      </c>
      <c r="X1370">
        <v>75.078000000000003</v>
      </c>
      <c r="Y1370">
        <v>77.915000000000006</v>
      </c>
      <c r="Z1370">
        <v>80.858999999999995</v>
      </c>
      <c r="AA1370">
        <v>83.917000000000002</v>
      </c>
      <c r="AB1370">
        <v>87.093000000000004</v>
      </c>
      <c r="AC1370">
        <v>90.39</v>
      </c>
      <c r="AD1370">
        <v>93.814999999999998</v>
      </c>
    </row>
    <row r="1371" spans="2:30" x14ac:dyDescent="0.25">
      <c r="B1371" t="s">
        <v>133</v>
      </c>
      <c r="C1371" t="s">
        <v>3261</v>
      </c>
      <c r="D1371" t="s">
        <v>4115</v>
      </c>
      <c r="E1371" t="s">
        <v>4116</v>
      </c>
      <c r="F1371" t="s">
        <v>7441</v>
      </c>
      <c r="G1371" t="s">
        <v>3890</v>
      </c>
      <c r="H1371" t="s">
        <v>3984</v>
      </c>
      <c r="I1371" t="s">
        <v>3985</v>
      </c>
      <c r="J1371">
        <v>1</v>
      </c>
      <c r="K1371">
        <v>1.9179999999999999</v>
      </c>
      <c r="L1371">
        <v>1.9239999999999999</v>
      </c>
      <c r="M1371">
        <v>1.95</v>
      </c>
      <c r="N1371">
        <v>1.9530000000000001</v>
      </c>
      <c r="O1371">
        <v>1.9530000000000001</v>
      </c>
      <c r="P1371">
        <v>1.9550000000000001</v>
      </c>
      <c r="Q1371">
        <v>1.9590000000000001</v>
      </c>
      <c r="R1371">
        <v>1.9630000000000001</v>
      </c>
      <c r="S1371">
        <v>1.9670000000000001</v>
      </c>
      <c r="T1371">
        <v>1.9710000000000001</v>
      </c>
      <c r="U1371">
        <v>1.96</v>
      </c>
      <c r="V1371">
        <v>1.95</v>
      </c>
      <c r="W1371">
        <v>1.9410000000000001</v>
      </c>
      <c r="X1371">
        <v>1.931</v>
      </c>
      <c r="Y1371">
        <v>1.9219999999999999</v>
      </c>
      <c r="Z1371">
        <v>1.913</v>
      </c>
      <c r="AA1371">
        <v>1.903</v>
      </c>
      <c r="AB1371">
        <v>1.895</v>
      </c>
      <c r="AC1371">
        <v>1.887</v>
      </c>
      <c r="AD1371">
        <v>1.879</v>
      </c>
    </row>
    <row r="1372" spans="2:30" x14ac:dyDescent="0.25">
      <c r="B1372" t="s">
        <v>133</v>
      </c>
      <c r="C1372" t="s">
        <v>3261</v>
      </c>
      <c r="D1372" t="s">
        <v>4118</v>
      </c>
      <c r="E1372" t="s">
        <v>4119</v>
      </c>
      <c r="F1372" t="s">
        <v>7442</v>
      </c>
      <c r="G1372" t="s">
        <v>3890</v>
      </c>
      <c r="H1372" t="s">
        <v>3984</v>
      </c>
      <c r="I1372" t="s">
        <v>3985</v>
      </c>
      <c r="J1372">
        <v>1</v>
      </c>
      <c r="K1372">
        <v>0.16600000000000001</v>
      </c>
      <c r="L1372">
        <v>0.16600000000000001</v>
      </c>
      <c r="M1372">
        <v>0.19500000000000001</v>
      </c>
      <c r="N1372">
        <v>0.21099999999999999</v>
      </c>
      <c r="O1372">
        <v>0.217</v>
      </c>
      <c r="P1372">
        <v>0.224</v>
      </c>
      <c r="Q1372">
        <v>0.23300000000000001</v>
      </c>
      <c r="R1372">
        <v>0.24099999999999999</v>
      </c>
      <c r="S1372">
        <v>0.249</v>
      </c>
      <c r="T1372">
        <v>0.25700000000000001</v>
      </c>
      <c r="U1372">
        <v>0.26500000000000001</v>
      </c>
      <c r="V1372">
        <v>0.27300000000000002</v>
      </c>
      <c r="W1372">
        <v>0.28199999999999997</v>
      </c>
      <c r="X1372">
        <v>0.28999999999999998</v>
      </c>
      <c r="Y1372">
        <v>0.29899999999999999</v>
      </c>
      <c r="Z1372">
        <v>0.307</v>
      </c>
      <c r="AA1372">
        <v>0.316</v>
      </c>
      <c r="AB1372">
        <v>0.32500000000000001</v>
      </c>
      <c r="AC1372">
        <v>0.33400000000000002</v>
      </c>
      <c r="AD1372">
        <v>0.34399999999999997</v>
      </c>
    </row>
    <row r="1373" spans="2:30" x14ac:dyDescent="0.25">
      <c r="B1373" t="s">
        <v>133</v>
      </c>
      <c r="C1373" t="s">
        <v>3261</v>
      </c>
      <c r="D1373" t="s">
        <v>4121</v>
      </c>
      <c r="E1373" t="s">
        <v>4122</v>
      </c>
      <c r="F1373" t="s">
        <v>7443</v>
      </c>
      <c r="G1373" t="s">
        <v>3890</v>
      </c>
      <c r="H1373" t="s">
        <v>3984</v>
      </c>
      <c r="I1373" t="s">
        <v>3985</v>
      </c>
      <c r="J1373">
        <v>1</v>
      </c>
      <c r="K1373">
        <v>15.788</v>
      </c>
      <c r="L1373">
        <v>17.709</v>
      </c>
      <c r="M1373">
        <v>18.013999999999999</v>
      </c>
      <c r="N1373">
        <v>18.257999999999999</v>
      </c>
      <c r="O1373">
        <v>18.544</v>
      </c>
      <c r="P1373">
        <v>18.939</v>
      </c>
      <c r="Q1373">
        <v>19.359000000000002</v>
      </c>
      <c r="R1373">
        <v>19.808</v>
      </c>
      <c r="S1373">
        <v>20.257999999999999</v>
      </c>
      <c r="T1373">
        <v>20.86</v>
      </c>
      <c r="U1373">
        <v>21.634</v>
      </c>
      <c r="V1373">
        <v>22.434999999999999</v>
      </c>
      <c r="W1373" s="130">
        <v>23.263999999999999</v>
      </c>
      <c r="X1373" s="130">
        <v>24.122</v>
      </c>
      <c r="Y1373" s="130">
        <v>25.009</v>
      </c>
      <c r="Z1373" s="130">
        <v>25.927</v>
      </c>
      <c r="AA1373" s="130">
        <v>26.876999999999999</v>
      </c>
      <c r="AB1373" s="130">
        <v>27.859000000000002</v>
      </c>
      <c r="AC1373" s="130">
        <v>28.875</v>
      </c>
      <c r="AD1373" s="130">
        <v>29.925999999999998</v>
      </c>
    </row>
    <row r="1374" spans="2:30" x14ac:dyDescent="0.25">
      <c r="B1374" t="s">
        <v>133</v>
      </c>
      <c r="C1374" t="s">
        <v>3261</v>
      </c>
      <c r="D1374" t="s">
        <v>4124</v>
      </c>
      <c r="E1374" t="s">
        <v>4125</v>
      </c>
      <c r="F1374" t="s">
        <v>7444</v>
      </c>
      <c r="G1374" t="s">
        <v>3890</v>
      </c>
      <c r="H1374" t="s">
        <v>3984</v>
      </c>
      <c r="I1374" t="s">
        <v>3985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s="130">
        <v>0</v>
      </c>
      <c r="X1374" s="130">
        <v>0</v>
      </c>
      <c r="Y1374" s="130">
        <v>0</v>
      </c>
      <c r="Z1374" s="130">
        <v>0</v>
      </c>
      <c r="AA1374" s="130">
        <v>0</v>
      </c>
      <c r="AB1374" s="130">
        <v>0</v>
      </c>
      <c r="AC1374" s="130">
        <v>0</v>
      </c>
      <c r="AD1374" s="130">
        <v>0</v>
      </c>
    </row>
    <row r="1375" spans="2:30" x14ac:dyDescent="0.25">
      <c r="B1375" t="s">
        <v>133</v>
      </c>
      <c r="C1375" t="s">
        <v>3261</v>
      </c>
      <c r="D1375" t="s">
        <v>4127</v>
      </c>
      <c r="E1375" t="s">
        <v>4128</v>
      </c>
      <c r="F1375" t="s">
        <v>7445</v>
      </c>
      <c r="G1375" t="s">
        <v>3890</v>
      </c>
      <c r="H1375" t="s">
        <v>3984</v>
      </c>
      <c r="I1375" t="s">
        <v>3985</v>
      </c>
      <c r="J1375">
        <v>1</v>
      </c>
      <c r="K1375">
        <v>35.125999999999998</v>
      </c>
      <c r="L1375">
        <v>35.771999999999998</v>
      </c>
      <c r="M1375">
        <v>36.325000000000003</v>
      </c>
      <c r="N1375">
        <v>36.808</v>
      </c>
      <c r="O1375">
        <v>37.256999999999998</v>
      </c>
      <c r="P1375">
        <v>38.002000000000002</v>
      </c>
      <c r="Q1375">
        <v>38.762</v>
      </c>
      <c r="R1375">
        <v>39.537999999999997</v>
      </c>
      <c r="S1375">
        <v>40.328000000000003</v>
      </c>
      <c r="T1375">
        <v>41.537999999999997</v>
      </c>
      <c r="U1375">
        <v>43.2</v>
      </c>
      <c r="V1375">
        <v>44.927999999999997</v>
      </c>
      <c r="W1375">
        <v>46.725000000000001</v>
      </c>
      <c r="X1375">
        <v>48.594000000000001</v>
      </c>
      <c r="Y1375">
        <v>50.536999999999999</v>
      </c>
      <c r="Z1375">
        <v>52.558999999999997</v>
      </c>
      <c r="AA1375">
        <v>54.661000000000001</v>
      </c>
      <c r="AB1375">
        <v>56.847999999999999</v>
      </c>
      <c r="AC1375">
        <v>59.122</v>
      </c>
      <c r="AD1375">
        <v>61.487000000000002</v>
      </c>
    </row>
    <row r="1376" spans="2:30" x14ac:dyDescent="0.25">
      <c r="B1376" t="s">
        <v>133</v>
      </c>
      <c r="C1376" t="s">
        <v>3261</v>
      </c>
      <c r="D1376" t="s">
        <v>4130</v>
      </c>
      <c r="E1376" t="s">
        <v>4131</v>
      </c>
      <c r="F1376" t="s">
        <v>7446</v>
      </c>
      <c r="G1376" t="s">
        <v>3890</v>
      </c>
      <c r="H1376" t="s">
        <v>3984</v>
      </c>
      <c r="I1376" t="s">
        <v>3985</v>
      </c>
      <c r="J1376">
        <v>1</v>
      </c>
      <c r="K1376">
        <v>8.8999999999999996E-2</v>
      </c>
      <c r="L1376">
        <v>0.107</v>
      </c>
      <c r="M1376">
        <v>0.108</v>
      </c>
      <c r="N1376">
        <v>0.11</v>
      </c>
      <c r="O1376">
        <v>0.112</v>
      </c>
      <c r="P1376">
        <v>0.113</v>
      </c>
      <c r="Q1376">
        <v>0.115</v>
      </c>
      <c r="R1376">
        <v>0.11700000000000001</v>
      </c>
      <c r="S1376">
        <v>0.12</v>
      </c>
      <c r="T1376">
        <v>0.122</v>
      </c>
      <c r="U1376">
        <v>0.126</v>
      </c>
      <c r="V1376">
        <v>0.13100000000000001</v>
      </c>
      <c r="W1376">
        <v>0.13600000000000001</v>
      </c>
      <c r="X1376">
        <v>0.14199999999999999</v>
      </c>
      <c r="Y1376">
        <v>0.14699999999999999</v>
      </c>
      <c r="Z1376">
        <v>0.153</v>
      </c>
      <c r="AA1376">
        <v>0.159</v>
      </c>
      <c r="AB1376">
        <v>0.16600000000000001</v>
      </c>
      <c r="AC1376">
        <v>0.17199999999999999</v>
      </c>
      <c r="AD1376">
        <v>0.17899999999999999</v>
      </c>
    </row>
    <row r="1377" spans="2:30" x14ac:dyDescent="0.25">
      <c r="B1377" t="s">
        <v>133</v>
      </c>
      <c r="C1377" t="s">
        <v>3261</v>
      </c>
      <c r="D1377" t="s">
        <v>4133</v>
      </c>
      <c r="E1377" t="s">
        <v>4134</v>
      </c>
      <c r="F1377" t="s">
        <v>7447</v>
      </c>
      <c r="G1377" t="s">
        <v>3890</v>
      </c>
      <c r="H1377" t="s">
        <v>3984</v>
      </c>
      <c r="I1377" t="s">
        <v>3985</v>
      </c>
      <c r="J1377">
        <v>1</v>
      </c>
      <c r="K1377">
        <v>20.780999999999999</v>
      </c>
      <c r="L1377">
        <v>20.295000000000002</v>
      </c>
      <c r="M1377">
        <v>22.867000000000001</v>
      </c>
      <c r="N1377">
        <v>23.742999999999999</v>
      </c>
      <c r="O1377">
        <v>23.936</v>
      </c>
      <c r="P1377">
        <v>24.553000000000001</v>
      </c>
      <c r="Q1377">
        <v>25.548999999999999</v>
      </c>
      <c r="R1377">
        <v>26.611000000000001</v>
      </c>
      <c r="S1377">
        <v>27.728000000000002</v>
      </c>
      <c r="T1377">
        <v>28.975000000000001</v>
      </c>
      <c r="U1377">
        <v>30.308</v>
      </c>
      <c r="V1377">
        <v>31.744</v>
      </c>
      <c r="W1377">
        <v>33.271000000000001</v>
      </c>
      <c r="X1377">
        <v>34.902000000000001</v>
      </c>
      <c r="Y1377">
        <v>36.631</v>
      </c>
      <c r="Z1377">
        <v>38.478999999999999</v>
      </c>
      <c r="AA1377">
        <v>40.454999999999998</v>
      </c>
      <c r="AB1377">
        <v>42.573</v>
      </c>
      <c r="AC1377">
        <v>44.850999999999999</v>
      </c>
      <c r="AD1377">
        <v>47.180999999999997</v>
      </c>
    </row>
    <row r="1378" spans="2:30" x14ac:dyDescent="0.25">
      <c r="B1378" t="s">
        <v>133</v>
      </c>
      <c r="C1378" t="s">
        <v>3261</v>
      </c>
      <c r="D1378" t="s">
        <v>4136</v>
      </c>
      <c r="E1378" t="s">
        <v>4137</v>
      </c>
      <c r="F1378" t="s">
        <v>7448</v>
      </c>
      <c r="G1378" t="s">
        <v>3890</v>
      </c>
      <c r="H1378" t="s">
        <v>3984</v>
      </c>
      <c r="I1378" t="s">
        <v>3985</v>
      </c>
      <c r="J1378">
        <v>2</v>
      </c>
      <c r="K1378">
        <v>53.088000000000001</v>
      </c>
      <c r="L1378">
        <v>55.677999999999997</v>
      </c>
      <c r="M1378">
        <v>56.591999999999999</v>
      </c>
      <c r="N1378">
        <v>57.34</v>
      </c>
      <c r="O1378">
        <v>58.082999999999998</v>
      </c>
      <c r="P1378">
        <v>59.234000000000002</v>
      </c>
      <c r="Q1378">
        <v>60.427999999999997</v>
      </c>
      <c r="R1378">
        <v>61.662999999999997</v>
      </c>
      <c r="S1378">
        <v>62.917000000000002</v>
      </c>
      <c r="T1378">
        <v>64.739999999999995</v>
      </c>
      <c r="U1378">
        <v>67.174000000000007</v>
      </c>
      <c r="V1378">
        <v>69.703999999999994</v>
      </c>
      <c r="W1378">
        <v>72.331000000000003</v>
      </c>
      <c r="X1378">
        <v>75.061000000000007</v>
      </c>
      <c r="Y1378">
        <v>77.897999999999996</v>
      </c>
      <c r="Z1378">
        <v>80.843000000000004</v>
      </c>
      <c r="AA1378">
        <v>83.903000000000006</v>
      </c>
      <c r="AB1378">
        <v>87.082999999999998</v>
      </c>
      <c r="AC1378">
        <v>90.385999999999996</v>
      </c>
      <c r="AD1378">
        <v>93.814999999999998</v>
      </c>
    </row>
    <row r="1379" spans="2:30" x14ac:dyDescent="0.25">
      <c r="B1379" t="s">
        <v>133</v>
      </c>
      <c r="C1379" t="s">
        <v>3261</v>
      </c>
      <c r="D1379" t="s">
        <v>4139</v>
      </c>
      <c r="E1379" t="s">
        <v>4140</v>
      </c>
      <c r="F1379" t="s">
        <v>7449</v>
      </c>
      <c r="G1379" t="s">
        <v>3890</v>
      </c>
      <c r="H1379" t="s">
        <v>3984</v>
      </c>
      <c r="I1379" t="s">
        <v>3985</v>
      </c>
      <c r="J1379">
        <v>2</v>
      </c>
      <c r="K1379">
        <v>53.088000000000001</v>
      </c>
      <c r="L1379">
        <v>55.677999999999997</v>
      </c>
      <c r="M1379">
        <v>56.591999999999999</v>
      </c>
      <c r="N1379">
        <v>57.34</v>
      </c>
      <c r="O1379">
        <v>58.082999999999998</v>
      </c>
      <c r="P1379">
        <v>59.234000000000002</v>
      </c>
      <c r="Q1379">
        <v>60.427999999999997</v>
      </c>
      <c r="R1379">
        <v>61.662999999999997</v>
      </c>
      <c r="S1379">
        <v>62.917000000000002</v>
      </c>
      <c r="T1379">
        <v>64.739999999999995</v>
      </c>
      <c r="U1379">
        <v>67.174000000000007</v>
      </c>
      <c r="V1379">
        <v>69.703999999999994</v>
      </c>
      <c r="W1379">
        <v>72.331000000000003</v>
      </c>
      <c r="X1379">
        <v>75.061000000000007</v>
      </c>
      <c r="Y1379">
        <v>77.897999999999996</v>
      </c>
      <c r="Z1379">
        <v>80.843000000000004</v>
      </c>
      <c r="AA1379">
        <v>83.903000000000006</v>
      </c>
      <c r="AB1379">
        <v>87.082999999999998</v>
      </c>
      <c r="AC1379">
        <v>90.385999999999996</v>
      </c>
      <c r="AD1379">
        <v>93.814999999999998</v>
      </c>
    </row>
    <row r="1380" spans="2:30" x14ac:dyDescent="0.25">
      <c r="B1380" t="s">
        <v>133</v>
      </c>
      <c r="C1380" t="s">
        <v>3261</v>
      </c>
      <c r="D1380" t="s">
        <v>4142</v>
      </c>
      <c r="E1380" t="s">
        <v>4143</v>
      </c>
      <c r="F1380" t="s">
        <v>7450</v>
      </c>
      <c r="G1380" t="s">
        <v>3890</v>
      </c>
      <c r="H1380" t="s">
        <v>3984</v>
      </c>
      <c r="I1380" t="s">
        <v>3985</v>
      </c>
      <c r="J1380">
        <v>2</v>
      </c>
      <c r="K1380">
        <v>1.9179999999999999</v>
      </c>
      <c r="L1380">
        <v>1.9239999999999999</v>
      </c>
      <c r="M1380">
        <v>1.95</v>
      </c>
      <c r="N1380">
        <v>1.9530000000000001</v>
      </c>
      <c r="O1380">
        <v>1.9530000000000001</v>
      </c>
      <c r="P1380">
        <v>1.9550000000000001</v>
      </c>
      <c r="Q1380">
        <v>1.9590000000000001</v>
      </c>
      <c r="R1380">
        <v>1.9590000000000001</v>
      </c>
      <c r="S1380">
        <v>1.9610000000000001</v>
      </c>
      <c r="T1380">
        <v>1.962</v>
      </c>
      <c r="U1380">
        <v>1.95</v>
      </c>
      <c r="V1380">
        <v>1.9379999999999999</v>
      </c>
      <c r="W1380">
        <v>1.927</v>
      </c>
      <c r="X1380">
        <v>1.9159999999999999</v>
      </c>
      <c r="Y1380">
        <v>1.905</v>
      </c>
      <c r="Z1380">
        <v>1.893</v>
      </c>
      <c r="AA1380">
        <v>1.8819999999999999</v>
      </c>
      <c r="AB1380">
        <v>1.8720000000000001</v>
      </c>
      <c r="AC1380">
        <v>1.8620000000000001</v>
      </c>
      <c r="AD1380">
        <v>1.8520000000000001</v>
      </c>
    </row>
    <row r="1381" spans="2:30" x14ac:dyDescent="0.25">
      <c r="B1381" t="s">
        <v>133</v>
      </c>
      <c r="C1381" t="s">
        <v>3261</v>
      </c>
      <c r="D1381" t="s">
        <v>4145</v>
      </c>
      <c r="E1381" t="s">
        <v>4146</v>
      </c>
      <c r="F1381" t="s">
        <v>7451</v>
      </c>
      <c r="G1381" t="s">
        <v>3890</v>
      </c>
      <c r="H1381" t="s">
        <v>3984</v>
      </c>
      <c r="I1381" t="s">
        <v>3985</v>
      </c>
      <c r="J1381">
        <v>2</v>
      </c>
      <c r="K1381">
        <v>0.16600000000000001</v>
      </c>
      <c r="L1381">
        <v>0.16600000000000001</v>
      </c>
      <c r="M1381">
        <v>0.19500000000000001</v>
      </c>
      <c r="N1381">
        <v>0.21099999999999999</v>
      </c>
      <c r="O1381">
        <v>0.217</v>
      </c>
      <c r="P1381">
        <v>0.224</v>
      </c>
      <c r="Q1381">
        <v>0.23300000000000001</v>
      </c>
      <c r="R1381">
        <v>0.24099999999999999</v>
      </c>
      <c r="S1381">
        <v>0.249</v>
      </c>
      <c r="T1381">
        <v>0.25700000000000001</v>
      </c>
      <c r="U1381">
        <v>0.26500000000000001</v>
      </c>
      <c r="V1381">
        <v>0.27300000000000002</v>
      </c>
      <c r="W1381">
        <v>0.28100000000000003</v>
      </c>
      <c r="X1381">
        <v>0.28999999999999998</v>
      </c>
      <c r="Y1381">
        <v>0.29899999999999999</v>
      </c>
      <c r="Z1381">
        <v>0.308</v>
      </c>
      <c r="AA1381">
        <v>0.317</v>
      </c>
      <c r="AB1381">
        <v>0.32700000000000001</v>
      </c>
      <c r="AC1381">
        <v>0.33800000000000002</v>
      </c>
      <c r="AD1381">
        <v>0.34899999999999998</v>
      </c>
    </row>
    <row r="1382" spans="2:30" x14ac:dyDescent="0.25">
      <c r="B1382" t="s">
        <v>133</v>
      </c>
      <c r="C1382" t="s">
        <v>3261</v>
      </c>
      <c r="D1382" t="s">
        <v>4121</v>
      </c>
      <c r="E1382" t="s">
        <v>4148</v>
      </c>
      <c r="F1382" t="s">
        <v>7452</v>
      </c>
      <c r="G1382" t="s">
        <v>3890</v>
      </c>
      <c r="H1382" t="s">
        <v>3984</v>
      </c>
      <c r="I1382" t="s">
        <v>3985</v>
      </c>
      <c r="J1382">
        <v>2</v>
      </c>
      <c r="K1382">
        <v>15.788</v>
      </c>
      <c r="L1382">
        <v>17.709</v>
      </c>
      <c r="M1382">
        <v>18.013999999999999</v>
      </c>
      <c r="N1382">
        <v>18.257999999999999</v>
      </c>
      <c r="O1382">
        <v>18.544</v>
      </c>
      <c r="P1382">
        <v>18.939</v>
      </c>
      <c r="Q1382">
        <v>19.359000000000002</v>
      </c>
      <c r="R1382">
        <v>19.808</v>
      </c>
      <c r="S1382">
        <v>20.259</v>
      </c>
      <c r="T1382">
        <v>20.86</v>
      </c>
      <c r="U1382">
        <v>21.632999999999999</v>
      </c>
      <c r="V1382">
        <v>22.434000000000001</v>
      </c>
      <c r="W1382">
        <v>23.262</v>
      </c>
      <c r="X1382">
        <v>24.120999999999999</v>
      </c>
      <c r="Y1382">
        <v>25.01</v>
      </c>
      <c r="Z1382">
        <v>25.93</v>
      </c>
      <c r="AA1382">
        <v>26.882999999999999</v>
      </c>
      <c r="AB1382">
        <v>27.870999999999999</v>
      </c>
      <c r="AC1382">
        <v>28.891999999999999</v>
      </c>
      <c r="AD1382">
        <v>29.949000000000002</v>
      </c>
    </row>
    <row r="1383" spans="2:30" x14ac:dyDescent="0.25">
      <c r="B1383" t="s">
        <v>133</v>
      </c>
      <c r="C1383" t="s">
        <v>3261</v>
      </c>
      <c r="D1383" t="s">
        <v>4150</v>
      </c>
      <c r="E1383" t="s">
        <v>4151</v>
      </c>
      <c r="F1383" t="s">
        <v>7453</v>
      </c>
      <c r="G1383" t="s">
        <v>3890</v>
      </c>
      <c r="H1383" t="s">
        <v>3984</v>
      </c>
      <c r="I1383" t="s">
        <v>3985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2:30" x14ac:dyDescent="0.25">
      <c r="B1384" t="s">
        <v>133</v>
      </c>
      <c r="C1384" t="s">
        <v>3261</v>
      </c>
      <c r="D1384" t="s">
        <v>4153</v>
      </c>
      <c r="E1384" t="s">
        <v>4154</v>
      </c>
      <c r="F1384" t="s">
        <v>7454</v>
      </c>
      <c r="G1384" t="s">
        <v>3890</v>
      </c>
      <c r="H1384" t="s">
        <v>3984</v>
      </c>
      <c r="I1384" t="s">
        <v>3985</v>
      </c>
      <c r="J1384">
        <v>2</v>
      </c>
      <c r="K1384">
        <v>35.125999999999998</v>
      </c>
      <c r="L1384">
        <v>35.771999999999998</v>
      </c>
      <c r="M1384">
        <v>36.325000000000003</v>
      </c>
      <c r="N1384">
        <v>36.808</v>
      </c>
      <c r="O1384">
        <v>37.256999999999998</v>
      </c>
      <c r="P1384">
        <v>38.002000000000002</v>
      </c>
      <c r="Q1384">
        <v>38.762</v>
      </c>
      <c r="R1384">
        <v>39.537999999999997</v>
      </c>
      <c r="S1384">
        <v>40.328000000000003</v>
      </c>
      <c r="T1384">
        <v>41.537999999999997</v>
      </c>
      <c r="U1384">
        <v>43.2</v>
      </c>
      <c r="V1384">
        <v>44.927999999999997</v>
      </c>
      <c r="W1384">
        <v>46.725000000000001</v>
      </c>
      <c r="X1384">
        <v>48.594000000000001</v>
      </c>
      <c r="Y1384">
        <v>50.536999999999999</v>
      </c>
      <c r="Z1384">
        <v>52.558999999999997</v>
      </c>
      <c r="AA1384">
        <v>54.661000000000001</v>
      </c>
      <c r="AB1384">
        <v>56.847999999999999</v>
      </c>
      <c r="AC1384">
        <v>59.122</v>
      </c>
      <c r="AD1384">
        <v>61.487000000000002</v>
      </c>
    </row>
    <row r="1385" spans="2:30" x14ac:dyDescent="0.25">
      <c r="B1385" t="s">
        <v>133</v>
      </c>
      <c r="C1385" t="s">
        <v>3261</v>
      </c>
      <c r="D1385" t="s">
        <v>4156</v>
      </c>
      <c r="E1385" t="s">
        <v>4157</v>
      </c>
      <c r="F1385" t="s">
        <v>7455</v>
      </c>
      <c r="G1385" t="s">
        <v>3890</v>
      </c>
      <c r="H1385" t="s">
        <v>3984</v>
      </c>
      <c r="I1385" t="s">
        <v>3985</v>
      </c>
      <c r="J1385">
        <v>2</v>
      </c>
      <c r="K1385">
        <v>8.8999999999999996E-2</v>
      </c>
      <c r="L1385">
        <v>0.107</v>
      </c>
      <c r="M1385">
        <v>0.108</v>
      </c>
      <c r="N1385">
        <v>0.11</v>
      </c>
      <c r="O1385">
        <v>0.112</v>
      </c>
      <c r="P1385">
        <v>0.113</v>
      </c>
      <c r="Q1385">
        <v>0.115</v>
      </c>
      <c r="R1385">
        <v>0.11700000000000001</v>
      </c>
      <c r="S1385">
        <v>0.12</v>
      </c>
      <c r="T1385">
        <v>0.122</v>
      </c>
      <c r="U1385">
        <v>0.126</v>
      </c>
      <c r="V1385">
        <v>0.13100000000000001</v>
      </c>
      <c r="W1385">
        <v>0.13600000000000001</v>
      </c>
      <c r="X1385">
        <v>0.14199999999999999</v>
      </c>
      <c r="Y1385">
        <v>0.14699999999999999</v>
      </c>
      <c r="Z1385">
        <v>0.153</v>
      </c>
      <c r="AA1385">
        <v>0.159</v>
      </c>
      <c r="AB1385">
        <v>0.16600000000000001</v>
      </c>
      <c r="AC1385">
        <v>0.17199999999999999</v>
      </c>
      <c r="AD1385">
        <v>0.17899999999999999</v>
      </c>
    </row>
    <row r="1386" spans="2:30" x14ac:dyDescent="0.25">
      <c r="B1386" t="s">
        <v>133</v>
      </c>
      <c r="C1386" t="s">
        <v>3261</v>
      </c>
      <c r="D1386" t="s">
        <v>4159</v>
      </c>
      <c r="E1386" t="s">
        <v>4160</v>
      </c>
      <c r="F1386" t="s">
        <v>7456</v>
      </c>
      <c r="G1386" t="s">
        <v>3890</v>
      </c>
      <c r="H1386" t="s">
        <v>3984</v>
      </c>
      <c r="I1386" t="s">
        <v>3985</v>
      </c>
      <c r="J1386">
        <v>2</v>
      </c>
      <c r="K1386">
        <v>20.780999999999999</v>
      </c>
      <c r="L1386">
        <v>20.295000000000002</v>
      </c>
      <c r="M1386">
        <v>22.867000000000001</v>
      </c>
      <c r="N1386">
        <v>23.742999999999999</v>
      </c>
      <c r="O1386">
        <v>23.936</v>
      </c>
      <c r="P1386">
        <v>24.553000000000001</v>
      </c>
      <c r="Q1386">
        <v>25.548999999999999</v>
      </c>
      <c r="R1386">
        <v>26.611000000000001</v>
      </c>
      <c r="S1386">
        <v>27.728000000000002</v>
      </c>
      <c r="T1386">
        <v>28.975000000000001</v>
      </c>
      <c r="U1386">
        <v>30.308</v>
      </c>
      <c r="V1386">
        <v>31.744</v>
      </c>
      <c r="W1386">
        <v>33.271000000000001</v>
      </c>
      <c r="X1386">
        <v>34.902000000000001</v>
      </c>
      <c r="Y1386">
        <v>36.631</v>
      </c>
      <c r="Z1386">
        <v>38.478999999999999</v>
      </c>
      <c r="AA1386">
        <v>40.454999999999998</v>
      </c>
      <c r="AB1386">
        <v>42.573</v>
      </c>
      <c r="AC1386">
        <v>44.850999999999999</v>
      </c>
      <c r="AD1386">
        <v>47.180999999999997</v>
      </c>
    </row>
    <row r="1387" spans="2:30" x14ac:dyDescent="0.25">
      <c r="B1387" t="s">
        <v>133</v>
      </c>
      <c r="C1387" t="s">
        <v>3261</v>
      </c>
      <c r="D1387" t="s">
        <v>4162</v>
      </c>
      <c r="E1387" t="s">
        <v>4163</v>
      </c>
      <c r="F1387" t="s">
        <v>7457</v>
      </c>
      <c r="G1387" t="s">
        <v>3890</v>
      </c>
      <c r="H1387" t="s">
        <v>3984</v>
      </c>
      <c r="I1387" t="s">
        <v>4165</v>
      </c>
      <c r="J1387">
        <v>1</v>
      </c>
      <c r="K1387">
        <v>100</v>
      </c>
      <c r="L1387">
        <v>102.79199</v>
      </c>
      <c r="M1387">
        <v>112.47463999999999</v>
      </c>
      <c r="N1387">
        <v>116.61282</v>
      </c>
      <c r="O1387">
        <v>118.14263</v>
      </c>
      <c r="P1387">
        <v>120.9152</v>
      </c>
      <c r="Q1387">
        <v>124.99099</v>
      </c>
      <c r="R1387">
        <v>129.24015</v>
      </c>
      <c r="S1387">
        <v>133.60122999999999</v>
      </c>
      <c r="T1387">
        <v>138.44519</v>
      </c>
      <c r="U1387">
        <v>143.92158000000001</v>
      </c>
      <c r="V1387">
        <v>149.97976</v>
      </c>
      <c r="W1387">
        <v>156.35128</v>
      </c>
      <c r="X1387">
        <v>163.06502</v>
      </c>
      <c r="Y1387">
        <v>170.11463000000001</v>
      </c>
      <c r="Z1387">
        <v>177.55208999999999</v>
      </c>
      <c r="AA1387">
        <v>185.40349000000001</v>
      </c>
      <c r="AB1387">
        <v>193.70976999999999</v>
      </c>
      <c r="AC1387">
        <v>202.51954000000001</v>
      </c>
      <c r="AD1387">
        <v>211.55708000000001</v>
      </c>
    </row>
    <row r="1388" spans="2:30" x14ac:dyDescent="0.25">
      <c r="B1388" t="s">
        <v>133</v>
      </c>
      <c r="C1388" t="s">
        <v>3261</v>
      </c>
      <c r="D1388" t="s">
        <v>4166</v>
      </c>
      <c r="E1388" t="s">
        <v>4167</v>
      </c>
      <c r="F1388" t="s">
        <v>7458</v>
      </c>
      <c r="G1388" t="s">
        <v>3890</v>
      </c>
      <c r="H1388" t="s">
        <v>3984</v>
      </c>
      <c r="I1388" t="s">
        <v>4165</v>
      </c>
      <c r="J1388">
        <v>2</v>
      </c>
      <c r="K1388">
        <v>100</v>
      </c>
      <c r="L1388">
        <v>102.79199</v>
      </c>
      <c r="M1388">
        <v>112.47463999999999</v>
      </c>
      <c r="N1388">
        <v>116.61282</v>
      </c>
      <c r="O1388">
        <v>118.14263</v>
      </c>
      <c r="P1388">
        <v>120.9152</v>
      </c>
      <c r="Q1388">
        <v>124.99099</v>
      </c>
      <c r="R1388">
        <v>127.72477000000001</v>
      </c>
      <c r="S1388">
        <v>131.31634</v>
      </c>
      <c r="T1388">
        <v>135.2894</v>
      </c>
      <c r="U1388">
        <v>140.10380000000001</v>
      </c>
      <c r="V1388">
        <v>145.44729000000001</v>
      </c>
      <c r="W1388">
        <v>151.15751</v>
      </c>
      <c r="X1388">
        <v>157.22309999999999</v>
      </c>
      <c r="Y1388">
        <v>163.66633999999999</v>
      </c>
      <c r="Z1388">
        <v>170.53748999999999</v>
      </c>
      <c r="AA1388">
        <v>177.87187</v>
      </c>
      <c r="AB1388">
        <v>185.70209</v>
      </c>
      <c r="AC1388">
        <v>194.03432000000001</v>
      </c>
      <c r="AD1388">
        <v>202.72167999999999</v>
      </c>
    </row>
    <row r="1389" spans="2:30" x14ac:dyDescent="0.25">
      <c r="B1389" t="s">
        <v>133</v>
      </c>
      <c r="C1389" t="s">
        <v>3261</v>
      </c>
      <c r="D1389" t="s">
        <v>4169</v>
      </c>
      <c r="E1389" t="s">
        <v>4170</v>
      </c>
      <c r="F1389" t="s">
        <v>7459</v>
      </c>
      <c r="G1389" t="s">
        <v>3890</v>
      </c>
      <c r="H1389" t="s">
        <v>4172</v>
      </c>
      <c r="I1389" t="s">
        <v>3892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-1.2E-2</v>
      </c>
      <c r="S1389">
        <v>-1.7000000000000001E-2</v>
      </c>
      <c r="T1389">
        <v>-2.3E-2</v>
      </c>
      <c r="U1389">
        <v>-2.7E-2</v>
      </c>
      <c r="V1389">
        <v>-0.03</v>
      </c>
      <c r="W1389">
        <v>-3.3000000000000002E-2</v>
      </c>
      <c r="X1389" s="169">
        <v>-3.5999999999999997E-2</v>
      </c>
      <c r="Y1389" s="169">
        <v>-3.7999999999999999E-2</v>
      </c>
      <c r="Z1389" s="169">
        <v>-0.04</v>
      </c>
      <c r="AA1389" s="169">
        <v>-4.1000000000000002E-2</v>
      </c>
      <c r="AB1389" s="169">
        <v>-4.1000000000000002E-2</v>
      </c>
      <c r="AC1389" s="169">
        <v>-4.2000000000000003E-2</v>
      </c>
      <c r="AD1389" s="169">
        <v>-4.2000000000000003E-2</v>
      </c>
    </row>
    <row r="1390" spans="2:30" x14ac:dyDescent="0.25">
      <c r="B1390" t="s">
        <v>133</v>
      </c>
      <c r="C1390" t="s">
        <v>3261</v>
      </c>
      <c r="D1390" t="s">
        <v>4173</v>
      </c>
      <c r="E1390" t="s">
        <v>4174</v>
      </c>
      <c r="F1390" t="s">
        <v>7460</v>
      </c>
      <c r="G1390" t="s">
        <v>3890</v>
      </c>
      <c r="H1390" t="s">
        <v>4176</v>
      </c>
      <c r="I1390" t="s">
        <v>2538</v>
      </c>
      <c r="J1390">
        <v>1</v>
      </c>
      <c r="K1390" t="s">
        <v>475</v>
      </c>
      <c r="X1390" s="169"/>
      <c r="Y1390" s="169"/>
      <c r="Z1390" s="169"/>
      <c r="AA1390" s="169"/>
      <c r="AB1390" s="169"/>
      <c r="AC1390" s="169"/>
      <c r="AD1390" s="169"/>
    </row>
    <row r="1391" spans="2:30" x14ac:dyDescent="0.25">
      <c r="B1391" t="s">
        <v>133</v>
      </c>
      <c r="D1391" t="s">
        <v>477</v>
      </c>
      <c r="E1391" t="s">
        <v>4177</v>
      </c>
      <c r="F1391" t="s">
        <v>7461</v>
      </c>
      <c r="G1391" t="s">
        <v>3890</v>
      </c>
      <c r="H1391" t="s">
        <v>4179</v>
      </c>
      <c r="I1391" t="s">
        <v>2538</v>
      </c>
      <c r="J1391">
        <v>1</v>
      </c>
      <c r="K1391">
        <v>1</v>
      </c>
    </row>
    <row r="1392" spans="2:30" x14ac:dyDescent="0.25">
      <c r="B1392" t="s">
        <v>133</v>
      </c>
      <c r="C1392" t="s">
        <v>3261</v>
      </c>
      <c r="D1392" t="s">
        <v>4180</v>
      </c>
      <c r="E1392" t="s">
        <v>4181</v>
      </c>
      <c r="F1392" t="s">
        <v>7462</v>
      </c>
      <c r="G1392" t="s">
        <v>3890</v>
      </c>
      <c r="H1392" t="s">
        <v>4183</v>
      </c>
      <c r="I1392" t="s">
        <v>2538</v>
      </c>
      <c r="J1392">
        <v>1</v>
      </c>
      <c r="K1392" t="e">
        <v>#VALUE!</v>
      </c>
    </row>
    <row r="1393" spans="2:30" x14ac:dyDescent="0.25">
      <c r="B1393" t="s">
        <v>133</v>
      </c>
      <c r="C1393" t="s">
        <v>3261</v>
      </c>
      <c r="D1393" t="s">
        <v>4184</v>
      </c>
      <c r="E1393" t="s">
        <v>4185</v>
      </c>
      <c r="F1393" t="s">
        <v>7463</v>
      </c>
      <c r="G1393" t="s">
        <v>3890</v>
      </c>
      <c r="H1393" t="s">
        <v>4187</v>
      </c>
      <c r="I1393" t="s">
        <v>2538</v>
      </c>
      <c r="J1393">
        <v>1</v>
      </c>
      <c r="K1393" t="e">
        <v>#VALUE!</v>
      </c>
    </row>
    <row r="1394" spans="2:30" x14ac:dyDescent="0.25">
      <c r="B1394" t="s">
        <v>133</v>
      </c>
      <c r="C1394" t="s">
        <v>3261</v>
      </c>
      <c r="D1394" t="s">
        <v>4188</v>
      </c>
      <c r="E1394" t="s">
        <v>4189</v>
      </c>
      <c r="F1394" t="s">
        <v>7464</v>
      </c>
      <c r="G1394" t="s">
        <v>3890</v>
      </c>
      <c r="H1394" t="s">
        <v>4191</v>
      </c>
      <c r="I1394" t="s">
        <v>4165</v>
      </c>
      <c r="J1394">
        <v>1</v>
      </c>
      <c r="K1394" t="e">
        <v>#VALUE!</v>
      </c>
      <c r="L1394" t="e">
        <v>#VALUE!</v>
      </c>
      <c r="M1394" t="e">
        <v>#VALUE!</v>
      </c>
      <c r="N1394" t="e">
        <v>#VALUE!</v>
      </c>
      <c r="O1394" t="e">
        <v>#VALUE!</v>
      </c>
      <c r="P1394" t="e">
        <v>#VALUE!</v>
      </c>
      <c r="Q1394" t="e">
        <v>#VALUE!</v>
      </c>
      <c r="R1394" t="e">
        <v>#VALUE!</v>
      </c>
      <c r="S1394" t="e">
        <v>#VALUE!</v>
      </c>
      <c r="T1394" t="e">
        <v>#VALUE!</v>
      </c>
      <c r="U1394" t="e">
        <v>#VALUE!</v>
      </c>
      <c r="V1394" t="e">
        <v>#VALUE!</v>
      </c>
      <c r="W1394" t="e">
        <v>#VALUE!</v>
      </c>
      <c r="X1394" t="e">
        <v>#VALUE!</v>
      </c>
      <c r="Y1394" t="e">
        <v>#VALUE!</v>
      </c>
      <c r="Z1394" t="e">
        <v>#VALUE!</v>
      </c>
      <c r="AA1394" t="e">
        <v>#VALUE!</v>
      </c>
      <c r="AB1394" t="e">
        <v>#VALUE!</v>
      </c>
      <c r="AC1394" t="e">
        <v>#VALUE!</v>
      </c>
      <c r="AD1394" t="e">
        <v>#VALUE!</v>
      </c>
    </row>
    <row r="1395" spans="2:30" x14ac:dyDescent="0.25">
      <c r="B1395" t="s">
        <v>133</v>
      </c>
      <c r="C1395" t="s">
        <v>3261</v>
      </c>
      <c r="D1395" t="s">
        <v>4192</v>
      </c>
      <c r="E1395" t="s">
        <v>4193</v>
      </c>
      <c r="F1395" t="s">
        <v>7465</v>
      </c>
      <c r="G1395" t="s">
        <v>3890</v>
      </c>
      <c r="H1395" t="s">
        <v>4195</v>
      </c>
      <c r="I1395" t="s">
        <v>4165</v>
      </c>
      <c r="J1395">
        <v>1</v>
      </c>
      <c r="K1395" t="s">
        <v>138</v>
      </c>
      <c r="L1395" t="s">
        <v>138</v>
      </c>
      <c r="M1395" t="s">
        <v>138</v>
      </c>
      <c r="N1395" t="s">
        <v>138</v>
      </c>
      <c r="O1395" t="s">
        <v>138</v>
      </c>
      <c r="P1395" t="s">
        <v>138</v>
      </c>
      <c r="Q1395" t="s">
        <v>138</v>
      </c>
      <c r="R1395" t="s">
        <v>138</v>
      </c>
      <c r="S1395" t="s">
        <v>138</v>
      </c>
      <c r="T1395" t="s">
        <v>138</v>
      </c>
      <c r="U1395" t="s">
        <v>138</v>
      </c>
      <c r="V1395" t="s">
        <v>138</v>
      </c>
      <c r="W1395" t="s">
        <v>138</v>
      </c>
      <c r="X1395" t="s">
        <v>138</v>
      </c>
      <c r="Y1395" t="s">
        <v>138</v>
      </c>
      <c r="Z1395" t="s">
        <v>138</v>
      </c>
      <c r="AA1395" t="s">
        <v>138</v>
      </c>
      <c r="AB1395" t="s">
        <v>138</v>
      </c>
      <c r="AC1395" t="s">
        <v>138</v>
      </c>
      <c r="AD1395" t="s">
        <v>138</v>
      </c>
    </row>
    <row r="1396" spans="2:30" x14ac:dyDescent="0.25">
      <c r="B1396" t="s">
        <v>133</v>
      </c>
      <c r="C1396" t="s">
        <v>3261</v>
      </c>
      <c r="D1396" t="s">
        <v>4196</v>
      </c>
      <c r="E1396" t="s">
        <v>4197</v>
      </c>
      <c r="F1396" t="s">
        <v>7466</v>
      </c>
      <c r="G1396" t="s">
        <v>3890</v>
      </c>
      <c r="H1396" t="s">
        <v>4199</v>
      </c>
      <c r="I1396" t="s">
        <v>4200</v>
      </c>
      <c r="J1396">
        <v>1</v>
      </c>
      <c r="K1396" t="e">
        <v>#VALUE!</v>
      </c>
      <c r="L1396" t="e">
        <v>#VALUE!</v>
      </c>
      <c r="M1396" t="e">
        <v>#VALUE!</v>
      </c>
      <c r="N1396" t="e">
        <v>#VALUE!</v>
      </c>
      <c r="O1396" t="e">
        <v>#VALUE!</v>
      </c>
      <c r="P1396" t="e">
        <v>#VALUE!</v>
      </c>
      <c r="Q1396" t="e">
        <v>#VALUE!</v>
      </c>
      <c r="R1396" t="e">
        <v>#VALUE!</v>
      </c>
      <c r="S1396" t="e">
        <v>#VALUE!</v>
      </c>
      <c r="T1396" t="e">
        <v>#VALUE!</v>
      </c>
      <c r="U1396" t="e">
        <v>#VALUE!</v>
      </c>
      <c r="V1396" t="e">
        <v>#VALUE!</v>
      </c>
      <c r="W1396" t="e">
        <v>#VALUE!</v>
      </c>
      <c r="X1396" t="e">
        <v>#VALUE!</v>
      </c>
      <c r="Y1396" t="e">
        <v>#VALUE!</v>
      </c>
      <c r="Z1396" t="e">
        <v>#VALUE!</v>
      </c>
      <c r="AA1396" t="e">
        <v>#VALUE!</v>
      </c>
      <c r="AB1396" t="e">
        <v>#VALUE!</v>
      </c>
      <c r="AC1396" t="e">
        <v>#VALUE!</v>
      </c>
      <c r="AD1396" t="e">
        <v>#VALUE!</v>
      </c>
    </row>
    <row r="1397" spans="2:30" x14ac:dyDescent="0.25">
      <c r="B1397" t="s">
        <v>133</v>
      </c>
      <c r="C1397" t="s">
        <v>3261</v>
      </c>
      <c r="D1397" t="s">
        <v>4201</v>
      </c>
      <c r="E1397" t="s">
        <v>4202</v>
      </c>
      <c r="F1397" t="s">
        <v>7467</v>
      </c>
      <c r="G1397" t="s">
        <v>3890</v>
      </c>
      <c r="H1397" t="s">
        <v>4204</v>
      </c>
      <c r="I1397" t="s">
        <v>4200</v>
      </c>
      <c r="J1397">
        <v>1</v>
      </c>
      <c r="K1397" t="s">
        <v>138</v>
      </c>
      <c r="L1397" t="s">
        <v>138</v>
      </c>
      <c r="M1397" t="s">
        <v>138</v>
      </c>
      <c r="N1397" t="s">
        <v>138</v>
      </c>
      <c r="O1397" t="s">
        <v>138</v>
      </c>
      <c r="P1397" t="s">
        <v>138</v>
      </c>
      <c r="Q1397" t="s">
        <v>138</v>
      </c>
      <c r="R1397" t="s">
        <v>138</v>
      </c>
      <c r="S1397" t="s">
        <v>138</v>
      </c>
      <c r="T1397" t="s">
        <v>138</v>
      </c>
      <c r="U1397" t="s">
        <v>138</v>
      </c>
      <c r="V1397" t="s">
        <v>138</v>
      </c>
      <c r="W1397" t="s">
        <v>138</v>
      </c>
      <c r="X1397" t="s">
        <v>138</v>
      </c>
      <c r="Y1397" t="s">
        <v>138</v>
      </c>
      <c r="Z1397" t="s">
        <v>138</v>
      </c>
      <c r="AA1397" t="s">
        <v>138</v>
      </c>
      <c r="AB1397" t="s">
        <v>138</v>
      </c>
      <c r="AC1397" t="s">
        <v>138</v>
      </c>
      <c r="AD1397" t="s">
        <v>138</v>
      </c>
    </row>
    <row r="1398" spans="2:30" x14ac:dyDescent="0.25">
      <c r="B1398" t="s">
        <v>133</v>
      </c>
      <c r="C1398" t="s">
        <v>3261</v>
      </c>
      <c r="D1398" t="s">
        <v>4205</v>
      </c>
      <c r="E1398" t="s">
        <v>4206</v>
      </c>
      <c r="F1398" t="s">
        <v>7468</v>
      </c>
      <c r="G1398" t="s">
        <v>3890</v>
      </c>
      <c r="H1398" t="s">
        <v>4208</v>
      </c>
      <c r="I1398" t="s">
        <v>4209</v>
      </c>
      <c r="J1398">
        <v>1</v>
      </c>
      <c r="K1398" t="e">
        <v>#VALUE!</v>
      </c>
    </row>
    <row r="1399" spans="2:30" x14ac:dyDescent="0.25">
      <c r="B1399" t="s">
        <v>133</v>
      </c>
      <c r="C1399" t="s">
        <v>3261</v>
      </c>
      <c r="D1399" t="s">
        <v>4210</v>
      </c>
      <c r="E1399" t="s">
        <v>4211</v>
      </c>
      <c r="F1399" t="s">
        <v>7469</v>
      </c>
      <c r="G1399" t="s">
        <v>3890</v>
      </c>
      <c r="H1399" t="s">
        <v>4213</v>
      </c>
      <c r="I1399" t="s">
        <v>4209</v>
      </c>
      <c r="J1399">
        <v>1</v>
      </c>
      <c r="K1399" t="e">
        <v>#VALUE!</v>
      </c>
    </row>
    <row r="1400" spans="2:30" x14ac:dyDescent="0.25">
      <c r="B1400" t="s">
        <v>133</v>
      </c>
      <c r="C1400" t="s">
        <v>3261</v>
      </c>
      <c r="D1400" t="s">
        <v>4214</v>
      </c>
      <c r="E1400" t="s">
        <v>4215</v>
      </c>
      <c r="F1400" t="s">
        <v>7470</v>
      </c>
      <c r="G1400" t="s">
        <v>3890</v>
      </c>
      <c r="H1400" t="s">
        <v>4217</v>
      </c>
      <c r="I1400" t="s">
        <v>4209</v>
      </c>
      <c r="J1400">
        <v>1</v>
      </c>
      <c r="K1400" t="e">
        <v>#VALUE!</v>
      </c>
    </row>
    <row r="1401" spans="2:30" x14ac:dyDescent="0.25">
      <c r="B1401" t="s">
        <v>133</v>
      </c>
      <c r="C1401" t="s">
        <v>3261</v>
      </c>
      <c r="D1401" t="s">
        <v>4218</v>
      </c>
      <c r="E1401" t="s">
        <v>4219</v>
      </c>
      <c r="F1401" t="s">
        <v>7471</v>
      </c>
      <c r="G1401" t="s">
        <v>3890</v>
      </c>
      <c r="K1401">
        <v>377.96</v>
      </c>
      <c r="L1401">
        <v>205.55</v>
      </c>
      <c r="M1401">
        <v>583.5</v>
      </c>
      <c r="N1401">
        <v>0.03</v>
      </c>
    </row>
    <row r="1402" spans="2:30" x14ac:dyDescent="0.25">
      <c r="B1402" t="s">
        <v>133</v>
      </c>
      <c r="C1402" t="s">
        <v>3261</v>
      </c>
      <c r="D1402" t="s">
        <v>4221</v>
      </c>
      <c r="E1402" t="s">
        <v>4222</v>
      </c>
      <c r="F1402" t="s">
        <v>7472</v>
      </c>
      <c r="G1402" t="s">
        <v>3890</v>
      </c>
      <c r="K1402">
        <v>635.9</v>
      </c>
      <c r="L1402">
        <v>492.6</v>
      </c>
      <c r="M1402">
        <v>1128.51</v>
      </c>
      <c r="N1402">
        <v>0.01</v>
      </c>
    </row>
    <row r="1403" spans="2:30" x14ac:dyDescent="0.25">
      <c r="B1403" t="s">
        <v>133</v>
      </c>
      <c r="C1403" t="s">
        <v>3261</v>
      </c>
      <c r="D1403" t="s">
        <v>4224</v>
      </c>
      <c r="E1403" t="s">
        <v>4225</v>
      </c>
      <c r="F1403" t="s">
        <v>7473</v>
      </c>
      <c r="G1403" t="s">
        <v>3890</v>
      </c>
      <c r="K1403">
        <v>0</v>
      </c>
      <c r="L1403">
        <v>54.95</v>
      </c>
      <c r="M1403">
        <v>54.95</v>
      </c>
      <c r="N1403">
        <v>0.03</v>
      </c>
    </row>
    <row r="1404" spans="2:30" x14ac:dyDescent="0.25">
      <c r="B1404" t="s">
        <v>133</v>
      </c>
      <c r="C1404" t="s">
        <v>3261</v>
      </c>
      <c r="D1404" t="s">
        <v>4227</v>
      </c>
      <c r="E1404" t="s">
        <v>4228</v>
      </c>
      <c r="F1404" t="s">
        <v>7474</v>
      </c>
      <c r="G1404" t="s">
        <v>3890</v>
      </c>
      <c r="K1404">
        <v>159.22</v>
      </c>
      <c r="L1404">
        <v>26.04</v>
      </c>
      <c r="M1404">
        <v>185.25</v>
      </c>
      <c r="N1404">
        <v>0.12</v>
      </c>
    </row>
    <row r="1405" spans="2:30" x14ac:dyDescent="0.25">
      <c r="B1405" t="s">
        <v>133</v>
      </c>
      <c r="C1405" t="s">
        <v>3261</v>
      </c>
      <c r="D1405" t="s">
        <v>4230</v>
      </c>
      <c r="E1405" t="s">
        <v>4231</v>
      </c>
      <c r="F1405" t="s">
        <v>7475</v>
      </c>
      <c r="G1405" t="s">
        <v>3890</v>
      </c>
      <c r="K1405">
        <v>0</v>
      </c>
      <c r="L1405">
        <v>2.34</v>
      </c>
      <c r="M1405">
        <v>2.34</v>
      </c>
      <c r="N1405">
        <v>0.01</v>
      </c>
    </row>
    <row r="1406" spans="2:30" x14ac:dyDescent="0.25">
      <c r="B1406" t="s">
        <v>133</v>
      </c>
      <c r="C1406" t="s">
        <v>3261</v>
      </c>
      <c r="D1406" t="s">
        <v>4233</v>
      </c>
      <c r="E1406" t="s">
        <v>4234</v>
      </c>
      <c r="F1406" t="s">
        <v>7476</v>
      </c>
      <c r="G1406" t="s">
        <v>3890</v>
      </c>
      <c r="K1406">
        <v>9.7799999999999994</v>
      </c>
      <c r="L1406">
        <v>21.23</v>
      </c>
      <c r="M1406">
        <v>31.01</v>
      </c>
      <c r="N1406">
        <v>0.26</v>
      </c>
    </row>
    <row r="1407" spans="2:30" x14ac:dyDescent="0.25">
      <c r="B1407" t="s">
        <v>133</v>
      </c>
      <c r="C1407" t="s">
        <v>3261</v>
      </c>
      <c r="D1407" t="s">
        <v>4236</v>
      </c>
      <c r="E1407" t="s">
        <v>4237</v>
      </c>
      <c r="F1407" t="s">
        <v>7477</v>
      </c>
      <c r="G1407" t="s">
        <v>3890</v>
      </c>
      <c r="K1407">
        <v>0</v>
      </c>
      <c r="L1407">
        <v>46.09</v>
      </c>
      <c r="M1407">
        <v>46.09</v>
      </c>
      <c r="N1407">
        <v>0.36</v>
      </c>
    </row>
    <row r="1408" spans="2:30" x14ac:dyDescent="0.25">
      <c r="B1408" t="s">
        <v>133</v>
      </c>
      <c r="C1408" t="s">
        <v>3261</v>
      </c>
      <c r="D1408" t="s">
        <v>4239</v>
      </c>
      <c r="E1408" t="s">
        <v>4240</v>
      </c>
      <c r="F1408" t="s">
        <v>7478</v>
      </c>
      <c r="G1408" t="s">
        <v>3890</v>
      </c>
      <c r="K1408">
        <v>0</v>
      </c>
      <c r="L1408">
        <v>48.78</v>
      </c>
      <c r="M1408">
        <v>48.78</v>
      </c>
      <c r="N1408">
        <v>0.05</v>
      </c>
    </row>
    <row r="1409" spans="2:30" x14ac:dyDescent="0.25">
      <c r="B1409" t="s">
        <v>133</v>
      </c>
      <c r="C1409" t="s">
        <v>3261</v>
      </c>
      <c r="D1409" t="s">
        <v>4242</v>
      </c>
      <c r="E1409" t="s">
        <v>4243</v>
      </c>
      <c r="F1409" t="s">
        <v>7479</v>
      </c>
      <c r="G1409" t="s">
        <v>3890</v>
      </c>
      <c r="K1409">
        <v>0</v>
      </c>
      <c r="L1409">
        <v>0</v>
      </c>
      <c r="M1409">
        <v>0</v>
      </c>
      <c r="N1409">
        <v>0.06</v>
      </c>
    </row>
    <row r="1410" spans="2:30" x14ac:dyDescent="0.25">
      <c r="B1410" t="s">
        <v>133</v>
      </c>
      <c r="C1410" t="s">
        <v>3261</v>
      </c>
      <c r="D1410" t="s">
        <v>4245</v>
      </c>
      <c r="E1410" t="s">
        <v>4246</v>
      </c>
      <c r="F1410" t="s">
        <v>7480</v>
      </c>
      <c r="G1410" t="s">
        <v>3890</v>
      </c>
      <c r="K1410">
        <v>7.0000000000000007E-2</v>
      </c>
      <c r="L1410">
        <v>0.41</v>
      </c>
      <c r="M1410">
        <v>820.06</v>
      </c>
      <c r="N1410">
        <v>7.0000000000000007E-2</v>
      </c>
      <c r="O1410">
        <v>0.41</v>
      </c>
    </row>
    <row r="1411" spans="2:30" x14ac:dyDescent="0.25">
      <c r="B1411" t="s">
        <v>133</v>
      </c>
      <c r="C1411" t="s">
        <v>3261</v>
      </c>
      <c r="D1411" t="s">
        <v>4248</v>
      </c>
      <c r="E1411" t="s">
        <v>4234</v>
      </c>
      <c r="F1411" t="s">
        <v>7476</v>
      </c>
      <c r="G1411" t="s">
        <v>3890</v>
      </c>
      <c r="K1411">
        <v>0.26</v>
      </c>
      <c r="L1411">
        <v>0</v>
      </c>
      <c r="M1411">
        <v>31.01</v>
      </c>
      <c r="N1411">
        <v>0.33</v>
      </c>
      <c r="O1411">
        <v>0.41</v>
      </c>
    </row>
    <row r="1412" spans="2:30" x14ac:dyDescent="0.25">
      <c r="B1412" t="s">
        <v>133</v>
      </c>
      <c r="C1412" t="s">
        <v>3261</v>
      </c>
      <c r="D1412" t="s">
        <v>4249</v>
      </c>
      <c r="E1412" t="s">
        <v>4225</v>
      </c>
      <c r="F1412" t="s">
        <v>7473</v>
      </c>
      <c r="G1412" t="s">
        <v>3890</v>
      </c>
      <c r="K1412">
        <v>0.03</v>
      </c>
      <c r="L1412">
        <v>0</v>
      </c>
      <c r="M1412">
        <v>54.95</v>
      </c>
      <c r="N1412">
        <v>0.36</v>
      </c>
      <c r="O1412">
        <v>0.41</v>
      </c>
    </row>
    <row r="1413" spans="2:30" x14ac:dyDescent="0.25">
      <c r="B1413" t="s">
        <v>133</v>
      </c>
      <c r="C1413" t="s">
        <v>3261</v>
      </c>
      <c r="D1413" t="s">
        <v>4250</v>
      </c>
      <c r="E1413" t="s">
        <v>4228</v>
      </c>
      <c r="F1413" t="s">
        <v>7474</v>
      </c>
      <c r="G1413" t="s">
        <v>3890</v>
      </c>
      <c r="K1413">
        <v>0.12</v>
      </c>
      <c r="L1413">
        <v>0.32</v>
      </c>
      <c r="M1413">
        <v>185.25</v>
      </c>
      <c r="N1413">
        <v>0.48</v>
      </c>
      <c r="O1413">
        <v>0.73</v>
      </c>
    </row>
    <row r="1414" spans="2:30" x14ac:dyDescent="0.25">
      <c r="B1414" t="s">
        <v>133</v>
      </c>
      <c r="C1414" t="s">
        <v>3261</v>
      </c>
      <c r="D1414" t="s">
        <v>4251</v>
      </c>
      <c r="E1414" t="s">
        <v>4219</v>
      </c>
      <c r="F1414" t="s">
        <v>7471</v>
      </c>
      <c r="G1414" t="s">
        <v>3890</v>
      </c>
      <c r="K1414">
        <v>0.03</v>
      </c>
      <c r="L1414">
        <v>0.16</v>
      </c>
      <c r="M1414">
        <v>583.5</v>
      </c>
      <c r="N1414">
        <v>0.51</v>
      </c>
      <c r="O1414">
        <v>0.89</v>
      </c>
    </row>
    <row r="1415" spans="2:30" x14ac:dyDescent="0.25">
      <c r="B1415" t="s">
        <v>133</v>
      </c>
      <c r="C1415" t="s">
        <v>3261</v>
      </c>
      <c r="D1415" t="s">
        <v>4252</v>
      </c>
      <c r="E1415" t="s">
        <v>4222</v>
      </c>
      <c r="F1415" t="s">
        <v>7472</v>
      </c>
      <c r="G1415" t="s">
        <v>3890</v>
      </c>
      <c r="K1415">
        <v>0.01</v>
      </c>
      <c r="L1415">
        <v>7.0000000000000007E-2</v>
      </c>
      <c r="M1415">
        <v>1128.51</v>
      </c>
      <c r="N1415">
        <v>0.52</v>
      </c>
      <c r="O1415">
        <v>0.96</v>
      </c>
    </row>
    <row r="1416" spans="2:30" x14ac:dyDescent="0.25">
      <c r="B1416" t="s">
        <v>133</v>
      </c>
      <c r="C1416" t="s">
        <v>3261</v>
      </c>
      <c r="D1416" t="s">
        <v>4253</v>
      </c>
      <c r="E1416" t="s">
        <v>4254</v>
      </c>
      <c r="F1416" t="s">
        <v>7481</v>
      </c>
      <c r="G1416" t="s">
        <v>3890</v>
      </c>
      <c r="K1416">
        <v>0.06</v>
      </c>
      <c r="L1416">
        <v>0</v>
      </c>
      <c r="M1416">
        <v>0</v>
      </c>
      <c r="N1416">
        <v>0.58000000000000007</v>
      </c>
      <c r="O1416">
        <v>0.96</v>
      </c>
    </row>
    <row r="1417" spans="2:30" x14ac:dyDescent="0.25">
      <c r="B1417" t="s">
        <v>133</v>
      </c>
      <c r="C1417" t="s">
        <v>3261</v>
      </c>
      <c r="D1417" t="s">
        <v>4256</v>
      </c>
      <c r="E1417" t="s">
        <v>4240</v>
      </c>
      <c r="F1417" t="s">
        <v>7478</v>
      </c>
      <c r="G1417" t="s">
        <v>3890</v>
      </c>
      <c r="K1417">
        <v>0.05</v>
      </c>
      <c r="L1417">
        <v>48.78</v>
      </c>
      <c r="M1417">
        <v>48.78</v>
      </c>
      <c r="N1417">
        <v>0.63000000000000012</v>
      </c>
      <c r="O1417">
        <v>49.74</v>
      </c>
    </row>
    <row r="1418" spans="2:30" x14ac:dyDescent="0.25">
      <c r="B1418" t="s">
        <v>133</v>
      </c>
      <c r="C1418" t="s">
        <v>3261</v>
      </c>
      <c r="D1418" t="s">
        <v>4257</v>
      </c>
      <c r="E1418" t="s">
        <v>4231</v>
      </c>
      <c r="F1418" t="s">
        <v>7475</v>
      </c>
      <c r="G1418" t="s">
        <v>3890</v>
      </c>
      <c r="K1418">
        <v>0.01</v>
      </c>
      <c r="L1418">
        <v>0</v>
      </c>
      <c r="M1418">
        <v>2.34</v>
      </c>
      <c r="N1418">
        <v>0.64000000000000012</v>
      </c>
      <c r="O1418">
        <v>49.74</v>
      </c>
    </row>
    <row r="1419" spans="2:30" x14ac:dyDescent="0.25">
      <c r="B1419" t="s">
        <v>133</v>
      </c>
      <c r="C1419" t="s">
        <v>3261</v>
      </c>
      <c r="D1419" t="s">
        <v>4258</v>
      </c>
      <c r="E1419" t="s">
        <v>4237</v>
      </c>
      <c r="F1419" t="s">
        <v>7477</v>
      </c>
      <c r="G1419" t="s">
        <v>3890</v>
      </c>
      <c r="K1419">
        <v>0.36</v>
      </c>
      <c r="L1419">
        <v>0.04</v>
      </c>
      <c r="M1419">
        <v>46.09</v>
      </c>
      <c r="N1419">
        <v>1</v>
      </c>
      <c r="O1419">
        <v>49.78</v>
      </c>
    </row>
    <row r="1420" spans="2:30" x14ac:dyDescent="0.25">
      <c r="B1420" t="s">
        <v>133</v>
      </c>
      <c r="C1420" t="s">
        <v>3261</v>
      </c>
      <c r="D1420" t="s">
        <v>4259</v>
      </c>
      <c r="E1420" t="s">
        <v>4260</v>
      </c>
      <c r="F1420" t="s">
        <v>7482</v>
      </c>
      <c r="G1420" t="s">
        <v>3890</v>
      </c>
      <c r="H1420" t="s">
        <v>4262</v>
      </c>
      <c r="I1420" t="s">
        <v>4263</v>
      </c>
      <c r="J1420">
        <v>1</v>
      </c>
      <c r="K1420">
        <v>6.3E-2</v>
      </c>
      <c r="L1420">
        <v>5.8000000000000003E-2</v>
      </c>
      <c r="M1420">
        <v>4.9000000000000002E-2</v>
      </c>
      <c r="N1420">
        <v>4.7E-2</v>
      </c>
      <c r="O1420">
        <v>4.9000000000000002E-2</v>
      </c>
      <c r="P1420">
        <v>0.05</v>
      </c>
      <c r="Q1420">
        <v>0.05</v>
      </c>
      <c r="R1420">
        <v>0.05</v>
      </c>
      <c r="S1420">
        <v>4.9000000000000002E-2</v>
      </c>
      <c r="T1420">
        <v>4.9000000000000002E-2</v>
      </c>
      <c r="U1420">
        <v>4.9000000000000002E-2</v>
      </c>
      <c r="V1420">
        <v>4.9000000000000002E-2</v>
      </c>
      <c r="W1420">
        <v>4.8000000000000001E-2</v>
      </c>
      <c r="X1420">
        <v>4.8000000000000001E-2</v>
      </c>
      <c r="Y1420">
        <v>4.8000000000000001E-2</v>
      </c>
      <c r="Z1420">
        <v>4.7E-2</v>
      </c>
      <c r="AA1420">
        <v>4.7E-2</v>
      </c>
      <c r="AB1420">
        <v>4.7E-2</v>
      </c>
      <c r="AC1420">
        <v>4.7E-2</v>
      </c>
      <c r="AD1420">
        <v>4.5999999999999999E-2</v>
      </c>
    </row>
    <row r="1421" spans="2:30" x14ac:dyDescent="0.25">
      <c r="B1421" t="s">
        <v>133</v>
      </c>
      <c r="C1421" t="s">
        <v>3261</v>
      </c>
      <c r="D1421" t="s">
        <v>4264</v>
      </c>
      <c r="E1421" t="s">
        <v>4265</v>
      </c>
      <c r="F1421" t="s">
        <v>7483</v>
      </c>
      <c r="G1421" t="s">
        <v>3890</v>
      </c>
      <c r="H1421" t="s">
        <v>4262</v>
      </c>
      <c r="I1421" t="s">
        <v>4267</v>
      </c>
      <c r="J1421">
        <v>1</v>
      </c>
      <c r="K1421">
        <v>11.478</v>
      </c>
      <c r="L1421">
        <v>8.8379999999999992</v>
      </c>
      <c r="M1421">
        <v>7.7530000000000001</v>
      </c>
      <c r="N1421">
        <v>7.06</v>
      </c>
      <c r="O1421">
        <v>7.0789999999999997</v>
      </c>
      <c r="P1421">
        <v>7.133</v>
      </c>
      <c r="Q1421">
        <v>7.1070000000000002</v>
      </c>
      <c r="R1421">
        <v>7.0789999999999997</v>
      </c>
      <c r="S1421">
        <v>7.05</v>
      </c>
      <c r="T1421">
        <v>7.0209999999999999</v>
      </c>
      <c r="U1421">
        <v>7.0209999999999999</v>
      </c>
      <c r="V1421">
        <v>7.0209999999999999</v>
      </c>
      <c r="W1421">
        <v>7.0209999999999999</v>
      </c>
      <c r="X1421">
        <v>7.02</v>
      </c>
      <c r="Y1421">
        <v>7.02</v>
      </c>
      <c r="Z1421">
        <v>7.02</v>
      </c>
      <c r="AA1421">
        <v>7.02</v>
      </c>
      <c r="AB1421">
        <v>7.02</v>
      </c>
      <c r="AC1421">
        <v>7.02</v>
      </c>
      <c r="AD1421">
        <v>7.02</v>
      </c>
    </row>
    <row r="1422" spans="2:30" x14ac:dyDescent="0.25">
      <c r="B1422" t="s">
        <v>133</v>
      </c>
      <c r="C1422" t="s">
        <v>3261</v>
      </c>
      <c r="D1422" t="s">
        <v>4268</v>
      </c>
      <c r="E1422" t="s">
        <v>4269</v>
      </c>
      <c r="F1422" t="s">
        <v>7484</v>
      </c>
      <c r="G1422" t="s">
        <v>3890</v>
      </c>
      <c r="H1422" t="s">
        <v>4262</v>
      </c>
      <c r="I1422" t="s">
        <v>4267</v>
      </c>
      <c r="J1422">
        <v>1</v>
      </c>
      <c r="K1422">
        <v>3.5339999999999998</v>
      </c>
      <c r="L1422">
        <v>3.22</v>
      </c>
      <c r="M1422">
        <v>3.181</v>
      </c>
      <c r="N1422">
        <v>3.19</v>
      </c>
      <c r="O1422">
        <v>3.2170000000000001</v>
      </c>
      <c r="P1422">
        <v>3.2410000000000001</v>
      </c>
      <c r="Q1422">
        <v>3.2530000000000001</v>
      </c>
      <c r="R1422">
        <v>3.2610000000000001</v>
      </c>
      <c r="S1422">
        <v>3.27</v>
      </c>
      <c r="T1422">
        <v>3.2789999999999999</v>
      </c>
      <c r="U1422">
        <v>3.2869999999999999</v>
      </c>
      <c r="V1422">
        <v>3.2930000000000001</v>
      </c>
      <c r="W1422">
        <v>3.2970000000000002</v>
      </c>
      <c r="X1422">
        <v>3.2989999999999999</v>
      </c>
      <c r="Y1422">
        <v>3.3</v>
      </c>
      <c r="Z1422">
        <v>3.298</v>
      </c>
      <c r="AA1422">
        <v>3.294</v>
      </c>
      <c r="AB1422">
        <v>3.2869999999999999</v>
      </c>
      <c r="AC1422">
        <v>3.278</v>
      </c>
      <c r="AD1422">
        <v>3.2690000000000001</v>
      </c>
    </row>
    <row r="1423" spans="2:30" x14ac:dyDescent="0.25">
      <c r="B1423" t="s">
        <v>133</v>
      </c>
      <c r="C1423" t="s">
        <v>3261</v>
      </c>
      <c r="D1423" t="s">
        <v>4271</v>
      </c>
      <c r="E1423" t="s">
        <v>4272</v>
      </c>
      <c r="F1423" t="s">
        <v>7485</v>
      </c>
      <c r="G1423" t="s">
        <v>3890</v>
      </c>
      <c r="H1423" t="s">
        <v>4262</v>
      </c>
      <c r="I1423" t="s">
        <v>4274</v>
      </c>
      <c r="J1423">
        <v>1</v>
      </c>
      <c r="K1423">
        <v>33.051000000000002</v>
      </c>
      <c r="L1423">
        <v>26.300999999999998</v>
      </c>
      <c r="M1423">
        <v>23.175999999999998</v>
      </c>
      <c r="N1423">
        <v>15</v>
      </c>
      <c r="O1423">
        <v>15</v>
      </c>
      <c r="P1423">
        <v>15</v>
      </c>
      <c r="Q1423">
        <v>15</v>
      </c>
      <c r="R1423">
        <v>15</v>
      </c>
      <c r="S1423">
        <v>15</v>
      </c>
      <c r="T1423">
        <v>15</v>
      </c>
      <c r="U1423">
        <v>15</v>
      </c>
      <c r="V1423">
        <v>15</v>
      </c>
      <c r="W1423">
        <v>15</v>
      </c>
      <c r="X1423">
        <v>15</v>
      </c>
      <c r="Y1423">
        <v>15</v>
      </c>
      <c r="Z1423">
        <v>15</v>
      </c>
      <c r="AA1423">
        <v>15</v>
      </c>
      <c r="AB1423">
        <v>15</v>
      </c>
      <c r="AC1423">
        <v>15</v>
      </c>
      <c r="AD1423">
        <v>15</v>
      </c>
    </row>
    <row r="1424" spans="2:30" x14ac:dyDescent="0.25">
      <c r="B1424" t="s">
        <v>133</v>
      </c>
      <c r="C1424" t="s">
        <v>3261</v>
      </c>
      <c r="D1424" t="s">
        <v>4275</v>
      </c>
      <c r="E1424" t="s">
        <v>4276</v>
      </c>
      <c r="F1424" t="s">
        <v>7486</v>
      </c>
      <c r="G1424" t="s">
        <v>3890</v>
      </c>
      <c r="H1424" t="s">
        <v>4262</v>
      </c>
      <c r="I1424" t="s">
        <v>4278</v>
      </c>
      <c r="J1424">
        <v>1</v>
      </c>
      <c r="K1424">
        <v>0.6</v>
      </c>
      <c r="L1424">
        <v>0.41099999999999998</v>
      </c>
      <c r="M1424">
        <v>0.33500000000000002</v>
      </c>
      <c r="N1424">
        <v>0.33500000000000002</v>
      </c>
      <c r="O1424">
        <v>0.33500000000000002</v>
      </c>
      <c r="P1424">
        <v>0.33500000000000002</v>
      </c>
      <c r="Q1424">
        <v>0.33500000000000002</v>
      </c>
      <c r="R1424">
        <v>0.33500000000000002</v>
      </c>
      <c r="S1424">
        <v>0.33500000000000002</v>
      </c>
      <c r="T1424">
        <v>0.33500000000000002</v>
      </c>
      <c r="U1424">
        <v>0.33500000000000002</v>
      </c>
      <c r="V1424">
        <v>0.33500000000000002</v>
      </c>
      <c r="W1424">
        <v>0.33500000000000002</v>
      </c>
      <c r="X1424">
        <v>0.33500000000000002</v>
      </c>
      <c r="Y1424">
        <v>0.33500000000000002</v>
      </c>
      <c r="Z1424">
        <v>0.33500000000000002</v>
      </c>
      <c r="AA1424">
        <v>0.33500000000000002</v>
      </c>
      <c r="AB1424">
        <v>0.33500000000000002</v>
      </c>
      <c r="AC1424">
        <v>0.33500000000000002</v>
      </c>
      <c r="AD1424">
        <v>0.33500000000000002</v>
      </c>
    </row>
    <row r="1425" spans="2:30" x14ac:dyDescent="0.25">
      <c r="B1425" t="s">
        <v>133</v>
      </c>
      <c r="C1425" t="s">
        <v>3261</v>
      </c>
      <c r="D1425" t="s">
        <v>4279</v>
      </c>
      <c r="E1425" t="s">
        <v>4280</v>
      </c>
      <c r="F1425" t="s">
        <v>7487</v>
      </c>
      <c r="G1425" t="s">
        <v>3890</v>
      </c>
      <c r="H1425" t="s">
        <v>4262</v>
      </c>
      <c r="I1425" t="s">
        <v>4278</v>
      </c>
      <c r="J1425">
        <v>1</v>
      </c>
      <c r="K1425">
        <v>0.41399999999999998</v>
      </c>
      <c r="L1425">
        <v>0.28100000000000003</v>
      </c>
      <c r="M1425">
        <v>0.249</v>
      </c>
      <c r="N1425">
        <v>0.249</v>
      </c>
      <c r="O1425">
        <v>0.249</v>
      </c>
      <c r="P1425">
        <v>0.249</v>
      </c>
      <c r="Q1425">
        <v>0.249</v>
      </c>
      <c r="R1425">
        <v>0.249</v>
      </c>
      <c r="S1425">
        <v>0.249</v>
      </c>
      <c r="T1425">
        <v>0.249</v>
      </c>
      <c r="U1425">
        <v>0.249</v>
      </c>
      <c r="V1425">
        <v>0.249</v>
      </c>
      <c r="W1425">
        <v>0.249</v>
      </c>
      <c r="X1425">
        <v>0.249</v>
      </c>
      <c r="Y1425">
        <v>0.249</v>
      </c>
      <c r="Z1425">
        <v>0.249</v>
      </c>
      <c r="AA1425">
        <v>0.249</v>
      </c>
      <c r="AB1425">
        <v>0.249</v>
      </c>
      <c r="AC1425">
        <v>0.249</v>
      </c>
      <c r="AD1425">
        <v>0.249</v>
      </c>
    </row>
    <row r="1426" spans="2:30" x14ac:dyDescent="0.25">
      <c r="B1426" t="s">
        <v>133</v>
      </c>
      <c r="C1426" t="s">
        <v>3261</v>
      </c>
      <c r="D1426" t="s">
        <v>4282</v>
      </c>
      <c r="E1426" t="s">
        <v>4283</v>
      </c>
      <c r="F1426" t="s">
        <v>7488</v>
      </c>
      <c r="G1426" t="s">
        <v>3890</v>
      </c>
      <c r="H1426" t="s">
        <v>4262</v>
      </c>
      <c r="I1426" t="s">
        <v>4278</v>
      </c>
      <c r="J1426">
        <v>1</v>
      </c>
      <c r="K1426">
        <v>0.17499999999999999</v>
      </c>
      <c r="L1426">
        <v>0.10199999999999999</v>
      </c>
      <c r="M1426">
        <v>8.7999999999999995E-2</v>
      </c>
      <c r="N1426">
        <v>8.7999999999999995E-2</v>
      </c>
      <c r="O1426">
        <v>8.7999999999999995E-2</v>
      </c>
      <c r="P1426">
        <v>8.7999999999999995E-2</v>
      </c>
      <c r="Q1426">
        <v>8.7999999999999995E-2</v>
      </c>
      <c r="R1426">
        <v>8.7999999999999995E-2</v>
      </c>
      <c r="S1426">
        <v>8.7999999999999995E-2</v>
      </c>
      <c r="T1426">
        <v>8.7999999999999995E-2</v>
      </c>
      <c r="U1426">
        <v>8.7999999999999995E-2</v>
      </c>
      <c r="V1426">
        <v>8.7999999999999995E-2</v>
      </c>
      <c r="W1426">
        <v>8.7999999999999995E-2</v>
      </c>
      <c r="X1426">
        <v>8.7999999999999995E-2</v>
      </c>
      <c r="Y1426">
        <v>8.7999999999999995E-2</v>
      </c>
      <c r="Z1426">
        <v>8.7999999999999995E-2</v>
      </c>
      <c r="AA1426">
        <v>8.7999999999999995E-2</v>
      </c>
      <c r="AB1426">
        <v>8.7999999999999995E-2</v>
      </c>
      <c r="AC1426">
        <v>8.7999999999999995E-2</v>
      </c>
      <c r="AD1426">
        <v>8.7999999999999995E-2</v>
      </c>
    </row>
    <row r="1427" spans="2:30" x14ac:dyDescent="0.25">
      <c r="B1427" t="s">
        <v>133</v>
      </c>
      <c r="C1427" t="s">
        <v>3261</v>
      </c>
      <c r="D1427" t="s">
        <v>4285</v>
      </c>
      <c r="E1427" t="s">
        <v>4286</v>
      </c>
      <c r="F1427" t="s">
        <v>7489</v>
      </c>
      <c r="G1427" t="s">
        <v>3890</v>
      </c>
      <c r="H1427" t="s">
        <v>4262</v>
      </c>
      <c r="I1427" t="s">
        <v>4278</v>
      </c>
      <c r="J1427">
        <v>1</v>
      </c>
      <c r="K1427">
        <v>0.41399999999999998</v>
      </c>
      <c r="L1427">
        <v>0.25900000000000001</v>
      </c>
      <c r="M1427">
        <v>0.24399999999999999</v>
      </c>
      <c r="N1427">
        <v>0.24399999999999999</v>
      </c>
      <c r="O1427">
        <v>0.24399999999999999</v>
      </c>
      <c r="P1427">
        <v>0.24399999999999999</v>
      </c>
      <c r="Q1427">
        <v>0.24399999999999999</v>
      </c>
      <c r="R1427">
        <v>0.24399999999999999</v>
      </c>
      <c r="S1427">
        <v>0.24399999999999999</v>
      </c>
      <c r="T1427">
        <v>0.24399999999999999</v>
      </c>
      <c r="U1427">
        <v>0.24399999999999999</v>
      </c>
      <c r="V1427">
        <v>0.24399999999999999</v>
      </c>
      <c r="W1427">
        <v>0.24399999999999999</v>
      </c>
      <c r="X1427">
        <v>0.24399999999999999</v>
      </c>
      <c r="Y1427">
        <v>0.24399999999999999</v>
      </c>
      <c r="Z1427">
        <v>0.24399999999999999</v>
      </c>
      <c r="AA1427">
        <v>0.24399999999999999</v>
      </c>
      <c r="AB1427">
        <v>0.24399999999999999</v>
      </c>
      <c r="AC1427">
        <v>0.24399999999999999</v>
      </c>
      <c r="AD1427">
        <v>0.24399999999999999</v>
      </c>
    </row>
    <row r="1428" spans="2:30" x14ac:dyDescent="0.25">
      <c r="B1428" t="s">
        <v>133</v>
      </c>
      <c r="C1428" t="s">
        <v>3261</v>
      </c>
      <c r="D1428" t="s">
        <v>4259</v>
      </c>
      <c r="E1428" t="s">
        <v>4288</v>
      </c>
      <c r="F1428" t="s">
        <v>7490</v>
      </c>
      <c r="G1428" t="s">
        <v>3890</v>
      </c>
      <c r="H1428" t="s">
        <v>4262</v>
      </c>
      <c r="I1428" t="s">
        <v>4263</v>
      </c>
      <c r="J1428">
        <v>2</v>
      </c>
      <c r="K1428">
        <v>6.3E-2</v>
      </c>
      <c r="L1428">
        <v>5.8000000000000003E-2</v>
      </c>
      <c r="M1428">
        <v>4.9000000000000002E-2</v>
      </c>
      <c r="N1428">
        <v>4.7E-2</v>
      </c>
      <c r="O1428">
        <v>4.9000000000000002E-2</v>
      </c>
      <c r="P1428">
        <v>0.05</v>
      </c>
      <c r="Q1428">
        <v>5.6000000000000001E-2</v>
      </c>
      <c r="R1428">
        <v>6.2E-2</v>
      </c>
      <c r="S1428">
        <v>6.9000000000000006E-2</v>
      </c>
      <c r="T1428">
        <v>7.4999999999999997E-2</v>
      </c>
      <c r="U1428">
        <v>8.1000000000000003E-2</v>
      </c>
      <c r="V1428">
        <v>8.6999999999999994E-2</v>
      </c>
      <c r="W1428">
        <v>9.4E-2</v>
      </c>
      <c r="X1428">
        <v>0.1</v>
      </c>
      <c r="Y1428">
        <v>0.106</v>
      </c>
      <c r="Z1428">
        <v>0.112</v>
      </c>
      <c r="AA1428">
        <v>0.11799999999999999</v>
      </c>
      <c r="AB1428">
        <v>0.123</v>
      </c>
      <c r="AC1428">
        <v>0.129</v>
      </c>
      <c r="AD1428">
        <v>0.13500000000000001</v>
      </c>
    </row>
    <row r="1429" spans="2:30" x14ac:dyDescent="0.25">
      <c r="B1429" t="s">
        <v>133</v>
      </c>
      <c r="C1429" t="s">
        <v>3261</v>
      </c>
      <c r="D1429" t="s">
        <v>4264</v>
      </c>
      <c r="E1429" t="s">
        <v>4290</v>
      </c>
      <c r="F1429" t="s">
        <v>7491</v>
      </c>
      <c r="G1429" t="s">
        <v>3890</v>
      </c>
      <c r="H1429" t="s">
        <v>4262</v>
      </c>
      <c r="I1429" t="s">
        <v>4267</v>
      </c>
      <c r="J1429">
        <v>2</v>
      </c>
      <c r="K1429">
        <v>11.478</v>
      </c>
      <c r="L1429">
        <v>8.8379999999999992</v>
      </c>
      <c r="M1429">
        <v>7.7530000000000001</v>
      </c>
      <c r="N1429">
        <v>7.06</v>
      </c>
      <c r="O1429">
        <v>7.0789999999999997</v>
      </c>
      <c r="P1429">
        <v>7.133</v>
      </c>
      <c r="Q1429">
        <v>7.1070000000000002</v>
      </c>
      <c r="R1429">
        <v>7.0789999999999997</v>
      </c>
      <c r="S1429">
        <v>7.05</v>
      </c>
      <c r="T1429">
        <v>7.0209999999999999</v>
      </c>
      <c r="U1429">
        <v>7.0209999999999999</v>
      </c>
      <c r="V1429">
        <v>7.0209999999999999</v>
      </c>
      <c r="W1429">
        <v>7.0209999999999999</v>
      </c>
      <c r="X1429">
        <v>7.02</v>
      </c>
      <c r="Y1429">
        <v>7.02</v>
      </c>
      <c r="Z1429">
        <v>7.02</v>
      </c>
      <c r="AA1429">
        <v>7.02</v>
      </c>
      <c r="AB1429">
        <v>7.02</v>
      </c>
      <c r="AC1429">
        <v>7.02</v>
      </c>
      <c r="AD1429">
        <v>7.02</v>
      </c>
    </row>
    <row r="1430" spans="2:30" x14ac:dyDescent="0.25">
      <c r="B1430" t="s">
        <v>133</v>
      </c>
      <c r="C1430" t="s">
        <v>3261</v>
      </c>
      <c r="D1430" t="s">
        <v>4268</v>
      </c>
      <c r="E1430" t="s">
        <v>4292</v>
      </c>
      <c r="F1430" t="s">
        <v>7492</v>
      </c>
      <c r="G1430" t="s">
        <v>3890</v>
      </c>
      <c r="H1430" t="s">
        <v>4262</v>
      </c>
      <c r="I1430" t="s">
        <v>4267</v>
      </c>
      <c r="J1430">
        <v>2</v>
      </c>
      <c r="K1430">
        <v>3.5339999999999998</v>
      </c>
      <c r="L1430">
        <v>3.22</v>
      </c>
      <c r="M1430">
        <v>3.181</v>
      </c>
      <c r="N1430">
        <v>3.19</v>
      </c>
      <c r="O1430">
        <v>3.2170000000000001</v>
      </c>
      <c r="P1430">
        <v>3.2410000000000001</v>
      </c>
      <c r="Q1430">
        <v>3.2530000000000001</v>
      </c>
      <c r="R1430">
        <v>3.2610000000000001</v>
      </c>
      <c r="S1430">
        <v>3.27</v>
      </c>
      <c r="T1430">
        <v>3.2789999999999999</v>
      </c>
      <c r="U1430">
        <v>3.2869999999999999</v>
      </c>
      <c r="V1430">
        <v>3.2930000000000001</v>
      </c>
      <c r="W1430">
        <v>3.2970000000000002</v>
      </c>
      <c r="X1430">
        <v>3.2989999999999999</v>
      </c>
      <c r="Y1430">
        <v>3.3</v>
      </c>
      <c r="Z1430">
        <v>3.298</v>
      </c>
      <c r="AA1430">
        <v>3.294</v>
      </c>
      <c r="AB1430">
        <v>3.2869999999999999</v>
      </c>
      <c r="AC1430">
        <v>3.278</v>
      </c>
      <c r="AD1430">
        <v>3.2690000000000001</v>
      </c>
    </row>
    <row r="1431" spans="2:30" x14ac:dyDescent="0.25">
      <c r="B1431" t="s">
        <v>133</v>
      </c>
      <c r="C1431" t="s">
        <v>3261</v>
      </c>
      <c r="D1431" t="s">
        <v>4271</v>
      </c>
      <c r="E1431" t="s">
        <v>4294</v>
      </c>
      <c r="F1431" t="s">
        <v>7493</v>
      </c>
      <c r="G1431" t="s">
        <v>3890</v>
      </c>
      <c r="H1431" t="s">
        <v>4262</v>
      </c>
      <c r="I1431" t="s">
        <v>4274</v>
      </c>
      <c r="J1431">
        <v>2</v>
      </c>
      <c r="K1431">
        <v>33.051000000000002</v>
      </c>
      <c r="L1431">
        <v>26.300999999999998</v>
      </c>
      <c r="M1431">
        <v>23.175999999999998</v>
      </c>
      <c r="N1431">
        <v>15</v>
      </c>
      <c r="O1431">
        <v>15</v>
      </c>
      <c r="P1431">
        <v>15</v>
      </c>
      <c r="Q1431">
        <v>15</v>
      </c>
      <c r="R1431">
        <v>15</v>
      </c>
      <c r="S1431">
        <v>15</v>
      </c>
      <c r="T1431">
        <v>15</v>
      </c>
      <c r="U1431">
        <v>15</v>
      </c>
      <c r="V1431">
        <v>15</v>
      </c>
      <c r="W1431">
        <v>15</v>
      </c>
      <c r="X1431">
        <v>15</v>
      </c>
      <c r="Y1431">
        <v>15</v>
      </c>
      <c r="Z1431">
        <v>15</v>
      </c>
      <c r="AA1431">
        <v>15</v>
      </c>
      <c r="AB1431">
        <v>15</v>
      </c>
      <c r="AC1431">
        <v>15</v>
      </c>
      <c r="AD1431">
        <v>15</v>
      </c>
    </row>
    <row r="1432" spans="2:30" x14ac:dyDescent="0.25">
      <c r="B1432" t="s">
        <v>133</v>
      </c>
      <c r="C1432" t="s">
        <v>3261</v>
      </c>
      <c r="D1432" t="s">
        <v>4275</v>
      </c>
      <c r="E1432" t="s">
        <v>4296</v>
      </c>
      <c r="F1432" t="s">
        <v>7494</v>
      </c>
      <c r="G1432" t="s">
        <v>3890</v>
      </c>
      <c r="H1432" t="s">
        <v>4262</v>
      </c>
      <c r="I1432" t="s">
        <v>4278</v>
      </c>
      <c r="J1432">
        <v>2</v>
      </c>
      <c r="K1432">
        <v>0.6</v>
      </c>
      <c r="L1432">
        <v>0.41099999999999998</v>
      </c>
      <c r="M1432">
        <v>0.33500000000000002</v>
      </c>
      <c r="N1432">
        <v>0.33500000000000002</v>
      </c>
      <c r="O1432">
        <v>0.33500000000000002</v>
      </c>
      <c r="P1432">
        <v>0.33500000000000002</v>
      </c>
      <c r="Q1432">
        <v>0.33500000000000002</v>
      </c>
      <c r="R1432">
        <v>0.33500000000000002</v>
      </c>
      <c r="S1432">
        <v>0.33500000000000002</v>
      </c>
      <c r="T1432">
        <v>0.33500000000000002</v>
      </c>
      <c r="U1432">
        <v>0.33500000000000002</v>
      </c>
      <c r="V1432">
        <v>0.33500000000000002</v>
      </c>
      <c r="W1432">
        <v>0.33500000000000002</v>
      </c>
      <c r="X1432">
        <v>0.33500000000000002</v>
      </c>
      <c r="Y1432">
        <v>0.33500000000000002</v>
      </c>
      <c r="Z1432">
        <v>0.33500000000000002</v>
      </c>
      <c r="AA1432">
        <v>0.33500000000000002</v>
      </c>
      <c r="AB1432">
        <v>0.33500000000000002</v>
      </c>
      <c r="AC1432">
        <v>0.33500000000000002</v>
      </c>
      <c r="AD1432">
        <v>0.33500000000000002</v>
      </c>
    </row>
    <row r="1433" spans="2:30" x14ac:dyDescent="0.25">
      <c r="B1433" t="s">
        <v>133</v>
      </c>
      <c r="C1433" t="s">
        <v>3261</v>
      </c>
      <c r="D1433" t="s">
        <v>4279</v>
      </c>
      <c r="E1433" t="s">
        <v>4298</v>
      </c>
      <c r="F1433" t="s">
        <v>7495</v>
      </c>
      <c r="G1433" t="s">
        <v>3890</v>
      </c>
      <c r="H1433" t="s">
        <v>4262</v>
      </c>
      <c r="I1433" t="s">
        <v>4278</v>
      </c>
      <c r="J1433">
        <v>2</v>
      </c>
      <c r="K1433">
        <v>0.41399999999999998</v>
      </c>
      <c r="L1433">
        <v>0.28100000000000003</v>
      </c>
      <c r="M1433">
        <v>0.249</v>
      </c>
      <c r="N1433">
        <v>0.249</v>
      </c>
      <c r="O1433">
        <v>0.249</v>
      </c>
      <c r="P1433">
        <v>0.249</v>
      </c>
      <c r="Q1433">
        <v>0.249</v>
      </c>
      <c r="R1433">
        <v>0.249</v>
      </c>
      <c r="S1433">
        <v>0.249</v>
      </c>
      <c r="T1433">
        <v>0.249</v>
      </c>
      <c r="U1433">
        <v>0.249</v>
      </c>
      <c r="V1433">
        <v>0.249</v>
      </c>
      <c r="W1433">
        <v>0.249</v>
      </c>
      <c r="X1433">
        <v>0.249</v>
      </c>
      <c r="Y1433">
        <v>0.249</v>
      </c>
      <c r="Z1433">
        <v>0.249</v>
      </c>
      <c r="AA1433">
        <v>0.249</v>
      </c>
      <c r="AB1433">
        <v>0.249</v>
      </c>
      <c r="AC1433">
        <v>0.249</v>
      </c>
      <c r="AD1433">
        <v>0.249</v>
      </c>
    </row>
    <row r="1434" spans="2:30" x14ac:dyDescent="0.25">
      <c r="B1434" t="s">
        <v>133</v>
      </c>
      <c r="C1434" t="s">
        <v>3261</v>
      </c>
      <c r="D1434" t="s">
        <v>4282</v>
      </c>
      <c r="E1434" t="s">
        <v>4300</v>
      </c>
      <c r="F1434" t="s">
        <v>7496</v>
      </c>
      <c r="G1434" t="s">
        <v>3890</v>
      </c>
      <c r="H1434" t="s">
        <v>4262</v>
      </c>
      <c r="I1434" t="s">
        <v>4278</v>
      </c>
      <c r="J1434">
        <v>2</v>
      </c>
      <c r="K1434">
        <v>0.17499999999999999</v>
      </c>
      <c r="L1434">
        <v>0.10199999999999999</v>
      </c>
      <c r="M1434">
        <v>8.7999999999999995E-2</v>
      </c>
      <c r="N1434">
        <v>8.7999999999999995E-2</v>
      </c>
      <c r="O1434">
        <v>8.7999999999999995E-2</v>
      </c>
      <c r="P1434">
        <v>8.7999999999999995E-2</v>
      </c>
      <c r="Q1434">
        <v>8.7999999999999995E-2</v>
      </c>
      <c r="R1434">
        <v>8.7999999999999995E-2</v>
      </c>
      <c r="S1434">
        <v>8.7999999999999995E-2</v>
      </c>
      <c r="T1434">
        <v>8.7999999999999995E-2</v>
      </c>
      <c r="U1434">
        <v>8.7999999999999995E-2</v>
      </c>
      <c r="V1434">
        <v>8.7999999999999995E-2</v>
      </c>
      <c r="W1434">
        <v>8.7999999999999995E-2</v>
      </c>
      <c r="X1434">
        <v>8.7999999999999995E-2</v>
      </c>
      <c r="Y1434">
        <v>8.7999999999999995E-2</v>
      </c>
      <c r="Z1434">
        <v>8.7999999999999995E-2</v>
      </c>
      <c r="AA1434">
        <v>8.7999999999999995E-2</v>
      </c>
      <c r="AB1434">
        <v>8.7999999999999995E-2</v>
      </c>
      <c r="AC1434">
        <v>8.7999999999999995E-2</v>
      </c>
      <c r="AD1434">
        <v>8.7999999999999995E-2</v>
      </c>
    </row>
    <row r="1435" spans="2:30" x14ac:dyDescent="0.25">
      <c r="B1435" t="s">
        <v>133</v>
      </c>
      <c r="C1435" t="s">
        <v>3261</v>
      </c>
      <c r="D1435" t="s">
        <v>4285</v>
      </c>
      <c r="E1435" t="s">
        <v>4302</v>
      </c>
      <c r="F1435" t="s">
        <v>7497</v>
      </c>
      <c r="G1435" t="s">
        <v>3890</v>
      </c>
      <c r="H1435" t="s">
        <v>4262</v>
      </c>
      <c r="I1435" t="s">
        <v>4278</v>
      </c>
      <c r="J1435">
        <v>2</v>
      </c>
      <c r="K1435">
        <v>0.41399999999999998</v>
      </c>
      <c r="L1435">
        <v>0.25900000000000001</v>
      </c>
      <c r="M1435">
        <v>0.24399999999999999</v>
      </c>
      <c r="N1435">
        <v>0.24399999999999999</v>
      </c>
      <c r="O1435">
        <v>0.24399999999999999</v>
      </c>
      <c r="P1435">
        <v>0.24399999999999999</v>
      </c>
      <c r="Q1435">
        <v>0.24399999999999999</v>
      </c>
      <c r="R1435">
        <v>0.24399999999999999</v>
      </c>
      <c r="S1435">
        <v>0.24399999999999999</v>
      </c>
      <c r="T1435">
        <v>0.24399999999999999</v>
      </c>
      <c r="U1435">
        <v>0.24399999999999999</v>
      </c>
      <c r="V1435">
        <v>0.24399999999999999</v>
      </c>
      <c r="W1435">
        <v>0.24399999999999999</v>
      </c>
      <c r="X1435">
        <v>0.24399999999999999</v>
      </c>
      <c r="Y1435">
        <v>0.24399999999999999</v>
      </c>
      <c r="Z1435">
        <v>0.24399999999999999</v>
      </c>
      <c r="AA1435">
        <v>0.24399999999999999</v>
      </c>
      <c r="AB1435">
        <v>0.24399999999999999</v>
      </c>
      <c r="AC1435">
        <v>0.24399999999999999</v>
      </c>
      <c r="AD1435">
        <v>0.24399999999999999</v>
      </c>
    </row>
    <row r="1436" spans="2:30" x14ac:dyDescent="0.25">
      <c r="B1436" t="s">
        <v>133</v>
      </c>
      <c r="C1436" t="s">
        <v>3261</v>
      </c>
      <c r="D1436" t="s">
        <v>4304</v>
      </c>
      <c r="E1436" t="s">
        <v>4305</v>
      </c>
      <c r="F1436" t="s">
        <v>7498</v>
      </c>
      <c r="G1436" t="s">
        <v>3890</v>
      </c>
      <c r="H1436" t="s">
        <v>4262</v>
      </c>
      <c r="I1436" t="s">
        <v>3892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0.125</v>
      </c>
      <c r="R1436">
        <v>0.252</v>
      </c>
      <c r="S1436">
        <v>0.39700000000000002</v>
      </c>
      <c r="T1436">
        <v>0.53100000000000003</v>
      </c>
      <c r="U1436">
        <v>0.66700000000000004</v>
      </c>
      <c r="V1436">
        <v>0.80100000000000005</v>
      </c>
      <c r="W1436">
        <v>0.93700000000000006</v>
      </c>
      <c r="X1436">
        <v>1.0740000000000001</v>
      </c>
      <c r="Y1436">
        <v>1.212</v>
      </c>
      <c r="Z1436">
        <v>1.351</v>
      </c>
      <c r="AA1436">
        <v>1.4910000000000001</v>
      </c>
      <c r="AB1436">
        <v>1.6339999999999999</v>
      </c>
      <c r="AC1436">
        <v>1.778</v>
      </c>
      <c r="AD1436">
        <v>1.925</v>
      </c>
    </row>
    <row r="1437" spans="2:30" x14ac:dyDescent="0.25">
      <c r="B1437" t="s">
        <v>133</v>
      </c>
      <c r="C1437" t="s">
        <v>3261</v>
      </c>
      <c r="D1437" t="s">
        <v>4307</v>
      </c>
      <c r="E1437" t="s">
        <v>4308</v>
      </c>
      <c r="F1437" t="s">
        <v>7499</v>
      </c>
      <c r="G1437" t="s">
        <v>3890</v>
      </c>
      <c r="H1437" t="s">
        <v>4262</v>
      </c>
      <c r="I1437" t="s">
        <v>3892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2:30" x14ac:dyDescent="0.25">
      <c r="B1438" t="s">
        <v>133</v>
      </c>
      <c r="C1438" t="s">
        <v>3261</v>
      </c>
      <c r="D1438" t="s">
        <v>4310</v>
      </c>
      <c r="E1438" t="s">
        <v>4311</v>
      </c>
      <c r="F1438" t="s">
        <v>7500</v>
      </c>
      <c r="G1438" t="s">
        <v>3890</v>
      </c>
      <c r="H1438" t="s">
        <v>4262</v>
      </c>
      <c r="I1438" t="s">
        <v>3892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2:30" x14ac:dyDescent="0.25">
      <c r="B1439" t="s">
        <v>133</v>
      </c>
      <c r="C1439" t="s">
        <v>3261</v>
      </c>
      <c r="D1439" t="s">
        <v>4313</v>
      </c>
      <c r="E1439" t="s">
        <v>4314</v>
      </c>
      <c r="F1439" t="s">
        <v>7501</v>
      </c>
      <c r="G1439" t="s">
        <v>3890</v>
      </c>
      <c r="H1439" t="s">
        <v>4262</v>
      </c>
      <c r="I1439" t="s">
        <v>3892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2:30" x14ac:dyDescent="0.25">
      <c r="B1440" t="s">
        <v>133</v>
      </c>
      <c r="C1440" t="s">
        <v>3261</v>
      </c>
      <c r="D1440" t="s">
        <v>4316</v>
      </c>
      <c r="E1440" t="s">
        <v>4317</v>
      </c>
      <c r="F1440" t="s">
        <v>7502</v>
      </c>
      <c r="G1440" t="s">
        <v>3890</v>
      </c>
      <c r="H1440" t="s">
        <v>4262</v>
      </c>
      <c r="I1440" t="s">
        <v>3892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2:30" x14ac:dyDescent="0.25">
      <c r="B1441" t="s">
        <v>133</v>
      </c>
      <c r="C1441" t="s">
        <v>3261</v>
      </c>
      <c r="D1441" t="s">
        <v>4319</v>
      </c>
      <c r="E1441" t="s">
        <v>4320</v>
      </c>
      <c r="F1441" t="s">
        <v>7503</v>
      </c>
      <c r="G1441" t="s">
        <v>3890</v>
      </c>
      <c r="H1441" t="s">
        <v>4262</v>
      </c>
      <c r="I1441" t="s">
        <v>3892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2:30" x14ac:dyDescent="0.25">
      <c r="B1442" t="s">
        <v>133</v>
      </c>
      <c r="C1442" t="s">
        <v>3261</v>
      </c>
      <c r="D1442" t="s">
        <v>4322</v>
      </c>
      <c r="E1442" t="s">
        <v>4323</v>
      </c>
      <c r="F1442" t="s">
        <v>7504</v>
      </c>
      <c r="G1442" t="s">
        <v>3890</v>
      </c>
      <c r="H1442" t="s">
        <v>4262</v>
      </c>
      <c r="I1442" t="s">
        <v>3892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2:30" x14ac:dyDescent="0.25">
      <c r="B1443" t="s">
        <v>133</v>
      </c>
      <c r="C1443" t="s">
        <v>3261</v>
      </c>
      <c r="D1443" t="s">
        <v>4325</v>
      </c>
      <c r="E1443" t="s">
        <v>4326</v>
      </c>
      <c r="F1443" t="s">
        <v>7505</v>
      </c>
      <c r="G1443" t="s">
        <v>3890</v>
      </c>
      <c r="H1443" t="s">
        <v>4262</v>
      </c>
      <c r="I1443" t="s">
        <v>3892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2:30" x14ac:dyDescent="0.25">
      <c r="B1444" t="s">
        <v>133</v>
      </c>
      <c r="C1444" t="s">
        <v>3261</v>
      </c>
      <c r="D1444" t="s">
        <v>4328</v>
      </c>
      <c r="E1444" t="s">
        <v>4329</v>
      </c>
      <c r="F1444" t="s">
        <v>7506</v>
      </c>
      <c r="G1444" t="s">
        <v>3890</v>
      </c>
      <c r="H1444" t="s">
        <v>4331</v>
      </c>
      <c r="I1444" t="s">
        <v>4332</v>
      </c>
      <c r="J1444">
        <v>2</v>
      </c>
    </row>
    <row r="1445" spans="2:30" x14ac:dyDescent="0.25">
      <c r="B1445" t="s">
        <v>133</v>
      </c>
      <c r="C1445" t="s">
        <v>3261</v>
      </c>
      <c r="D1445" t="s">
        <v>4333</v>
      </c>
      <c r="E1445" t="s">
        <v>4334</v>
      </c>
      <c r="F1445" t="s">
        <v>7507</v>
      </c>
      <c r="G1445" t="s">
        <v>3890</v>
      </c>
      <c r="H1445" t="s">
        <v>4336</v>
      </c>
      <c r="I1445" t="s">
        <v>3894</v>
      </c>
      <c r="J1445">
        <v>2</v>
      </c>
      <c r="K1445" t="e">
        <v>#VALUE!</v>
      </c>
    </row>
    <row r="1446" spans="2:30" x14ac:dyDescent="0.25">
      <c r="B1446" t="s">
        <v>133</v>
      </c>
      <c r="C1446" t="s">
        <v>3261</v>
      </c>
      <c r="D1446" t="s">
        <v>4337</v>
      </c>
      <c r="E1446" t="s">
        <v>4338</v>
      </c>
      <c r="F1446" t="s">
        <v>7508</v>
      </c>
      <c r="G1446" t="s">
        <v>3890</v>
      </c>
      <c r="H1446" t="s">
        <v>4340</v>
      </c>
      <c r="I1446" t="s">
        <v>3894</v>
      </c>
      <c r="J1446">
        <v>1</v>
      </c>
      <c r="K1446">
        <v>-151.58099999999999</v>
      </c>
      <c r="L1446">
        <v>-128.29400000000001</v>
      </c>
      <c r="M1446">
        <v>-165.88800000000001</v>
      </c>
      <c r="N1446">
        <v>-154.876</v>
      </c>
      <c r="O1446">
        <v>-161.08500000000001</v>
      </c>
      <c r="P1446">
        <v>-152.54</v>
      </c>
      <c r="Q1446">
        <v>-147.751</v>
      </c>
      <c r="R1446">
        <v>-144.482</v>
      </c>
      <c r="S1446">
        <v>-141.161</v>
      </c>
      <c r="T1446">
        <v>-137.05099999999999</v>
      </c>
      <c r="U1446">
        <v>-133.40100000000001</v>
      </c>
      <c r="V1446">
        <v>-129.43299999999999</v>
      </c>
      <c r="W1446">
        <v>-125.136</v>
      </c>
      <c r="X1446">
        <v>-120.459</v>
      </c>
      <c r="Y1446">
        <v>-115.23699999999999</v>
      </c>
      <c r="Z1446">
        <v>-109.639</v>
      </c>
      <c r="AA1446">
        <v>-103.673</v>
      </c>
      <c r="AB1446">
        <v>-97.373999999999995</v>
      </c>
      <c r="AC1446">
        <v>-91.656000000000006</v>
      </c>
      <c r="AD1446">
        <v>-90.676000000000002</v>
      </c>
    </row>
    <row r="1447" spans="2:30" x14ac:dyDescent="0.25">
      <c r="B1447" t="s">
        <v>133</v>
      </c>
      <c r="C1447" t="s">
        <v>3261</v>
      </c>
      <c r="D1447" t="s">
        <v>4337</v>
      </c>
      <c r="E1447" t="s">
        <v>4341</v>
      </c>
      <c r="F1447" t="s">
        <v>7509</v>
      </c>
      <c r="G1447" t="s">
        <v>3890</v>
      </c>
      <c r="H1447" t="s">
        <v>4340</v>
      </c>
      <c r="I1447" t="s">
        <v>3894</v>
      </c>
      <c r="J1447">
        <v>2</v>
      </c>
      <c r="K1447">
        <v>-151.58099999999999</v>
      </c>
      <c r="L1447">
        <v>-128.29400000000001</v>
      </c>
      <c r="M1447">
        <v>-165.88800000000001</v>
      </c>
      <c r="N1447">
        <v>-154.876</v>
      </c>
      <c r="O1447">
        <v>-161.08500000000001</v>
      </c>
      <c r="P1447">
        <v>-152.54</v>
      </c>
      <c r="Q1447">
        <v>-142.26</v>
      </c>
      <c r="R1447">
        <v>-132.21600000000001</v>
      </c>
      <c r="S1447">
        <v>-122.378</v>
      </c>
      <c r="T1447">
        <v>-112.196</v>
      </c>
      <c r="U1447">
        <v>-103.09399999999999</v>
      </c>
      <c r="V1447">
        <v>-94.057000000000002</v>
      </c>
      <c r="W1447">
        <v>-85.004999999999995</v>
      </c>
      <c r="X1447">
        <v>-75.760999999999996</v>
      </c>
      <c r="Y1447">
        <v>-66.084999999999994</v>
      </c>
      <c r="Z1447">
        <v>-56.076999999999998</v>
      </c>
      <c r="AA1447">
        <v>-45.668999999999997</v>
      </c>
      <c r="AB1447">
        <v>-34.816000000000003</v>
      </c>
      <c r="AC1447">
        <v>-24.436</v>
      </c>
      <c r="AD1447">
        <v>-19.189</v>
      </c>
    </row>
    <row r="1448" spans="2:30" x14ac:dyDescent="0.25">
      <c r="B1448" t="s">
        <v>133</v>
      </c>
      <c r="C1448" t="s">
        <v>3261</v>
      </c>
      <c r="D1448" t="s">
        <v>4343</v>
      </c>
      <c r="E1448" t="s">
        <v>4344</v>
      </c>
      <c r="F1448" t="s">
        <v>7510</v>
      </c>
      <c r="G1448" t="s">
        <v>3890</v>
      </c>
      <c r="H1448" t="s">
        <v>4262</v>
      </c>
      <c r="I1448" t="s">
        <v>4263</v>
      </c>
      <c r="J1448">
        <v>1</v>
      </c>
      <c r="K1448">
        <v>6.4000000000000001E-2</v>
      </c>
      <c r="L1448">
        <v>6.2E-2</v>
      </c>
      <c r="M1448">
        <v>5.1999999999999998E-2</v>
      </c>
      <c r="N1448">
        <v>4.9000000000000002E-2</v>
      </c>
      <c r="O1448">
        <v>5.0999999999999997E-2</v>
      </c>
      <c r="P1448">
        <v>5.2999999999999999E-2</v>
      </c>
      <c r="Q1448">
        <v>5.2999999999999999E-2</v>
      </c>
      <c r="R1448">
        <v>5.1999999999999998E-2</v>
      </c>
      <c r="S1448">
        <v>5.1999999999999998E-2</v>
      </c>
      <c r="T1448">
        <v>5.1999999999999998E-2</v>
      </c>
      <c r="U1448">
        <v>5.0999999999999997E-2</v>
      </c>
      <c r="V1448">
        <v>5.0999999999999997E-2</v>
      </c>
      <c r="W1448">
        <v>5.0999999999999997E-2</v>
      </c>
      <c r="X1448">
        <v>5.0999999999999997E-2</v>
      </c>
      <c r="Y1448">
        <v>0.05</v>
      </c>
      <c r="Z1448">
        <v>0.05</v>
      </c>
      <c r="AA1448">
        <v>0.05</v>
      </c>
      <c r="AB1448">
        <v>4.9000000000000002E-2</v>
      </c>
      <c r="AC1448">
        <v>4.9000000000000002E-2</v>
      </c>
      <c r="AD1448">
        <v>4.9000000000000002E-2</v>
      </c>
    </row>
    <row r="1449" spans="2:30" x14ac:dyDescent="0.25">
      <c r="B1449" t="s">
        <v>133</v>
      </c>
      <c r="C1449" t="s">
        <v>3261</v>
      </c>
      <c r="D1449" t="s">
        <v>4346</v>
      </c>
      <c r="E1449" t="s">
        <v>4347</v>
      </c>
      <c r="F1449" t="s">
        <v>7511</v>
      </c>
      <c r="G1449" t="s">
        <v>3890</v>
      </c>
      <c r="H1449" t="s">
        <v>4262</v>
      </c>
      <c r="I1449" t="s">
        <v>4263</v>
      </c>
      <c r="J1449">
        <v>1</v>
      </c>
      <c r="K1449">
        <v>6.0999999999999999E-2</v>
      </c>
      <c r="L1449">
        <v>5.1999999999999998E-2</v>
      </c>
      <c r="M1449">
        <v>4.5999999999999999E-2</v>
      </c>
      <c r="N1449">
        <v>4.2999999999999997E-2</v>
      </c>
      <c r="O1449">
        <v>4.4999999999999998E-2</v>
      </c>
      <c r="P1449">
        <v>4.5999999999999999E-2</v>
      </c>
      <c r="Q1449">
        <v>4.5999999999999999E-2</v>
      </c>
      <c r="R1449">
        <v>4.5999999999999999E-2</v>
      </c>
      <c r="S1449">
        <v>4.5999999999999999E-2</v>
      </c>
      <c r="T1449">
        <v>4.4999999999999998E-2</v>
      </c>
      <c r="U1449">
        <v>4.4999999999999998E-2</v>
      </c>
      <c r="V1449">
        <v>4.4999999999999998E-2</v>
      </c>
      <c r="W1449">
        <v>4.4999999999999998E-2</v>
      </c>
      <c r="X1449">
        <v>4.3999999999999997E-2</v>
      </c>
      <c r="Y1449">
        <v>4.3999999999999997E-2</v>
      </c>
      <c r="Z1449">
        <v>4.3999999999999997E-2</v>
      </c>
      <c r="AA1449">
        <v>4.3999999999999997E-2</v>
      </c>
      <c r="AB1449">
        <v>4.2999999999999997E-2</v>
      </c>
      <c r="AC1449">
        <v>4.2999999999999997E-2</v>
      </c>
      <c r="AD1449">
        <v>4.2999999999999997E-2</v>
      </c>
    </row>
    <row r="1450" spans="2:30" x14ac:dyDescent="0.25">
      <c r="B1450" t="s">
        <v>133</v>
      </c>
      <c r="C1450" t="s">
        <v>3261</v>
      </c>
      <c r="D1450" t="s">
        <v>4349</v>
      </c>
      <c r="E1450" t="s">
        <v>4350</v>
      </c>
      <c r="F1450" t="s">
        <v>7512</v>
      </c>
      <c r="G1450" t="s">
        <v>3890</v>
      </c>
      <c r="H1450" t="s">
        <v>4262</v>
      </c>
      <c r="I1450" t="s">
        <v>4267</v>
      </c>
      <c r="J1450">
        <v>1</v>
      </c>
      <c r="K1450">
        <v>11.465999999999999</v>
      </c>
      <c r="L1450">
        <v>8.83</v>
      </c>
      <c r="M1450">
        <v>7.7460000000000004</v>
      </c>
      <c r="N1450">
        <v>7.0540000000000003</v>
      </c>
      <c r="O1450">
        <v>7.0720000000000001</v>
      </c>
      <c r="P1450">
        <v>7.1269999999999998</v>
      </c>
      <c r="Q1450">
        <v>7.101</v>
      </c>
      <c r="R1450">
        <v>7.0730000000000004</v>
      </c>
      <c r="S1450">
        <v>7.0430000000000001</v>
      </c>
      <c r="T1450">
        <v>7.0140000000000002</v>
      </c>
      <c r="U1450">
        <v>7.0140000000000002</v>
      </c>
      <c r="V1450">
        <v>7.0140000000000002</v>
      </c>
      <c r="W1450">
        <v>7.0140000000000002</v>
      </c>
      <c r="X1450">
        <v>7.0140000000000002</v>
      </c>
      <c r="Y1450">
        <v>7.0140000000000002</v>
      </c>
      <c r="Z1450">
        <v>7.0140000000000002</v>
      </c>
      <c r="AA1450">
        <v>7.0140000000000002</v>
      </c>
      <c r="AB1450">
        <v>7.0140000000000002</v>
      </c>
      <c r="AC1450">
        <v>7.0140000000000002</v>
      </c>
      <c r="AD1450">
        <v>7.0140000000000002</v>
      </c>
    </row>
    <row r="1451" spans="2:30" x14ac:dyDescent="0.25">
      <c r="B1451" t="s">
        <v>133</v>
      </c>
      <c r="C1451" t="s">
        <v>3261</v>
      </c>
      <c r="D1451" t="s">
        <v>4352</v>
      </c>
      <c r="E1451" t="s">
        <v>4353</v>
      </c>
      <c r="F1451" t="s">
        <v>7513</v>
      </c>
      <c r="G1451" t="s">
        <v>3890</v>
      </c>
      <c r="H1451" t="s">
        <v>4262</v>
      </c>
      <c r="I1451" t="s">
        <v>4267</v>
      </c>
      <c r="J1451">
        <v>1</v>
      </c>
      <c r="K1451">
        <v>5.3360000000000003</v>
      </c>
      <c r="L1451">
        <v>5.01</v>
      </c>
      <c r="M1451">
        <v>5.0869999999999997</v>
      </c>
      <c r="N1451">
        <v>5.0869999999999997</v>
      </c>
      <c r="O1451">
        <v>5.0869999999999997</v>
      </c>
      <c r="P1451">
        <v>5.0869999999999997</v>
      </c>
      <c r="Q1451">
        <v>5.0869999999999997</v>
      </c>
      <c r="R1451">
        <v>5.0869999999999997</v>
      </c>
      <c r="S1451">
        <v>5.0869999999999997</v>
      </c>
      <c r="T1451">
        <v>5.0869999999999997</v>
      </c>
      <c r="U1451">
        <v>5.0869999999999997</v>
      </c>
      <c r="V1451">
        <v>5.0869999999999997</v>
      </c>
      <c r="W1451">
        <v>5.0869999999999997</v>
      </c>
      <c r="X1451">
        <v>5.0869999999999997</v>
      </c>
      <c r="Y1451">
        <v>5.0869999999999997</v>
      </c>
      <c r="Z1451">
        <v>5.0869999999999997</v>
      </c>
      <c r="AA1451">
        <v>5.0869999999999997</v>
      </c>
      <c r="AB1451">
        <v>5.0869999999999997</v>
      </c>
      <c r="AC1451">
        <v>5.0869999999999997</v>
      </c>
      <c r="AD1451">
        <v>5.0869999999999997</v>
      </c>
    </row>
    <row r="1452" spans="2:30" x14ac:dyDescent="0.25">
      <c r="B1452" t="s">
        <v>133</v>
      </c>
      <c r="C1452" t="s">
        <v>3261</v>
      </c>
      <c r="D1452" t="s">
        <v>4355</v>
      </c>
      <c r="E1452" t="s">
        <v>4356</v>
      </c>
      <c r="F1452" t="s">
        <v>7514</v>
      </c>
      <c r="G1452" t="s">
        <v>3890</v>
      </c>
      <c r="H1452" t="s">
        <v>4262</v>
      </c>
      <c r="I1452" t="s">
        <v>4267</v>
      </c>
      <c r="J1452">
        <v>1</v>
      </c>
      <c r="K1452">
        <v>23.399000000000001</v>
      </c>
      <c r="L1452">
        <v>15.864000000000001</v>
      </c>
      <c r="M1452">
        <v>14.744</v>
      </c>
      <c r="N1452">
        <v>13.651999999999999</v>
      </c>
      <c r="O1452">
        <v>13.680999999999999</v>
      </c>
      <c r="P1452">
        <v>13.768000000000001</v>
      </c>
      <c r="Q1452">
        <v>13.727</v>
      </c>
      <c r="R1452">
        <v>13.683</v>
      </c>
      <c r="S1452">
        <v>13.635999999999999</v>
      </c>
      <c r="T1452">
        <v>13.59</v>
      </c>
      <c r="U1452">
        <v>13.59</v>
      </c>
      <c r="V1452">
        <v>13.59</v>
      </c>
      <c r="W1452">
        <v>13.59</v>
      </c>
      <c r="X1452">
        <v>13.59</v>
      </c>
      <c r="Y1452">
        <v>13.59</v>
      </c>
      <c r="Z1452">
        <v>13.59</v>
      </c>
      <c r="AA1452">
        <v>13.59</v>
      </c>
      <c r="AB1452">
        <v>13.59</v>
      </c>
      <c r="AC1452">
        <v>13.59</v>
      </c>
      <c r="AD1452">
        <v>13.59</v>
      </c>
    </row>
    <row r="1453" spans="2:30" x14ac:dyDescent="0.25">
      <c r="B1453" t="s">
        <v>133</v>
      </c>
      <c r="C1453" t="s">
        <v>3261</v>
      </c>
      <c r="D1453" t="s">
        <v>4358</v>
      </c>
      <c r="E1453" t="s">
        <v>4359</v>
      </c>
      <c r="F1453" t="s">
        <v>7515</v>
      </c>
      <c r="G1453" t="s">
        <v>3890</v>
      </c>
      <c r="H1453" t="s">
        <v>4262</v>
      </c>
      <c r="I1453" t="s">
        <v>4267</v>
      </c>
      <c r="J1453">
        <v>1</v>
      </c>
      <c r="K1453">
        <v>4.6340000000000003</v>
      </c>
      <c r="L1453">
        <v>3.2090000000000001</v>
      </c>
      <c r="M1453">
        <v>2.331</v>
      </c>
      <c r="N1453">
        <v>2.331</v>
      </c>
      <c r="O1453">
        <v>2.331</v>
      </c>
      <c r="P1453">
        <v>2.331</v>
      </c>
      <c r="Q1453">
        <v>2.331</v>
      </c>
      <c r="R1453">
        <v>2.331</v>
      </c>
      <c r="S1453">
        <v>2.331</v>
      </c>
      <c r="T1453">
        <v>2.331</v>
      </c>
      <c r="U1453">
        <v>2.331</v>
      </c>
      <c r="V1453">
        <v>2.331</v>
      </c>
      <c r="W1453">
        <v>2.331</v>
      </c>
      <c r="X1453">
        <v>2.331</v>
      </c>
      <c r="Y1453">
        <v>2.331</v>
      </c>
      <c r="Z1453">
        <v>2.331</v>
      </c>
      <c r="AA1453">
        <v>2.331</v>
      </c>
      <c r="AB1453">
        <v>2.331</v>
      </c>
      <c r="AC1453">
        <v>2.331</v>
      </c>
      <c r="AD1453">
        <v>2.331</v>
      </c>
    </row>
    <row r="1454" spans="2:30" x14ac:dyDescent="0.25">
      <c r="B1454" t="s">
        <v>133</v>
      </c>
      <c r="C1454" t="s">
        <v>3261</v>
      </c>
      <c r="D1454" t="s">
        <v>4361</v>
      </c>
      <c r="E1454" t="s">
        <v>4362</v>
      </c>
      <c r="F1454" t="s">
        <v>7516</v>
      </c>
      <c r="G1454" t="s">
        <v>3890</v>
      </c>
      <c r="H1454" t="s">
        <v>4262</v>
      </c>
      <c r="I1454" t="s">
        <v>4267</v>
      </c>
      <c r="J1454">
        <v>1</v>
      </c>
      <c r="K1454">
        <v>13.301</v>
      </c>
      <c r="L1454">
        <v>6.66</v>
      </c>
      <c r="M1454">
        <v>5.9119999999999999</v>
      </c>
      <c r="N1454">
        <v>5.032</v>
      </c>
      <c r="O1454">
        <v>5.0549999999999997</v>
      </c>
      <c r="P1454">
        <v>5.125</v>
      </c>
      <c r="Q1454">
        <v>5.0919999999999996</v>
      </c>
      <c r="R1454">
        <v>5.056</v>
      </c>
      <c r="S1454">
        <v>5.0179999999999998</v>
      </c>
      <c r="T1454">
        <v>4.9820000000000002</v>
      </c>
      <c r="U1454">
        <v>4.9820000000000002</v>
      </c>
      <c r="V1454">
        <v>4.9820000000000002</v>
      </c>
      <c r="W1454">
        <v>4.9820000000000002</v>
      </c>
      <c r="X1454">
        <v>4.9820000000000002</v>
      </c>
      <c r="Y1454">
        <v>4.9820000000000002</v>
      </c>
      <c r="Z1454">
        <v>4.9820000000000002</v>
      </c>
      <c r="AA1454">
        <v>4.9820000000000002</v>
      </c>
      <c r="AB1454">
        <v>4.9820000000000002</v>
      </c>
      <c r="AC1454">
        <v>4.9820000000000002</v>
      </c>
      <c r="AD1454">
        <v>4.9820000000000002</v>
      </c>
    </row>
    <row r="1455" spans="2:30" x14ac:dyDescent="0.25">
      <c r="B1455" t="s">
        <v>133</v>
      </c>
      <c r="C1455" t="s">
        <v>3261</v>
      </c>
      <c r="D1455" t="s">
        <v>4364</v>
      </c>
      <c r="E1455" t="s">
        <v>4365</v>
      </c>
      <c r="F1455" t="s">
        <v>7517</v>
      </c>
      <c r="G1455" t="s">
        <v>3890</v>
      </c>
      <c r="H1455" t="s">
        <v>4262</v>
      </c>
      <c r="I1455" t="s">
        <v>4267</v>
      </c>
      <c r="J1455">
        <v>1</v>
      </c>
      <c r="K1455">
        <v>2.7839999999999998</v>
      </c>
      <c r="L1455">
        <v>2.6139999999999999</v>
      </c>
      <c r="M1455">
        <v>2.6539999999999999</v>
      </c>
      <c r="N1455">
        <v>2.6539999999999999</v>
      </c>
      <c r="O1455">
        <v>2.6539999999999999</v>
      </c>
      <c r="P1455">
        <v>2.6539999999999999</v>
      </c>
      <c r="Q1455">
        <v>2.6539999999999999</v>
      </c>
      <c r="R1455">
        <v>2.6539999999999999</v>
      </c>
      <c r="S1455">
        <v>2.6539999999999999</v>
      </c>
      <c r="T1455">
        <v>2.6539999999999999</v>
      </c>
      <c r="U1455">
        <v>2.6539999999999999</v>
      </c>
      <c r="V1455">
        <v>2.6539999999999999</v>
      </c>
      <c r="W1455">
        <v>2.6539999999999999</v>
      </c>
      <c r="X1455">
        <v>2.6539999999999999</v>
      </c>
      <c r="Y1455">
        <v>2.6539999999999999</v>
      </c>
      <c r="Z1455">
        <v>2.6539999999999999</v>
      </c>
      <c r="AA1455">
        <v>2.6539999999999999</v>
      </c>
      <c r="AB1455">
        <v>2.6539999999999999</v>
      </c>
      <c r="AC1455">
        <v>2.6539999999999999</v>
      </c>
      <c r="AD1455">
        <v>2.6539999999999999</v>
      </c>
    </row>
    <row r="1456" spans="2:30" x14ac:dyDescent="0.25">
      <c r="B1456" t="s">
        <v>133</v>
      </c>
      <c r="C1456" t="s">
        <v>3261</v>
      </c>
      <c r="D1456" t="s">
        <v>4367</v>
      </c>
      <c r="E1456" t="s">
        <v>4368</v>
      </c>
      <c r="F1456" t="s">
        <v>7518</v>
      </c>
      <c r="G1456" t="s">
        <v>3890</v>
      </c>
      <c r="H1456" t="s">
        <v>4262</v>
      </c>
      <c r="I1456" t="s">
        <v>4263</v>
      </c>
      <c r="J1456">
        <v>2</v>
      </c>
      <c r="K1456">
        <v>6.4000000000000001E-2</v>
      </c>
      <c r="L1456">
        <v>6.2E-2</v>
      </c>
      <c r="M1456">
        <v>5.1999999999999998E-2</v>
      </c>
      <c r="N1456">
        <v>4.9000000000000002E-2</v>
      </c>
      <c r="O1456">
        <v>5.0999999999999997E-2</v>
      </c>
      <c r="P1456">
        <v>5.2999999999999999E-2</v>
      </c>
      <c r="Q1456">
        <v>5.8999999999999997E-2</v>
      </c>
      <c r="R1456">
        <v>6.5000000000000002E-2</v>
      </c>
      <c r="S1456">
        <v>7.0999999999999994E-2</v>
      </c>
      <c r="T1456">
        <v>7.8E-2</v>
      </c>
      <c r="U1456">
        <v>8.4000000000000005E-2</v>
      </c>
      <c r="V1456">
        <v>0.09</v>
      </c>
      <c r="W1456">
        <v>9.6000000000000002E-2</v>
      </c>
      <c r="X1456">
        <v>0.10199999999999999</v>
      </c>
      <c r="Y1456">
        <v>0.108</v>
      </c>
      <c r="Z1456">
        <v>0.114</v>
      </c>
      <c r="AA1456">
        <v>0.12</v>
      </c>
      <c r="AB1456">
        <v>0.126</v>
      </c>
      <c r="AC1456">
        <v>0.13200000000000001</v>
      </c>
      <c r="AD1456">
        <v>0.13800000000000001</v>
      </c>
    </row>
    <row r="1457" spans="2:30" x14ac:dyDescent="0.25">
      <c r="B1457" t="s">
        <v>133</v>
      </c>
      <c r="C1457" t="s">
        <v>3261</v>
      </c>
      <c r="D1457" t="s">
        <v>4370</v>
      </c>
      <c r="E1457" t="s">
        <v>4371</v>
      </c>
      <c r="F1457" t="s">
        <v>7519</v>
      </c>
      <c r="G1457" t="s">
        <v>3890</v>
      </c>
      <c r="H1457" t="s">
        <v>4262</v>
      </c>
      <c r="I1457" t="s">
        <v>4263</v>
      </c>
      <c r="J1457">
        <v>2</v>
      </c>
      <c r="K1457">
        <v>6.0999999999999999E-2</v>
      </c>
      <c r="L1457">
        <v>5.1999999999999998E-2</v>
      </c>
      <c r="M1457">
        <v>4.5999999999999999E-2</v>
      </c>
      <c r="N1457">
        <v>4.2999999999999997E-2</v>
      </c>
      <c r="O1457">
        <v>4.4999999999999998E-2</v>
      </c>
      <c r="P1457">
        <v>4.5999999999999999E-2</v>
      </c>
      <c r="Q1457">
        <v>5.1999999999999998E-2</v>
      </c>
      <c r="R1457">
        <v>5.8000000000000003E-2</v>
      </c>
      <c r="S1457">
        <v>6.5000000000000002E-2</v>
      </c>
      <c r="T1457">
        <v>7.0999999999999994E-2</v>
      </c>
      <c r="U1457">
        <v>7.8E-2</v>
      </c>
      <c r="V1457">
        <v>8.4000000000000005E-2</v>
      </c>
      <c r="W1457">
        <v>0.09</v>
      </c>
      <c r="X1457">
        <v>9.6000000000000002E-2</v>
      </c>
      <c r="Y1457">
        <v>0.10199999999999999</v>
      </c>
      <c r="Z1457">
        <v>0.108</v>
      </c>
      <c r="AA1457">
        <v>0.114</v>
      </c>
      <c r="AB1457">
        <v>0.12</v>
      </c>
      <c r="AC1457">
        <v>0.126</v>
      </c>
      <c r="AD1457">
        <v>0.13200000000000001</v>
      </c>
    </row>
    <row r="1458" spans="2:30" x14ac:dyDescent="0.25">
      <c r="B1458" t="s">
        <v>133</v>
      </c>
      <c r="C1458" t="s">
        <v>3261</v>
      </c>
      <c r="D1458" t="s">
        <v>4373</v>
      </c>
      <c r="E1458" t="s">
        <v>4374</v>
      </c>
      <c r="F1458" t="s">
        <v>7520</v>
      </c>
      <c r="G1458" t="s">
        <v>3890</v>
      </c>
      <c r="H1458" t="s">
        <v>4262</v>
      </c>
      <c r="I1458" t="s">
        <v>4267</v>
      </c>
      <c r="J1458">
        <v>2</v>
      </c>
      <c r="K1458">
        <v>11.465999999999999</v>
      </c>
      <c r="L1458">
        <v>8.83</v>
      </c>
      <c r="M1458">
        <v>7.7460000000000004</v>
      </c>
      <c r="N1458">
        <v>7.0540000000000003</v>
      </c>
      <c r="O1458">
        <v>7.0720000000000001</v>
      </c>
      <c r="P1458">
        <v>7.1269999999999998</v>
      </c>
      <c r="Q1458">
        <v>7.101</v>
      </c>
      <c r="R1458">
        <v>7.0730000000000004</v>
      </c>
      <c r="S1458">
        <v>7.0430000000000001</v>
      </c>
      <c r="T1458">
        <v>7.0140000000000002</v>
      </c>
      <c r="U1458">
        <v>7.0140000000000002</v>
      </c>
      <c r="V1458">
        <v>7.0140000000000002</v>
      </c>
      <c r="W1458">
        <v>7.0140000000000002</v>
      </c>
      <c r="X1458">
        <v>7.0140000000000002</v>
      </c>
      <c r="Y1458">
        <v>7.0140000000000002</v>
      </c>
      <c r="Z1458">
        <v>7.0140000000000002</v>
      </c>
      <c r="AA1458">
        <v>7.0140000000000002</v>
      </c>
      <c r="AB1458">
        <v>7.0140000000000002</v>
      </c>
      <c r="AC1458">
        <v>7.0140000000000002</v>
      </c>
      <c r="AD1458">
        <v>7.0140000000000002</v>
      </c>
    </row>
    <row r="1459" spans="2:30" x14ac:dyDescent="0.25">
      <c r="B1459" t="s">
        <v>133</v>
      </c>
      <c r="C1459" t="s">
        <v>3261</v>
      </c>
      <c r="D1459" t="s">
        <v>4376</v>
      </c>
      <c r="E1459" t="s">
        <v>4377</v>
      </c>
      <c r="F1459" t="s">
        <v>7521</v>
      </c>
      <c r="G1459" t="s">
        <v>3890</v>
      </c>
      <c r="H1459" t="s">
        <v>4262</v>
      </c>
      <c r="I1459" t="s">
        <v>4267</v>
      </c>
      <c r="J1459">
        <v>2</v>
      </c>
      <c r="K1459">
        <v>5.3360000000000003</v>
      </c>
      <c r="L1459">
        <v>5.01</v>
      </c>
      <c r="M1459">
        <v>5.0869999999999997</v>
      </c>
      <c r="N1459">
        <v>5.0869999999999997</v>
      </c>
      <c r="O1459">
        <v>5.0869999999999997</v>
      </c>
      <c r="P1459">
        <v>5.0869999999999997</v>
      </c>
      <c r="Q1459">
        <v>5.0869999999999997</v>
      </c>
      <c r="R1459">
        <v>5.0869999999999997</v>
      </c>
      <c r="S1459">
        <v>5.0869999999999997</v>
      </c>
      <c r="T1459">
        <v>5.0869999999999997</v>
      </c>
      <c r="U1459">
        <v>5.0869999999999997</v>
      </c>
      <c r="V1459">
        <v>5.0869999999999997</v>
      </c>
      <c r="W1459">
        <v>5.0869999999999997</v>
      </c>
      <c r="X1459">
        <v>5.0869999999999997</v>
      </c>
      <c r="Y1459">
        <v>5.0869999999999997</v>
      </c>
      <c r="Z1459">
        <v>5.0869999999999997</v>
      </c>
      <c r="AA1459">
        <v>5.0869999999999997</v>
      </c>
      <c r="AB1459">
        <v>5.0869999999999997</v>
      </c>
      <c r="AC1459">
        <v>5.0869999999999997</v>
      </c>
      <c r="AD1459">
        <v>5.0869999999999997</v>
      </c>
    </row>
    <row r="1460" spans="2:30" x14ac:dyDescent="0.25">
      <c r="B1460" t="s">
        <v>133</v>
      </c>
      <c r="C1460" t="s">
        <v>3261</v>
      </c>
      <c r="D1460" t="s">
        <v>4379</v>
      </c>
      <c r="E1460" t="s">
        <v>4380</v>
      </c>
      <c r="F1460" t="s">
        <v>7522</v>
      </c>
      <c r="G1460" t="s">
        <v>3890</v>
      </c>
      <c r="H1460" t="s">
        <v>4262</v>
      </c>
      <c r="I1460" t="s">
        <v>4267</v>
      </c>
      <c r="J1460">
        <v>2</v>
      </c>
      <c r="K1460">
        <v>23.399000000000001</v>
      </c>
      <c r="L1460">
        <v>15.864000000000001</v>
      </c>
      <c r="M1460">
        <v>14.744</v>
      </c>
      <c r="N1460">
        <v>13.651999999999999</v>
      </c>
      <c r="O1460">
        <v>13.680999999999999</v>
      </c>
      <c r="P1460">
        <v>13.768000000000001</v>
      </c>
      <c r="Q1460">
        <v>13.727</v>
      </c>
      <c r="R1460">
        <v>13.683</v>
      </c>
      <c r="S1460">
        <v>13.635999999999999</v>
      </c>
      <c r="T1460">
        <v>13.59</v>
      </c>
      <c r="U1460">
        <v>13.59</v>
      </c>
      <c r="V1460">
        <v>13.59</v>
      </c>
      <c r="W1460">
        <v>13.59</v>
      </c>
      <c r="X1460">
        <v>13.59</v>
      </c>
      <c r="Y1460">
        <v>13.59</v>
      </c>
      <c r="Z1460">
        <v>13.59</v>
      </c>
      <c r="AA1460">
        <v>13.59</v>
      </c>
      <c r="AB1460">
        <v>13.59</v>
      </c>
      <c r="AC1460">
        <v>13.59</v>
      </c>
      <c r="AD1460">
        <v>13.59</v>
      </c>
    </row>
    <row r="1461" spans="2:30" x14ac:dyDescent="0.25">
      <c r="B1461" t="s">
        <v>133</v>
      </c>
      <c r="C1461" t="s">
        <v>3261</v>
      </c>
      <c r="D1461" t="s">
        <v>4382</v>
      </c>
      <c r="E1461" t="s">
        <v>4383</v>
      </c>
      <c r="F1461" t="s">
        <v>7523</v>
      </c>
      <c r="G1461" t="s">
        <v>3890</v>
      </c>
      <c r="H1461" t="s">
        <v>4262</v>
      </c>
      <c r="I1461" t="s">
        <v>4267</v>
      </c>
      <c r="J1461">
        <v>2</v>
      </c>
      <c r="K1461">
        <v>4.6340000000000003</v>
      </c>
      <c r="L1461">
        <v>3.2090000000000001</v>
      </c>
      <c r="M1461">
        <v>2.331</v>
      </c>
      <c r="N1461">
        <v>2.331</v>
      </c>
      <c r="O1461">
        <v>2.331</v>
      </c>
      <c r="P1461">
        <v>2.331</v>
      </c>
      <c r="Q1461">
        <v>2.331</v>
      </c>
      <c r="R1461">
        <v>2.331</v>
      </c>
      <c r="S1461">
        <v>2.331</v>
      </c>
      <c r="T1461">
        <v>2.331</v>
      </c>
      <c r="U1461">
        <v>2.331</v>
      </c>
      <c r="V1461">
        <v>2.331</v>
      </c>
      <c r="W1461">
        <v>2.331</v>
      </c>
      <c r="X1461">
        <v>2.331</v>
      </c>
      <c r="Y1461">
        <v>2.331</v>
      </c>
      <c r="Z1461">
        <v>2.331</v>
      </c>
      <c r="AA1461">
        <v>2.331</v>
      </c>
      <c r="AB1461">
        <v>2.331</v>
      </c>
      <c r="AC1461">
        <v>2.331</v>
      </c>
      <c r="AD1461">
        <v>2.331</v>
      </c>
    </row>
    <row r="1462" spans="2:30" x14ac:dyDescent="0.25">
      <c r="B1462" t="s">
        <v>133</v>
      </c>
      <c r="C1462" t="s">
        <v>3261</v>
      </c>
      <c r="D1462" t="s">
        <v>4385</v>
      </c>
      <c r="E1462" t="s">
        <v>4386</v>
      </c>
      <c r="F1462" t="s">
        <v>7524</v>
      </c>
      <c r="G1462" t="s">
        <v>3890</v>
      </c>
      <c r="H1462" t="s">
        <v>4262</v>
      </c>
      <c r="I1462" t="s">
        <v>4267</v>
      </c>
      <c r="J1462">
        <v>2</v>
      </c>
      <c r="K1462">
        <v>13.301</v>
      </c>
      <c r="L1462">
        <v>6.66</v>
      </c>
      <c r="M1462">
        <v>5.9119999999999999</v>
      </c>
      <c r="N1462">
        <v>5.032</v>
      </c>
      <c r="O1462">
        <v>5.0549999999999997</v>
      </c>
      <c r="P1462">
        <v>5.125</v>
      </c>
      <c r="Q1462">
        <v>5.0919999999999996</v>
      </c>
      <c r="R1462">
        <v>5.056</v>
      </c>
      <c r="S1462">
        <v>5.0179999999999998</v>
      </c>
      <c r="T1462">
        <v>4.9820000000000002</v>
      </c>
      <c r="U1462">
        <v>4.9820000000000002</v>
      </c>
      <c r="V1462">
        <v>4.9820000000000002</v>
      </c>
      <c r="W1462">
        <v>4.9820000000000002</v>
      </c>
      <c r="X1462">
        <v>4.9820000000000002</v>
      </c>
      <c r="Y1462">
        <v>4.9820000000000002</v>
      </c>
      <c r="Z1462">
        <v>4.9820000000000002</v>
      </c>
      <c r="AA1462">
        <v>4.9820000000000002</v>
      </c>
      <c r="AB1462">
        <v>4.9820000000000002</v>
      </c>
      <c r="AC1462">
        <v>4.9820000000000002</v>
      </c>
      <c r="AD1462">
        <v>4.9820000000000002</v>
      </c>
    </row>
    <row r="1463" spans="2:30" x14ac:dyDescent="0.25">
      <c r="B1463" t="s">
        <v>133</v>
      </c>
      <c r="C1463" t="s">
        <v>3261</v>
      </c>
      <c r="D1463" t="s">
        <v>4388</v>
      </c>
      <c r="E1463" t="s">
        <v>4389</v>
      </c>
      <c r="F1463" t="s">
        <v>7525</v>
      </c>
      <c r="G1463" t="s">
        <v>3890</v>
      </c>
      <c r="H1463" t="s">
        <v>4262</v>
      </c>
      <c r="I1463" t="s">
        <v>4267</v>
      </c>
      <c r="J1463">
        <v>2</v>
      </c>
      <c r="K1463">
        <v>2.7839999999999998</v>
      </c>
      <c r="L1463">
        <v>2.6139999999999999</v>
      </c>
      <c r="M1463">
        <v>2.6539999999999999</v>
      </c>
      <c r="N1463">
        <v>2.6539999999999999</v>
      </c>
      <c r="O1463">
        <v>2.6539999999999999</v>
      </c>
      <c r="P1463">
        <v>2.6539999999999999</v>
      </c>
      <c r="Q1463">
        <v>2.6539999999999999</v>
      </c>
      <c r="R1463">
        <v>2.6539999999999999</v>
      </c>
      <c r="S1463">
        <v>2.6539999999999999</v>
      </c>
      <c r="T1463">
        <v>2.6539999999999999</v>
      </c>
      <c r="U1463">
        <v>2.6539999999999999</v>
      </c>
      <c r="V1463">
        <v>2.6539999999999999</v>
      </c>
      <c r="W1463">
        <v>2.6539999999999999</v>
      </c>
      <c r="X1463">
        <v>2.6539999999999999</v>
      </c>
      <c r="Y1463">
        <v>2.6539999999999999</v>
      </c>
      <c r="Z1463">
        <v>2.6539999999999999</v>
      </c>
      <c r="AA1463">
        <v>2.6539999999999999</v>
      </c>
      <c r="AB1463">
        <v>2.6539999999999999</v>
      </c>
      <c r="AC1463">
        <v>2.6539999999999999</v>
      </c>
      <c r="AD1463">
        <v>2.6539999999999999</v>
      </c>
    </row>
    <row r="1464" spans="2:30" x14ac:dyDescent="0.25">
      <c r="B1464" t="s">
        <v>133</v>
      </c>
      <c r="C1464" t="s">
        <v>3261</v>
      </c>
      <c r="D1464" t="s">
        <v>4391</v>
      </c>
      <c r="E1464" t="s">
        <v>4392</v>
      </c>
      <c r="F1464" t="s">
        <v>7526</v>
      </c>
      <c r="G1464" t="s">
        <v>3890</v>
      </c>
      <c r="H1464" t="s">
        <v>4394</v>
      </c>
      <c r="I1464" t="s">
        <v>4263</v>
      </c>
      <c r="J1464">
        <v>1</v>
      </c>
      <c r="K1464">
        <v>6.4000000000000001E-2</v>
      </c>
      <c r="L1464">
        <v>6.2E-2</v>
      </c>
      <c r="M1464">
        <v>0.107</v>
      </c>
      <c r="N1464">
        <v>0.105</v>
      </c>
      <c r="O1464">
        <v>0.107</v>
      </c>
      <c r="P1464">
        <v>0.108</v>
      </c>
      <c r="Q1464">
        <v>0.108</v>
      </c>
      <c r="R1464">
        <v>0.107</v>
      </c>
      <c r="S1464">
        <v>0.107</v>
      </c>
      <c r="T1464">
        <v>0.107</v>
      </c>
      <c r="U1464">
        <v>0.107</v>
      </c>
      <c r="V1464">
        <v>0.106</v>
      </c>
      <c r="W1464">
        <v>0.106</v>
      </c>
      <c r="X1464">
        <v>0.106</v>
      </c>
      <c r="Y1464">
        <v>0.106</v>
      </c>
      <c r="Z1464">
        <v>0.105</v>
      </c>
      <c r="AA1464">
        <v>0.105</v>
      </c>
      <c r="AB1464">
        <v>0.105</v>
      </c>
      <c r="AC1464">
        <v>0.104</v>
      </c>
      <c r="AD1464">
        <v>0.104</v>
      </c>
    </row>
    <row r="1465" spans="2:30" x14ac:dyDescent="0.25">
      <c r="B1465" t="s">
        <v>133</v>
      </c>
      <c r="C1465" t="s">
        <v>3261</v>
      </c>
      <c r="D1465" t="s">
        <v>4395</v>
      </c>
      <c r="E1465" t="s">
        <v>4396</v>
      </c>
      <c r="F1465" t="s">
        <v>7527</v>
      </c>
      <c r="G1465" t="s">
        <v>3890</v>
      </c>
      <c r="H1465" t="s">
        <v>4394</v>
      </c>
      <c r="I1465" t="s">
        <v>4263</v>
      </c>
      <c r="J1465">
        <v>1</v>
      </c>
      <c r="K1465">
        <v>5.8999999999999997E-2</v>
      </c>
      <c r="L1465">
        <v>5.0999999999999997E-2</v>
      </c>
      <c r="M1465">
        <v>0.10100000000000001</v>
      </c>
      <c r="N1465">
        <v>9.8000000000000004E-2</v>
      </c>
      <c r="O1465">
        <v>0.1</v>
      </c>
      <c r="P1465">
        <v>0.10100000000000001</v>
      </c>
      <c r="Q1465">
        <v>0.10100000000000001</v>
      </c>
      <c r="R1465">
        <v>0.10100000000000001</v>
      </c>
      <c r="S1465">
        <v>0.10100000000000001</v>
      </c>
      <c r="T1465">
        <v>0.1</v>
      </c>
      <c r="U1465">
        <v>0.1</v>
      </c>
      <c r="V1465">
        <v>0.1</v>
      </c>
      <c r="W1465">
        <v>0.1</v>
      </c>
      <c r="X1465">
        <v>0.1</v>
      </c>
      <c r="Y1465">
        <v>9.9000000000000005E-2</v>
      </c>
      <c r="Z1465">
        <v>9.9000000000000005E-2</v>
      </c>
      <c r="AA1465">
        <v>9.9000000000000005E-2</v>
      </c>
      <c r="AB1465">
        <v>9.8000000000000004E-2</v>
      </c>
      <c r="AC1465">
        <v>9.8000000000000004E-2</v>
      </c>
      <c r="AD1465">
        <v>9.8000000000000004E-2</v>
      </c>
    </row>
    <row r="1466" spans="2:30" x14ac:dyDescent="0.25">
      <c r="B1466" t="s">
        <v>133</v>
      </c>
      <c r="C1466" t="s">
        <v>3261</v>
      </c>
      <c r="D1466" t="s">
        <v>4398</v>
      </c>
      <c r="E1466" t="s">
        <v>4399</v>
      </c>
      <c r="F1466" t="s">
        <v>7528</v>
      </c>
      <c r="G1466" t="s">
        <v>3890</v>
      </c>
      <c r="H1466" t="s">
        <v>4401</v>
      </c>
      <c r="I1466" t="s">
        <v>4267</v>
      </c>
      <c r="J1466">
        <v>1</v>
      </c>
      <c r="K1466">
        <v>11.12</v>
      </c>
      <c r="L1466">
        <v>8.6110000000000007</v>
      </c>
      <c r="M1466">
        <v>7.577</v>
      </c>
      <c r="N1466">
        <v>6.8849999999999998</v>
      </c>
      <c r="O1466">
        <v>6.9039999999999999</v>
      </c>
      <c r="P1466">
        <v>6.9580000000000002</v>
      </c>
      <c r="Q1466">
        <v>6.9320000000000004</v>
      </c>
      <c r="R1466">
        <v>6.9039999999999999</v>
      </c>
      <c r="S1466">
        <v>6.875</v>
      </c>
      <c r="T1466">
        <v>6.8460000000000001</v>
      </c>
      <c r="U1466">
        <v>6.8460000000000001</v>
      </c>
      <c r="V1466">
        <v>6.8460000000000001</v>
      </c>
      <c r="W1466">
        <v>6.8460000000000001</v>
      </c>
      <c r="X1466">
        <v>6.8460000000000001</v>
      </c>
      <c r="Y1466">
        <v>6.8460000000000001</v>
      </c>
      <c r="Z1466">
        <v>6.8460000000000001</v>
      </c>
      <c r="AA1466">
        <v>6.8460000000000001</v>
      </c>
      <c r="AB1466">
        <v>6.8460000000000001</v>
      </c>
      <c r="AC1466">
        <v>6.8460000000000001</v>
      </c>
      <c r="AD1466">
        <v>6.8460000000000001</v>
      </c>
    </row>
    <row r="1467" spans="2:30" x14ac:dyDescent="0.25">
      <c r="B1467" t="s">
        <v>133</v>
      </c>
      <c r="C1467" t="s">
        <v>3261</v>
      </c>
      <c r="D1467" t="s">
        <v>4402</v>
      </c>
      <c r="E1467" t="s">
        <v>4403</v>
      </c>
      <c r="F1467" t="s">
        <v>7529</v>
      </c>
      <c r="G1467" t="s">
        <v>3890</v>
      </c>
      <c r="H1467" t="s">
        <v>4401</v>
      </c>
      <c r="I1467" t="s">
        <v>4267</v>
      </c>
      <c r="J1467">
        <v>1</v>
      </c>
      <c r="K1467">
        <v>12.260999999999999</v>
      </c>
      <c r="L1467">
        <v>10.192</v>
      </c>
      <c r="M1467">
        <v>9.57</v>
      </c>
      <c r="N1467">
        <v>9.64</v>
      </c>
      <c r="O1467">
        <v>9.6809999999999992</v>
      </c>
      <c r="P1467">
        <v>9.5749999999999993</v>
      </c>
      <c r="Q1467">
        <v>9.4489999999999998</v>
      </c>
      <c r="R1467">
        <v>9.4049999999999994</v>
      </c>
      <c r="S1467">
        <v>9.3919999999999995</v>
      </c>
      <c r="T1467">
        <v>9.3849999999999998</v>
      </c>
      <c r="U1467">
        <v>9.3849999999999998</v>
      </c>
      <c r="V1467">
        <v>9.3849999999999998</v>
      </c>
      <c r="W1467">
        <v>9.3849999999999998</v>
      </c>
      <c r="X1467">
        <v>9.3849999999999998</v>
      </c>
      <c r="Y1467">
        <v>9.3849999999999998</v>
      </c>
      <c r="Z1467">
        <v>9.3849999999999998</v>
      </c>
      <c r="AA1467">
        <v>9.3849999999999998</v>
      </c>
      <c r="AB1467">
        <v>9.3849999999999998</v>
      </c>
      <c r="AC1467">
        <v>9.3849999999999998</v>
      </c>
      <c r="AD1467">
        <v>9.3849999999999998</v>
      </c>
    </row>
    <row r="1468" spans="2:30" x14ac:dyDescent="0.25">
      <c r="B1468" t="s">
        <v>133</v>
      </c>
      <c r="C1468" t="s">
        <v>3261</v>
      </c>
      <c r="D1468" t="s">
        <v>4405</v>
      </c>
      <c r="E1468" t="s">
        <v>4406</v>
      </c>
      <c r="F1468" t="s">
        <v>7530</v>
      </c>
      <c r="G1468" t="s">
        <v>3890</v>
      </c>
      <c r="H1468" t="s">
        <v>4401</v>
      </c>
      <c r="I1468" t="s">
        <v>4267</v>
      </c>
      <c r="J1468">
        <v>1</v>
      </c>
      <c r="K1468">
        <v>20.341000000000001</v>
      </c>
      <c r="L1468">
        <v>13.728999999999999</v>
      </c>
      <c r="M1468">
        <v>12.932</v>
      </c>
      <c r="N1468">
        <v>11.975</v>
      </c>
      <c r="O1468">
        <v>12</v>
      </c>
      <c r="P1468">
        <v>12.076000000000001</v>
      </c>
      <c r="Q1468">
        <v>12.04</v>
      </c>
      <c r="R1468">
        <v>12.002000000000001</v>
      </c>
      <c r="S1468">
        <v>11.96</v>
      </c>
      <c r="T1468">
        <v>11.920999999999999</v>
      </c>
      <c r="U1468">
        <v>11.920999999999999</v>
      </c>
      <c r="V1468">
        <v>11.920999999999999</v>
      </c>
      <c r="W1468">
        <v>11.920999999999999</v>
      </c>
      <c r="X1468">
        <v>11.920999999999999</v>
      </c>
      <c r="Y1468">
        <v>11.920999999999999</v>
      </c>
      <c r="Z1468">
        <v>11.920999999999999</v>
      </c>
      <c r="AA1468">
        <v>11.920999999999999</v>
      </c>
      <c r="AB1468">
        <v>11.920999999999999</v>
      </c>
      <c r="AC1468">
        <v>11.920999999999999</v>
      </c>
      <c r="AD1468">
        <v>11.920999999999999</v>
      </c>
    </row>
    <row r="1469" spans="2:30" x14ac:dyDescent="0.25">
      <c r="B1469" t="s">
        <v>133</v>
      </c>
      <c r="C1469" t="s">
        <v>3261</v>
      </c>
      <c r="D1469" t="s">
        <v>4408</v>
      </c>
      <c r="E1469" t="s">
        <v>4409</v>
      </c>
      <c r="F1469" t="s">
        <v>7531</v>
      </c>
      <c r="G1469" t="s">
        <v>3890</v>
      </c>
      <c r="H1469" t="s">
        <v>4401</v>
      </c>
      <c r="I1469" t="s">
        <v>4267</v>
      </c>
      <c r="J1469">
        <v>1</v>
      </c>
      <c r="K1469">
        <v>16.896999999999998</v>
      </c>
      <c r="L1469">
        <v>15.007</v>
      </c>
      <c r="M1469">
        <v>14.387</v>
      </c>
      <c r="N1469">
        <v>14.454000000000001</v>
      </c>
      <c r="O1469">
        <v>14.493</v>
      </c>
      <c r="P1469">
        <v>14.391999999999999</v>
      </c>
      <c r="Q1469">
        <v>14.273</v>
      </c>
      <c r="R1469">
        <v>14.231</v>
      </c>
      <c r="S1469">
        <v>14.218999999999999</v>
      </c>
      <c r="T1469">
        <v>14.212</v>
      </c>
      <c r="U1469">
        <v>14.212</v>
      </c>
      <c r="V1469">
        <v>14.212</v>
      </c>
      <c r="W1469">
        <v>14.212</v>
      </c>
      <c r="X1469">
        <v>14.212</v>
      </c>
      <c r="Y1469">
        <v>14.212</v>
      </c>
      <c r="Z1469">
        <v>14.212</v>
      </c>
      <c r="AA1469">
        <v>14.212</v>
      </c>
      <c r="AB1469">
        <v>14.212</v>
      </c>
      <c r="AC1469">
        <v>14.212</v>
      </c>
      <c r="AD1469">
        <v>14.212</v>
      </c>
    </row>
    <row r="1470" spans="2:30" x14ac:dyDescent="0.25">
      <c r="B1470" t="s">
        <v>133</v>
      </c>
      <c r="C1470" t="s">
        <v>3261</v>
      </c>
      <c r="D1470" t="s">
        <v>4411</v>
      </c>
      <c r="E1470" t="s">
        <v>4412</v>
      </c>
      <c r="F1470" t="s">
        <v>7532</v>
      </c>
      <c r="G1470" t="s">
        <v>3890</v>
      </c>
      <c r="H1470" t="s">
        <v>4401</v>
      </c>
      <c r="I1470" t="s">
        <v>4267</v>
      </c>
      <c r="J1470">
        <v>1</v>
      </c>
      <c r="K1470">
        <v>13.301</v>
      </c>
      <c r="L1470">
        <v>6.66</v>
      </c>
      <c r="M1470">
        <v>5.9119999999999999</v>
      </c>
      <c r="N1470">
        <v>5.032</v>
      </c>
      <c r="O1470">
        <v>5.0549999999999997</v>
      </c>
      <c r="P1470">
        <v>5.125</v>
      </c>
      <c r="Q1470">
        <v>5.0919999999999996</v>
      </c>
      <c r="R1470">
        <v>5.056</v>
      </c>
      <c r="S1470">
        <v>5.0179999999999998</v>
      </c>
      <c r="T1470">
        <v>4.9820000000000002</v>
      </c>
      <c r="U1470">
        <v>4.9820000000000002</v>
      </c>
      <c r="V1470">
        <v>4.9820000000000002</v>
      </c>
      <c r="W1470">
        <v>4.9820000000000002</v>
      </c>
      <c r="X1470">
        <v>4.9820000000000002</v>
      </c>
      <c r="Y1470">
        <v>4.9820000000000002</v>
      </c>
      <c r="Z1470">
        <v>4.9820000000000002</v>
      </c>
      <c r="AA1470">
        <v>4.9820000000000002</v>
      </c>
      <c r="AB1470">
        <v>4.9820000000000002</v>
      </c>
      <c r="AC1470">
        <v>4.9820000000000002</v>
      </c>
      <c r="AD1470">
        <v>4.9820000000000002</v>
      </c>
    </row>
    <row r="1471" spans="2:30" x14ac:dyDescent="0.25">
      <c r="B1471" t="s">
        <v>133</v>
      </c>
      <c r="C1471" t="s">
        <v>3261</v>
      </c>
      <c r="D1471" t="s">
        <v>4414</v>
      </c>
      <c r="E1471" t="s">
        <v>4415</v>
      </c>
      <c r="F1471" t="s">
        <v>7533</v>
      </c>
      <c r="G1471" t="s">
        <v>3890</v>
      </c>
      <c r="H1471" t="s">
        <v>4401</v>
      </c>
      <c r="I1471" t="s">
        <v>4267</v>
      </c>
      <c r="J1471">
        <v>1</v>
      </c>
      <c r="K1471">
        <v>11.488</v>
      </c>
      <c r="L1471">
        <v>9.3889999999999993</v>
      </c>
      <c r="M1471">
        <v>8.7669999999999995</v>
      </c>
      <c r="N1471">
        <v>8.8460000000000001</v>
      </c>
      <c r="O1471">
        <v>8.8919999999999995</v>
      </c>
      <c r="P1471">
        <v>8.7729999999999997</v>
      </c>
      <c r="Q1471">
        <v>8.6319999999999997</v>
      </c>
      <c r="R1471">
        <v>8.5820000000000007</v>
      </c>
      <c r="S1471">
        <v>8.5679999999999996</v>
      </c>
      <c r="T1471">
        <v>8.56</v>
      </c>
      <c r="U1471">
        <v>8.56</v>
      </c>
      <c r="V1471">
        <v>8.56</v>
      </c>
      <c r="W1471">
        <v>8.56</v>
      </c>
      <c r="X1471">
        <v>8.56</v>
      </c>
      <c r="Y1471">
        <v>8.56</v>
      </c>
      <c r="Z1471">
        <v>8.56</v>
      </c>
      <c r="AA1471">
        <v>8.56</v>
      </c>
      <c r="AB1471">
        <v>8.56</v>
      </c>
      <c r="AC1471">
        <v>8.56</v>
      </c>
      <c r="AD1471">
        <v>8.56</v>
      </c>
    </row>
    <row r="1472" spans="2:30" x14ac:dyDescent="0.25">
      <c r="B1472" t="s">
        <v>133</v>
      </c>
      <c r="C1472" t="s">
        <v>3261</v>
      </c>
      <c r="D1472" t="s">
        <v>4417</v>
      </c>
      <c r="E1472" t="s">
        <v>4418</v>
      </c>
      <c r="F1472" t="s">
        <v>7534</v>
      </c>
      <c r="G1472" t="s">
        <v>3890</v>
      </c>
      <c r="H1472" t="s">
        <v>4401</v>
      </c>
      <c r="I1472" t="s">
        <v>4274</v>
      </c>
      <c r="J1472">
        <v>1</v>
      </c>
      <c r="K1472">
        <v>116.498</v>
      </c>
      <c r="L1472">
        <v>95.069000000000003</v>
      </c>
      <c r="M1472">
        <v>91.606999999999999</v>
      </c>
      <c r="N1472">
        <v>78.384</v>
      </c>
      <c r="O1472">
        <v>82.057000000000002</v>
      </c>
      <c r="P1472">
        <v>76.52</v>
      </c>
      <c r="Q1472">
        <v>74.995999999999995</v>
      </c>
      <c r="R1472">
        <v>74.228999999999999</v>
      </c>
      <c r="S1472">
        <v>73.557000000000002</v>
      </c>
      <c r="T1472">
        <v>72.826999999999998</v>
      </c>
      <c r="U1472">
        <v>72.826999999999998</v>
      </c>
      <c r="V1472">
        <v>72.826999999999998</v>
      </c>
      <c r="W1472">
        <v>72.826999999999998</v>
      </c>
      <c r="X1472">
        <v>72.826999999999998</v>
      </c>
      <c r="Y1472">
        <v>72.826999999999998</v>
      </c>
      <c r="Z1472">
        <v>72.826999999999998</v>
      </c>
      <c r="AA1472">
        <v>72.826999999999998</v>
      </c>
      <c r="AB1472">
        <v>72.826999999999998</v>
      </c>
      <c r="AC1472">
        <v>72.826999999999998</v>
      </c>
      <c r="AD1472">
        <v>72.826999999999998</v>
      </c>
    </row>
    <row r="1473" spans="2:30" x14ac:dyDescent="0.25">
      <c r="B1473" t="s">
        <v>133</v>
      </c>
      <c r="C1473" t="s">
        <v>3261</v>
      </c>
      <c r="D1473" t="s">
        <v>4420</v>
      </c>
      <c r="E1473" t="s">
        <v>4421</v>
      </c>
      <c r="F1473" t="s">
        <v>7535</v>
      </c>
      <c r="G1473" t="s">
        <v>3890</v>
      </c>
      <c r="H1473" t="s">
        <v>4401</v>
      </c>
      <c r="I1473" t="s">
        <v>4278</v>
      </c>
      <c r="J1473">
        <v>1</v>
      </c>
      <c r="K1473">
        <v>0.96299999999999997</v>
      </c>
      <c r="L1473">
        <v>0.81799999999999995</v>
      </c>
      <c r="M1473">
        <v>0.76400000000000001</v>
      </c>
      <c r="N1473">
        <v>0.67100000000000004</v>
      </c>
      <c r="O1473">
        <v>0.69699999999999995</v>
      </c>
      <c r="P1473">
        <v>0.65800000000000003</v>
      </c>
      <c r="Q1473">
        <v>0.64700000000000002</v>
      </c>
      <c r="R1473">
        <v>0.64200000000000002</v>
      </c>
      <c r="S1473">
        <v>0.63700000000000001</v>
      </c>
      <c r="T1473">
        <v>0.63200000000000001</v>
      </c>
      <c r="U1473">
        <v>0.63200000000000001</v>
      </c>
      <c r="V1473">
        <v>0.63200000000000001</v>
      </c>
      <c r="W1473">
        <v>0.63200000000000001</v>
      </c>
      <c r="X1473">
        <v>0.63200000000000001</v>
      </c>
      <c r="Y1473">
        <v>0.63200000000000001</v>
      </c>
      <c r="Z1473">
        <v>0.63200000000000001</v>
      </c>
      <c r="AA1473">
        <v>0.63200000000000001</v>
      </c>
      <c r="AB1473">
        <v>0.63200000000000001</v>
      </c>
      <c r="AC1473">
        <v>0.63200000000000001</v>
      </c>
      <c r="AD1473">
        <v>0.63200000000000001</v>
      </c>
    </row>
    <row r="1474" spans="2:30" x14ac:dyDescent="0.25">
      <c r="B1474" t="s">
        <v>133</v>
      </c>
      <c r="C1474" t="s">
        <v>3261</v>
      </c>
      <c r="D1474" t="s">
        <v>4423</v>
      </c>
      <c r="E1474" t="s">
        <v>4424</v>
      </c>
      <c r="F1474" t="s">
        <v>7536</v>
      </c>
      <c r="G1474" t="s">
        <v>3890</v>
      </c>
      <c r="H1474" t="s">
        <v>4401</v>
      </c>
      <c r="I1474" t="s">
        <v>4278</v>
      </c>
      <c r="J1474">
        <v>1</v>
      </c>
      <c r="K1474">
        <v>1.077</v>
      </c>
      <c r="L1474">
        <v>0.85499999999999998</v>
      </c>
      <c r="M1474">
        <v>0.77800000000000002</v>
      </c>
      <c r="N1474">
        <v>0.68400000000000005</v>
      </c>
      <c r="O1474">
        <v>0.71</v>
      </c>
      <c r="P1474">
        <v>0.67</v>
      </c>
      <c r="Q1474">
        <v>0.66</v>
      </c>
      <c r="R1474">
        <v>0.65400000000000003</v>
      </c>
      <c r="S1474">
        <v>0.64900000000000002</v>
      </c>
      <c r="T1474">
        <v>0.64400000000000002</v>
      </c>
      <c r="U1474">
        <v>0.64400000000000002</v>
      </c>
      <c r="V1474">
        <v>0.64400000000000002</v>
      </c>
      <c r="W1474">
        <v>0.64400000000000002</v>
      </c>
      <c r="X1474">
        <v>0.64400000000000002</v>
      </c>
      <c r="Y1474">
        <v>0.64400000000000002</v>
      </c>
      <c r="Z1474">
        <v>0.64400000000000002</v>
      </c>
      <c r="AA1474">
        <v>0.64400000000000002</v>
      </c>
      <c r="AB1474">
        <v>0.64400000000000002</v>
      </c>
      <c r="AC1474">
        <v>0.64400000000000002</v>
      </c>
      <c r="AD1474">
        <v>0.64400000000000002</v>
      </c>
    </row>
    <row r="1475" spans="2:30" x14ac:dyDescent="0.25">
      <c r="B1475" t="s">
        <v>133</v>
      </c>
      <c r="C1475" t="s">
        <v>3261</v>
      </c>
      <c r="D1475" t="s">
        <v>4426</v>
      </c>
      <c r="E1475" t="s">
        <v>4427</v>
      </c>
      <c r="F1475" t="s">
        <v>7537</v>
      </c>
      <c r="G1475" t="s">
        <v>3890</v>
      </c>
      <c r="H1475" t="s">
        <v>4401</v>
      </c>
      <c r="I1475" t="s">
        <v>4278</v>
      </c>
      <c r="J1475">
        <v>1</v>
      </c>
      <c r="K1475">
        <v>0.67100000000000004</v>
      </c>
      <c r="L1475">
        <v>0.57799999999999996</v>
      </c>
      <c r="M1475">
        <v>0.54300000000000004</v>
      </c>
      <c r="N1475">
        <v>0.48199999999999998</v>
      </c>
      <c r="O1475">
        <v>0.499</v>
      </c>
      <c r="P1475">
        <v>0.47399999999999998</v>
      </c>
      <c r="Q1475">
        <v>0.46700000000000003</v>
      </c>
      <c r="R1475">
        <v>0.46300000000000002</v>
      </c>
      <c r="S1475">
        <v>0.46</v>
      </c>
      <c r="T1475">
        <v>0.45700000000000002</v>
      </c>
      <c r="U1475">
        <v>0.45700000000000002</v>
      </c>
      <c r="V1475">
        <v>0.45700000000000002</v>
      </c>
      <c r="W1475">
        <v>0.45700000000000002</v>
      </c>
      <c r="X1475">
        <v>0.45700000000000002</v>
      </c>
      <c r="Y1475">
        <v>0.45700000000000002</v>
      </c>
      <c r="Z1475">
        <v>0.45700000000000002</v>
      </c>
      <c r="AA1475">
        <v>0.45700000000000002</v>
      </c>
      <c r="AB1475">
        <v>0.45700000000000002</v>
      </c>
      <c r="AC1475">
        <v>0.45700000000000002</v>
      </c>
      <c r="AD1475">
        <v>0.45700000000000002</v>
      </c>
    </row>
    <row r="1476" spans="2:30" x14ac:dyDescent="0.25">
      <c r="B1476" t="s">
        <v>133</v>
      </c>
      <c r="C1476" t="s">
        <v>3261</v>
      </c>
      <c r="D1476" t="s">
        <v>4429</v>
      </c>
      <c r="E1476" t="s">
        <v>4430</v>
      </c>
      <c r="F1476" t="s">
        <v>7538</v>
      </c>
      <c r="G1476" t="s">
        <v>3890</v>
      </c>
      <c r="H1476" t="s">
        <v>4401</v>
      </c>
      <c r="I1476" t="s">
        <v>4278</v>
      </c>
      <c r="J1476">
        <v>1</v>
      </c>
      <c r="K1476">
        <v>0.78300000000000003</v>
      </c>
      <c r="L1476">
        <v>0.69899999999999995</v>
      </c>
      <c r="M1476">
        <v>0.69099999999999995</v>
      </c>
      <c r="N1476">
        <v>0.60899999999999999</v>
      </c>
      <c r="O1476">
        <v>0.63200000000000001</v>
      </c>
      <c r="P1476">
        <v>0.59799999999999998</v>
      </c>
      <c r="Q1476">
        <v>0.58799999999999997</v>
      </c>
      <c r="R1476">
        <v>0.58399999999999996</v>
      </c>
      <c r="S1476">
        <v>0.57899999999999996</v>
      </c>
      <c r="T1476">
        <v>0.57499999999999996</v>
      </c>
      <c r="U1476">
        <v>0.57499999999999996</v>
      </c>
      <c r="V1476">
        <v>0.57499999999999996</v>
      </c>
      <c r="W1476">
        <v>0.57499999999999996</v>
      </c>
      <c r="X1476">
        <v>0.57499999999999996</v>
      </c>
      <c r="Y1476">
        <v>0.57499999999999996</v>
      </c>
      <c r="Z1476">
        <v>0.57499999999999996</v>
      </c>
      <c r="AA1476">
        <v>0.57499999999999996</v>
      </c>
      <c r="AB1476">
        <v>0.57499999999999996</v>
      </c>
      <c r="AC1476">
        <v>0.57499999999999996</v>
      </c>
      <c r="AD1476">
        <v>0.57499999999999996</v>
      </c>
    </row>
    <row r="1477" spans="2:30" x14ac:dyDescent="0.25">
      <c r="B1477" t="s">
        <v>133</v>
      </c>
      <c r="C1477" t="s">
        <v>3261</v>
      </c>
      <c r="D1477" t="s">
        <v>4432</v>
      </c>
      <c r="E1477" t="s">
        <v>4433</v>
      </c>
      <c r="F1477" t="s">
        <v>7539</v>
      </c>
      <c r="G1477" t="s">
        <v>3890</v>
      </c>
      <c r="H1477" t="s">
        <v>4435</v>
      </c>
      <c r="I1477" t="s">
        <v>4263</v>
      </c>
      <c r="J1477">
        <v>1</v>
      </c>
      <c r="K1477">
        <v>0</v>
      </c>
      <c r="L1477">
        <v>0</v>
      </c>
      <c r="M1477">
        <v>-5.5E-2</v>
      </c>
      <c r="N1477">
        <v>-5.5E-2</v>
      </c>
      <c r="O1477">
        <v>-5.5E-2</v>
      </c>
      <c r="P1477">
        <v>-5.5E-2</v>
      </c>
      <c r="Q1477">
        <v>-5.5E-2</v>
      </c>
      <c r="R1477">
        <v>-5.5E-2</v>
      </c>
      <c r="S1477">
        <v>-5.5E-2</v>
      </c>
      <c r="T1477">
        <v>-5.5E-2</v>
      </c>
      <c r="U1477">
        <v>-5.5E-2</v>
      </c>
      <c r="V1477">
        <v>-5.5E-2</v>
      </c>
      <c r="W1477">
        <v>-5.5E-2</v>
      </c>
      <c r="X1477">
        <v>-5.5E-2</v>
      </c>
      <c r="Y1477">
        <v>-5.5E-2</v>
      </c>
      <c r="Z1477">
        <v>-5.5E-2</v>
      </c>
      <c r="AA1477">
        <v>-5.5E-2</v>
      </c>
      <c r="AB1477">
        <v>-5.5E-2</v>
      </c>
      <c r="AC1477">
        <v>-5.5E-2</v>
      </c>
      <c r="AD1477">
        <v>-5.5E-2</v>
      </c>
    </row>
    <row r="1478" spans="2:30" x14ac:dyDescent="0.25">
      <c r="B1478" t="s">
        <v>133</v>
      </c>
      <c r="C1478" t="s">
        <v>3261</v>
      </c>
      <c r="D1478" t="s">
        <v>4436</v>
      </c>
      <c r="E1478" t="s">
        <v>4437</v>
      </c>
      <c r="F1478" t="s">
        <v>7540</v>
      </c>
      <c r="G1478" t="s">
        <v>3890</v>
      </c>
      <c r="H1478" t="s">
        <v>4435</v>
      </c>
      <c r="I1478" t="s">
        <v>4263</v>
      </c>
      <c r="J1478">
        <v>1</v>
      </c>
      <c r="K1478">
        <v>2E-3</v>
      </c>
      <c r="L1478">
        <v>1E-3</v>
      </c>
      <c r="M1478">
        <v>-5.5E-2</v>
      </c>
      <c r="N1478">
        <v>-5.5E-2</v>
      </c>
      <c r="O1478">
        <v>-5.5E-2</v>
      </c>
      <c r="P1478">
        <v>-5.5E-2</v>
      </c>
      <c r="Q1478">
        <v>-5.5E-2</v>
      </c>
      <c r="R1478">
        <v>-5.5E-2</v>
      </c>
      <c r="S1478">
        <v>-5.5E-2</v>
      </c>
      <c r="T1478">
        <v>-5.5E-2</v>
      </c>
      <c r="U1478">
        <v>-5.5E-2</v>
      </c>
      <c r="V1478">
        <v>-5.5E-2</v>
      </c>
      <c r="W1478">
        <v>-5.5E-2</v>
      </c>
      <c r="X1478">
        <v>-5.5E-2</v>
      </c>
      <c r="Y1478">
        <v>-5.5E-2</v>
      </c>
      <c r="Z1478">
        <v>-5.5E-2</v>
      </c>
      <c r="AA1478">
        <v>-5.5E-2</v>
      </c>
      <c r="AB1478">
        <v>-5.5E-2</v>
      </c>
      <c r="AC1478">
        <v>-5.5E-2</v>
      </c>
      <c r="AD1478">
        <v>-5.5E-2</v>
      </c>
    </row>
    <row r="1479" spans="2:30" x14ac:dyDescent="0.25">
      <c r="B1479" t="s">
        <v>133</v>
      </c>
      <c r="C1479" t="s">
        <v>3261</v>
      </c>
      <c r="D1479" t="s">
        <v>4439</v>
      </c>
      <c r="E1479" t="s">
        <v>4440</v>
      </c>
      <c r="F1479" t="s">
        <v>7541</v>
      </c>
      <c r="G1479" t="s">
        <v>3890</v>
      </c>
      <c r="H1479" t="s">
        <v>4435</v>
      </c>
      <c r="I1479" t="s">
        <v>4267</v>
      </c>
      <c r="J1479">
        <v>1</v>
      </c>
      <c r="K1479">
        <v>0.34599999999999997</v>
      </c>
      <c r="L1479">
        <v>0.219</v>
      </c>
      <c r="M1479">
        <v>0.16900000000000001</v>
      </c>
      <c r="N1479">
        <v>0.16900000000000001</v>
      </c>
      <c r="O1479">
        <v>0.16900000000000001</v>
      </c>
      <c r="P1479">
        <v>0.16900000000000001</v>
      </c>
      <c r="Q1479">
        <v>0.16900000000000001</v>
      </c>
      <c r="R1479">
        <v>0.16900000000000001</v>
      </c>
      <c r="S1479">
        <v>0.16900000000000001</v>
      </c>
      <c r="T1479">
        <v>0.16900000000000001</v>
      </c>
      <c r="U1479">
        <v>0.16900000000000001</v>
      </c>
      <c r="V1479">
        <v>0.16900000000000001</v>
      </c>
      <c r="W1479">
        <v>0.16900000000000001</v>
      </c>
      <c r="X1479">
        <v>0.16900000000000001</v>
      </c>
      <c r="Y1479">
        <v>0.16900000000000001</v>
      </c>
      <c r="Z1479">
        <v>0.16900000000000001</v>
      </c>
      <c r="AA1479">
        <v>0.16900000000000001</v>
      </c>
      <c r="AB1479">
        <v>0.16900000000000001</v>
      </c>
      <c r="AC1479">
        <v>0.16900000000000001</v>
      </c>
      <c r="AD1479">
        <v>0.16900000000000001</v>
      </c>
    </row>
    <row r="1480" spans="2:30" x14ac:dyDescent="0.25">
      <c r="B1480" t="s">
        <v>133</v>
      </c>
      <c r="C1480" t="s">
        <v>3261</v>
      </c>
      <c r="D1480" t="s">
        <v>4442</v>
      </c>
      <c r="E1480" t="s">
        <v>4443</v>
      </c>
      <c r="F1480" t="s">
        <v>7542</v>
      </c>
      <c r="G1480" t="s">
        <v>3890</v>
      </c>
      <c r="H1480" t="s">
        <v>4435</v>
      </c>
      <c r="I1480" t="s">
        <v>4267</v>
      </c>
      <c r="J1480">
        <v>1</v>
      </c>
      <c r="K1480">
        <v>-6.9240000000000004</v>
      </c>
      <c r="L1480">
        <v>-5.181</v>
      </c>
      <c r="M1480">
        <v>-4.4829999999999997</v>
      </c>
      <c r="N1480">
        <v>-4.5529999999999999</v>
      </c>
      <c r="O1480">
        <v>-4.5940000000000003</v>
      </c>
      <c r="P1480">
        <v>-4.4880000000000004</v>
      </c>
      <c r="Q1480">
        <v>-4.3620000000000001</v>
      </c>
      <c r="R1480">
        <v>-4.3179999999999996</v>
      </c>
      <c r="S1480">
        <v>-4.3049999999999997</v>
      </c>
      <c r="T1480">
        <v>-4.298</v>
      </c>
      <c r="U1480">
        <v>-4.298</v>
      </c>
      <c r="V1480">
        <v>-4.298</v>
      </c>
      <c r="W1480">
        <v>-4.298</v>
      </c>
      <c r="X1480">
        <v>-4.298</v>
      </c>
      <c r="Y1480">
        <v>-4.298</v>
      </c>
      <c r="Z1480">
        <v>-4.298</v>
      </c>
      <c r="AA1480">
        <v>-4.298</v>
      </c>
      <c r="AB1480">
        <v>-4.298</v>
      </c>
      <c r="AC1480">
        <v>-4.298</v>
      </c>
      <c r="AD1480">
        <v>-4.298</v>
      </c>
    </row>
    <row r="1481" spans="2:30" x14ac:dyDescent="0.25">
      <c r="B1481" t="s">
        <v>133</v>
      </c>
      <c r="C1481" t="s">
        <v>3261</v>
      </c>
      <c r="D1481" t="s">
        <v>4445</v>
      </c>
      <c r="E1481" t="s">
        <v>4446</v>
      </c>
      <c r="F1481" t="s">
        <v>7543</v>
      </c>
      <c r="G1481" t="s">
        <v>3890</v>
      </c>
      <c r="H1481" t="s">
        <v>4435</v>
      </c>
      <c r="I1481" t="s">
        <v>4267</v>
      </c>
      <c r="J1481">
        <v>1</v>
      </c>
      <c r="K1481">
        <v>0.184</v>
      </c>
      <c r="L1481">
        <v>0.187</v>
      </c>
      <c r="M1481">
        <v>1E-3</v>
      </c>
      <c r="N1481">
        <v>1E-3</v>
      </c>
      <c r="O1481">
        <v>1E-3</v>
      </c>
      <c r="P1481">
        <v>1E-3</v>
      </c>
      <c r="Q1481">
        <v>1E-3</v>
      </c>
      <c r="R1481">
        <v>1E-3</v>
      </c>
      <c r="S1481">
        <v>1E-3</v>
      </c>
      <c r="T1481">
        <v>1E-3</v>
      </c>
      <c r="U1481">
        <v>1E-3</v>
      </c>
      <c r="V1481">
        <v>1E-3</v>
      </c>
      <c r="W1481">
        <v>1E-3</v>
      </c>
      <c r="X1481">
        <v>1E-3</v>
      </c>
      <c r="Y1481">
        <v>1E-3</v>
      </c>
      <c r="Z1481">
        <v>1E-3</v>
      </c>
      <c r="AA1481">
        <v>1E-3</v>
      </c>
      <c r="AB1481">
        <v>1E-3</v>
      </c>
      <c r="AC1481">
        <v>1E-3</v>
      </c>
      <c r="AD1481">
        <v>1E-3</v>
      </c>
    </row>
    <row r="1482" spans="2:30" x14ac:dyDescent="0.25">
      <c r="B1482" t="s">
        <v>133</v>
      </c>
      <c r="C1482" t="s">
        <v>3261</v>
      </c>
      <c r="D1482" t="s">
        <v>4448</v>
      </c>
      <c r="E1482" t="s">
        <v>4449</v>
      </c>
      <c r="F1482" t="s">
        <v>7544</v>
      </c>
      <c r="G1482" t="s">
        <v>3890</v>
      </c>
      <c r="H1482" t="s">
        <v>4435</v>
      </c>
      <c r="I1482" t="s">
        <v>4267</v>
      </c>
      <c r="J1482">
        <v>1</v>
      </c>
      <c r="K1482">
        <v>-12.263</v>
      </c>
      <c r="L1482">
        <v>-11.798999999999999</v>
      </c>
      <c r="M1482">
        <v>-12.055999999999999</v>
      </c>
      <c r="N1482">
        <v>-12.122999999999999</v>
      </c>
      <c r="O1482">
        <v>-12.162000000000001</v>
      </c>
      <c r="P1482">
        <v>-12.061</v>
      </c>
      <c r="Q1482">
        <v>-11.942</v>
      </c>
      <c r="R1482">
        <v>-11.9</v>
      </c>
      <c r="S1482">
        <v>-11.888</v>
      </c>
      <c r="T1482">
        <v>-11.881</v>
      </c>
      <c r="U1482">
        <v>-11.881</v>
      </c>
      <c r="V1482">
        <v>-11.881</v>
      </c>
      <c r="W1482">
        <v>-11.881</v>
      </c>
      <c r="X1482">
        <v>-11.881</v>
      </c>
      <c r="Y1482">
        <v>-11.881</v>
      </c>
      <c r="Z1482">
        <v>-11.881</v>
      </c>
      <c r="AA1482">
        <v>-11.881</v>
      </c>
      <c r="AB1482">
        <v>-11.881</v>
      </c>
      <c r="AC1482">
        <v>-11.881</v>
      </c>
      <c r="AD1482">
        <v>-11.881</v>
      </c>
    </row>
    <row r="1483" spans="2:30" x14ac:dyDescent="0.25">
      <c r="B1483" t="s">
        <v>133</v>
      </c>
      <c r="C1483" t="s">
        <v>3261</v>
      </c>
      <c r="D1483" t="s">
        <v>4451</v>
      </c>
      <c r="E1483" t="s">
        <v>4452</v>
      </c>
      <c r="F1483" t="s">
        <v>7545</v>
      </c>
      <c r="G1483" t="s">
        <v>3890</v>
      </c>
      <c r="H1483" t="s">
        <v>4435</v>
      </c>
      <c r="I1483" t="s">
        <v>4267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2:30" x14ac:dyDescent="0.25">
      <c r="B1484" t="s">
        <v>133</v>
      </c>
      <c r="C1484" t="s">
        <v>3261</v>
      </c>
      <c r="D1484" t="s">
        <v>4454</v>
      </c>
      <c r="E1484" t="s">
        <v>4455</v>
      </c>
      <c r="F1484" t="s">
        <v>7546</v>
      </c>
      <c r="G1484" t="s">
        <v>3890</v>
      </c>
      <c r="H1484" t="s">
        <v>4435</v>
      </c>
      <c r="I1484" t="s">
        <v>4267</v>
      </c>
      <c r="J1484">
        <v>1</v>
      </c>
      <c r="K1484">
        <v>-8.7029999999999994</v>
      </c>
      <c r="L1484">
        <v>-6.7750000000000004</v>
      </c>
      <c r="M1484">
        <v>-6.1120000000000001</v>
      </c>
      <c r="N1484">
        <v>-6.1909999999999998</v>
      </c>
      <c r="O1484">
        <v>-6.2380000000000004</v>
      </c>
      <c r="P1484">
        <v>-6.1180000000000003</v>
      </c>
      <c r="Q1484">
        <v>-5.9779999999999998</v>
      </c>
      <c r="R1484">
        <v>-5.9279999999999999</v>
      </c>
      <c r="S1484">
        <v>-5.9139999999999997</v>
      </c>
      <c r="T1484">
        <v>-5.9059999999999997</v>
      </c>
      <c r="U1484">
        <v>-5.9059999999999997</v>
      </c>
      <c r="V1484">
        <v>-5.9059999999999997</v>
      </c>
      <c r="W1484">
        <v>-5.9059999999999997</v>
      </c>
      <c r="X1484">
        <v>-5.9059999999999997</v>
      </c>
      <c r="Y1484">
        <v>-5.9059999999999997</v>
      </c>
      <c r="Z1484">
        <v>-5.9059999999999997</v>
      </c>
      <c r="AA1484">
        <v>-5.9059999999999997</v>
      </c>
      <c r="AB1484">
        <v>-5.9059999999999997</v>
      </c>
      <c r="AC1484">
        <v>-5.9059999999999997</v>
      </c>
      <c r="AD1484">
        <v>-5.9059999999999997</v>
      </c>
    </row>
    <row r="1485" spans="2:30" x14ac:dyDescent="0.25">
      <c r="B1485" t="s">
        <v>133</v>
      </c>
      <c r="C1485" t="s">
        <v>3261</v>
      </c>
      <c r="D1485" t="s">
        <v>4457</v>
      </c>
      <c r="E1485" t="s">
        <v>4458</v>
      </c>
      <c r="F1485" t="s">
        <v>7547</v>
      </c>
      <c r="G1485" t="s">
        <v>3890</v>
      </c>
      <c r="H1485" t="s">
        <v>4435</v>
      </c>
      <c r="I1485" t="s">
        <v>4274</v>
      </c>
      <c r="J1485">
        <v>1</v>
      </c>
      <c r="K1485">
        <v>-83.447000000000003</v>
      </c>
      <c r="L1485">
        <v>-68.769000000000005</v>
      </c>
      <c r="M1485">
        <v>-68.430999999999997</v>
      </c>
      <c r="N1485">
        <v>-68.430999999999997</v>
      </c>
      <c r="O1485">
        <v>-68.430999999999997</v>
      </c>
      <c r="P1485">
        <v>-68.430999999999997</v>
      </c>
      <c r="Q1485">
        <v>-68.430999999999997</v>
      </c>
      <c r="R1485">
        <v>-68.430999999999997</v>
      </c>
      <c r="S1485">
        <v>-68.430999999999997</v>
      </c>
      <c r="T1485">
        <v>-68.430999999999997</v>
      </c>
      <c r="U1485">
        <v>-68.430999999999997</v>
      </c>
      <c r="V1485">
        <v>-68.430999999999997</v>
      </c>
      <c r="W1485">
        <v>-68.430999999999997</v>
      </c>
      <c r="X1485">
        <v>-68.430999999999997</v>
      </c>
      <c r="Y1485">
        <v>-68.430999999999997</v>
      </c>
      <c r="Z1485">
        <v>-68.430999999999997</v>
      </c>
      <c r="AA1485">
        <v>-68.430999999999997</v>
      </c>
      <c r="AB1485">
        <v>-68.430999999999997</v>
      </c>
      <c r="AC1485">
        <v>-68.430999999999997</v>
      </c>
      <c r="AD1485">
        <v>-68.430999999999997</v>
      </c>
    </row>
    <row r="1486" spans="2:30" x14ac:dyDescent="0.25">
      <c r="B1486" t="s">
        <v>133</v>
      </c>
      <c r="C1486" t="s">
        <v>3261</v>
      </c>
      <c r="D1486" t="s">
        <v>4460</v>
      </c>
      <c r="E1486" t="s">
        <v>4461</v>
      </c>
      <c r="F1486" t="s">
        <v>7548</v>
      </c>
      <c r="G1486" t="s">
        <v>3890</v>
      </c>
      <c r="H1486" t="s">
        <v>4435</v>
      </c>
      <c r="I1486" t="s">
        <v>4278</v>
      </c>
      <c r="J1486">
        <v>1</v>
      </c>
      <c r="K1486">
        <v>-0.36299999999999999</v>
      </c>
      <c r="L1486">
        <v>-0.40699999999999997</v>
      </c>
      <c r="M1486">
        <v>-0.42799999999999999</v>
      </c>
      <c r="N1486">
        <v>-0.33600000000000002</v>
      </c>
      <c r="O1486">
        <v>-0.36199999999999999</v>
      </c>
      <c r="P1486">
        <v>-0.32300000000000001</v>
      </c>
      <c r="Q1486">
        <v>-0.312</v>
      </c>
      <c r="R1486">
        <v>-0.307</v>
      </c>
      <c r="S1486">
        <v>-0.30199999999999999</v>
      </c>
      <c r="T1486">
        <v>-0.29699999999999999</v>
      </c>
      <c r="U1486">
        <v>-0.29699999999999999</v>
      </c>
      <c r="V1486">
        <v>-0.29699999999999999</v>
      </c>
      <c r="W1486">
        <v>-0.29699999999999999</v>
      </c>
      <c r="X1486">
        <v>-0.29699999999999999</v>
      </c>
      <c r="Y1486">
        <v>-0.29699999999999999</v>
      </c>
      <c r="Z1486">
        <v>-0.29699999999999999</v>
      </c>
      <c r="AA1486">
        <v>-0.29699999999999999</v>
      </c>
      <c r="AB1486">
        <v>-0.29699999999999999</v>
      </c>
      <c r="AC1486">
        <v>-0.29699999999999999</v>
      </c>
      <c r="AD1486">
        <v>-0.29699999999999999</v>
      </c>
    </row>
    <row r="1487" spans="2:30" x14ac:dyDescent="0.25">
      <c r="B1487" t="s">
        <v>133</v>
      </c>
      <c r="C1487" t="s">
        <v>3261</v>
      </c>
      <c r="D1487" t="s">
        <v>4463</v>
      </c>
      <c r="E1487" t="s">
        <v>4464</v>
      </c>
      <c r="F1487" t="s">
        <v>7549</v>
      </c>
      <c r="G1487" t="s">
        <v>3890</v>
      </c>
      <c r="H1487" t="s">
        <v>4435</v>
      </c>
      <c r="I1487" t="s">
        <v>4278</v>
      </c>
      <c r="J1487">
        <v>1</v>
      </c>
      <c r="K1487">
        <v>-0.66300000000000003</v>
      </c>
      <c r="L1487">
        <v>-0.57399999999999995</v>
      </c>
      <c r="M1487">
        <v>-0.52900000000000003</v>
      </c>
      <c r="N1487">
        <v>-0.435</v>
      </c>
      <c r="O1487">
        <v>-0.46100000000000002</v>
      </c>
      <c r="P1487">
        <v>-0.42099999999999999</v>
      </c>
      <c r="Q1487">
        <v>-0.41</v>
      </c>
      <c r="R1487">
        <v>-0.40500000000000003</v>
      </c>
      <c r="S1487">
        <v>-0.4</v>
      </c>
      <c r="T1487">
        <v>-0.39500000000000002</v>
      </c>
      <c r="U1487">
        <v>-0.39500000000000002</v>
      </c>
      <c r="V1487">
        <v>-0.39500000000000002</v>
      </c>
      <c r="W1487">
        <v>-0.39500000000000002</v>
      </c>
      <c r="X1487">
        <v>-0.39500000000000002</v>
      </c>
      <c r="Y1487">
        <v>-0.39500000000000002</v>
      </c>
      <c r="Z1487">
        <v>-0.39500000000000002</v>
      </c>
      <c r="AA1487">
        <v>-0.39500000000000002</v>
      </c>
      <c r="AB1487">
        <v>-0.39500000000000002</v>
      </c>
      <c r="AC1487">
        <v>-0.39500000000000002</v>
      </c>
      <c r="AD1487">
        <v>-0.39500000000000002</v>
      </c>
    </row>
    <row r="1488" spans="2:30" x14ac:dyDescent="0.25">
      <c r="B1488" t="s">
        <v>133</v>
      </c>
      <c r="C1488" t="s">
        <v>3261</v>
      </c>
      <c r="D1488" t="s">
        <v>4466</v>
      </c>
      <c r="E1488" t="s">
        <v>4467</v>
      </c>
      <c r="F1488" t="s">
        <v>7550</v>
      </c>
      <c r="G1488" t="s">
        <v>3890</v>
      </c>
      <c r="H1488" t="s">
        <v>4435</v>
      </c>
      <c r="I1488" t="s">
        <v>4278</v>
      </c>
      <c r="J1488">
        <v>1</v>
      </c>
      <c r="K1488">
        <v>-0.496</v>
      </c>
      <c r="L1488">
        <v>-0.47599999999999998</v>
      </c>
      <c r="M1488">
        <v>-0.45500000000000002</v>
      </c>
      <c r="N1488">
        <v>-0.39400000000000002</v>
      </c>
      <c r="O1488">
        <v>-0.41099999999999998</v>
      </c>
      <c r="P1488">
        <v>-0.38600000000000001</v>
      </c>
      <c r="Q1488">
        <v>-0.379</v>
      </c>
      <c r="R1488">
        <v>-0.375</v>
      </c>
      <c r="S1488">
        <v>-0.372</v>
      </c>
      <c r="T1488">
        <v>-0.36899999999999999</v>
      </c>
      <c r="U1488">
        <v>-0.36899999999999999</v>
      </c>
      <c r="V1488">
        <v>-0.36899999999999999</v>
      </c>
      <c r="W1488">
        <v>-0.36899999999999999</v>
      </c>
      <c r="X1488">
        <v>-0.36899999999999999</v>
      </c>
      <c r="Y1488">
        <v>-0.36899999999999999</v>
      </c>
      <c r="Z1488">
        <v>-0.36899999999999999</v>
      </c>
      <c r="AA1488">
        <v>-0.36899999999999999</v>
      </c>
      <c r="AB1488">
        <v>-0.36899999999999999</v>
      </c>
      <c r="AC1488">
        <v>-0.36899999999999999</v>
      </c>
      <c r="AD1488">
        <v>-0.36899999999999999</v>
      </c>
    </row>
    <row r="1489" spans="2:30" x14ac:dyDescent="0.25">
      <c r="B1489" t="s">
        <v>133</v>
      </c>
      <c r="C1489" t="s">
        <v>3261</v>
      </c>
      <c r="D1489" t="s">
        <v>4469</v>
      </c>
      <c r="E1489" t="s">
        <v>4470</v>
      </c>
      <c r="F1489" t="s">
        <v>7551</v>
      </c>
      <c r="G1489" t="s">
        <v>3890</v>
      </c>
      <c r="H1489" t="s">
        <v>4435</v>
      </c>
      <c r="I1489" t="s">
        <v>4278</v>
      </c>
      <c r="J1489">
        <v>1</v>
      </c>
      <c r="K1489">
        <v>-0.36899999999999999</v>
      </c>
      <c r="L1489">
        <v>-0.44</v>
      </c>
      <c r="M1489">
        <v>-0.44800000000000001</v>
      </c>
      <c r="N1489">
        <v>-0.36499999999999999</v>
      </c>
      <c r="O1489">
        <v>-0.38800000000000001</v>
      </c>
      <c r="P1489">
        <v>-0.35399999999999998</v>
      </c>
      <c r="Q1489">
        <v>-0.34399999999999997</v>
      </c>
      <c r="R1489">
        <v>-0.34</v>
      </c>
      <c r="S1489">
        <v>-0.33600000000000002</v>
      </c>
      <c r="T1489">
        <v>-0.33100000000000002</v>
      </c>
      <c r="U1489">
        <v>-0.33100000000000002</v>
      </c>
      <c r="V1489">
        <v>-0.33100000000000002</v>
      </c>
      <c r="W1489">
        <v>-0.33100000000000002</v>
      </c>
      <c r="X1489">
        <v>-0.33100000000000002</v>
      </c>
      <c r="Y1489">
        <v>-0.33100000000000002</v>
      </c>
      <c r="Z1489">
        <v>-0.33100000000000002</v>
      </c>
      <c r="AA1489">
        <v>-0.33100000000000002</v>
      </c>
      <c r="AB1489">
        <v>-0.33100000000000002</v>
      </c>
      <c r="AC1489">
        <v>-0.33100000000000002</v>
      </c>
      <c r="AD1489">
        <v>-0.33100000000000002</v>
      </c>
    </row>
    <row r="1490" spans="2:30" x14ac:dyDescent="0.25">
      <c r="B1490" t="s">
        <v>133</v>
      </c>
      <c r="C1490" t="s">
        <v>3261</v>
      </c>
      <c r="D1490" t="s">
        <v>4472</v>
      </c>
      <c r="E1490" t="s">
        <v>4473</v>
      </c>
      <c r="F1490" t="s">
        <v>7552</v>
      </c>
      <c r="G1490" t="s">
        <v>4475</v>
      </c>
      <c r="H1490" t="s">
        <v>4476</v>
      </c>
      <c r="I1490" t="s">
        <v>4263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2:30" x14ac:dyDescent="0.25">
      <c r="B1491" t="s">
        <v>133</v>
      </c>
      <c r="C1491" t="s">
        <v>3261</v>
      </c>
      <c r="D1491" t="s">
        <v>4477</v>
      </c>
      <c r="E1491" t="s">
        <v>4478</v>
      </c>
      <c r="F1491" t="s">
        <v>7553</v>
      </c>
      <c r="G1491" t="s">
        <v>3890</v>
      </c>
      <c r="H1491" t="s">
        <v>4476</v>
      </c>
      <c r="I1491" t="s">
        <v>4263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2:30" x14ac:dyDescent="0.25">
      <c r="B1492" t="s">
        <v>133</v>
      </c>
      <c r="C1492" t="s">
        <v>3261</v>
      </c>
      <c r="D1492" t="s">
        <v>4480</v>
      </c>
      <c r="E1492" t="s">
        <v>4481</v>
      </c>
      <c r="F1492" t="s">
        <v>7554</v>
      </c>
      <c r="G1492" t="s">
        <v>3890</v>
      </c>
      <c r="H1492" t="s">
        <v>4476</v>
      </c>
      <c r="I1492" t="s">
        <v>4267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2:30" x14ac:dyDescent="0.25">
      <c r="B1493" t="s">
        <v>133</v>
      </c>
      <c r="C1493" t="s">
        <v>3261</v>
      </c>
      <c r="D1493" t="s">
        <v>4483</v>
      </c>
      <c r="E1493" t="s">
        <v>4484</v>
      </c>
      <c r="F1493" t="s">
        <v>7555</v>
      </c>
      <c r="G1493" t="s">
        <v>3890</v>
      </c>
      <c r="H1493" t="s">
        <v>4476</v>
      </c>
      <c r="I1493" t="s">
        <v>4267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2:30" x14ac:dyDescent="0.25">
      <c r="B1494" t="s">
        <v>133</v>
      </c>
      <c r="C1494" t="s">
        <v>3261</v>
      </c>
      <c r="D1494" t="s">
        <v>4486</v>
      </c>
      <c r="E1494" t="s">
        <v>4487</v>
      </c>
      <c r="F1494" t="s">
        <v>7556</v>
      </c>
      <c r="G1494" t="s">
        <v>3890</v>
      </c>
      <c r="H1494" t="s">
        <v>4476</v>
      </c>
      <c r="I1494" t="s">
        <v>4267</v>
      </c>
      <c r="J1494">
        <v>1</v>
      </c>
      <c r="K1494">
        <v>2.8740000000000001</v>
      </c>
      <c r="L1494">
        <v>1.948</v>
      </c>
      <c r="M1494">
        <v>1.8109999999999999</v>
      </c>
      <c r="N1494">
        <v>1.677</v>
      </c>
      <c r="O1494">
        <v>1.68</v>
      </c>
      <c r="P1494">
        <v>1.6910000000000001</v>
      </c>
      <c r="Q1494">
        <v>1.6859999999999999</v>
      </c>
      <c r="R1494">
        <v>1.68</v>
      </c>
      <c r="S1494">
        <v>1.675</v>
      </c>
      <c r="T1494">
        <v>1.669</v>
      </c>
      <c r="U1494">
        <v>1.669</v>
      </c>
      <c r="V1494">
        <v>1.669</v>
      </c>
      <c r="W1494">
        <v>1.669</v>
      </c>
      <c r="X1494">
        <v>1.669</v>
      </c>
      <c r="Y1494">
        <v>1.669</v>
      </c>
      <c r="Z1494">
        <v>1.669</v>
      </c>
      <c r="AA1494">
        <v>1.669</v>
      </c>
      <c r="AB1494">
        <v>1.669</v>
      </c>
      <c r="AC1494">
        <v>1.669</v>
      </c>
      <c r="AD1494">
        <v>1.669</v>
      </c>
    </row>
    <row r="1495" spans="2:30" x14ac:dyDescent="0.25">
      <c r="B1495" t="s">
        <v>133</v>
      </c>
      <c r="C1495" t="s">
        <v>3261</v>
      </c>
      <c r="D1495" t="s">
        <v>4489</v>
      </c>
      <c r="E1495" t="s">
        <v>4490</v>
      </c>
      <c r="F1495" t="s">
        <v>7557</v>
      </c>
      <c r="G1495" t="s">
        <v>3890</v>
      </c>
      <c r="H1495" t="s">
        <v>4476</v>
      </c>
      <c r="I1495" t="s">
        <v>4267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2:30" x14ac:dyDescent="0.25">
      <c r="B1496" t="s">
        <v>133</v>
      </c>
      <c r="C1496" t="s">
        <v>3261</v>
      </c>
      <c r="D1496" t="s">
        <v>4492</v>
      </c>
      <c r="E1496" t="s">
        <v>4493</v>
      </c>
      <c r="F1496" t="s">
        <v>7558</v>
      </c>
      <c r="G1496" t="s">
        <v>3890</v>
      </c>
      <c r="H1496" t="s">
        <v>4476</v>
      </c>
      <c r="I1496" t="s">
        <v>4267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2:30" x14ac:dyDescent="0.25">
      <c r="B1497" t="s">
        <v>133</v>
      </c>
      <c r="C1497" t="s">
        <v>3261</v>
      </c>
      <c r="D1497" t="s">
        <v>4495</v>
      </c>
      <c r="E1497" t="s">
        <v>4496</v>
      </c>
      <c r="F1497" t="s">
        <v>7559</v>
      </c>
      <c r="G1497" t="s">
        <v>3890</v>
      </c>
      <c r="H1497" t="s">
        <v>4476</v>
      </c>
      <c r="I1497" t="s">
        <v>4267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2:30" x14ac:dyDescent="0.25">
      <c r="B1498" t="s">
        <v>133</v>
      </c>
      <c r="C1498" t="s">
        <v>3261</v>
      </c>
      <c r="D1498" t="s">
        <v>4498</v>
      </c>
      <c r="E1498" t="s">
        <v>4499</v>
      </c>
      <c r="F1498" t="s">
        <v>7560</v>
      </c>
      <c r="G1498" t="s">
        <v>3890</v>
      </c>
      <c r="H1498" t="s">
        <v>4476</v>
      </c>
      <c r="I1498" t="s">
        <v>4274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2:30" x14ac:dyDescent="0.25">
      <c r="B1499" t="s">
        <v>133</v>
      </c>
      <c r="C1499" t="s">
        <v>3261</v>
      </c>
      <c r="D1499" t="s">
        <v>4501</v>
      </c>
      <c r="E1499" t="s">
        <v>4502</v>
      </c>
      <c r="F1499" t="s">
        <v>7561</v>
      </c>
      <c r="G1499" t="s">
        <v>3890</v>
      </c>
      <c r="H1499" t="s">
        <v>4476</v>
      </c>
      <c r="I1499" t="s">
        <v>4278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2:30" x14ac:dyDescent="0.25">
      <c r="B1500" t="s">
        <v>133</v>
      </c>
      <c r="C1500" t="s">
        <v>3261</v>
      </c>
      <c r="D1500" t="s">
        <v>4504</v>
      </c>
      <c r="E1500" t="s">
        <v>4505</v>
      </c>
      <c r="F1500" t="s">
        <v>7562</v>
      </c>
      <c r="G1500" t="s">
        <v>3890</v>
      </c>
      <c r="H1500" t="s">
        <v>4476</v>
      </c>
      <c r="I1500" t="s">
        <v>4278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2:30" x14ac:dyDescent="0.25">
      <c r="B1501" t="s">
        <v>133</v>
      </c>
      <c r="C1501" t="s">
        <v>3261</v>
      </c>
      <c r="D1501" t="s">
        <v>4507</v>
      </c>
      <c r="E1501" t="s">
        <v>4508</v>
      </c>
      <c r="F1501" t="s">
        <v>7563</v>
      </c>
      <c r="G1501" t="s">
        <v>3890</v>
      </c>
      <c r="H1501" t="s">
        <v>4476</v>
      </c>
      <c r="I1501" t="s">
        <v>4278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2:30" x14ac:dyDescent="0.25">
      <c r="B1502" t="s">
        <v>133</v>
      </c>
      <c r="C1502" t="s">
        <v>3261</v>
      </c>
      <c r="D1502" t="s">
        <v>4510</v>
      </c>
      <c r="E1502" t="s">
        <v>4511</v>
      </c>
      <c r="F1502" t="s">
        <v>7564</v>
      </c>
      <c r="G1502" t="s">
        <v>3890</v>
      </c>
      <c r="H1502" t="s">
        <v>4476</v>
      </c>
      <c r="I1502" t="s">
        <v>4278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2:30" x14ac:dyDescent="0.25">
      <c r="B1503" t="s">
        <v>133</v>
      </c>
      <c r="C1503" t="s">
        <v>3261</v>
      </c>
      <c r="D1503" t="s">
        <v>4513</v>
      </c>
      <c r="E1503" t="s">
        <v>4514</v>
      </c>
      <c r="F1503" t="s">
        <v>7565</v>
      </c>
      <c r="G1503" t="s">
        <v>3890</v>
      </c>
      <c r="H1503" t="s">
        <v>4476</v>
      </c>
      <c r="I1503" t="s">
        <v>4263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2:30" x14ac:dyDescent="0.25">
      <c r="B1504" t="s">
        <v>133</v>
      </c>
      <c r="C1504" t="s">
        <v>3261</v>
      </c>
      <c r="D1504" t="s">
        <v>4516</v>
      </c>
      <c r="E1504" t="s">
        <v>4517</v>
      </c>
      <c r="F1504" t="s">
        <v>7566</v>
      </c>
      <c r="G1504" t="s">
        <v>3890</v>
      </c>
      <c r="H1504" t="s">
        <v>4476</v>
      </c>
      <c r="I1504" t="s">
        <v>4263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2:30" x14ac:dyDescent="0.25">
      <c r="B1505" t="s">
        <v>133</v>
      </c>
      <c r="C1505" t="s">
        <v>3261</v>
      </c>
      <c r="D1505" t="s">
        <v>4519</v>
      </c>
      <c r="E1505" t="s">
        <v>4520</v>
      </c>
      <c r="F1505" t="s">
        <v>7567</v>
      </c>
      <c r="G1505" t="s">
        <v>3890</v>
      </c>
      <c r="H1505" t="s">
        <v>4476</v>
      </c>
      <c r="I1505" t="s">
        <v>4267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2:30" x14ac:dyDescent="0.25">
      <c r="B1506" t="s">
        <v>133</v>
      </c>
      <c r="C1506" t="s">
        <v>3261</v>
      </c>
      <c r="D1506" t="s">
        <v>4522</v>
      </c>
      <c r="E1506" t="s">
        <v>4523</v>
      </c>
      <c r="F1506" t="s">
        <v>7568</v>
      </c>
      <c r="G1506" t="s">
        <v>3890</v>
      </c>
      <c r="H1506" t="s">
        <v>4476</v>
      </c>
      <c r="I1506" t="s">
        <v>4267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2:30" x14ac:dyDescent="0.25">
      <c r="B1507" t="s">
        <v>133</v>
      </c>
      <c r="C1507" t="s">
        <v>3261</v>
      </c>
      <c r="D1507" t="s">
        <v>4525</v>
      </c>
      <c r="E1507" t="s">
        <v>4526</v>
      </c>
      <c r="F1507" t="s">
        <v>7569</v>
      </c>
      <c r="G1507" t="s">
        <v>3890</v>
      </c>
      <c r="H1507" t="s">
        <v>4476</v>
      </c>
      <c r="I1507" t="s">
        <v>4267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2:30" x14ac:dyDescent="0.25">
      <c r="B1508" t="s">
        <v>133</v>
      </c>
      <c r="C1508" t="s">
        <v>3261</v>
      </c>
      <c r="D1508" t="s">
        <v>4528</v>
      </c>
      <c r="E1508" t="s">
        <v>4529</v>
      </c>
      <c r="F1508" t="s">
        <v>7570</v>
      </c>
      <c r="G1508" t="s">
        <v>3890</v>
      </c>
      <c r="H1508" t="s">
        <v>4476</v>
      </c>
      <c r="I1508" t="s">
        <v>4267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2:30" x14ac:dyDescent="0.25">
      <c r="B1509" t="s">
        <v>133</v>
      </c>
      <c r="C1509" t="s">
        <v>3261</v>
      </c>
      <c r="D1509" t="s">
        <v>4531</v>
      </c>
      <c r="E1509" t="s">
        <v>4532</v>
      </c>
      <c r="F1509" t="s">
        <v>7571</v>
      </c>
      <c r="G1509" t="s">
        <v>3890</v>
      </c>
      <c r="H1509" t="s">
        <v>4476</v>
      </c>
      <c r="I1509" t="s">
        <v>4267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2:30" x14ac:dyDescent="0.25">
      <c r="B1510" t="s">
        <v>133</v>
      </c>
      <c r="C1510" t="s">
        <v>3261</v>
      </c>
      <c r="D1510" t="s">
        <v>4534</v>
      </c>
      <c r="E1510" t="s">
        <v>4535</v>
      </c>
      <c r="F1510" t="s">
        <v>7572</v>
      </c>
      <c r="G1510" t="s">
        <v>3890</v>
      </c>
      <c r="H1510" t="s">
        <v>4476</v>
      </c>
      <c r="I1510" t="s">
        <v>4267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2:30" x14ac:dyDescent="0.25">
      <c r="B1511" t="s">
        <v>133</v>
      </c>
      <c r="C1511" t="s">
        <v>3261</v>
      </c>
      <c r="D1511" t="s">
        <v>4537</v>
      </c>
      <c r="E1511" t="s">
        <v>4538</v>
      </c>
      <c r="F1511" t="s">
        <v>7573</v>
      </c>
      <c r="G1511" t="s">
        <v>3890</v>
      </c>
      <c r="H1511" t="s">
        <v>4476</v>
      </c>
      <c r="I1511" t="s">
        <v>4274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2:30" x14ac:dyDescent="0.25">
      <c r="B1512" t="s">
        <v>133</v>
      </c>
      <c r="C1512" t="s">
        <v>3261</v>
      </c>
      <c r="D1512" t="s">
        <v>4540</v>
      </c>
      <c r="E1512" t="s">
        <v>4541</v>
      </c>
      <c r="F1512" t="s">
        <v>7574</v>
      </c>
      <c r="G1512" t="s">
        <v>3890</v>
      </c>
      <c r="H1512" t="s">
        <v>4476</v>
      </c>
      <c r="I1512" t="s">
        <v>4278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2:30" x14ac:dyDescent="0.25">
      <c r="B1513" t="s">
        <v>133</v>
      </c>
      <c r="C1513" t="s">
        <v>3261</v>
      </c>
      <c r="D1513" t="s">
        <v>4543</v>
      </c>
      <c r="E1513" t="s">
        <v>4544</v>
      </c>
      <c r="F1513" t="s">
        <v>7575</v>
      </c>
      <c r="G1513" t="s">
        <v>3890</v>
      </c>
      <c r="H1513" t="s">
        <v>4476</v>
      </c>
      <c r="I1513" t="s">
        <v>4278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2:30" x14ac:dyDescent="0.25">
      <c r="B1514" t="s">
        <v>133</v>
      </c>
      <c r="C1514" t="s">
        <v>3261</v>
      </c>
      <c r="D1514" t="s">
        <v>4546</v>
      </c>
      <c r="E1514" t="s">
        <v>4547</v>
      </c>
      <c r="F1514" t="s">
        <v>7576</v>
      </c>
      <c r="G1514" t="s">
        <v>3890</v>
      </c>
      <c r="H1514" t="s">
        <v>4476</v>
      </c>
      <c r="I1514" t="s">
        <v>4278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2:30" x14ac:dyDescent="0.25">
      <c r="B1515" t="s">
        <v>133</v>
      </c>
      <c r="C1515" t="s">
        <v>3261</v>
      </c>
      <c r="D1515" t="s">
        <v>4549</v>
      </c>
      <c r="E1515" t="s">
        <v>4550</v>
      </c>
      <c r="F1515" t="s">
        <v>7577</v>
      </c>
      <c r="G1515" t="s">
        <v>3890</v>
      </c>
      <c r="H1515" t="s">
        <v>4476</v>
      </c>
      <c r="I1515" t="s">
        <v>4278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2:30" x14ac:dyDescent="0.25">
      <c r="B1516" t="s">
        <v>133</v>
      </c>
      <c r="C1516" t="s">
        <v>3261</v>
      </c>
      <c r="D1516" t="s">
        <v>4552</v>
      </c>
      <c r="E1516" t="s">
        <v>4553</v>
      </c>
      <c r="F1516" t="s">
        <v>7578</v>
      </c>
      <c r="G1516" t="s">
        <v>3890</v>
      </c>
      <c r="H1516" t="s">
        <v>4555</v>
      </c>
      <c r="I1516" t="s">
        <v>4263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2:30" x14ac:dyDescent="0.25">
      <c r="B1517" t="s">
        <v>133</v>
      </c>
      <c r="C1517" t="s">
        <v>3261</v>
      </c>
      <c r="D1517" t="s">
        <v>4556</v>
      </c>
      <c r="E1517" t="s">
        <v>4557</v>
      </c>
      <c r="F1517" t="s">
        <v>7579</v>
      </c>
      <c r="G1517" t="s">
        <v>3890</v>
      </c>
      <c r="H1517" t="s">
        <v>4555</v>
      </c>
      <c r="I1517" t="s">
        <v>4263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2:30" x14ac:dyDescent="0.25">
      <c r="B1518" t="s">
        <v>133</v>
      </c>
      <c r="C1518" t="s">
        <v>3261</v>
      </c>
      <c r="D1518" t="s">
        <v>4559</v>
      </c>
      <c r="E1518" t="s">
        <v>4560</v>
      </c>
      <c r="F1518" t="s">
        <v>7580</v>
      </c>
      <c r="G1518" t="s">
        <v>3890</v>
      </c>
      <c r="H1518" t="s">
        <v>4555</v>
      </c>
      <c r="I1518" t="s">
        <v>4267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2:30" x14ac:dyDescent="0.25">
      <c r="B1519" t="s">
        <v>133</v>
      </c>
      <c r="C1519" t="s">
        <v>3261</v>
      </c>
      <c r="D1519" t="s">
        <v>4562</v>
      </c>
      <c r="E1519" t="s">
        <v>4563</v>
      </c>
      <c r="F1519" t="s">
        <v>7581</v>
      </c>
      <c r="G1519" t="s">
        <v>3890</v>
      </c>
      <c r="H1519" t="s">
        <v>4555</v>
      </c>
      <c r="I1519" t="s">
        <v>4267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2:30" x14ac:dyDescent="0.25">
      <c r="B1520" t="s">
        <v>133</v>
      </c>
      <c r="C1520" t="s">
        <v>3261</v>
      </c>
      <c r="D1520" t="s">
        <v>4565</v>
      </c>
      <c r="E1520" t="s">
        <v>4566</v>
      </c>
      <c r="F1520" t="s">
        <v>7582</v>
      </c>
      <c r="G1520" t="s">
        <v>3890</v>
      </c>
      <c r="H1520" t="s">
        <v>4555</v>
      </c>
      <c r="I1520" t="s">
        <v>4267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2:30" x14ac:dyDescent="0.25">
      <c r="B1521" t="s">
        <v>133</v>
      </c>
      <c r="C1521" t="s">
        <v>3261</v>
      </c>
      <c r="D1521" t="s">
        <v>4568</v>
      </c>
      <c r="E1521" t="s">
        <v>4569</v>
      </c>
      <c r="F1521" t="s">
        <v>7583</v>
      </c>
      <c r="G1521" t="s">
        <v>3890</v>
      </c>
      <c r="H1521" t="s">
        <v>4555</v>
      </c>
      <c r="I1521" t="s">
        <v>4267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2:30" x14ac:dyDescent="0.25">
      <c r="B1522" t="s">
        <v>133</v>
      </c>
      <c r="C1522" t="s">
        <v>3261</v>
      </c>
      <c r="D1522" t="s">
        <v>4571</v>
      </c>
      <c r="E1522" t="s">
        <v>4572</v>
      </c>
      <c r="F1522" t="s">
        <v>7584</v>
      </c>
      <c r="G1522" t="s">
        <v>3890</v>
      </c>
      <c r="H1522" t="s">
        <v>4555</v>
      </c>
      <c r="I1522" t="s">
        <v>4267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2:30" x14ac:dyDescent="0.25">
      <c r="B1523" t="s">
        <v>133</v>
      </c>
      <c r="C1523" t="s">
        <v>3261</v>
      </c>
      <c r="D1523" t="s">
        <v>4574</v>
      </c>
      <c r="E1523" t="s">
        <v>4575</v>
      </c>
      <c r="F1523" t="s">
        <v>7585</v>
      </c>
      <c r="G1523" t="s">
        <v>3890</v>
      </c>
      <c r="H1523" t="s">
        <v>4555</v>
      </c>
      <c r="I1523" t="s">
        <v>4267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2:30" x14ac:dyDescent="0.25">
      <c r="B1524" t="s">
        <v>133</v>
      </c>
      <c r="C1524" t="s">
        <v>3261</v>
      </c>
      <c r="D1524" t="s">
        <v>4577</v>
      </c>
      <c r="E1524" t="s">
        <v>4578</v>
      </c>
      <c r="F1524" t="s">
        <v>7586</v>
      </c>
      <c r="G1524" t="s">
        <v>3890</v>
      </c>
      <c r="H1524" t="s">
        <v>4555</v>
      </c>
      <c r="I1524" t="s">
        <v>4274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2:30" x14ac:dyDescent="0.25">
      <c r="B1525" t="s">
        <v>133</v>
      </c>
      <c r="C1525" t="s">
        <v>3261</v>
      </c>
      <c r="D1525" t="s">
        <v>4580</v>
      </c>
      <c r="E1525" t="s">
        <v>4581</v>
      </c>
      <c r="F1525" t="s">
        <v>7587</v>
      </c>
      <c r="G1525" t="s">
        <v>3890</v>
      </c>
      <c r="H1525" t="s">
        <v>4555</v>
      </c>
      <c r="I1525" t="s">
        <v>4278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2:30" x14ac:dyDescent="0.25">
      <c r="B1526" t="s">
        <v>133</v>
      </c>
      <c r="C1526" t="s">
        <v>3261</v>
      </c>
      <c r="D1526" t="s">
        <v>4583</v>
      </c>
      <c r="E1526" t="s">
        <v>4584</v>
      </c>
      <c r="F1526" t="s">
        <v>7588</v>
      </c>
      <c r="G1526" t="s">
        <v>3890</v>
      </c>
      <c r="H1526" t="s">
        <v>4555</v>
      </c>
      <c r="I1526" t="s">
        <v>4278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2:30" x14ac:dyDescent="0.25">
      <c r="B1527" t="s">
        <v>133</v>
      </c>
      <c r="C1527" t="s">
        <v>3261</v>
      </c>
      <c r="D1527" t="s">
        <v>4586</v>
      </c>
      <c r="E1527" t="s">
        <v>4587</v>
      </c>
      <c r="F1527" t="s">
        <v>7589</v>
      </c>
      <c r="G1527" t="s">
        <v>3890</v>
      </c>
      <c r="H1527" t="s">
        <v>4555</v>
      </c>
      <c r="I1527" t="s">
        <v>4278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2:30" x14ac:dyDescent="0.25">
      <c r="B1528" t="s">
        <v>133</v>
      </c>
      <c r="C1528" t="s">
        <v>3261</v>
      </c>
      <c r="D1528" t="s">
        <v>4589</v>
      </c>
      <c r="E1528" t="s">
        <v>4590</v>
      </c>
      <c r="F1528" t="s">
        <v>7590</v>
      </c>
      <c r="G1528" t="s">
        <v>3890</v>
      </c>
      <c r="H1528" t="s">
        <v>4555</v>
      </c>
      <c r="I1528" t="s">
        <v>4278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2:30" x14ac:dyDescent="0.25">
      <c r="B1529" t="s">
        <v>133</v>
      </c>
      <c r="C1529" t="s">
        <v>3261</v>
      </c>
      <c r="D1529" t="s">
        <v>4592</v>
      </c>
      <c r="E1529" t="s">
        <v>4593</v>
      </c>
      <c r="F1529" t="s">
        <v>7591</v>
      </c>
      <c r="G1529" t="s">
        <v>3890</v>
      </c>
      <c r="H1529" t="s">
        <v>4595</v>
      </c>
      <c r="I1529" t="s">
        <v>4596</v>
      </c>
      <c r="J1529">
        <v>1</v>
      </c>
      <c r="K1529">
        <v>3.4550000000000001</v>
      </c>
      <c r="L1529">
        <v>2.194</v>
      </c>
      <c r="M1529">
        <v>1.6850000000000001</v>
      </c>
      <c r="N1529">
        <v>1.6850000000000001</v>
      </c>
      <c r="O1529">
        <v>1.6850000000000001</v>
      </c>
      <c r="P1529">
        <v>1.6850000000000001</v>
      </c>
      <c r="Q1529">
        <v>1.6850000000000001</v>
      </c>
      <c r="R1529">
        <v>1.6850000000000001</v>
      </c>
      <c r="S1529">
        <v>1.6850000000000001</v>
      </c>
      <c r="T1529">
        <v>1.6850000000000001</v>
      </c>
      <c r="U1529">
        <v>1.6850000000000001</v>
      </c>
      <c r="V1529">
        <v>1.6850000000000001</v>
      </c>
      <c r="W1529">
        <v>1.6850000000000001</v>
      </c>
      <c r="X1529">
        <v>1.6850000000000001</v>
      </c>
      <c r="Y1529">
        <v>1.6850000000000001</v>
      </c>
      <c r="Z1529">
        <v>1.6850000000000001</v>
      </c>
      <c r="AA1529">
        <v>1.6850000000000001</v>
      </c>
      <c r="AB1529">
        <v>1.6850000000000001</v>
      </c>
      <c r="AC1529">
        <v>1.6850000000000001</v>
      </c>
      <c r="AD1529">
        <v>1.6850000000000001</v>
      </c>
    </row>
    <row r="1530" spans="2:30" x14ac:dyDescent="0.25">
      <c r="B1530" t="s">
        <v>133</v>
      </c>
      <c r="C1530" t="s">
        <v>3261</v>
      </c>
      <c r="D1530" t="s">
        <v>4597</v>
      </c>
      <c r="E1530" t="s">
        <v>4598</v>
      </c>
      <c r="F1530" t="s">
        <v>7592</v>
      </c>
      <c r="G1530" t="s">
        <v>3890</v>
      </c>
      <c r="H1530" t="s">
        <v>4595</v>
      </c>
      <c r="I1530" t="s">
        <v>4596</v>
      </c>
      <c r="J1530">
        <v>1</v>
      </c>
      <c r="K1530">
        <v>-152.46100000000001</v>
      </c>
      <c r="L1530">
        <v>-120.94499999999999</v>
      </c>
      <c r="M1530">
        <v>-111.26300000000001</v>
      </c>
      <c r="N1530">
        <v>-112.407</v>
      </c>
      <c r="O1530">
        <v>-113.029</v>
      </c>
      <c r="P1530">
        <v>-110.715</v>
      </c>
      <c r="Q1530">
        <v>-107.973</v>
      </c>
      <c r="R1530">
        <v>-106.822</v>
      </c>
      <c r="S1530">
        <v>-106.319</v>
      </c>
      <c r="T1530">
        <v>-105.929</v>
      </c>
      <c r="U1530">
        <v>-105.684</v>
      </c>
      <c r="V1530">
        <v>-105.44499999999999</v>
      </c>
      <c r="W1530">
        <v>-105.214</v>
      </c>
      <c r="X1530">
        <v>-104.99299999999999</v>
      </c>
      <c r="Y1530">
        <v>-104.78400000000001</v>
      </c>
      <c r="Z1530">
        <v>-104.587</v>
      </c>
      <c r="AA1530">
        <v>-104.405</v>
      </c>
      <c r="AB1530">
        <v>-104.241</v>
      </c>
      <c r="AC1530">
        <v>-104.095</v>
      </c>
      <c r="AD1530">
        <v>-103.959</v>
      </c>
    </row>
    <row r="1531" spans="2:30" x14ac:dyDescent="0.25">
      <c r="B1531" t="s">
        <v>133</v>
      </c>
      <c r="C1531" t="s">
        <v>3261</v>
      </c>
      <c r="D1531" t="s">
        <v>4600</v>
      </c>
      <c r="E1531" t="s">
        <v>4601</v>
      </c>
      <c r="F1531" t="s">
        <v>7593</v>
      </c>
      <c r="G1531" t="s">
        <v>3890</v>
      </c>
      <c r="H1531" t="s">
        <v>4595</v>
      </c>
      <c r="I1531" t="s">
        <v>4596</v>
      </c>
      <c r="J1531">
        <v>1</v>
      </c>
      <c r="K1531">
        <v>-214.952</v>
      </c>
      <c r="L1531">
        <v>-225.435</v>
      </c>
      <c r="M1531">
        <v>-231.316</v>
      </c>
      <c r="N1531">
        <v>-185.77</v>
      </c>
      <c r="O1531">
        <v>-198.422</v>
      </c>
      <c r="P1531">
        <v>-179.35</v>
      </c>
      <c r="Q1531">
        <v>-174.102</v>
      </c>
      <c r="R1531">
        <v>-171.45699999999999</v>
      </c>
      <c r="S1531">
        <v>-169.14400000000001</v>
      </c>
      <c r="T1531">
        <v>-166.631</v>
      </c>
      <c r="U1531">
        <v>-166.631</v>
      </c>
      <c r="V1531">
        <v>-166.631</v>
      </c>
      <c r="W1531">
        <v>-166.631</v>
      </c>
      <c r="X1531">
        <v>-166.631</v>
      </c>
      <c r="Y1531">
        <v>-166.631</v>
      </c>
      <c r="Z1531">
        <v>-166.631</v>
      </c>
      <c r="AA1531">
        <v>-166.631</v>
      </c>
      <c r="AB1531">
        <v>-166.631</v>
      </c>
      <c r="AC1531">
        <v>-166.631</v>
      </c>
      <c r="AD1531">
        <v>-166.631</v>
      </c>
    </row>
    <row r="1532" spans="2:30" x14ac:dyDescent="0.25">
      <c r="B1532" t="s">
        <v>133</v>
      </c>
      <c r="C1532" t="s">
        <v>3261</v>
      </c>
      <c r="D1532" t="s">
        <v>4603</v>
      </c>
      <c r="E1532" t="s">
        <v>4604</v>
      </c>
      <c r="F1532" t="s">
        <v>7594</v>
      </c>
      <c r="G1532" t="s">
        <v>3890</v>
      </c>
      <c r="H1532" t="s">
        <v>4595</v>
      </c>
      <c r="I1532" t="s">
        <v>4596</v>
      </c>
      <c r="J1532">
        <v>1</v>
      </c>
      <c r="K1532">
        <v>-252.76300000000001</v>
      </c>
      <c r="L1532">
        <v>-218.88200000000001</v>
      </c>
      <c r="M1532">
        <v>-201.67699999999999</v>
      </c>
      <c r="N1532">
        <v>-165.696</v>
      </c>
      <c r="O1532">
        <v>-175.69200000000001</v>
      </c>
      <c r="P1532">
        <v>-160.624</v>
      </c>
      <c r="Q1532">
        <v>-156.47900000000001</v>
      </c>
      <c r="R1532">
        <v>-154.38900000000001</v>
      </c>
      <c r="S1532">
        <v>-152.56200000000001</v>
      </c>
      <c r="T1532">
        <v>-150.577</v>
      </c>
      <c r="U1532">
        <v>-150.577</v>
      </c>
      <c r="V1532">
        <v>-150.577</v>
      </c>
      <c r="W1532">
        <v>-150.577</v>
      </c>
      <c r="X1532">
        <v>-150.577</v>
      </c>
      <c r="Y1532">
        <v>-150.577</v>
      </c>
      <c r="Z1532">
        <v>-150.577</v>
      </c>
      <c r="AA1532">
        <v>-150.577</v>
      </c>
      <c r="AB1532">
        <v>-150.577</v>
      </c>
      <c r="AC1532">
        <v>-150.577</v>
      </c>
      <c r="AD1532">
        <v>-150.577</v>
      </c>
    </row>
    <row r="1533" spans="2:30" x14ac:dyDescent="0.25">
      <c r="B1533" t="s">
        <v>133</v>
      </c>
      <c r="C1533" t="s">
        <v>3261</v>
      </c>
      <c r="D1533" t="s">
        <v>4606</v>
      </c>
      <c r="E1533" t="s">
        <v>4607</v>
      </c>
      <c r="F1533" t="s">
        <v>7595</v>
      </c>
      <c r="G1533" t="s">
        <v>3890</v>
      </c>
      <c r="H1533" t="s">
        <v>4595</v>
      </c>
      <c r="I1533" t="s">
        <v>4596</v>
      </c>
      <c r="J1533">
        <v>1</v>
      </c>
      <c r="K1533">
        <v>-333.09699999999998</v>
      </c>
      <c r="L1533">
        <v>-314.64999999999998</v>
      </c>
      <c r="M1533">
        <v>-300.01</v>
      </c>
      <c r="N1533">
        <v>-260.95699999999999</v>
      </c>
      <c r="O1533">
        <v>-271.80599999999998</v>
      </c>
      <c r="P1533">
        <v>-255.452</v>
      </c>
      <c r="Q1533">
        <v>-250.953</v>
      </c>
      <c r="R1533">
        <v>-248.685</v>
      </c>
      <c r="S1533">
        <v>-246.702</v>
      </c>
      <c r="T1533">
        <v>-244.547</v>
      </c>
      <c r="U1533">
        <v>-244.547</v>
      </c>
      <c r="V1533">
        <v>-244.547</v>
      </c>
      <c r="W1533">
        <v>-244.547</v>
      </c>
      <c r="X1533">
        <v>-244.547</v>
      </c>
      <c r="Y1533">
        <v>-244.547</v>
      </c>
      <c r="Z1533">
        <v>-244.547</v>
      </c>
      <c r="AA1533">
        <v>-244.547</v>
      </c>
      <c r="AB1533">
        <v>-244.547</v>
      </c>
      <c r="AC1533">
        <v>-244.547</v>
      </c>
      <c r="AD1533">
        <v>-244.547</v>
      </c>
    </row>
    <row r="1534" spans="2:30" x14ac:dyDescent="0.25">
      <c r="B1534" t="s">
        <v>133</v>
      </c>
      <c r="C1534" t="s">
        <v>3261</v>
      </c>
      <c r="D1534" t="s">
        <v>4609</v>
      </c>
      <c r="E1534" t="s">
        <v>4610</v>
      </c>
      <c r="F1534" t="s">
        <v>7596</v>
      </c>
      <c r="G1534" t="s">
        <v>3890</v>
      </c>
      <c r="H1534" t="s">
        <v>4595</v>
      </c>
      <c r="I1534" t="s">
        <v>4596</v>
      </c>
      <c r="J1534">
        <v>1</v>
      </c>
      <c r="K1534">
        <v>-161.07599999999999</v>
      </c>
      <c r="L1534">
        <v>-186.827</v>
      </c>
      <c r="M1534">
        <v>-189.61500000000001</v>
      </c>
      <c r="N1534">
        <v>-155.803</v>
      </c>
      <c r="O1534">
        <v>-165.196</v>
      </c>
      <c r="P1534">
        <v>-151.03700000000001</v>
      </c>
      <c r="Q1534">
        <v>-147.14099999999999</v>
      </c>
      <c r="R1534">
        <v>-145.178</v>
      </c>
      <c r="S1534">
        <v>-143.46100000000001</v>
      </c>
      <c r="T1534">
        <v>-141.595</v>
      </c>
      <c r="U1534">
        <v>-141.595</v>
      </c>
      <c r="V1534">
        <v>-141.595</v>
      </c>
      <c r="W1534">
        <v>-141.595</v>
      </c>
      <c r="X1534">
        <v>-141.595</v>
      </c>
      <c r="Y1534">
        <v>-141.595</v>
      </c>
      <c r="Z1534">
        <v>-141.595</v>
      </c>
      <c r="AA1534">
        <v>-141.595</v>
      </c>
      <c r="AB1534">
        <v>-141.595</v>
      </c>
      <c r="AC1534">
        <v>-141.595</v>
      </c>
      <c r="AD1534">
        <v>-141.595</v>
      </c>
    </row>
    <row r="1535" spans="2:30" x14ac:dyDescent="0.25">
      <c r="B1535" t="s">
        <v>133</v>
      </c>
      <c r="C1535" t="s">
        <v>3261</v>
      </c>
      <c r="D1535" t="s">
        <v>4612</v>
      </c>
      <c r="E1535" t="s">
        <v>4613</v>
      </c>
      <c r="F1535" t="s">
        <v>7597</v>
      </c>
      <c r="G1535" t="s">
        <v>3890</v>
      </c>
      <c r="H1535" t="s">
        <v>4595</v>
      </c>
      <c r="I1535" t="s">
        <v>4596</v>
      </c>
      <c r="J1535">
        <v>1</v>
      </c>
      <c r="K1535">
        <v>-177.77199999999999</v>
      </c>
      <c r="L1535">
        <v>-146.50299999999999</v>
      </c>
      <c r="M1535">
        <v>-145.78299999999999</v>
      </c>
      <c r="N1535">
        <v>-145.78299999999999</v>
      </c>
      <c r="O1535">
        <v>-145.78299999999999</v>
      </c>
      <c r="P1535">
        <v>-145.78299999999999</v>
      </c>
      <c r="Q1535">
        <v>-145.78299999999999</v>
      </c>
      <c r="R1535">
        <v>-145.78299999999999</v>
      </c>
      <c r="S1535">
        <v>-145.78299999999999</v>
      </c>
      <c r="T1535">
        <v>-145.78299999999999</v>
      </c>
      <c r="U1535">
        <v>-145.78299999999999</v>
      </c>
      <c r="V1535">
        <v>-145.78299999999999</v>
      </c>
      <c r="W1535">
        <v>-145.78299999999999</v>
      </c>
      <c r="X1535">
        <v>-145.78299999999999</v>
      </c>
      <c r="Y1535">
        <v>-145.78299999999999</v>
      </c>
      <c r="Z1535">
        <v>-145.78299999999999</v>
      </c>
      <c r="AA1535">
        <v>-145.78299999999999</v>
      </c>
      <c r="AB1535">
        <v>-145.78299999999999</v>
      </c>
      <c r="AC1535">
        <v>-145.78299999999999</v>
      </c>
      <c r="AD1535">
        <v>-145.78299999999999</v>
      </c>
    </row>
    <row r="1536" spans="2:30" x14ac:dyDescent="0.25">
      <c r="B1536" t="s">
        <v>133</v>
      </c>
      <c r="C1536" t="s">
        <v>3261</v>
      </c>
      <c r="D1536" t="s">
        <v>4615</v>
      </c>
      <c r="E1536" t="s">
        <v>4616</v>
      </c>
      <c r="F1536" t="s">
        <v>7598</v>
      </c>
      <c r="G1536" t="s">
        <v>3890</v>
      </c>
      <c r="H1536" t="s">
        <v>4595</v>
      </c>
      <c r="I1536" t="s">
        <v>4596</v>
      </c>
      <c r="J1536">
        <v>1</v>
      </c>
      <c r="K1536">
        <v>-190.667</v>
      </c>
      <c r="L1536">
        <v>-169.041</v>
      </c>
      <c r="M1536">
        <v>-158.45599999999999</v>
      </c>
      <c r="N1536">
        <v>-143.017</v>
      </c>
      <c r="O1536">
        <v>-148.07300000000001</v>
      </c>
      <c r="P1536">
        <v>-141.453</v>
      </c>
      <c r="Q1536">
        <v>-138.78700000000001</v>
      </c>
      <c r="R1536">
        <v>-137.642</v>
      </c>
      <c r="S1536">
        <v>-136.953</v>
      </c>
      <c r="T1536">
        <v>-136.249</v>
      </c>
      <c r="U1536">
        <v>-136.53700000000001</v>
      </c>
      <c r="V1536">
        <v>-136.80099999999999</v>
      </c>
      <c r="W1536">
        <v>-137.03899999999999</v>
      </c>
      <c r="X1536">
        <v>-137.239</v>
      </c>
      <c r="Y1536">
        <v>-137.40199999999999</v>
      </c>
      <c r="Z1536">
        <v>-137.524</v>
      </c>
      <c r="AA1536">
        <v>-137.60300000000001</v>
      </c>
      <c r="AB1536">
        <v>-137.63200000000001</v>
      </c>
      <c r="AC1536">
        <v>-137.607</v>
      </c>
      <c r="AD1536">
        <v>-137.595</v>
      </c>
    </row>
    <row r="1537" spans="2:30" x14ac:dyDescent="0.25">
      <c r="B1537" t="s">
        <v>133</v>
      </c>
      <c r="C1537" t="s">
        <v>3261</v>
      </c>
      <c r="D1537" t="s">
        <v>4618</v>
      </c>
      <c r="E1537" t="s">
        <v>4619</v>
      </c>
      <c r="F1537" t="s">
        <v>7599</v>
      </c>
      <c r="G1537" t="s">
        <v>3890</v>
      </c>
      <c r="H1537" t="s">
        <v>4595</v>
      </c>
      <c r="I1537" t="s">
        <v>4596</v>
      </c>
      <c r="J1537">
        <v>1</v>
      </c>
      <c r="K1537">
        <v>3.4550000000000001</v>
      </c>
      <c r="L1537">
        <v>2.194</v>
      </c>
      <c r="M1537">
        <v>1.6850000000000001</v>
      </c>
      <c r="N1537">
        <v>1.6850000000000001</v>
      </c>
      <c r="O1537">
        <v>1.6850000000000001</v>
      </c>
      <c r="P1537">
        <v>1.6850000000000001</v>
      </c>
      <c r="Q1537">
        <v>1.6850000000000001</v>
      </c>
      <c r="R1537">
        <v>1.6850000000000001</v>
      </c>
      <c r="S1537">
        <v>1.6850000000000001</v>
      </c>
      <c r="T1537">
        <v>1.6850000000000001</v>
      </c>
      <c r="U1537">
        <v>1.6850000000000001</v>
      </c>
      <c r="V1537">
        <v>1.6850000000000001</v>
      </c>
      <c r="W1537">
        <v>1.6850000000000001</v>
      </c>
      <c r="X1537">
        <v>1.6850000000000001</v>
      </c>
      <c r="Y1537">
        <v>1.6850000000000001</v>
      </c>
      <c r="Z1537">
        <v>1.6850000000000001</v>
      </c>
      <c r="AA1537">
        <v>1.6850000000000001</v>
      </c>
      <c r="AB1537">
        <v>1.6850000000000001</v>
      </c>
      <c r="AC1537">
        <v>1.6850000000000001</v>
      </c>
      <c r="AD1537">
        <v>1.6850000000000001</v>
      </c>
    </row>
    <row r="1538" spans="2:30" x14ac:dyDescent="0.25">
      <c r="B1538" t="s">
        <v>133</v>
      </c>
      <c r="C1538" t="s">
        <v>3261</v>
      </c>
      <c r="D1538" t="s">
        <v>4621</v>
      </c>
      <c r="E1538" t="s">
        <v>4622</v>
      </c>
      <c r="F1538" t="s">
        <v>7600</v>
      </c>
      <c r="G1538" t="s">
        <v>3890</v>
      </c>
      <c r="H1538" t="s">
        <v>4595</v>
      </c>
      <c r="I1538" t="s">
        <v>4596</v>
      </c>
      <c r="J1538">
        <v>1</v>
      </c>
      <c r="K1538">
        <v>-152.46100000000001</v>
      </c>
      <c r="L1538">
        <v>-120.94499999999999</v>
      </c>
      <c r="M1538">
        <v>-111.26300000000001</v>
      </c>
      <c r="N1538">
        <v>-112.407</v>
      </c>
      <c r="O1538">
        <v>-113.029</v>
      </c>
      <c r="P1538">
        <v>-110.715</v>
      </c>
      <c r="Q1538">
        <v>-107.973</v>
      </c>
      <c r="R1538">
        <v>-106.854</v>
      </c>
      <c r="S1538">
        <v>-106.346</v>
      </c>
      <c r="T1538">
        <v>-105.94</v>
      </c>
      <c r="U1538">
        <v>-105.66500000000001</v>
      </c>
      <c r="V1538">
        <v>-105.387</v>
      </c>
      <c r="W1538">
        <v>-105.108</v>
      </c>
      <c r="X1538">
        <v>-104.82899999999999</v>
      </c>
      <c r="Y1538">
        <v>-104.55200000000001</v>
      </c>
      <c r="Z1538">
        <v>-104.27800000000001</v>
      </c>
      <c r="AA1538">
        <v>-104.011</v>
      </c>
      <c r="AB1538">
        <v>-103.753</v>
      </c>
      <c r="AC1538">
        <v>-103.506</v>
      </c>
      <c r="AD1538">
        <v>-103.26300000000001</v>
      </c>
    </row>
    <row r="1539" spans="2:30" x14ac:dyDescent="0.25">
      <c r="B1539" t="s">
        <v>133</v>
      </c>
      <c r="C1539" t="s">
        <v>3261</v>
      </c>
      <c r="D1539" t="s">
        <v>4624</v>
      </c>
      <c r="E1539" t="s">
        <v>4625</v>
      </c>
      <c r="F1539" t="s">
        <v>7601</v>
      </c>
      <c r="G1539" t="s">
        <v>3890</v>
      </c>
      <c r="H1539" t="s">
        <v>4595</v>
      </c>
      <c r="I1539" t="s">
        <v>4596</v>
      </c>
      <c r="J1539">
        <v>1</v>
      </c>
      <c r="K1539">
        <v>-214.952</v>
      </c>
      <c r="L1539">
        <v>-225.435</v>
      </c>
      <c r="M1539">
        <v>-231.316</v>
      </c>
      <c r="N1539">
        <v>-185.77</v>
      </c>
      <c r="O1539">
        <v>-198.422</v>
      </c>
      <c r="P1539">
        <v>-179.35</v>
      </c>
      <c r="Q1539">
        <v>-174.102</v>
      </c>
      <c r="R1539">
        <v>-171.45699999999999</v>
      </c>
      <c r="S1539">
        <v>-169.14400000000001</v>
      </c>
      <c r="T1539">
        <v>-166.631</v>
      </c>
      <c r="U1539">
        <v>-166.631</v>
      </c>
      <c r="V1539">
        <v>-166.631</v>
      </c>
      <c r="W1539">
        <v>-166.631</v>
      </c>
      <c r="X1539">
        <v>-166.631</v>
      </c>
      <c r="Y1539">
        <v>-166.631</v>
      </c>
      <c r="Z1539">
        <v>-166.631</v>
      </c>
      <c r="AA1539">
        <v>-166.631</v>
      </c>
      <c r="AB1539">
        <v>-166.631</v>
      </c>
      <c r="AC1539">
        <v>-166.631</v>
      </c>
      <c r="AD1539">
        <v>-166.631</v>
      </c>
    </row>
    <row r="1540" spans="2:30" x14ac:dyDescent="0.25">
      <c r="B1540" t="s">
        <v>133</v>
      </c>
      <c r="C1540" t="s">
        <v>3261</v>
      </c>
      <c r="D1540" t="s">
        <v>4627</v>
      </c>
      <c r="E1540" t="s">
        <v>4628</v>
      </c>
      <c r="F1540" t="s">
        <v>7602</v>
      </c>
      <c r="G1540" t="s">
        <v>3890</v>
      </c>
      <c r="H1540" t="s">
        <v>4595</v>
      </c>
      <c r="I1540" t="s">
        <v>4596</v>
      </c>
      <c r="J1540">
        <v>1</v>
      </c>
      <c r="K1540">
        <v>-252.76300000000001</v>
      </c>
      <c r="L1540">
        <v>-218.88200000000001</v>
      </c>
      <c r="M1540">
        <v>-201.67699999999999</v>
      </c>
      <c r="N1540">
        <v>-165.696</v>
      </c>
      <c r="O1540">
        <v>-175.69200000000001</v>
      </c>
      <c r="P1540">
        <v>-160.624</v>
      </c>
      <c r="Q1540">
        <v>-156.47900000000001</v>
      </c>
      <c r="R1540">
        <v>-154.38900000000001</v>
      </c>
      <c r="S1540">
        <v>-152.56200000000001</v>
      </c>
      <c r="T1540">
        <v>-150.577</v>
      </c>
      <c r="U1540">
        <v>-150.577</v>
      </c>
      <c r="V1540">
        <v>-150.577</v>
      </c>
      <c r="W1540">
        <v>-150.577</v>
      </c>
      <c r="X1540">
        <v>-150.577</v>
      </c>
      <c r="Y1540">
        <v>-150.577</v>
      </c>
      <c r="Z1540">
        <v>-150.577</v>
      </c>
      <c r="AA1540">
        <v>-150.577</v>
      </c>
      <c r="AB1540">
        <v>-150.577</v>
      </c>
      <c r="AC1540">
        <v>-150.577</v>
      </c>
      <c r="AD1540">
        <v>-150.577</v>
      </c>
    </row>
    <row r="1541" spans="2:30" x14ac:dyDescent="0.25">
      <c r="B1541" t="s">
        <v>133</v>
      </c>
      <c r="C1541" t="s">
        <v>3261</v>
      </c>
      <c r="D1541" t="s">
        <v>4630</v>
      </c>
      <c r="E1541" t="s">
        <v>4631</v>
      </c>
      <c r="F1541" t="s">
        <v>7603</v>
      </c>
      <c r="G1541" t="s">
        <v>3890</v>
      </c>
      <c r="H1541" t="s">
        <v>4595</v>
      </c>
      <c r="I1541" t="s">
        <v>4596</v>
      </c>
      <c r="J1541">
        <v>1</v>
      </c>
      <c r="K1541">
        <v>-333.09699999999998</v>
      </c>
      <c r="L1541">
        <v>-314.64999999999998</v>
      </c>
      <c r="M1541">
        <v>-300.01</v>
      </c>
      <c r="N1541">
        <v>-260.95699999999999</v>
      </c>
      <c r="O1541">
        <v>-271.80599999999998</v>
      </c>
      <c r="P1541">
        <v>-255.452</v>
      </c>
      <c r="Q1541">
        <v>-250.953</v>
      </c>
      <c r="R1541">
        <v>-248.685</v>
      </c>
      <c r="S1541">
        <v>-246.702</v>
      </c>
      <c r="T1541">
        <v>-244.547</v>
      </c>
      <c r="U1541">
        <v>-244.547</v>
      </c>
      <c r="V1541">
        <v>-244.547</v>
      </c>
      <c r="W1541">
        <v>-244.547</v>
      </c>
      <c r="X1541">
        <v>-244.547</v>
      </c>
      <c r="Y1541">
        <v>-244.547</v>
      </c>
      <c r="Z1541">
        <v>-244.547</v>
      </c>
      <c r="AA1541">
        <v>-244.547</v>
      </c>
      <c r="AB1541">
        <v>-244.547</v>
      </c>
      <c r="AC1541">
        <v>-244.547</v>
      </c>
      <c r="AD1541">
        <v>-244.547</v>
      </c>
    </row>
    <row r="1542" spans="2:30" x14ac:dyDescent="0.25">
      <c r="B1542" t="s">
        <v>133</v>
      </c>
      <c r="C1542" t="s">
        <v>3261</v>
      </c>
      <c r="D1542" t="s">
        <v>4633</v>
      </c>
      <c r="E1542" t="s">
        <v>4634</v>
      </c>
      <c r="F1542" t="s">
        <v>7604</v>
      </c>
      <c r="G1542" t="s">
        <v>3890</v>
      </c>
      <c r="H1542" t="s">
        <v>4595</v>
      </c>
      <c r="I1542" t="s">
        <v>4596</v>
      </c>
      <c r="J1542">
        <v>1</v>
      </c>
      <c r="K1542">
        <v>-161.07599999999999</v>
      </c>
      <c r="L1542">
        <v>-186.827</v>
      </c>
      <c r="M1542">
        <v>-189.61500000000001</v>
      </c>
      <c r="N1542">
        <v>-155.803</v>
      </c>
      <c r="O1542">
        <v>-165.196</v>
      </c>
      <c r="P1542">
        <v>-151.03700000000001</v>
      </c>
      <c r="Q1542">
        <v>-147.14099999999999</v>
      </c>
      <c r="R1542">
        <v>-145.178</v>
      </c>
      <c r="S1542">
        <v>-143.46100000000001</v>
      </c>
      <c r="T1542">
        <v>-141.595</v>
      </c>
      <c r="U1542">
        <v>-141.595</v>
      </c>
      <c r="V1542">
        <v>-141.595</v>
      </c>
      <c r="W1542">
        <v>-141.595</v>
      </c>
      <c r="X1542">
        <v>-141.595</v>
      </c>
      <c r="Y1542">
        <v>-141.595</v>
      </c>
      <c r="Z1542">
        <v>-141.595</v>
      </c>
      <c r="AA1542">
        <v>-141.595</v>
      </c>
      <c r="AB1542">
        <v>-141.595</v>
      </c>
      <c r="AC1542">
        <v>-141.595</v>
      </c>
      <c r="AD1542">
        <v>-141.595</v>
      </c>
    </row>
    <row r="1543" spans="2:30" x14ac:dyDescent="0.25">
      <c r="B1543" t="s">
        <v>133</v>
      </c>
      <c r="C1543" t="s">
        <v>3261</v>
      </c>
      <c r="D1543" t="s">
        <v>4636</v>
      </c>
      <c r="E1543" t="s">
        <v>4637</v>
      </c>
      <c r="F1543" t="s">
        <v>7605</v>
      </c>
      <c r="G1543" t="s">
        <v>3890</v>
      </c>
      <c r="H1543" t="s">
        <v>4595</v>
      </c>
      <c r="I1543" t="s">
        <v>4596</v>
      </c>
      <c r="J1543">
        <v>1</v>
      </c>
      <c r="K1543">
        <v>-177.77199999999999</v>
      </c>
      <c r="L1543">
        <v>-146.50299999999999</v>
      </c>
      <c r="M1543">
        <v>-145.78299999999999</v>
      </c>
      <c r="N1543">
        <v>-145.78299999999999</v>
      </c>
      <c r="O1543">
        <v>-145.78299999999999</v>
      </c>
      <c r="P1543">
        <v>-145.78299999999999</v>
      </c>
      <c r="Q1543">
        <v>-145.78299999999999</v>
      </c>
      <c r="R1543">
        <v>-145.78299999999999</v>
      </c>
      <c r="S1543">
        <v>-145.78299999999999</v>
      </c>
      <c r="T1543">
        <v>-145.78299999999999</v>
      </c>
      <c r="U1543">
        <v>-145.78299999999999</v>
      </c>
      <c r="V1543">
        <v>-145.78299999999999</v>
      </c>
      <c r="W1543">
        <v>-145.78299999999999</v>
      </c>
      <c r="X1543">
        <v>-145.78299999999999</v>
      </c>
      <c r="Y1543">
        <v>-145.78299999999999</v>
      </c>
      <c r="Z1543">
        <v>-145.78299999999999</v>
      </c>
      <c r="AA1543">
        <v>-145.78299999999999</v>
      </c>
      <c r="AB1543">
        <v>-145.78299999999999</v>
      </c>
      <c r="AC1543">
        <v>-145.78299999999999</v>
      </c>
      <c r="AD1543">
        <v>-145.78299999999999</v>
      </c>
    </row>
    <row r="1544" spans="2:30" x14ac:dyDescent="0.25">
      <c r="B1544" t="s">
        <v>133</v>
      </c>
      <c r="C1544" t="s">
        <v>3261</v>
      </c>
      <c r="D1544" t="s">
        <v>4639</v>
      </c>
      <c r="E1544" t="s">
        <v>4640</v>
      </c>
      <c r="F1544" t="s">
        <v>7606</v>
      </c>
      <c r="G1544" t="s">
        <v>3890</v>
      </c>
      <c r="H1544" t="s">
        <v>4595</v>
      </c>
      <c r="I1544" t="s">
        <v>4596</v>
      </c>
      <c r="J1544">
        <v>2</v>
      </c>
      <c r="K1544">
        <v>-190.667</v>
      </c>
      <c r="L1544">
        <v>-169.041</v>
      </c>
      <c r="M1544">
        <v>-158.45599999999999</v>
      </c>
      <c r="N1544">
        <v>-143.017</v>
      </c>
      <c r="O1544">
        <v>-148.07300000000001</v>
      </c>
      <c r="P1544">
        <v>-141.453</v>
      </c>
      <c r="Q1544">
        <v>-138.78700000000001</v>
      </c>
      <c r="R1544">
        <v>-138.36199999999999</v>
      </c>
      <c r="S1544">
        <v>-137.98099999999999</v>
      </c>
      <c r="T1544">
        <v>-137.59200000000001</v>
      </c>
      <c r="U1544">
        <v>-138.11000000000001</v>
      </c>
      <c r="V1544">
        <v>-138.61199999999999</v>
      </c>
      <c r="W1544">
        <v>-139.05600000000001</v>
      </c>
      <c r="X1544">
        <v>-139.452</v>
      </c>
      <c r="Y1544">
        <v>-139.79400000000001</v>
      </c>
      <c r="Z1544">
        <v>-140.08199999999999</v>
      </c>
      <c r="AA1544">
        <v>-140.31399999999999</v>
      </c>
      <c r="AB1544">
        <v>-140.489</v>
      </c>
      <c r="AC1544">
        <v>-140.61500000000001</v>
      </c>
      <c r="AD1544">
        <v>-140.72900000000001</v>
      </c>
    </row>
    <row r="1545" spans="2:30" x14ac:dyDescent="0.25">
      <c r="B1545" t="s">
        <v>133</v>
      </c>
      <c r="C1545" t="s">
        <v>3261</v>
      </c>
      <c r="D1545" t="s">
        <v>4642</v>
      </c>
      <c r="E1545" t="s">
        <v>4643</v>
      </c>
      <c r="F1545" t="s">
        <v>7607</v>
      </c>
      <c r="G1545" t="s">
        <v>3890</v>
      </c>
      <c r="H1545" t="s">
        <v>4645</v>
      </c>
      <c r="I1545" t="s">
        <v>4646</v>
      </c>
      <c r="J1545">
        <v>2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  <c r="W1545" t="e">
        <v>#N/A</v>
      </c>
      <c r="X1545" t="e">
        <v>#N/A</v>
      </c>
      <c r="Y1545" t="e">
        <v>#N/A</v>
      </c>
      <c r="Z1545" t="e">
        <v>#N/A</v>
      </c>
      <c r="AA1545" t="e">
        <v>#N/A</v>
      </c>
      <c r="AB1545" t="e">
        <v>#N/A</v>
      </c>
      <c r="AC1545" t="e">
        <v>#N/A</v>
      </c>
      <c r="AD1545" t="e">
        <v>#N/A</v>
      </c>
    </row>
    <row r="1546" spans="2:30" x14ac:dyDescent="0.25">
      <c r="B1546" t="s">
        <v>133</v>
      </c>
      <c r="C1546" t="s">
        <v>3261</v>
      </c>
      <c r="D1546" t="s">
        <v>4647</v>
      </c>
      <c r="E1546" t="s">
        <v>4648</v>
      </c>
      <c r="F1546" t="s">
        <v>7608</v>
      </c>
      <c r="G1546" t="s">
        <v>3890</v>
      </c>
      <c r="H1546" t="s">
        <v>4394</v>
      </c>
      <c r="I1546" t="s">
        <v>4646</v>
      </c>
      <c r="J1546">
        <v>2</v>
      </c>
      <c r="K1546">
        <v>0.96299999999999997</v>
      </c>
      <c r="L1546">
        <v>0.81799999999999995</v>
      </c>
      <c r="M1546">
        <v>0.76400000000000001</v>
      </c>
      <c r="N1546">
        <v>0.67100000000000004</v>
      </c>
      <c r="O1546">
        <v>0.69699999999999995</v>
      </c>
      <c r="P1546">
        <v>0.65800000000000003</v>
      </c>
      <c r="Q1546">
        <v>0.64700000000000002</v>
      </c>
      <c r="R1546">
        <v>0.64200000000000002</v>
      </c>
      <c r="S1546">
        <v>0.63700000000000001</v>
      </c>
      <c r="T1546">
        <v>0.63200000000000001</v>
      </c>
      <c r="U1546">
        <v>0.63200000000000001</v>
      </c>
      <c r="V1546">
        <v>0.63200000000000001</v>
      </c>
      <c r="W1546">
        <v>0.63200000000000001</v>
      </c>
      <c r="X1546">
        <v>0.63200000000000001</v>
      </c>
      <c r="Y1546">
        <v>0.63200000000000001</v>
      </c>
      <c r="Z1546">
        <v>0.63200000000000001</v>
      </c>
      <c r="AA1546">
        <v>0.63200000000000001</v>
      </c>
      <c r="AB1546">
        <v>0.63200000000000001</v>
      </c>
      <c r="AC1546">
        <v>0.63200000000000001</v>
      </c>
      <c r="AD1546">
        <v>0.63200000000000001</v>
      </c>
    </row>
    <row r="1547" spans="2:30" x14ac:dyDescent="0.25">
      <c r="B1547" t="s">
        <v>133</v>
      </c>
      <c r="C1547" t="s">
        <v>3261</v>
      </c>
      <c r="D1547" t="s">
        <v>4650</v>
      </c>
      <c r="E1547" t="s">
        <v>4651</v>
      </c>
      <c r="F1547" t="s">
        <v>7609</v>
      </c>
      <c r="G1547" t="s">
        <v>3890</v>
      </c>
      <c r="H1547" t="s">
        <v>4653</v>
      </c>
      <c r="I1547" t="s">
        <v>4646</v>
      </c>
      <c r="J1547">
        <v>2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  <c r="W1547" t="e">
        <v>#N/A</v>
      </c>
      <c r="X1547" t="e">
        <v>#N/A</v>
      </c>
      <c r="Y1547" t="e">
        <v>#N/A</v>
      </c>
      <c r="Z1547" t="e">
        <v>#N/A</v>
      </c>
      <c r="AA1547" t="e">
        <v>#N/A</v>
      </c>
      <c r="AB1547" t="e">
        <v>#N/A</v>
      </c>
      <c r="AC1547" t="e">
        <v>#N/A</v>
      </c>
      <c r="AD1547" t="e">
        <v>#N/A</v>
      </c>
    </row>
    <row r="1548" spans="2:30" x14ac:dyDescent="0.25">
      <c r="B1548" t="s">
        <v>133</v>
      </c>
      <c r="C1548" t="s">
        <v>3261</v>
      </c>
      <c r="D1548" t="s">
        <v>4654</v>
      </c>
      <c r="E1548" t="s">
        <v>4655</v>
      </c>
      <c r="F1548" t="s">
        <v>7610</v>
      </c>
      <c r="G1548" t="s">
        <v>3890</v>
      </c>
      <c r="H1548" t="s">
        <v>4657</v>
      </c>
      <c r="I1548" t="s">
        <v>4646</v>
      </c>
      <c r="J1548">
        <v>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2:30" x14ac:dyDescent="0.25">
      <c r="B1549" t="s">
        <v>133</v>
      </c>
      <c r="C1549" t="s">
        <v>3261</v>
      </c>
      <c r="D1549" t="s">
        <v>4658</v>
      </c>
      <c r="E1549" t="s">
        <v>4659</v>
      </c>
      <c r="F1549" t="s">
        <v>7611</v>
      </c>
      <c r="G1549" t="s">
        <v>3890</v>
      </c>
      <c r="H1549" t="s">
        <v>4661</v>
      </c>
      <c r="I1549" t="s">
        <v>4646</v>
      </c>
      <c r="J1549">
        <v>2</v>
      </c>
      <c r="K1549">
        <v>3.5999999999999997E-2</v>
      </c>
      <c r="L1549">
        <v>3.7999999999999999E-2</v>
      </c>
      <c r="M1549">
        <v>3.6999999999999998E-2</v>
      </c>
      <c r="N1549">
        <v>0.04</v>
      </c>
      <c r="O1549">
        <v>4.2000000000000003E-2</v>
      </c>
      <c r="P1549">
        <v>4.5999999999999999E-2</v>
      </c>
      <c r="Q1549">
        <v>4.9000000000000002E-2</v>
      </c>
      <c r="R1549">
        <v>5.2999999999999999E-2</v>
      </c>
      <c r="S1549">
        <v>5.7000000000000002E-2</v>
      </c>
      <c r="T1549">
        <v>6.2E-2</v>
      </c>
      <c r="U1549">
        <v>6.6000000000000003E-2</v>
      </c>
      <c r="V1549">
        <v>7.0999999999999994E-2</v>
      </c>
      <c r="W1549">
        <v>7.6999999999999999E-2</v>
      </c>
      <c r="X1549">
        <v>8.2000000000000003E-2</v>
      </c>
      <c r="Y1549">
        <v>8.7999999999999995E-2</v>
      </c>
      <c r="Z1549">
        <v>9.5000000000000001E-2</v>
      </c>
      <c r="AA1549">
        <v>0.10199999999999999</v>
      </c>
      <c r="AB1549">
        <v>0.109</v>
      </c>
      <c r="AC1549">
        <v>0.11700000000000001</v>
      </c>
      <c r="AD1549">
        <v>0.126</v>
      </c>
    </row>
    <row r="1550" spans="2:30" x14ac:dyDescent="0.25">
      <c r="B1550" t="s">
        <v>133</v>
      </c>
      <c r="C1550" t="s">
        <v>3261</v>
      </c>
      <c r="D1550" t="s">
        <v>4662</v>
      </c>
      <c r="E1550" t="s">
        <v>4663</v>
      </c>
      <c r="F1550" t="s">
        <v>7612</v>
      </c>
      <c r="G1550" t="s">
        <v>3890</v>
      </c>
      <c r="H1550" t="s">
        <v>4665</v>
      </c>
      <c r="I1550" t="s">
        <v>4646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2:30" x14ac:dyDescent="0.25">
      <c r="B1551" t="s">
        <v>133</v>
      </c>
      <c r="C1551" t="s">
        <v>3261</v>
      </c>
      <c r="D1551" t="s">
        <v>4666</v>
      </c>
      <c r="E1551" t="s">
        <v>4667</v>
      </c>
      <c r="F1551" t="s">
        <v>7613</v>
      </c>
      <c r="G1551" t="s">
        <v>3890</v>
      </c>
      <c r="H1551" t="s">
        <v>4669</v>
      </c>
      <c r="I1551" t="s">
        <v>4646</v>
      </c>
      <c r="J1551">
        <v>2</v>
      </c>
      <c r="K1551">
        <v>0.129</v>
      </c>
      <c r="L1551">
        <v>0.13400000000000001</v>
      </c>
      <c r="M1551">
        <v>0.14000000000000001</v>
      </c>
      <c r="N1551">
        <v>0.14499999999999999</v>
      </c>
      <c r="O1551">
        <v>0.151</v>
      </c>
      <c r="P1551">
        <v>0.157</v>
      </c>
      <c r="Q1551">
        <v>0.16300000000000001</v>
      </c>
      <c r="R1551">
        <v>0.17</v>
      </c>
      <c r="S1551">
        <v>0.17699999999999999</v>
      </c>
      <c r="T1551">
        <v>0.184</v>
      </c>
      <c r="U1551">
        <v>0.191</v>
      </c>
      <c r="V1551">
        <v>0.19900000000000001</v>
      </c>
      <c r="W1551">
        <v>0.20699999999999999</v>
      </c>
      <c r="X1551">
        <v>0.215</v>
      </c>
      <c r="Y1551">
        <v>0.224</v>
      </c>
      <c r="Z1551">
        <v>0.23300000000000001</v>
      </c>
      <c r="AA1551">
        <v>0.24199999999999999</v>
      </c>
      <c r="AB1551">
        <v>0.251</v>
      </c>
      <c r="AC1551">
        <v>0.26200000000000001</v>
      </c>
      <c r="AD1551">
        <v>0.27200000000000002</v>
      </c>
    </row>
    <row r="1552" spans="2:30" x14ac:dyDescent="0.25">
      <c r="B1552" t="s">
        <v>133</v>
      </c>
      <c r="C1552" t="s">
        <v>3261</v>
      </c>
      <c r="D1552" t="s">
        <v>4670</v>
      </c>
      <c r="E1552" t="s">
        <v>4671</v>
      </c>
      <c r="F1552" t="s">
        <v>7614</v>
      </c>
      <c r="G1552" t="s">
        <v>3890</v>
      </c>
      <c r="H1552" t="s">
        <v>4673</v>
      </c>
      <c r="I1552" t="s">
        <v>4646</v>
      </c>
      <c r="J1552">
        <v>2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  <c r="W1552" t="e">
        <v>#N/A</v>
      </c>
      <c r="X1552" t="e">
        <v>#N/A</v>
      </c>
      <c r="Y1552" t="e">
        <v>#N/A</v>
      </c>
      <c r="Z1552" t="e">
        <v>#N/A</v>
      </c>
      <c r="AA1552" t="e">
        <v>#N/A</v>
      </c>
      <c r="AB1552" t="e">
        <v>#N/A</v>
      </c>
      <c r="AC1552" t="e">
        <v>#N/A</v>
      </c>
      <c r="AD1552" t="e">
        <v>#N/A</v>
      </c>
    </row>
    <row r="1553" spans="2:30" x14ac:dyDescent="0.25">
      <c r="B1553" t="s">
        <v>133</v>
      </c>
      <c r="C1553" t="s">
        <v>3261</v>
      </c>
      <c r="D1553" t="s">
        <v>4674</v>
      </c>
      <c r="E1553" t="s">
        <v>4675</v>
      </c>
      <c r="F1553" t="s">
        <v>7615</v>
      </c>
      <c r="G1553" t="s">
        <v>3890</v>
      </c>
      <c r="H1553" t="s">
        <v>4677</v>
      </c>
      <c r="I1553" t="s">
        <v>4646</v>
      </c>
      <c r="J1553">
        <v>2</v>
      </c>
      <c r="K1553">
        <v>0.6</v>
      </c>
      <c r="L1553">
        <v>0.41099999999999998</v>
      </c>
      <c r="M1553">
        <v>0.33500000000000002</v>
      </c>
      <c r="N1553">
        <v>0.33500000000000002</v>
      </c>
      <c r="O1553">
        <v>0.33500000000000002</v>
      </c>
      <c r="P1553">
        <v>0.33500000000000002</v>
      </c>
      <c r="Q1553">
        <v>0.33500000000000002</v>
      </c>
      <c r="R1553">
        <v>0.33500000000000002</v>
      </c>
      <c r="S1553">
        <v>0.33500000000000002</v>
      </c>
      <c r="T1553">
        <v>0.33500000000000002</v>
      </c>
      <c r="U1553">
        <v>0.33500000000000002</v>
      </c>
      <c r="V1553">
        <v>0.33500000000000002</v>
      </c>
      <c r="W1553">
        <v>0.33500000000000002</v>
      </c>
      <c r="X1553">
        <v>0.33500000000000002</v>
      </c>
      <c r="Y1553">
        <v>0.33500000000000002</v>
      </c>
      <c r="Z1553">
        <v>0.33500000000000002</v>
      </c>
      <c r="AA1553">
        <v>0.33500000000000002</v>
      </c>
      <c r="AB1553">
        <v>0.33500000000000002</v>
      </c>
      <c r="AC1553">
        <v>0.33500000000000002</v>
      </c>
      <c r="AD1553">
        <v>0.33500000000000002</v>
      </c>
    </row>
    <row r="1554" spans="2:30" x14ac:dyDescent="0.25">
      <c r="B1554" t="s">
        <v>133</v>
      </c>
      <c r="C1554" t="s">
        <v>3261</v>
      </c>
      <c r="D1554" t="s">
        <v>4678</v>
      </c>
      <c r="E1554" t="s">
        <v>4679</v>
      </c>
      <c r="F1554" t="s">
        <v>7616</v>
      </c>
      <c r="G1554" t="s">
        <v>3890</v>
      </c>
      <c r="H1554" t="s">
        <v>4681</v>
      </c>
      <c r="I1554" t="s">
        <v>4646</v>
      </c>
      <c r="J1554">
        <v>2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  <c r="W1554" t="e">
        <v>#N/A</v>
      </c>
      <c r="X1554" t="e">
        <v>#N/A</v>
      </c>
      <c r="Y1554" t="e">
        <v>#N/A</v>
      </c>
      <c r="Z1554" t="e">
        <v>#N/A</v>
      </c>
      <c r="AA1554" t="e">
        <v>#N/A</v>
      </c>
      <c r="AB1554" t="e">
        <v>#N/A</v>
      </c>
      <c r="AC1554" t="e">
        <v>#N/A</v>
      </c>
      <c r="AD1554" t="e">
        <v>#N/A</v>
      </c>
    </row>
    <row r="1555" spans="2:30" x14ac:dyDescent="0.25">
      <c r="B1555" t="s">
        <v>133</v>
      </c>
      <c r="C1555" t="s">
        <v>3261</v>
      </c>
      <c r="D1555" t="s">
        <v>4682</v>
      </c>
      <c r="E1555" t="s">
        <v>4461</v>
      </c>
      <c r="F1555" t="s">
        <v>7548</v>
      </c>
      <c r="G1555" t="s">
        <v>3890</v>
      </c>
      <c r="H1555" t="s">
        <v>4435</v>
      </c>
      <c r="I1555" t="s">
        <v>4646</v>
      </c>
      <c r="J1555">
        <v>1</v>
      </c>
      <c r="K1555">
        <v>-0.36299999999999999</v>
      </c>
      <c r="L1555">
        <v>-0.40699999999999997</v>
      </c>
      <c r="M1555">
        <v>-0.42799999999999999</v>
      </c>
      <c r="N1555">
        <v>-0.33600000000000002</v>
      </c>
      <c r="O1555">
        <v>-0.36199999999999999</v>
      </c>
      <c r="P1555">
        <v>-0.32300000000000001</v>
      </c>
      <c r="Q1555">
        <v>-0.312</v>
      </c>
      <c r="R1555">
        <v>-0.307</v>
      </c>
      <c r="S1555">
        <v>-0.30199999999999999</v>
      </c>
      <c r="T1555">
        <v>-0.29699999999999999</v>
      </c>
      <c r="U1555">
        <v>-0.29699999999999999</v>
      </c>
      <c r="V1555">
        <v>-0.29699999999999999</v>
      </c>
      <c r="W1555">
        <v>-0.29699999999999999</v>
      </c>
      <c r="X1555">
        <v>-0.29699999999999999</v>
      </c>
      <c r="Y1555">
        <v>-0.29699999999999999</v>
      </c>
      <c r="Z1555">
        <v>-0.29699999999999999</v>
      </c>
      <c r="AA1555">
        <v>-0.29699999999999999</v>
      </c>
      <c r="AB1555">
        <v>-0.29699999999999999</v>
      </c>
      <c r="AC1555">
        <v>-0.29699999999999999</v>
      </c>
      <c r="AD1555">
        <v>-0.29699999999999999</v>
      </c>
    </row>
    <row r="1556" spans="2:30" x14ac:dyDescent="0.25">
      <c r="B1556" t="s">
        <v>133</v>
      </c>
      <c r="C1556" t="s">
        <v>3261</v>
      </c>
      <c r="D1556" t="s">
        <v>4683</v>
      </c>
      <c r="E1556" t="s">
        <v>4684</v>
      </c>
      <c r="F1556" t="s">
        <v>7617</v>
      </c>
      <c r="G1556" t="s">
        <v>3890</v>
      </c>
      <c r="H1556" t="s">
        <v>4686</v>
      </c>
      <c r="I1556" t="s">
        <v>4687</v>
      </c>
      <c r="J1556">
        <v>1</v>
      </c>
      <c r="K1556">
        <v>-153.93799999999999</v>
      </c>
      <c r="L1556">
        <v>-172.86199999999999</v>
      </c>
      <c r="M1556">
        <v>-181.86</v>
      </c>
      <c r="N1556">
        <v>-142.61199999999999</v>
      </c>
      <c r="O1556">
        <v>-153.51499999999999</v>
      </c>
      <c r="P1556">
        <v>-137.08000000000001</v>
      </c>
      <c r="Q1556">
        <v>-132.55799999999999</v>
      </c>
      <c r="R1556">
        <v>-130.279</v>
      </c>
      <c r="S1556">
        <v>-128.285</v>
      </c>
      <c r="T1556">
        <v>-126.12</v>
      </c>
      <c r="U1556">
        <v>-126.12</v>
      </c>
      <c r="V1556">
        <v>-126.12</v>
      </c>
      <c r="W1556">
        <v>-126.12</v>
      </c>
      <c r="X1556">
        <v>-126.12</v>
      </c>
      <c r="Y1556">
        <v>-126.12</v>
      </c>
      <c r="Z1556">
        <v>-126.12</v>
      </c>
      <c r="AA1556">
        <v>-126.12</v>
      </c>
      <c r="AB1556">
        <v>-126.12</v>
      </c>
      <c r="AC1556">
        <v>-126.12</v>
      </c>
      <c r="AD1556">
        <v>-126.12</v>
      </c>
    </row>
    <row r="1557" spans="2:30" x14ac:dyDescent="0.25">
      <c r="B1557" t="s">
        <v>133</v>
      </c>
      <c r="C1557" t="s">
        <v>3261</v>
      </c>
      <c r="D1557" t="s">
        <v>4688</v>
      </c>
      <c r="E1557" t="s">
        <v>4689</v>
      </c>
      <c r="F1557" t="s">
        <v>7618</v>
      </c>
      <c r="G1557" t="s">
        <v>3890</v>
      </c>
      <c r="H1557" t="s">
        <v>4691</v>
      </c>
      <c r="I1557" t="s">
        <v>4646</v>
      </c>
      <c r="J1557">
        <v>2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  <c r="W1557" t="e">
        <v>#N/A</v>
      </c>
      <c r="X1557" t="e">
        <v>#N/A</v>
      </c>
      <c r="Y1557" t="e">
        <v>#N/A</v>
      </c>
      <c r="Z1557" t="e">
        <v>#N/A</v>
      </c>
      <c r="AA1557" t="e">
        <v>#N/A</v>
      </c>
      <c r="AB1557" t="e">
        <v>#N/A</v>
      </c>
      <c r="AC1557" t="e">
        <v>#N/A</v>
      </c>
      <c r="AD1557" t="e">
        <v>#N/A</v>
      </c>
    </row>
    <row r="1558" spans="2:30" x14ac:dyDescent="0.25">
      <c r="B1558" t="s">
        <v>133</v>
      </c>
      <c r="C1558" t="s">
        <v>3261</v>
      </c>
      <c r="D1558" t="s">
        <v>4692</v>
      </c>
      <c r="E1558" t="s">
        <v>4693</v>
      </c>
      <c r="F1558" t="s">
        <v>7619</v>
      </c>
      <c r="G1558" t="s">
        <v>3890</v>
      </c>
      <c r="H1558" t="s">
        <v>4695</v>
      </c>
      <c r="I1558" t="s">
        <v>4687</v>
      </c>
      <c r="J1558">
        <v>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2:30" x14ac:dyDescent="0.25">
      <c r="B1559" t="s">
        <v>133</v>
      </c>
      <c r="C1559" t="s">
        <v>3261</v>
      </c>
      <c r="D1559" t="s">
        <v>4696</v>
      </c>
      <c r="E1559" t="s">
        <v>4697</v>
      </c>
      <c r="F1559" t="s">
        <v>7620</v>
      </c>
      <c r="G1559" t="s">
        <v>3890</v>
      </c>
      <c r="H1559" t="s">
        <v>4645</v>
      </c>
      <c r="I1559" t="s">
        <v>4646</v>
      </c>
      <c r="J1559">
        <v>2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  <c r="W1559" t="e">
        <v>#N/A</v>
      </c>
      <c r="X1559" t="e">
        <v>#N/A</v>
      </c>
      <c r="Y1559" t="e">
        <v>#N/A</v>
      </c>
      <c r="Z1559" t="e">
        <v>#N/A</v>
      </c>
      <c r="AA1559" t="e">
        <v>#N/A</v>
      </c>
      <c r="AB1559" t="e">
        <v>#N/A</v>
      </c>
      <c r="AC1559" t="e">
        <v>#N/A</v>
      </c>
      <c r="AD1559" t="e">
        <v>#N/A</v>
      </c>
    </row>
    <row r="1560" spans="2:30" x14ac:dyDescent="0.25">
      <c r="B1560" t="s">
        <v>133</v>
      </c>
      <c r="C1560" t="s">
        <v>3261</v>
      </c>
      <c r="D1560" t="s">
        <v>4699</v>
      </c>
      <c r="E1560" t="s">
        <v>4700</v>
      </c>
      <c r="F1560" t="s">
        <v>7621</v>
      </c>
      <c r="G1560" t="s">
        <v>3890</v>
      </c>
      <c r="H1560" t="s">
        <v>4394</v>
      </c>
      <c r="I1560" t="s">
        <v>4646</v>
      </c>
      <c r="J1560">
        <v>2</v>
      </c>
      <c r="K1560">
        <v>1.077</v>
      </c>
      <c r="L1560">
        <v>0.85499999999999998</v>
      </c>
      <c r="M1560">
        <v>0.77800000000000002</v>
      </c>
      <c r="N1560">
        <v>0.68400000000000005</v>
      </c>
      <c r="O1560">
        <v>0.71</v>
      </c>
      <c r="P1560">
        <v>0.67</v>
      </c>
      <c r="Q1560">
        <v>0.66</v>
      </c>
      <c r="R1560">
        <v>0.65400000000000003</v>
      </c>
      <c r="S1560">
        <v>0.64900000000000002</v>
      </c>
      <c r="T1560">
        <v>0.64400000000000002</v>
      </c>
      <c r="U1560">
        <v>0.64400000000000002</v>
      </c>
      <c r="V1560">
        <v>0.64400000000000002</v>
      </c>
      <c r="W1560">
        <v>0.64400000000000002</v>
      </c>
      <c r="X1560">
        <v>0.64400000000000002</v>
      </c>
      <c r="Y1560">
        <v>0.64400000000000002</v>
      </c>
      <c r="Z1560">
        <v>0.64400000000000002</v>
      </c>
      <c r="AA1560">
        <v>0.64400000000000002</v>
      </c>
      <c r="AB1560">
        <v>0.64400000000000002</v>
      </c>
      <c r="AC1560">
        <v>0.64400000000000002</v>
      </c>
      <c r="AD1560">
        <v>0.64400000000000002</v>
      </c>
    </row>
    <row r="1561" spans="2:30" x14ac:dyDescent="0.25">
      <c r="B1561" t="s">
        <v>133</v>
      </c>
      <c r="C1561" t="s">
        <v>3261</v>
      </c>
      <c r="D1561" t="s">
        <v>4702</v>
      </c>
      <c r="E1561" t="s">
        <v>4703</v>
      </c>
      <c r="F1561" t="s">
        <v>7622</v>
      </c>
      <c r="G1561" t="s">
        <v>3890</v>
      </c>
      <c r="H1561" t="s">
        <v>4653</v>
      </c>
      <c r="I1561" t="s">
        <v>4646</v>
      </c>
      <c r="J1561">
        <v>2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  <c r="W1561" t="e">
        <v>#N/A</v>
      </c>
      <c r="X1561" t="e">
        <v>#N/A</v>
      </c>
      <c r="Y1561" t="e">
        <v>#N/A</v>
      </c>
      <c r="Z1561" t="e">
        <v>#N/A</v>
      </c>
      <c r="AA1561" t="e">
        <v>#N/A</v>
      </c>
      <c r="AB1561" t="e">
        <v>#N/A</v>
      </c>
      <c r="AC1561" t="e">
        <v>#N/A</v>
      </c>
      <c r="AD1561" t="e">
        <v>#N/A</v>
      </c>
    </row>
    <row r="1562" spans="2:30" x14ac:dyDescent="0.25">
      <c r="B1562" t="s">
        <v>133</v>
      </c>
      <c r="C1562" t="s">
        <v>3261</v>
      </c>
      <c r="D1562" t="s">
        <v>4705</v>
      </c>
      <c r="E1562" t="s">
        <v>4706</v>
      </c>
      <c r="F1562" t="s">
        <v>7623</v>
      </c>
      <c r="G1562" t="s">
        <v>3890</v>
      </c>
      <c r="H1562" t="s">
        <v>4657</v>
      </c>
      <c r="I1562" t="s">
        <v>4646</v>
      </c>
      <c r="J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2:30" x14ac:dyDescent="0.25">
      <c r="B1563" t="s">
        <v>133</v>
      </c>
      <c r="C1563" t="s">
        <v>3261</v>
      </c>
      <c r="D1563" t="s">
        <v>4708</v>
      </c>
      <c r="E1563" t="s">
        <v>4709</v>
      </c>
      <c r="F1563" t="s">
        <v>7624</v>
      </c>
      <c r="G1563" t="s">
        <v>3890</v>
      </c>
      <c r="H1563" t="s">
        <v>4661</v>
      </c>
      <c r="I1563" t="s">
        <v>4646</v>
      </c>
      <c r="J1563">
        <v>2</v>
      </c>
      <c r="K1563">
        <v>1.0999999999999999E-2</v>
      </c>
      <c r="L1563">
        <v>1.0999999999999999E-2</v>
      </c>
      <c r="M1563">
        <v>0.01</v>
      </c>
      <c r="N1563">
        <v>0.01</v>
      </c>
      <c r="O1563">
        <v>0.01</v>
      </c>
      <c r="P1563">
        <v>1.2E-2</v>
      </c>
      <c r="Q1563">
        <v>1.2999999999999999E-2</v>
      </c>
      <c r="R1563">
        <v>1.4999999999999999E-2</v>
      </c>
      <c r="S1563">
        <v>1.6E-2</v>
      </c>
      <c r="T1563">
        <v>1.7999999999999999E-2</v>
      </c>
      <c r="U1563">
        <v>0.02</v>
      </c>
      <c r="V1563">
        <v>2.1999999999999999E-2</v>
      </c>
      <c r="W1563">
        <v>2.4E-2</v>
      </c>
      <c r="X1563">
        <v>2.7E-2</v>
      </c>
      <c r="Y1563">
        <v>0.03</v>
      </c>
      <c r="Z1563">
        <v>3.2000000000000001E-2</v>
      </c>
      <c r="AA1563">
        <v>3.5000000000000003E-2</v>
      </c>
      <c r="AB1563">
        <v>3.7999999999999999E-2</v>
      </c>
      <c r="AC1563">
        <v>4.2000000000000003E-2</v>
      </c>
      <c r="AD1563">
        <v>4.4999999999999998E-2</v>
      </c>
    </row>
    <row r="1564" spans="2:30" x14ac:dyDescent="0.25">
      <c r="B1564" t="s">
        <v>133</v>
      </c>
      <c r="C1564" t="s">
        <v>3261</v>
      </c>
      <c r="D1564" t="s">
        <v>4711</v>
      </c>
      <c r="E1564" t="s">
        <v>4712</v>
      </c>
      <c r="F1564" t="s">
        <v>7625</v>
      </c>
      <c r="G1564" t="s">
        <v>3890</v>
      </c>
      <c r="H1564" t="s">
        <v>4665</v>
      </c>
      <c r="I1564" t="s">
        <v>4646</v>
      </c>
      <c r="J1564">
        <v>2</v>
      </c>
      <c r="K1564">
        <v>0.14799999999999999</v>
      </c>
      <c r="L1564">
        <v>0.14099999999999999</v>
      </c>
      <c r="M1564">
        <v>0.125</v>
      </c>
      <c r="N1564">
        <v>0.121</v>
      </c>
      <c r="O1564">
        <v>0.123</v>
      </c>
      <c r="P1564">
        <v>0.127</v>
      </c>
      <c r="Q1564">
        <v>0.13200000000000001</v>
      </c>
      <c r="R1564">
        <v>0.13600000000000001</v>
      </c>
      <c r="S1564">
        <v>0.14099999999999999</v>
      </c>
      <c r="T1564">
        <v>0.14699999999999999</v>
      </c>
      <c r="U1564">
        <v>0.153</v>
      </c>
      <c r="V1564">
        <v>0.158</v>
      </c>
      <c r="W1564">
        <v>0.16300000000000001</v>
      </c>
      <c r="X1564">
        <v>0.16800000000000001</v>
      </c>
      <c r="Y1564">
        <v>0.17299999999999999</v>
      </c>
      <c r="Z1564">
        <v>0.17799999999999999</v>
      </c>
      <c r="AA1564">
        <v>0.182</v>
      </c>
      <c r="AB1564">
        <v>0.187</v>
      </c>
      <c r="AC1564">
        <v>0.191</v>
      </c>
      <c r="AD1564">
        <v>0.19500000000000001</v>
      </c>
    </row>
    <row r="1565" spans="2:30" x14ac:dyDescent="0.25">
      <c r="B1565" t="s">
        <v>133</v>
      </c>
      <c r="C1565" t="s">
        <v>3261</v>
      </c>
      <c r="D1565" t="s">
        <v>4714</v>
      </c>
      <c r="E1565" t="s">
        <v>4715</v>
      </c>
      <c r="F1565" t="s">
        <v>7626</v>
      </c>
      <c r="G1565" t="s">
        <v>3890</v>
      </c>
      <c r="H1565" t="s">
        <v>4669</v>
      </c>
      <c r="I1565" t="s">
        <v>4646</v>
      </c>
      <c r="J1565">
        <v>2</v>
      </c>
      <c r="K1565">
        <v>0.14699999999999999</v>
      </c>
      <c r="L1565">
        <v>0.153</v>
      </c>
      <c r="M1565">
        <v>0.159</v>
      </c>
      <c r="N1565">
        <v>0.16600000000000001</v>
      </c>
      <c r="O1565">
        <v>0.17199999999999999</v>
      </c>
      <c r="P1565">
        <v>0.17899999999999999</v>
      </c>
      <c r="Q1565">
        <v>0.186</v>
      </c>
      <c r="R1565">
        <v>0.19400000000000001</v>
      </c>
      <c r="S1565">
        <v>0.20200000000000001</v>
      </c>
      <c r="T1565">
        <v>0.21</v>
      </c>
      <c r="U1565">
        <v>0.218</v>
      </c>
      <c r="V1565">
        <v>0.22700000000000001</v>
      </c>
      <c r="W1565">
        <v>0.23599999999999999</v>
      </c>
      <c r="X1565">
        <v>0.245</v>
      </c>
      <c r="Y1565">
        <v>0.255</v>
      </c>
      <c r="Z1565">
        <v>0.26500000000000001</v>
      </c>
      <c r="AA1565">
        <v>0.27600000000000002</v>
      </c>
      <c r="AB1565">
        <v>0.28699999999999998</v>
      </c>
      <c r="AC1565">
        <v>0.29899999999999999</v>
      </c>
      <c r="AD1565">
        <v>0.31</v>
      </c>
    </row>
    <row r="1566" spans="2:30" x14ac:dyDescent="0.25">
      <c r="B1566" t="s">
        <v>133</v>
      </c>
      <c r="C1566" t="s">
        <v>3261</v>
      </c>
      <c r="D1566" t="s">
        <v>4717</v>
      </c>
      <c r="E1566" t="s">
        <v>4718</v>
      </c>
      <c r="F1566" t="s">
        <v>7627</v>
      </c>
      <c r="G1566" t="s">
        <v>3890</v>
      </c>
      <c r="H1566" t="s">
        <v>4673</v>
      </c>
      <c r="I1566" t="s">
        <v>4646</v>
      </c>
      <c r="J1566">
        <v>2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  <c r="W1566" t="e">
        <v>#N/A</v>
      </c>
      <c r="X1566" t="e">
        <v>#N/A</v>
      </c>
      <c r="Y1566" t="e">
        <v>#N/A</v>
      </c>
      <c r="Z1566" t="e">
        <v>#N/A</v>
      </c>
      <c r="AA1566" t="e">
        <v>#N/A</v>
      </c>
      <c r="AB1566" t="e">
        <v>#N/A</v>
      </c>
      <c r="AC1566" t="e">
        <v>#N/A</v>
      </c>
      <c r="AD1566" t="e">
        <v>#N/A</v>
      </c>
    </row>
    <row r="1567" spans="2:30" x14ac:dyDescent="0.25">
      <c r="B1567" t="s">
        <v>133</v>
      </c>
      <c r="C1567" t="s">
        <v>3261</v>
      </c>
      <c r="D1567" t="s">
        <v>4720</v>
      </c>
      <c r="E1567" t="s">
        <v>4721</v>
      </c>
      <c r="F1567" t="s">
        <v>7628</v>
      </c>
      <c r="G1567" t="s">
        <v>3890</v>
      </c>
      <c r="H1567" t="s">
        <v>4723</v>
      </c>
      <c r="I1567" t="s">
        <v>4646</v>
      </c>
      <c r="J1567">
        <v>2</v>
      </c>
      <c r="K1567">
        <v>0.41399999999999998</v>
      </c>
      <c r="L1567">
        <v>0.28100000000000003</v>
      </c>
      <c r="M1567">
        <v>0.249</v>
      </c>
      <c r="N1567">
        <v>0.249</v>
      </c>
      <c r="O1567">
        <v>0.249</v>
      </c>
      <c r="P1567">
        <v>0.249</v>
      </c>
      <c r="Q1567">
        <v>0.249</v>
      </c>
      <c r="R1567">
        <v>0.249</v>
      </c>
      <c r="S1567">
        <v>0.249</v>
      </c>
      <c r="T1567">
        <v>0.249</v>
      </c>
      <c r="U1567">
        <v>0.249</v>
      </c>
      <c r="V1567">
        <v>0.249</v>
      </c>
      <c r="W1567">
        <v>0.249</v>
      </c>
      <c r="X1567">
        <v>0.249</v>
      </c>
      <c r="Y1567">
        <v>0.249</v>
      </c>
      <c r="Z1567">
        <v>0.249</v>
      </c>
      <c r="AA1567">
        <v>0.249</v>
      </c>
      <c r="AB1567">
        <v>0.249</v>
      </c>
      <c r="AC1567">
        <v>0.249</v>
      </c>
      <c r="AD1567">
        <v>0.249</v>
      </c>
    </row>
    <row r="1568" spans="2:30" x14ac:dyDescent="0.25">
      <c r="B1568" t="s">
        <v>133</v>
      </c>
      <c r="C1568" t="s">
        <v>3261</v>
      </c>
      <c r="D1568" t="s">
        <v>4724</v>
      </c>
      <c r="E1568" t="s">
        <v>4725</v>
      </c>
      <c r="F1568" t="s">
        <v>7629</v>
      </c>
      <c r="G1568" t="s">
        <v>3890</v>
      </c>
      <c r="H1568" t="s">
        <v>4727</v>
      </c>
      <c r="I1568" t="s">
        <v>4646</v>
      </c>
      <c r="J1568">
        <v>2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  <c r="W1568" t="e">
        <v>#N/A</v>
      </c>
      <c r="X1568" t="e">
        <v>#N/A</v>
      </c>
      <c r="Y1568" t="e">
        <v>#N/A</v>
      </c>
      <c r="Z1568" t="e">
        <v>#N/A</v>
      </c>
      <c r="AA1568" t="e">
        <v>#N/A</v>
      </c>
      <c r="AB1568" t="e">
        <v>#N/A</v>
      </c>
      <c r="AC1568" t="e">
        <v>#N/A</v>
      </c>
      <c r="AD1568" t="e">
        <v>#N/A</v>
      </c>
    </row>
    <row r="1569" spans="2:30" x14ac:dyDescent="0.25">
      <c r="B1569" t="s">
        <v>133</v>
      </c>
      <c r="C1569" t="s">
        <v>3261</v>
      </c>
      <c r="D1569" t="s">
        <v>4728</v>
      </c>
      <c r="E1569" t="s">
        <v>4464</v>
      </c>
      <c r="F1569" t="s">
        <v>7549</v>
      </c>
      <c r="G1569" t="s">
        <v>3890</v>
      </c>
      <c r="H1569" t="s">
        <v>4435</v>
      </c>
      <c r="I1569" t="s">
        <v>4646</v>
      </c>
      <c r="J1569">
        <v>1</v>
      </c>
      <c r="K1569">
        <v>-0.66300000000000003</v>
      </c>
      <c r="L1569">
        <v>-0.57399999999999995</v>
      </c>
      <c r="M1569">
        <v>-0.52900000000000003</v>
      </c>
      <c r="N1569">
        <v>-0.435</v>
      </c>
      <c r="O1569">
        <v>-0.46100000000000002</v>
      </c>
      <c r="P1569">
        <v>-0.42099999999999999</v>
      </c>
      <c r="Q1569">
        <v>-0.41</v>
      </c>
      <c r="R1569">
        <v>-0.40500000000000003</v>
      </c>
      <c r="S1569">
        <v>-0.4</v>
      </c>
      <c r="T1569">
        <v>-0.39500000000000002</v>
      </c>
      <c r="U1569">
        <v>-0.39500000000000002</v>
      </c>
      <c r="V1569">
        <v>-0.39500000000000002</v>
      </c>
      <c r="W1569">
        <v>-0.39500000000000002</v>
      </c>
      <c r="X1569">
        <v>-0.39500000000000002</v>
      </c>
      <c r="Y1569">
        <v>-0.39500000000000002</v>
      </c>
      <c r="Z1569">
        <v>-0.39500000000000002</v>
      </c>
      <c r="AA1569">
        <v>-0.39500000000000002</v>
      </c>
      <c r="AB1569">
        <v>-0.39500000000000002</v>
      </c>
      <c r="AC1569">
        <v>-0.39500000000000002</v>
      </c>
      <c r="AD1569">
        <v>-0.39500000000000002</v>
      </c>
    </row>
    <row r="1570" spans="2:30" x14ac:dyDescent="0.25">
      <c r="B1570" t="s">
        <v>133</v>
      </c>
      <c r="C1570" t="s">
        <v>3261</v>
      </c>
      <c r="D1570" t="s">
        <v>4729</v>
      </c>
      <c r="E1570" t="s">
        <v>4730</v>
      </c>
      <c r="F1570" t="s">
        <v>7630</v>
      </c>
      <c r="G1570" t="s">
        <v>3890</v>
      </c>
      <c r="H1570" t="s">
        <v>4686</v>
      </c>
      <c r="I1570" t="s">
        <v>4687</v>
      </c>
      <c r="J1570">
        <v>1</v>
      </c>
      <c r="K1570">
        <v>-246.459</v>
      </c>
      <c r="L1570">
        <v>-213.54900000000001</v>
      </c>
      <c r="M1570">
        <v>-196.779</v>
      </c>
      <c r="N1570">
        <v>-161.59899999999999</v>
      </c>
      <c r="O1570">
        <v>-171.37200000000001</v>
      </c>
      <c r="P1570">
        <v>-156.63999999999999</v>
      </c>
      <c r="Q1570">
        <v>-152.58699999999999</v>
      </c>
      <c r="R1570">
        <v>-150.54400000000001</v>
      </c>
      <c r="S1570">
        <v>-148.75700000000001</v>
      </c>
      <c r="T1570">
        <v>-146.816</v>
      </c>
      <c r="U1570">
        <v>-146.816</v>
      </c>
      <c r="V1570">
        <v>-146.816</v>
      </c>
      <c r="W1570">
        <v>-146.816</v>
      </c>
      <c r="X1570">
        <v>-146.816</v>
      </c>
      <c r="Y1570">
        <v>-146.816</v>
      </c>
      <c r="Z1570">
        <v>-146.816</v>
      </c>
      <c r="AA1570">
        <v>-146.816</v>
      </c>
      <c r="AB1570">
        <v>-146.816</v>
      </c>
      <c r="AC1570">
        <v>-146.816</v>
      </c>
      <c r="AD1570">
        <v>-146.816</v>
      </c>
    </row>
    <row r="1571" spans="2:30" x14ac:dyDescent="0.25">
      <c r="B1571" t="s">
        <v>133</v>
      </c>
      <c r="C1571" t="s">
        <v>3261</v>
      </c>
      <c r="D1571" t="s">
        <v>4732</v>
      </c>
      <c r="E1571" t="s">
        <v>4733</v>
      </c>
      <c r="F1571" t="s">
        <v>7631</v>
      </c>
      <c r="G1571" t="s">
        <v>3890</v>
      </c>
      <c r="H1571" t="s">
        <v>4735</v>
      </c>
      <c r="I1571" t="s">
        <v>4646</v>
      </c>
      <c r="J1571">
        <v>2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  <c r="W1571" t="e">
        <v>#N/A</v>
      </c>
      <c r="X1571" t="e">
        <v>#N/A</v>
      </c>
      <c r="Y1571" t="e">
        <v>#N/A</v>
      </c>
      <c r="Z1571" t="e">
        <v>#N/A</v>
      </c>
      <c r="AA1571" t="e">
        <v>#N/A</v>
      </c>
      <c r="AB1571" t="e">
        <v>#N/A</v>
      </c>
      <c r="AC1571" t="e">
        <v>#N/A</v>
      </c>
      <c r="AD1571" t="e">
        <v>#N/A</v>
      </c>
    </row>
    <row r="1572" spans="2:30" x14ac:dyDescent="0.25">
      <c r="B1572" t="s">
        <v>133</v>
      </c>
      <c r="C1572" t="s">
        <v>3261</v>
      </c>
      <c r="D1572" t="s">
        <v>4736</v>
      </c>
      <c r="E1572" t="s">
        <v>4737</v>
      </c>
      <c r="F1572" t="s">
        <v>7632</v>
      </c>
      <c r="G1572" t="s">
        <v>3890</v>
      </c>
      <c r="H1572" t="s">
        <v>4695</v>
      </c>
      <c r="I1572" t="s">
        <v>4687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2:30" x14ac:dyDescent="0.25">
      <c r="B1573" t="s">
        <v>133</v>
      </c>
      <c r="C1573" t="s">
        <v>3261</v>
      </c>
      <c r="D1573" t="s">
        <v>4739</v>
      </c>
      <c r="E1573" t="s">
        <v>4740</v>
      </c>
      <c r="F1573" t="s">
        <v>7633</v>
      </c>
      <c r="G1573" t="s">
        <v>3890</v>
      </c>
      <c r="H1573" t="s">
        <v>4645</v>
      </c>
      <c r="I1573" t="s">
        <v>4646</v>
      </c>
      <c r="J1573">
        <v>2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  <c r="W1573" t="e">
        <v>#N/A</v>
      </c>
      <c r="X1573" t="e">
        <v>#N/A</v>
      </c>
      <c r="Y1573" t="e">
        <v>#N/A</v>
      </c>
      <c r="Z1573" t="e">
        <v>#N/A</v>
      </c>
      <c r="AA1573" t="e">
        <v>#N/A</v>
      </c>
      <c r="AB1573" t="e">
        <v>#N/A</v>
      </c>
      <c r="AC1573" t="e">
        <v>#N/A</v>
      </c>
      <c r="AD1573" t="e">
        <v>#N/A</v>
      </c>
    </row>
    <row r="1574" spans="2:30" x14ac:dyDescent="0.25">
      <c r="B1574" t="s">
        <v>133</v>
      </c>
      <c r="C1574" t="s">
        <v>3261</v>
      </c>
      <c r="D1574" t="s">
        <v>4742</v>
      </c>
      <c r="E1574" t="s">
        <v>4743</v>
      </c>
      <c r="F1574" t="s">
        <v>7634</v>
      </c>
      <c r="G1574" t="s">
        <v>3890</v>
      </c>
      <c r="H1574" t="s">
        <v>4394</v>
      </c>
      <c r="I1574" t="s">
        <v>4646</v>
      </c>
      <c r="J1574">
        <v>2</v>
      </c>
      <c r="K1574">
        <v>0.67100000000000004</v>
      </c>
      <c r="L1574">
        <v>0.57799999999999996</v>
      </c>
      <c r="M1574">
        <v>0.54300000000000004</v>
      </c>
      <c r="N1574">
        <v>0.48199999999999998</v>
      </c>
      <c r="O1574">
        <v>0.499</v>
      </c>
      <c r="P1574">
        <v>0.47399999999999998</v>
      </c>
      <c r="Q1574">
        <v>0.46700000000000003</v>
      </c>
      <c r="R1574">
        <v>0.46300000000000002</v>
      </c>
      <c r="S1574">
        <v>0.46</v>
      </c>
      <c r="T1574">
        <v>0.45700000000000002</v>
      </c>
      <c r="U1574">
        <v>0.45700000000000002</v>
      </c>
      <c r="V1574">
        <v>0.45700000000000002</v>
      </c>
      <c r="W1574">
        <v>0.45700000000000002</v>
      </c>
      <c r="X1574">
        <v>0.45700000000000002</v>
      </c>
      <c r="Y1574">
        <v>0.45700000000000002</v>
      </c>
      <c r="Z1574">
        <v>0.45700000000000002</v>
      </c>
      <c r="AA1574">
        <v>0.45700000000000002</v>
      </c>
      <c r="AB1574">
        <v>0.45700000000000002</v>
      </c>
      <c r="AC1574">
        <v>0.45700000000000002</v>
      </c>
      <c r="AD1574">
        <v>0.45700000000000002</v>
      </c>
    </row>
    <row r="1575" spans="2:30" x14ac:dyDescent="0.25">
      <c r="B1575" t="s">
        <v>133</v>
      </c>
      <c r="C1575" t="s">
        <v>3261</v>
      </c>
      <c r="D1575" t="s">
        <v>4745</v>
      </c>
      <c r="E1575" t="s">
        <v>4746</v>
      </c>
      <c r="F1575" t="s">
        <v>7635</v>
      </c>
      <c r="G1575" t="s">
        <v>3890</v>
      </c>
      <c r="H1575" t="s">
        <v>4653</v>
      </c>
      <c r="I1575" t="s">
        <v>4646</v>
      </c>
      <c r="J1575">
        <v>2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  <c r="W1575" t="e">
        <v>#N/A</v>
      </c>
      <c r="X1575" t="e">
        <v>#N/A</v>
      </c>
      <c r="Y1575" t="e">
        <v>#N/A</v>
      </c>
      <c r="Z1575" t="e">
        <v>#N/A</v>
      </c>
      <c r="AA1575" t="e">
        <v>#N/A</v>
      </c>
      <c r="AB1575" t="e">
        <v>#N/A</v>
      </c>
      <c r="AC1575" t="e">
        <v>#N/A</v>
      </c>
      <c r="AD1575" t="e">
        <v>#N/A</v>
      </c>
    </row>
    <row r="1576" spans="2:30" x14ac:dyDescent="0.25">
      <c r="B1576" t="s">
        <v>133</v>
      </c>
      <c r="C1576" t="s">
        <v>3261</v>
      </c>
      <c r="D1576" t="s">
        <v>4748</v>
      </c>
      <c r="E1576" t="s">
        <v>4749</v>
      </c>
      <c r="F1576" t="s">
        <v>7636</v>
      </c>
      <c r="G1576" t="s">
        <v>3890</v>
      </c>
      <c r="H1576" t="s">
        <v>4669</v>
      </c>
      <c r="I1576" t="s">
        <v>4646</v>
      </c>
      <c r="J1576">
        <v>2</v>
      </c>
      <c r="K1576">
        <v>9.7000000000000003E-2</v>
      </c>
      <c r="L1576">
        <v>0.10100000000000001</v>
      </c>
      <c r="M1576">
        <v>0.105</v>
      </c>
      <c r="N1576">
        <v>0.109</v>
      </c>
      <c r="O1576">
        <v>0.113</v>
      </c>
      <c r="P1576">
        <v>0.11799999999999999</v>
      </c>
      <c r="Q1576">
        <v>0.123</v>
      </c>
      <c r="R1576">
        <v>0.128</v>
      </c>
      <c r="S1576">
        <v>0.13300000000000001</v>
      </c>
      <c r="T1576">
        <v>0.13800000000000001</v>
      </c>
      <c r="U1576">
        <v>0.14299999999999999</v>
      </c>
      <c r="V1576">
        <v>0.14899999999999999</v>
      </c>
      <c r="W1576">
        <v>0.155</v>
      </c>
      <c r="X1576">
        <v>0.161</v>
      </c>
      <c r="Y1576">
        <v>0.16800000000000001</v>
      </c>
      <c r="Z1576">
        <v>0.17499999999999999</v>
      </c>
      <c r="AA1576">
        <v>0.182</v>
      </c>
      <c r="AB1576">
        <v>0.189</v>
      </c>
      <c r="AC1576">
        <v>0.19600000000000001</v>
      </c>
      <c r="AD1576">
        <v>0.20399999999999999</v>
      </c>
    </row>
    <row r="1577" spans="2:30" x14ac:dyDescent="0.25">
      <c r="B1577" t="s">
        <v>133</v>
      </c>
      <c r="C1577" t="s">
        <v>3261</v>
      </c>
      <c r="D1577" t="s">
        <v>4751</v>
      </c>
      <c r="E1577" t="s">
        <v>4752</v>
      </c>
      <c r="F1577" t="s">
        <v>7637</v>
      </c>
      <c r="G1577" t="s">
        <v>3890</v>
      </c>
      <c r="H1577" t="s">
        <v>4673</v>
      </c>
      <c r="I1577" t="s">
        <v>4646</v>
      </c>
      <c r="J1577">
        <v>2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  <c r="W1577" t="e">
        <v>#N/A</v>
      </c>
      <c r="X1577" t="e">
        <v>#N/A</v>
      </c>
      <c r="Y1577" t="e">
        <v>#N/A</v>
      </c>
      <c r="Z1577" t="e">
        <v>#N/A</v>
      </c>
      <c r="AA1577" t="e">
        <v>#N/A</v>
      </c>
      <c r="AB1577" t="e">
        <v>#N/A</v>
      </c>
      <c r="AC1577" t="e">
        <v>#N/A</v>
      </c>
      <c r="AD1577" t="e">
        <v>#N/A</v>
      </c>
    </row>
    <row r="1578" spans="2:30" x14ac:dyDescent="0.25">
      <c r="B1578" t="s">
        <v>133</v>
      </c>
      <c r="C1578" t="s">
        <v>3261</v>
      </c>
      <c r="D1578" t="s">
        <v>4754</v>
      </c>
      <c r="E1578" t="s">
        <v>4755</v>
      </c>
      <c r="F1578" t="s">
        <v>7638</v>
      </c>
      <c r="G1578" t="s">
        <v>3890</v>
      </c>
      <c r="H1578" t="s">
        <v>4757</v>
      </c>
      <c r="I1578" t="s">
        <v>4646</v>
      </c>
      <c r="J1578">
        <v>2</v>
      </c>
      <c r="K1578">
        <v>0.17499999999999999</v>
      </c>
      <c r="L1578">
        <v>0.10199999999999999</v>
      </c>
      <c r="M1578">
        <v>8.7999999999999995E-2</v>
      </c>
      <c r="N1578">
        <v>8.7999999999999995E-2</v>
      </c>
      <c r="O1578">
        <v>8.7999999999999995E-2</v>
      </c>
      <c r="P1578">
        <v>8.7999999999999995E-2</v>
      </c>
      <c r="Q1578">
        <v>8.7999999999999995E-2</v>
      </c>
      <c r="R1578">
        <v>8.7999999999999995E-2</v>
      </c>
      <c r="S1578">
        <v>8.7999999999999995E-2</v>
      </c>
      <c r="T1578">
        <v>8.7999999999999995E-2</v>
      </c>
      <c r="U1578">
        <v>8.7999999999999995E-2</v>
      </c>
      <c r="V1578">
        <v>8.7999999999999995E-2</v>
      </c>
      <c r="W1578">
        <v>8.7999999999999995E-2</v>
      </c>
      <c r="X1578">
        <v>8.7999999999999995E-2</v>
      </c>
      <c r="Y1578">
        <v>8.7999999999999995E-2</v>
      </c>
      <c r="Z1578">
        <v>8.7999999999999995E-2</v>
      </c>
      <c r="AA1578">
        <v>8.7999999999999995E-2</v>
      </c>
      <c r="AB1578">
        <v>8.7999999999999995E-2</v>
      </c>
      <c r="AC1578">
        <v>8.7999999999999995E-2</v>
      </c>
      <c r="AD1578">
        <v>8.7999999999999995E-2</v>
      </c>
    </row>
    <row r="1579" spans="2:30" x14ac:dyDescent="0.25">
      <c r="B1579" t="s">
        <v>133</v>
      </c>
      <c r="C1579" t="s">
        <v>3261</v>
      </c>
      <c r="D1579" t="s">
        <v>4758</v>
      </c>
      <c r="E1579" t="s">
        <v>4759</v>
      </c>
      <c r="F1579" t="s">
        <v>7639</v>
      </c>
      <c r="G1579" t="s">
        <v>3890</v>
      </c>
      <c r="H1579" t="s">
        <v>4761</v>
      </c>
      <c r="I1579" t="s">
        <v>4646</v>
      </c>
      <c r="J1579">
        <v>2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  <c r="W1579" t="e">
        <v>#N/A</v>
      </c>
      <c r="X1579" t="e">
        <v>#N/A</v>
      </c>
      <c r="Y1579" t="e">
        <v>#N/A</v>
      </c>
      <c r="Z1579" t="e">
        <v>#N/A</v>
      </c>
      <c r="AA1579" t="e">
        <v>#N/A</v>
      </c>
      <c r="AB1579" t="e">
        <v>#N/A</v>
      </c>
      <c r="AC1579" t="e">
        <v>#N/A</v>
      </c>
      <c r="AD1579" t="e">
        <v>#N/A</v>
      </c>
    </row>
    <row r="1580" spans="2:30" x14ac:dyDescent="0.25">
      <c r="B1580" t="s">
        <v>133</v>
      </c>
      <c r="C1580" t="s">
        <v>3261</v>
      </c>
      <c r="D1580" t="s">
        <v>4762</v>
      </c>
      <c r="E1580" t="s">
        <v>4467</v>
      </c>
      <c r="F1580" t="s">
        <v>7550</v>
      </c>
      <c r="G1580" t="s">
        <v>3890</v>
      </c>
      <c r="H1580" t="s">
        <v>4435</v>
      </c>
      <c r="I1580" t="s">
        <v>4646</v>
      </c>
      <c r="J1580">
        <v>1</v>
      </c>
      <c r="K1580">
        <v>-0.496</v>
      </c>
      <c r="L1580">
        <v>-0.47599999999999998</v>
      </c>
      <c r="M1580">
        <v>-0.45500000000000002</v>
      </c>
      <c r="N1580">
        <v>-0.39400000000000002</v>
      </c>
      <c r="O1580">
        <v>-0.41099999999999998</v>
      </c>
      <c r="P1580">
        <v>-0.38600000000000001</v>
      </c>
      <c r="Q1580">
        <v>-0.379</v>
      </c>
      <c r="R1580">
        <v>-0.375</v>
      </c>
      <c r="S1580">
        <v>-0.372</v>
      </c>
      <c r="T1580">
        <v>-0.36899999999999999</v>
      </c>
      <c r="U1580">
        <v>-0.36899999999999999</v>
      </c>
      <c r="V1580">
        <v>-0.36899999999999999</v>
      </c>
      <c r="W1580">
        <v>-0.36899999999999999</v>
      </c>
      <c r="X1580">
        <v>-0.36899999999999999</v>
      </c>
      <c r="Y1580">
        <v>-0.36899999999999999</v>
      </c>
      <c r="Z1580">
        <v>-0.36899999999999999</v>
      </c>
      <c r="AA1580">
        <v>-0.36899999999999999</v>
      </c>
      <c r="AB1580">
        <v>-0.36899999999999999</v>
      </c>
      <c r="AC1580">
        <v>-0.36899999999999999</v>
      </c>
      <c r="AD1580">
        <v>-0.36899999999999999</v>
      </c>
    </row>
    <row r="1581" spans="2:30" x14ac:dyDescent="0.25">
      <c r="B1581" t="s">
        <v>133</v>
      </c>
      <c r="C1581" t="s">
        <v>3261</v>
      </c>
      <c r="D1581" t="s">
        <v>4763</v>
      </c>
      <c r="E1581" t="s">
        <v>4764</v>
      </c>
      <c r="F1581" t="s">
        <v>7640</v>
      </c>
      <c r="G1581" t="s">
        <v>3890</v>
      </c>
      <c r="H1581" t="s">
        <v>4686</v>
      </c>
      <c r="I1581" t="s">
        <v>4687</v>
      </c>
      <c r="J1581">
        <v>1</v>
      </c>
      <c r="K1581">
        <v>-280.26900000000001</v>
      </c>
      <c r="L1581">
        <v>-269.161</v>
      </c>
      <c r="M1581">
        <v>-257.24599999999998</v>
      </c>
      <c r="N1581">
        <v>-222.96799999999999</v>
      </c>
      <c r="O1581">
        <v>-232.49</v>
      </c>
      <c r="P1581">
        <v>-218.136</v>
      </c>
      <c r="Q1581">
        <v>-214.18700000000001</v>
      </c>
      <c r="R1581">
        <v>-212.196</v>
      </c>
      <c r="S1581">
        <v>-210.45500000000001</v>
      </c>
      <c r="T1581">
        <v>-208.56399999999999</v>
      </c>
      <c r="U1581">
        <v>-208.56399999999999</v>
      </c>
      <c r="V1581">
        <v>-208.56399999999999</v>
      </c>
      <c r="W1581">
        <v>-208.56399999999999</v>
      </c>
      <c r="X1581">
        <v>-208.56399999999999</v>
      </c>
      <c r="Y1581">
        <v>-208.56399999999999</v>
      </c>
      <c r="Z1581">
        <v>-208.56399999999999</v>
      </c>
      <c r="AA1581">
        <v>-208.56399999999999</v>
      </c>
      <c r="AB1581">
        <v>-208.56399999999999</v>
      </c>
      <c r="AC1581">
        <v>-208.56399999999999</v>
      </c>
      <c r="AD1581">
        <v>-208.56399999999999</v>
      </c>
    </row>
    <row r="1582" spans="2:30" x14ac:dyDescent="0.25">
      <c r="B1582" t="s">
        <v>133</v>
      </c>
      <c r="C1582" t="s">
        <v>3261</v>
      </c>
      <c r="D1582" t="s">
        <v>4766</v>
      </c>
      <c r="E1582" t="s">
        <v>4767</v>
      </c>
      <c r="F1582" t="s">
        <v>7641</v>
      </c>
      <c r="G1582" t="s">
        <v>3890</v>
      </c>
      <c r="H1582" t="s">
        <v>4769</v>
      </c>
      <c r="I1582" t="s">
        <v>4646</v>
      </c>
      <c r="J1582">
        <v>2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  <c r="W1582" t="e">
        <v>#N/A</v>
      </c>
      <c r="X1582" t="e">
        <v>#N/A</v>
      </c>
      <c r="Y1582" t="e">
        <v>#N/A</v>
      </c>
      <c r="Z1582" t="e">
        <v>#N/A</v>
      </c>
      <c r="AA1582" t="e">
        <v>#N/A</v>
      </c>
      <c r="AB1582" t="e">
        <v>#N/A</v>
      </c>
      <c r="AC1582" t="e">
        <v>#N/A</v>
      </c>
      <c r="AD1582" t="e">
        <v>#N/A</v>
      </c>
    </row>
    <row r="1583" spans="2:30" x14ac:dyDescent="0.25">
      <c r="B1583" t="s">
        <v>133</v>
      </c>
      <c r="C1583" t="s">
        <v>3261</v>
      </c>
      <c r="D1583" t="s">
        <v>4770</v>
      </c>
      <c r="E1583" t="s">
        <v>4771</v>
      </c>
      <c r="F1583" t="s">
        <v>7642</v>
      </c>
      <c r="G1583" t="s">
        <v>3890</v>
      </c>
      <c r="H1583" t="s">
        <v>4695</v>
      </c>
      <c r="I1583" t="s">
        <v>4687</v>
      </c>
      <c r="J1583">
        <v>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2:30" x14ac:dyDescent="0.25">
      <c r="B1584" t="s">
        <v>133</v>
      </c>
      <c r="C1584" t="s">
        <v>3261</v>
      </c>
      <c r="D1584" t="s">
        <v>4773</v>
      </c>
      <c r="E1584" t="s">
        <v>4774</v>
      </c>
      <c r="F1584" t="s">
        <v>7643</v>
      </c>
      <c r="G1584" t="s">
        <v>3890</v>
      </c>
      <c r="H1584" t="s">
        <v>4645</v>
      </c>
      <c r="I1584" t="s">
        <v>4646</v>
      </c>
      <c r="J1584">
        <v>2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  <c r="W1584" t="e">
        <v>#N/A</v>
      </c>
      <c r="X1584" t="e">
        <v>#N/A</v>
      </c>
      <c r="Y1584" t="e">
        <v>#N/A</v>
      </c>
      <c r="Z1584" t="e">
        <v>#N/A</v>
      </c>
      <c r="AA1584" t="e">
        <v>#N/A</v>
      </c>
      <c r="AB1584" t="e">
        <v>#N/A</v>
      </c>
      <c r="AC1584" t="e">
        <v>#N/A</v>
      </c>
      <c r="AD1584" t="e">
        <v>#N/A</v>
      </c>
    </row>
    <row r="1585" spans="2:30" x14ac:dyDescent="0.25">
      <c r="B1585" t="s">
        <v>133</v>
      </c>
      <c r="C1585" t="s">
        <v>3261</v>
      </c>
      <c r="D1585" t="s">
        <v>4776</v>
      </c>
      <c r="E1585" t="s">
        <v>4777</v>
      </c>
      <c r="F1585" t="s">
        <v>7644</v>
      </c>
      <c r="G1585" t="s">
        <v>3890</v>
      </c>
      <c r="H1585" t="s">
        <v>4394</v>
      </c>
      <c r="I1585" t="s">
        <v>4646</v>
      </c>
      <c r="J1585">
        <v>2</v>
      </c>
      <c r="K1585">
        <v>0.78300000000000003</v>
      </c>
      <c r="L1585">
        <v>0.69899999999999995</v>
      </c>
      <c r="M1585">
        <v>0.69099999999999995</v>
      </c>
      <c r="N1585">
        <v>0.60899999999999999</v>
      </c>
      <c r="O1585">
        <v>0.63200000000000001</v>
      </c>
      <c r="P1585">
        <v>0.59799999999999998</v>
      </c>
      <c r="Q1585">
        <v>0.58799999999999997</v>
      </c>
      <c r="R1585">
        <v>0.58399999999999996</v>
      </c>
      <c r="S1585">
        <v>0.57899999999999996</v>
      </c>
      <c r="T1585">
        <v>0.57499999999999996</v>
      </c>
      <c r="U1585">
        <v>0.57499999999999996</v>
      </c>
      <c r="V1585">
        <v>0.57499999999999996</v>
      </c>
      <c r="W1585">
        <v>0.57499999999999996</v>
      </c>
      <c r="X1585">
        <v>0.57499999999999996</v>
      </c>
      <c r="Y1585">
        <v>0.57499999999999996</v>
      </c>
      <c r="Z1585">
        <v>0.57499999999999996</v>
      </c>
      <c r="AA1585">
        <v>0.57499999999999996</v>
      </c>
      <c r="AB1585">
        <v>0.57499999999999996</v>
      </c>
      <c r="AC1585">
        <v>0.57499999999999996</v>
      </c>
      <c r="AD1585">
        <v>0.57499999999999996</v>
      </c>
    </row>
    <row r="1586" spans="2:30" x14ac:dyDescent="0.25">
      <c r="B1586" t="s">
        <v>133</v>
      </c>
      <c r="C1586" t="s">
        <v>3261</v>
      </c>
      <c r="D1586" t="s">
        <v>4779</v>
      </c>
      <c r="E1586" t="s">
        <v>4780</v>
      </c>
      <c r="F1586" t="s">
        <v>7645</v>
      </c>
      <c r="G1586" t="s">
        <v>3890</v>
      </c>
      <c r="H1586" t="s">
        <v>4653</v>
      </c>
      <c r="I1586" t="s">
        <v>4646</v>
      </c>
      <c r="J1586">
        <v>2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  <c r="W1586" t="e">
        <v>#N/A</v>
      </c>
      <c r="X1586" t="e">
        <v>#N/A</v>
      </c>
      <c r="Y1586" t="e">
        <v>#N/A</v>
      </c>
      <c r="Z1586" t="e">
        <v>#N/A</v>
      </c>
      <c r="AA1586" t="e">
        <v>#N/A</v>
      </c>
      <c r="AB1586" t="e">
        <v>#N/A</v>
      </c>
      <c r="AC1586" t="e">
        <v>#N/A</v>
      </c>
      <c r="AD1586" t="e">
        <v>#N/A</v>
      </c>
    </row>
    <row r="1587" spans="2:30" x14ac:dyDescent="0.25">
      <c r="B1587" t="s">
        <v>133</v>
      </c>
      <c r="C1587" t="s">
        <v>3261</v>
      </c>
      <c r="D1587" t="s">
        <v>4782</v>
      </c>
      <c r="E1587" t="s">
        <v>4783</v>
      </c>
      <c r="F1587" t="s">
        <v>7646</v>
      </c>
      <c r="G1587" t="s">
        <v>3890</v>
      </c>
      <c r="H1587" t="s">
        <v>4669</v>
      </c>
      <c r="I1587" t="s">
        <v>4646</v>
      </c>
      <c r="J1587">
        <v>2</v>
      </c>
      <c r="K1587">
        <v>0.14099999999999999</v>
      </c>
      <c r="L1587">
        <v>0.14699999999999999</v>
      </c>
      <c r="M1587">
        <v>0.153</v>
      </c>
      <c r="N1587">
        <v>0.159</v>
      </c>
      <c r="O1587">
        <v>0.16500000000000001</v>
      </c>
      <c r="P1587">
        <v>0.17199999999999999</v>
      </c>
      <c r="Q1587">
        <v>0.17799999999999999</v>
      </c>
      <c r="R1587">
        <v>0.186</v>
      </c>
      <c r="S1587">
        <v>0.193</v>
      </c>
      <c r="T1587">
        <v>0.20100000000000001</v>
      </c>
      <c r="U1587">
        <v>0.20899999999999999</v>
      </c>
      <c r="V1587">
        <v>0.217</v>
      </c>
      <c r="W1587">
        <v>0.22600000000000001</v>
      </c>
      <c r="X1587">
        <v>0.23499999999999999</v>
      </c>
      <c r="Y1587">
        <v>0.24399999999999999</v>
      </c>
      <c r="Z1587">
        <v>0.254</v>
      </c>
      <c r="AA1587">
        <v>0.26400000000000001</v>
      </c>
      <c r="AB1587">
        <v>0.27500000000000002</v>
      </c>
      <c r="AC1587">
        <v>0.28599999999999998</v>
      </c>
      <c r="AD1587">
        <v>0.29699999999999999</v>
      </c>
    </row>
    <row r="1588" spans="2:30" x14ac:dyDescent="0.25">
      <c r="B1588" t="s">
        <v>133</v>
      </c>
      <c r="C1588" t="s">
        <v>3261</v>
      </c>
      <c r="D1588" t="s">
        <v>4785</v>
      </c>
      <c r="E1588" t="s">
        <v>4786</v>
      </c>
      <c r="F1588" t="s">
        <v>7647</v>
      </c>
      <c r="G1588" t="s">
        <v>3890</v>
      </c>
      <c r="H1588" t="s">
        <v>4673</v>
      </c>
      <c r="I1588" t="s">
        <v>4646</v>
      </c>
      <c r="J1588">
        <v>2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  <c r="W1588" t="e">
        <v>#N/A</v>
      </c>
      <c r="X1588" t="e">
        <v>#N/A</v>
      </c>
      <c r="Y1588" t="e">
        <v>#N/A</v>
      </c>
      <c r="Z1588" t="e">
        <v>#N/A</v>
      </c>
      <c r="AA1588" t="e">
        <v>#N/A</v>
      </c>
      <c r="AB1588" t="e">
        <v>#N/A</v>
      </c>
      <c r="AC1588" t="e">
        <v>#N/A</v>
      </c>
      <c r="AD1588" t="e">
        <v>#N/A</v>
      </c>
    </row>
    <row r="1589" spans="2:30" x14ac:dyDescent="0.25">
      <c r="B1589" t="s">
        <v>133</v>
      </c>
      <c r="C1589" t="s">
        <v>3261</v>
      </c>
      <c r="D1589" t="s">
        <v>4788</v>
      </c>
      <c r="E1589" t="s">
        <v>4789</v>
      </c>
      <c r="F1589" t="s">
        <v>7648</v>
      </c>
      <c r="G1589" t="s">
        <v>3890</v>
      </c>
      <c r="H1589" t="s">
        <v>4791</v>
      </c>
      <c r="I1589" t="s">
        <v>4646</v>
      </c>
      <c r="J1589">
        <v>2</v>
      </c>
      <c r="K1589">
        <v>0.41399999999999998</v>
      </c>
      <c r="L1589">
        <v>0.25900000000000001</v>
      </c>
      <c r="M1589">
        <v>0.24399999999999999</v>
      </c>
      <c r="N1589">
        <v>0.24399999999999999</v>
      </c>
      <c r="O1589">
        <v>0.24399999999999999</v>
      </c>
      <c r="P1589">
        <v>0.24399999999999999</v>
      </c>
      <c r="Q1589">
        <v>0.24399999999999999</v>
      </c>
      <c r="R1589">
        <v>0.24399999999999999</v>
      </c>
      <c r="S1589">
        <v>0.24399999999999999</v>
      </c>
      <c r="T1589">
        <v>0.24399999999999999</v>
      </c>
      <c r="U1589">
        <v>0.24399999999999999</v>
      </c>
      <c r="V1589">
        <v>0.24399999999999999</v>
      </c>
      <c r="W1589">
        <v>0.24399999999999999</v>
      </c>
      <c r="X1589">
        <v>0.24399999999999999</v>
      </c>
      <c r="Y1589">
        <v>0.24399999999999999</v>
      </c>
      <c r="Z1589">
        <v>0.24399999999999999</v>
      </c>
      <c r="AA1589">
        <v>0.24399999999999999</v>
      </c>
      <c r="AB1589">
        <v>0.24399999999999999</v>
      </c>
      <c r="AC1589">
        <v>0.24399999999999999</v>
      </c>
      <c r="AD1589">
        <v>0.24399999999999999</v>
      </c>
    </row>
    <row r="1590" spans="2:30" x14ac:dyDescent="0.25">
      <c r="B1590" t="s">
        <v>133</v>
      </c>
      <c r="C1590" t="s">
        <v>3261</v>
      </c>
      <c r="D1590" t="s">
        <v>4792</v>
      </c>
      <c r="E1590" t="s">
        <v>4793</v>
      </c>
      <c r="F1590" t="s">
        <v>7649</v>
      </c>
      <c r="G1590" t="s">
        <v>3890</v>
      </c>
      <c r="H1590" t="s">
        <v>4795</v>
      </c>
      <c r="I1590" t="s">
        <v>4646</v>
      </c>
      <c r="J1590">
        <v>2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  <c r="W1590" t="e">
        <v>#N/A</v>
      </c>
      <c r="X1590" t="e">
        <v>#N/A</v>
      </c>
      <c r="Y1590" t="e">
        <v>#N/A</v>
      </c>
      <c r="Z1590" t="e">
        <v>#N/A</v>
      </c>
      <c r="AA1590" t="e">
        <v>#N/A</v>
      </c>
      <c r="AB1590" t="e">
        <v>#N/A</v>
      </c>
      <c r="AC1590" t="e">
        <v>#N/A</v>
      </c>
      <c r="AD1590" t="e">
        <v>#N/A</v>
      </c>
    </row>
    <row r="1591" spans="2:30" x14ac:dyDescent="0.25">
      <c r="B1591" t="s">
        <v>133</v>
      </c>
      <c r="C1591" t="s">
        <v>3261</v>
      </c>
      <c r="D1591" t="s">
        <v>4796</v>
      </c>
      <c r="E1591" t="s">
        <v>4470</v>
      </c>
      <c r="F1591" t="s">
        <v>7551</v>
      </c>
      <c r="G1591" t="s">
        <v>3890</v>
      </c>
      <c r="H1591" t="s">
        <v>4435</v>
      </c>
      <c r="I1591" t="s">
        <v>4646</v>
      </c>
      <c r="J1591">
        <v>1</v>
      </c>
      <c r="K1591">
        <v>-0.36899999999999999</v>
      </c>
      <c r="L1591">
        <v>-0.44</v>
      </c>
      <c r="M1591">
        <v>-0.44800000000000001</v>
      </c>
      <c r="N1591">
        <v>-0.36499999999999999</v>
      </c>
      <c r="O1591">
        <v>-0.38800000000000001</v>
      </c>
      <c r="P1591">
        <v>-0.35399999999999998</v>
      </c>
      <c r="Q1591">
        <v>-0.34399999999999997</v>
      </c>
      <c r="R1591">
        <v>-0.34</v>
      </c>
      <c r="S1591">
        <v>-0.33600000000000002</v>
      </c>
      <c r="T1591">
        <v>-0.33100000000000002</v>
      </c>
      <c r="U1591">
        <v>-0.33100000000000002</v>
      </c>
      <c r="V1591">
        <v>-0.33100000000000002</v>
      </c>
      <c r="W1591">
        <v>-0.33100000000000002</v>
      </c>
      <c r="X1591">
        <v>-0.33100000000000002</v>
      </c>
      <c r="Y1591">
        <v>-0.33100000000000002</v>
      </c>
      <c r="Z1591">
        <v>-0.33100000000000002</v>
      </c>
      <c r="AA1591">
        <v>-0.33100000000000002</v>
      </c>
      <c r="AB1591">
        <v>-0.33100000000000002</v>
      </c>
      <c r="AC1591">
        <v>-0.33100000000000002</v>
      </c>
      <c r="AD1591">
        <v>-0.33100000000000002</v>
      </c>
    </row>
    <row r="1592" spans="2:30" x14ac:dyDescent="0.25">
      <c r="B1592" t="s">
        <v>133</v>
      </c>
      <c r="C1592" t="s">
        <v>3261</v>
      </c>
      <c r="D1592" t="s">
        <v>4797</v>
      </c>
      <c r="E1592" t="s">
        <v>4798</v>
      </c>
      <c r="F1592" t="s">
        <v>7650</v>
      </c>
      <c r="G1592" t="s">
        <v>3890</v>
      </c>
      <c r="H1592" t="s">
        <v>4686</v>
      </c>
      <c r="I1592" t="s">
        <v>4687</v>
      </c>
      <c r="J1592">
        <v>1</v>
      </c>
      <c r="K1592">
        <v>-143.566</v>
      </c>
      <c r="L1592">
        <v>-170.96600000000001</v>
      </c>
      <c r="M1592">
        <v>-173.893</v>
      </c>
      <c r="N1592">
        <v>-142.01</v>
      </c>
      <c r="O1592">
        <v>-150.86699999999999</v>
      </c>
      <c r="P1592">
        <v>-137.51599999999999</v>
      </c>
      <c r="Q1592">
        <v>-133.84299999999999</v>
      </c>
      <c r="R1592">
        <v>-131.99100000000001</v>
      </c>
      <c r="S1592">
        <v>-130.37200000000001</v>
      </c>
      <c r="T1592">
        <v>-128.613</v>
      </c>
      <c r="U1592">
        <v>-128.613</v>
      </c>
      <c r="V1592">
        <v>-128.613</v>
      </c>
      <c r="W1592">
        <v>-128.613</v>
      </c>
      <c r="X1592">
        <v>-128.613</v>
      </c>
      <c r="Y1592">
        <v>-128.613</v>
      </c>
      <c r="Z1592">
        <v>-128.613</v>
      </c>
      <c r="AA1592">
        <v>-128.613</v>
      </c>
      <c r="AB1592">
        <v>-128.613</v>
      </c>
      <c r="AC1592">
        <v>-128.613</v>
      </c>
      <c r="AD1592">
        <v>-128.613</v>
      </c>
    </row>
    <row r="1593" spans="2:30" x14ac:dyDescent="0.25">
      <c r="B1593" t="s">
        <v>133</v>
      </c>
      <c r="C1593" t="s">
        <v>3261</v>
      </c>
      <c r="D1593" t="s">
        <v>4800</v>
      </c>
      <c r="E1593" t="s">
        <v>4801</v>
      </c>
      <c r="F1593" t="s">
        <v>7651</v>
      </c>
      <c r="G1593" t="s">
        <v>3890</v>
      </c>
      <c r="H1593" t="s">
        <v>4803</v>
      </c>
      <c r="I1593" t="s">
        <v>4646</v>
      </c>
      <c r="J1593">
        <v>2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  <c r="W1593" t="e">
        <v>#N/A</v>
      </c>
      <c r="X1593" t="e">
        <v>#N/A</v>
      </c>
      <c r="Y1593" t="e">
        <v>#N/A</v>
      </c>
      <c r="Z1593" t="e">
        <v>#N/A</v>
      </c>
      <c r="AA1593" t="e">
        <v>#N/A</v>
      </c>
      <c r="AB1593" t="e">
        <v>#N/A</v>
      </c>
      <c r="AC1593" t="e">
        <v>#N/A</v>
      </c>
      <c r="AD1593" t="e">
        <v>#N/A</v>
      </c>
    </row>
    <row r="1594" spans="2:30" x14ac:dyDescent="0.25">
      <c r="B1594" t="s">
        <v>133</v>
      </c>
      <c r="C1594" t="s">
        <v>3261</v>
      </c>
      <c r="D1594" t="s">
        <v>4804</v>
      </c>
      <c r="E1594" t="s">
        <v>4805</v>
      </c>
      <c r="F1594" t="s">
        <v>7652</v>
      </c>
      <c r="G1594" t="s">
        <v>3890</v>
      </c>
      <c r="H1594" t="s">
        <v>4695</v>
      </c>
      <c r="I1594" t="s">
        <v>4687</v>
      </c>
      <c r="J1594">
        <v>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2:30" x14ac:dyDescent="0.25">
      <c r="B1595" t="s">
        <v>133</v>
      </c>
      <c r="C1595" t="s">
        <v>3261</v>
      </c>
      <c r="D1595" t="s">
        <v>4807</v>
      </c>
      <c r="E1595" t="s">
        <v>4808</v>
      </c>
      <c r="F1595" t="s">
        <v>7653</v>
      </c>
      <c r="G1595" t="s">
        <v>3890</v>
      </c>
      <c r="H1595" t="s">
        <v>4645</v>
      </c>
      <c r="I1595" t="s">
        <v>4810</v>
      </c>
      <c r="J1595">
        <v>2</v>
      </c>
      <c r="K1595">
        <v>16.391999999999999</v>
      </c>
      <c r="L1595">
        <v>14.093999999999999</v>
      </c>
      <c r="M1595">
        <v>13.279</v>
      </c>
      <c r="N1595">
        <v>12.816000000000001</v>
      </c>
      <c r="O1595">
        <v>13.071</v>
      </c>
      <c r="P1595">
        <v>13.372999999999999</v>
      </c>
      <c r="Q1595">
        <v>13.603</v>
      </c>
      <c r="R1595">
        <v>13.842000000000001</v>
      </c>
      <c r="S1595">
        <v>14.09</v>
      </c>
      <c r="T1595">
        <v>14.35</v>
      </c>
      <c r="U1595">
        <v>14.65</v>
      </c>
      <c r="V1595">
        <v>14.962</v>
      </c>
      <c r="W1595">
        <v>15.287000000000001</v>
      </c>
      <c r="X1595">
        <v>15.624000000000001</v>
      </c>
      <c r="Y1595">
        <v>15.975</v>
      </c>
      <c r="Z1595">
        <v>16.341000000000001</v>
      </c>
      <c r="AA1595">
        <v>16.72</v>
      </c>
      <c r="AB1595">
        <v>17.114999999999998</v>
      </c>
      <c r="AC1595">
        <v>17.526</v>
      </c>
      <c r="AD1595">
        <v>17.952999999999999</v>
      </c>
    </row>
    <row r="1596" spans="2:30" x14ac:dyDescent="0.25">
      <c r="B1596" t="s">
        <v>133</v>
      </c>
      <c r="C1596" t="s">
        <v>3261</v>
      </c>
      <c r="D1596" t="s">
        <v>4811</v>
      </c>
      <c r="E1596" t="s">
        <v>4812</v>
      </c>
      <c r="F1596" t="s">
        <v>7654</v>
      </c>
      <c r="G1596" t="s">
        <v>3890</v>
      </c>
      <c r="H1596" t="s">
        <v>4394</v>
      </c>
      <c r="I1596" t="s">
        <v>4810</v>
      </c>
      <c r="J1596">
        <v>2</v>
      </c>
      <c r="K1596">
        <v>11.12</v>
      </c>
      <c r="L1596">
        <v>8.6110000000000007</v>
      </c>
      <c r="M1596">
        <v>7.577</v>
      </c>
      <c r="N1596">
        <v>6.8849999999999998</v>
      </c>
      <c r="O1596">
        <v>6.9039999999999999</v>
      </c>
      <c r="P1596">
        <v>6.9580000000000002</v>
      </c>
      <c r="Q1596">
        <v>6.9320000000000004</v>
      </c>
      <c r="R1596">
        <v>6.9039999999999999</v>
      </c>
      <c r="S1596">
        <v>6.875</v>
      </c>
      <c r="T1596">
        <v>6.8460000000000001</v>
      </c>
      <c r="U1596">
        <v>6.8460000000000001</v>
      </c>
      <c r="V1596">
        <v>6.8460000000000001</v>
      </c>
      <c r="W1596">
        <v>6.8460000000000001</v>
      </c>
      <c r="X1596">
        <v>6.8460000000000001</v>
      </c>
      <c r="Y1596">
        <v>6.8460000000000001</v>
      </c>
      <c r="Z1596">
        <v>6.8460000000000001</v>
      </c>
      <c r="AA1596">
        <v>6.8460000000000001</v>
      </c>
      <c r="AB1596">
        <v>6.8460000000000001</v>
      </c>
      <c r="AC1596">
        <v>6.8460000000000001</v>
      </c>
      <c r="AD1596">
        <v>6.8460000000000001</v>
      </c>
    </row>
    <row r="1597" spans="2:30" x14ac:dyDescent="0.25">
      <c r="B1597" t="s">
        <v>133</v>
      </c>
      <c r="C1597" t="s">
        <v>3261</v>
      </c>
      <c r="D1597" t="s">
        <v>4814</v>
      </c>
      <c r="E1597" t="s">
        <v>4815</v>
      </c>
      <c r="F1597" t="s">
        <v>7655</v>
      </c>
      <c r="G1597" t="s">
        <v>3890</v>
      </c>
      <c r="H1597" t="s">
        <v>4653</v>
      </c>
      <c r="I1597" t="s">
        <v>4810</v>
      </c>
      <c r="J1597">
        <v>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2:30" x14ac:dyDescent="0.25">
      <c r="B1598" t="s">
        <v>133</v>
      </c>
      <c r="C1598" t="s">
        <v>3261</v>
      </c>
      <c r="D1598" t="s">
        <v>4817</v>
      </c>
      <c r="E1598" t="s">
        <v>4818</v>
      </c>
      <c r="F1598" t="s">
        <v>7656</v>
      </c>
      <c r="G1598" t="s">
        <v>3890</v>
      </c>
      <c r="H1598" t="s">
        <v>4669</v>
      </c>
      <c r="I1598" t="s">
        <v>4810</v>
      </c>
      <c r="J1598">
        <v>2</v>
      </c>
      <c r="K1598">
        <v>5.2720000000000002</v>
      </c>
      <c r="L1598">
        <v>5.4829999999999997</v>
      </c>
      <c r="M1598">
        <v>5.702</v>
      </c>
      <c r="N1598">
        <v>5.93</v>
      </c>
      <c r="O1598">
        <v>6.1680000000000001</v>
      </c>
      <c r="P1598">
        <v>6.4139999999999997</v>
      </c>
      <c r="Q1598">
        <v>6.6710000000000003</v>
      </c>
      <c r="R1598">
        <v>6.9379999999999997</v>
      </c>
      <c r="S1598">
        <v>7.2149999999999999</v>
      </c>
      <c r="T1598">
        <v>7.5039999999999996</v>
      </c>
      <c r="U1598">
        <v>7.8040000000000003</v>
      </c>
      <c r="V1598">
        <v>8.1159999999999997</v>
      </c>
      <c r="W1598">
        <v>8.4410000000000007</v>
      </c>
      <c r="X1598">
        <v>8.7780000000000005</v>
      </c>
      <c r="Y1598">
        <v>9.1300000000000008</v>
      </c>
      <c r="Z1598">
        <v>9.4949999999999992</v>
      </c>
      <c r="AA1598">
        <v>9.8740000000000006</v>
      </c>
      <c r="AB1598">
        <v>10.269</v>
      </c>
      <c r="AC1598">
        <v>10.68</v>
      </c>
      <c r="AD1598">
        <v>11.106999999999999</v>
      </c>
    </row>
    <row r="1599" spans="2:30" x14ac:dyDescent="0.25">
      <c r="B1599" t="s">
        <v>133</v>
      </c>
      <c r="C1599" t="s">
        <v>3261</v>
      </c>
      <c r="D1599" t="s">
        <v>4820</v>
      </c>
      <c r="E1599" t="s">
        <v>4821</v>
      </c>
      <c r="F1599" t="s">
        <v>7657</v>
      </c>
      <c r="G1599" t="s">
        <v>3890</v>
      </c>
      <c r="H1599" t="s">
        <v>4673</v>
      </c>
      <c r="I1599" t="s">
        <v>4810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2:30" x14ac:dyDescent="0.25">
      <c r="B1600" t="s">
        <v>133</v>
      </c>
      <c r="C1600" t="s">
        <v>3261</v>
      </c>
      <c r="D1600" t="s">
        <v>4823</v>
      </c>
      <c r="E1600" t="s">
        <v>4824</v>
      </c>
      <c r="F1600" t="s">
        <v>7658</v>
      </c>
      <c r="G1600" t="s">
        <v>3890</v>
      </c>
      <c r="H1600" t="s">
        <v>4826</v>
      </c>
      <c r="I1600" t="s">
        <v>4810</v>
      </c>
      <c r="J1600">
        <v>2</v>
      </c>
      <c r="K1600">
        <v>11.465999999999999</v>
      </c>
      <c r="L1600">
        <v>8.83</v>
      </c>
      <c r="M1600">
        <v>7.7460000000000004</v>
      </c>
      <c r="N1600">
        <v>7.0540000000000003</v>
      </c>
      <c r="O1600">
        <v>7.0720000000000001</v>
      </c>
      <c r="P1600">
        <v>7.1269999999999998</v>
      </c>
      <c r="Q1600">
        <v>7.101</v>
      </c>
      <c r="R1600">
        <v>7.0730000000000004</v>
      </c>
      <c r="S1600">
        <v>7.0430000000000001</v>
      </c>
      <c r="T1600">
        <v>7.0140000000000002</v>
      </c>
      <c r="U1600">
        <v>7.0140000000000002</v>
      </c>
      <c r="V1600">
        <v>7.0140000000000002</v>
      </c>
      <c r="W1600">
        <v>7.0140000000000002</v>
      </c>
      <c r="X1600">
        <v>7.0140000000000002</v>
      </c>
      <c r="Y1600">
        <v>7.0140000000000002</v>
      </c>
      <c r="Z1600">
        <v>7.0140000000000002</v>
      </c>
      <c r="AA1600">
        <v>7.0140000000000002</v>
      </c>
      <c r="AB1600">
        <v>7.0140000000000002</v>
      </c>
      <c r="AC1600">
        <v>7.0140000000000002</v>
      </c>
      <c r="AD1600">
        <v>7.0140000000000002</v>
      </c>
    </row>
    <row r="1601" spans="2:30" x14ac:dyDescent="0.25">
      <c r="B1601" t="s">
        <v>133</v>
      </c>
      <c r="C1601" t="s">
        <v>3261</v>
      </c>
      <c r="D1601" t="s">
        <v>4827</v>
      </c>
      <c r="E1601" t="s">
        <v>4828</v>
      </c>
      <c r="F1601" t="s">
        <v>7659</v>
      </c>
      <c r="G1601" t="s">
        <v>3890</v>
      </c>
      <c r="H1601" t="s">
        <v>4830</v>
      </c>
      <c r="I1601" t="s">
        <v>4810</v>
      </c>
      <c r="J1601">
        <v>2</v>
      </c>
      <c r="K1601">
        <v>-4.9260000000000002</v>
      </c>
      <c r="L1601">
        <v>-5.2640000000000002</v>
      </c>
      <c r="M1601">
        <v>-5.5339999999999998</v>
      </c>
      <c r="N1601">
        <v>-5.7619999999999996</v>
      </c>
      <c r="O1601">
        <v>-5.9989999999999997</v>
      </c>
      <c r="P1601">
        <v>-6.2460000000000004</v>
      </c>
      <c r="Q1601">
        <v>-6.5019999999999998</v>
      </c>
      <c r="R1601">
        <v>-6.7690000000000001</v>
      </c>
      <c r="S1601">
        <v>-7.0469999999999997</v>
      </c>
      <c r="T1601">
        <v>-7.335</v>
      </c>
      <c r="U1601">
        <v>-7.6349999999999998</v>
      </c>
      <c r="V1601">
        <v>-7.9480000000000004</v>
      </c>
      <c r="W1601">
        <v>-8.2720000000000002</v>
      </c>
      <c r="X1601">
        <v>-8.61</v>
      </c>
      <c r="Y1601">
        <v>-8.9610000000000003</v>
      </c>
      <c r="Z1601">
        <v>-9.3260000000000005</v>
      </c>
      <c r="AA1601">
        <v>-9.7059999999999995</v>
      </c>
      <c r="AB1601">
        <v>-10.101000000000001</v>
      </c>
      <c r="AC1601">
        <v>-10.512</v>
      </c>
      <c r="AD1601">
        <v>-10.939</v>
      </c>
    </row>
    <row r="1602" spans="2:30" x14ac:dyDescent="0.25">
      <c r="B1602" t="s">
        <v>133</v>
      </c>
      <c r="C1602" t="s">
        <v>3261</v>
      </c>
      <c r="D1602" t="s">
        <v>4831</v>
      </c>
      <c r="E1602" t="s">
        <v>4440</v>
      </c>
      <c r="F1602" t="s">
        <v>7541</v>
      </c>
      <c r="G1602" t="s">
        <v>3890</v>
      </c>
      <c r="H1602" t="s">
        <v>4832</v>
      </c>
      <c r="I1602" t="s">
        <v>4810</v>
      </c>
      <c r="J1602">
        <v>1</v>
      </c>
      <c r="K1602">
        <v>0.34599999999999997</v>
      </c>
      <c r="L1602">
        <v>0.219</v>
      </c>
      <c r="M1602">
        <v>0.16900000000000001</v>
      </c>
      <c r="N1602">
        <v>0.16900000000000001</v>
      </c>
      <c r="O1602">
        <v>0.16900000000000001</v>
      </c>
      <c r="P1602">
        <v>0.16900000000000001</v>
      </c>
      <c r="Q1602">
        <v>0.16900000000000001</v>
      </c>
      <c r="R1602">
        <v>0.16900000000000001</v>
      </c>
      <c r="S1602">
        <v>0.16900000000000001</v>
      </c>
      <c r="T1602">
        <v>0.16900000000000001</v>
      </c>
      <c r="U1602">
        <v>0.16900000000000001</v>
      </c>
      <c r="V1602">
        <v>0.16900000000000001</v>
      </c>
      <c r="W1602">
        <v>0.16900000000000001</v>
      </c>
      <c r="X1602">
        <v>0.16900000000000001</v>
      </c>
      <c r="Y1602">
        <v>0.16900000000000001</v>
      </c>
      <c r="Z1602">
        <v>0.16900000000000001</v>
      </c>
      <c r="AA1602">
        <v>0.16900000000000001</v>
      </c>
      <c r="AB1602">
        <v>0.16900000000000001</v>
      </c>
      <c r="AC1602">
        <v>0.16900000000000001</v>
      </c>
      <c r="AD1602">
        <v>0.16900000000000001</v>
      </c>
    </row>
    <row r="1603" spans="2:30" x14ac:dyDescent="0.25">
      <c r="B1603" t="s">
        <v>133</v>
      </c>
      <c r="C1603" t="s">
        <v>3261</v>
      </c>
      <c r="D1603" t="s">
        <v>4833</v>
      </c>
      <c r="E1603" t="s">
        <v>4834</v>
      </c>
      <c r="F1603" t="s">
        <v>7660</v>
      </c>
      <c r="G1603" t="s">
        <v>3890</v>
      </c>
      <c r="H1603" t="s">
        <v>4686</v>
      </c>
      <c r="I1603" t="s">
        <v>4687</v>
      </c>
      <c r="J1603">
        <v>1</v>
      </c>
      <c r="K1603">
        <v>3.5920000000000001</v>
      </c>
      <c r="L1603">
        <v>2.2810000000000001</v>
      </c>
      <c r="M1603">
        <v>1.7529999999999999</v>
      </c>
      <c r="N1603">
        <v>1.7529999999999999</v>
      </c>
      <c r="O1603">
        <v>1.7529999999999999</v>
      </c>
      <c r="P1603">
        <v>1.7529999999999999</v>
      </c>
      <c r="Q1603">
        <v>1.7529999999999999</v>
      </c>
      <c r="R1603">
        <v>1.7529999999999999</v>
      </c>
      <c r="S1603">
        <v>1.7529999999999999</v>
      </c>
      <c r="T1603">
        <v>1.7529999999999999</v>
      </c>
      <c r="U1603">
        <v>1.7529999999999999</v>
      </c>
      <c r="V1603">
        <v>1.7529999999999999</v>
      </c>
      <c r="W1603">
        <v>1.7529999999999999</v>
      </c>
      <c r="X1603">
        <v>1.7529999999999999</v>
      </c>
      <c r="Y1603">
        <v>1.7529999999999999</v>
      </c>
      <c r="Z1603">
        <v>1.7529999999999999</v>
      </c>
      <c r="AA1603">
        <v>1.7529999999999999</v>
      </c>
      <c r="AB1603">
        <v>1.7529999999999999</v>
      </c>
      <c r="AC1603">
        <v>1.7529999999999999</v>
      </c>
      <c r="AD1603">
        <v>1.7529999999999999</v>
      </c>
    </row>
    <row r="1604" spans="2:30" x14ac:dyDescent="0.25">
      <c r="B1604" t="s">
        <v>133</v>
      </c>
      <c r="C1604" t="s">
        <v>3261</v>
      </c>
      <c r="D1604" t="s">
        <v>4836</v>
      </c>
      <c r="E1604" t="s">
        <v>4837</v>
      </c>
      <c r="F1604" t="s">
        <v>7661</v>
      </c>
      <c r="G1604" t="s">
        <v>3890</v>
      </c>
      <c r="H1604" t="s">
        <v>4839</v>
      </c>
      <c r="I1604" t="s">
        <v>4810</v>
      </c>
      <c r="J1604">
        <v>2</v>
      </c>
      <c r="K1604">
        <v>5.2720000000000002</v>
      </c>
      <c r="L1604">
        <v>5.4829999999999997</v>
      </c>
      <c r="M1604">
        <v>5.702</v>
      </c>
      <c r="N1604">
        <v>5.93</v>
      </c>
      <c r="O1604">
        <v>6.1680000000000001</v>
      </c>
      <c r="P1604">
        <v>6.4139999999999997</v>
      </c>
      <c r="Q1604">
        <v>6.6710000000000003</v>
      </c>
      <c r="R1604">
        <v>6.9379999999999997</v>
      </c>
      <c r="S1604">
        <v>7.2149999999999999</v>
      </c>
      <c r="T1604">
        <v>7.5039999999999996</v>
      </c>
      <c r="U1604">
        <v>7.8040000000000003</v>
      </c>
      <c r="V1604">
        <v>8.1159999999999997</v>
      </c>
      <c r="W1604">
        <v>8.4410000000000007</v>
      </c>
      <c r="X1604">
        <v>8.7780000000000005</v>
      </c>
      <c r="Y1604">
        <v>9.1300000000000008</v>
      </c>
      <c r="Z1604">
        <v>9.4949999999999992</v>
      </c>
      <c r="AA1604">
        <v>9.8740000000000006</v>
      </c>
      <c r="AB1604">
        <v>10.269</v>
      </c>
      <c r="AC1604">
        <v>10.68</v>
      </c>
      <c r="AD1604">
        <v>11.106999999999999</v>
      </c>
    </row>
    <row r="1605" spans="2:30" x14ac:dyDescent="0.25">
      <c r="B1605" t="s">
        <v>133</v>
      </c>
      <c r="C1605" t="s">
        <v>3261</v>
      </c>
      <c r="D1605" t="s">
        <v>4840</v>
      </c>
      <c r="E1605" t="s">
        <v>4841</v>
      </c>
      <c r="F1605" t="s">
        <v>7662</v>
      </c>
      <c r="G1605" t="s">
        <v>3890</v>
      </c>
      <c r="H1605" t="s">
        <v>4695</v>
      </c>
      <c r="I1605" t="s">
        <v>4687</v>
      </c>
      <c r="J1605">
        <v>2</v>
      </c>
      <c r="K1605">
        <v>54.802</v>
      </c>
      <c r="L1605">
        <v>56.994</v>
      </c>
      <c r="M1605">
        <v>59.274000000000001</v>
      </c>
      <c r="N1605">
        <v>61.645000000000003</v>
      </c>
      <c r="O1605">
        <v>64.11</v>
      </c>
      <c r="P1605">
        <v>66.674999999999997</v>
      </c>
      <c r="Q1605">
        <v>69.341999999999999</v>
      </c>
      <c r="R1605">
        <v>72.114999999999995</v>
      </c>
      <c r="S1605">
        <v>75</v>
      </c>
      <c r="T1605">
        <v>78</v>
      </c>
      <c r="U1605">
        <v>81.12</v>
      </c>
      <c r="V1605">
        <v>84.364999999999995</v>
      </c>
      <c r="W1605">
        <v>87.739000000000004</v>
      </c>
      <c r="X1605">
        <v>91.248999999999995</v>
      </c>
      <c r="Y1605">
        <v>94.899000000000001</v>
      </c>
      <c r="Z1605">
        <v>98.694999999999993</v>
      </c>
      <c r="AA1605">
        <v>102.643</v>
      </c>
      <c r="AB1605">
        <v>106.748</v>
      </c>
      <c r="AC1605">
        <v>111.018</v>
      </c>
      <c r="AD1605">
        <v>115.459</v>
      </c>
    </row>
    <row r="1606" spans="2:30" x14ac:dyDescent="0.25">
      <c r="B1606" t="s">
        <v>133</v>
      </c>
      <c r="C1606" t="s">
        <v>3261</v>
      </c>
      <c r="D1606" t="s">
        <v>4843</v>
      </c>
      <c r="E1606" t="s">
        <v>4844</v>
      </c>
      <c r="F1606" t="s">
        <v>7663</v>
      </c>
      <c r="G1606" t="s">
        <v>3890</v>
      </c>
      <c r="H1606" t="s">
        <v>4645</v>
      </c>
      <c r="I1606" t="s">
        <v>4810</v>
      </c>
      <c r="J1606">
        <v>2</v>
      </c>
      <c r="K1606">
        <v>29.199000000000002</v>
      </c>
      <c r="L1606">
        <v>21.902000000000001</v>
      </c>
      <c r="M1606">
        <v>21.242999999999999</v>
      </c>
      <c r="N1606">
        <v>20.411999999999999</v>
      </c>
      <c r="O1606">
        <v>20.712</v>
      </c>
      <c r="P1606">
        <v>21.079000000000001</v>
      </c>
      <c r="Q1606">
        <v>21.331</v>
      </c>
      <c r="R1606">
        <v>21.591000000000001</v>
      </c>
      <c r="S1606">
        <v>21.86</v>
      </c>
      <c r="T1606">
        <v>22.143999999999998</v>
      </c>
      <c r="U1606">
        <v>22.486000000000001</v>
      </c>
      <c r="V1606">
        <v>22.841999999999999</v>
      </c>
      <c r="W1606">
        <v>23.212</v>
      </c>
      <c r="X1606">
        <v>23.597000000000001</v>
      </c>
      <c r="Y1606">
        <v>23.997</v>
      </c>
      <c r="Z1606">
        <v>24.413</v>
      </c>
      <c r="AA1606">
        <v>24.846</v>
      </c>
      <c r="AB1606">
        <v>25.297000000000001</v>
      </c>
      <c r="AC1606">
        <v>25.765000000000001</v>
      </c>
      <c r="AD1606">
        <v>26.251999999999999</v>
      </c>
    </row>
    <row r="1607" spans="2:30" x14ac:dyDescent="0.25">
      <c r="B1607" t="s">
        <v>133</v>
      </c>
      <c r="C1607" t="s">
        <v>3261</v>
      </c>
      <c r="D1607" t="s">
        <v>4846</v>
      </c>
      <c r="E1607" t="s">
        <v>4847</v>
      </c>
      <c r="F1607" t="s">
        <v>7664</v>
      </c>
      <c r="G1607" t="s">
        <v>3890</v>
      </c>
      <c r="H1607" t="s">
        <v>4394</v>
      </c>
      <c r="I1607" t="s">
        <v>4810</v>
      </c>
      <c r="J1607">
        <v>2</v>
      </c>
      <c r="K1607">
        <v>20.341000000000001</v>
      </c>
      <c r="L1607">
        <v>13.728999999999999</v>
      </c>
      <c r="M1607">
        <v>12.932</v>
      </c>
      <c r="N1607">
        <v>11.975</v>
      </c>
      <c r="O1607">
        <v>12</v>
      </c>
      <c r="P1607">
        <v>12.076000000000001</v>
      </c>
      <c r="Q1607">
        <v>12.04</v>
      </c>
      <c r="R1607">
        <v>12.002000000000001</v>
      </c>
      <c r="S1607">
        <v>11.96</v>
      </c>
      <c r="T1607">
        <v>11.920999999999999</v>
      </c>
      <c r="U1607">
        <v>11.920999999999999</v>
      </c>
      <c r="V1607">
        <v>11.920999999999999</v>
      </c>
      <c r="W1607">
        <v>11.920999999999999</v>
      </c>
      <c r="X1607">
        <v>11.920999999999999</v>
      </c>
      <c r="Y1607">
        <v>11.920999999999999</v>
      </c>
      <c r="Z1607">
        <v>11.920999999999999</v>
      </c>
      <c r="AA1607">
        <v>11.920999999999999</v>
      </c>
      <c r="AB1607">
        <v>11.920999999999999</v>
      </c>
      <c r="AC1607">
        <v>11.920999999999999</v>
      </c>
      <c r="AD1607">
        <v>11.920999999999999</v>
      </c>
    </row>
    <row r="1608" spans="2:30" x14ac:dyDescent="0.25">
      <c r="B1608" t="s">
        <v>133</v>
      </c>
      <c r="C1608" t="s">
        <v>3261</v>
      </c>
      <c r="D1608" t="s">
        <v>4849</v>
      </c>
      <c r="E1608" t="s">
        <v>4850</v>
      </c>
      <c r="F1608" t="s">
        <v>7665</v>
      </c>
      <c r="G1608" t="s">
        <v>3890</v>
      </c>
      <c r="H1608" t="s">
        <v>4653</v>
      </c>
      <c r="I1608" t="s">
        <v>4810</v>
      </c>
      <c r="J1608">
        <v>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2:30" x14ac:dyDescent="0.25">
      <c r="B1609" t="s">
        <v>133</v>
      </c>
      <c r="C1609" t="s">
        <v>3261</v>
      </c>
      <c r="D1609" t="s">
        <v>4852</v>
      </c>
      <c r="E1609" t="s">
        <v>4853</v>
      </c>
      <c r="F1609" t="s">
        <v>7666</v>
      </c>
      <c r="G1609" t="s">
        <v>3890</v>
      </c>
      <c r="H1609" t="s">
        <v>4669</v>
      </c>
      <c r="I1609" t="s">
        <v>4810</v>
      </c>
      <c r="J1609">
        <v>2</v>
      </c>
      <c r="K1609">
        <v>5.2720000000000002</v>
      </c>
      <c r="L1609">
        <v>5.4829999999999997</v>
      </c>
      <c r="M1609">
        <v>5.702</v>
      </c>
      <c r="N1609">
        <v>5.93</v>
      </c>
      <c r="O1609">
        <v>6.1680000000000001</v>
      </c>
      <c r="P1609">
        <v>6.4139999999999997</v>
      </c>
      <c r="Q1609">
        <v>6.6710000000000003</v>
      </c>
      <c r="R1609">
        <v>6.9379999999999997</v>
      </c>
      <c r="S1609">
        <v>7.2149999999999999</v>
      </c>
      <c r="T1609">
        <v>7.5039999999999996</v>
      </c>
      <c r="U1609">
        <v>7.8040000000000003</v>
      </c>
      <c r="V1609">
        <v>8.1159999999999997</v>
      </c>
      <c r="W1609">
        <v>8.4410000000000007</v>
      </c>
      <c r="X1609">
        <v>8.7780000000000005</v>
      </c>
      <c r="Y1609">
        <v>9.1300000000000008</v>
      </c>
      <c r="Z1609">
        <v>9.4949999999999992</v>
      </c>
      <c r="AA1609">
        <v>9.8740000000000006</v>
      </c>
      <c r="AB1609">
        <v>10.269</v>
      </c>
      <c r="AC1609">
        <v>10.68</v>
      </c>
      <c r="AD1609">
        <v>11.106999999999999</v>
      </c>
    </row>
    <row r="1610" spans="2:30" x14ac:dyDescent="0.25">
      <c r="B1610" t="s">
        <v>133</v>
      </c>
      <c r="C1610" t="s">
        <v>3261</v>
      </c>
      <c r="D1610" t="s">
        <v>4855</v>
      </c>
      <c r="E1610" t="s">
        <v>4856</v>
      </c>
      <c r="F1610" t="s">
        <v>7667</v>
      </c>
      <c r="G1610" t="s">
        <v>3890</v>
      </c>
      <c r="H1610" t="s">
        <v>4673</v>
      </c>
      <c r="I1610" t="s">
        <v>4810</v>
      </c>
      <c r="J1610">
        <v>2</v>
      </c>
      <c r="K1610">
        <v>3.5859999999999999</v>
      </c>
      <c r="L1610">
        <v>2.69</v>
      </c>
      <c r="M1610">
        <v>2.609</v>
      </c>
      <c r="N1610">
        <v>2.5070000000000001</v>
      </c>
      <c r="O1610">
        <v>2.544</v>
      </c>
      <c r="P1610">
        <v>2.589</v>
      </c>
      <c r="Q1610">
        <v>2.62</v>
      </c>
      <c r="R1610">
        <v>2.6520000000000001</v>
      </c>
      <c r="S1610">
        <v>2.6850000000000001</v>
      </c>
      <c r="T1610">
        <v>2.7189999999999999</v>
      </c>
      <c r="U1610">
        <v>2.7610000000000001</v>
      </c>
      <c r="V1610">
        <v>2.8050000000000002</v>
      </c>
      <c r="W1610">
        <v>2.851</v>
      </c>
      <c r="X1610">
        <v>2.8980000000000001</v>
      </c>
      <c r="Y1610">
        <v>2.9470000000000001</v>
      </c>
      <c r="Z1610">
        <v>2.9980000000000002</v>
      </c>
      <c r="AA1610">
        <v>3.0510000000000002</v>
      </c>
      <c r="AB1610">
        <v>3.1070000000000002</v>
      </c>
      <c r="AC1610">
        <v>3.1640000000000001</v>
      </c>
      <c r="AD1610">
        <v>3.2240000000000002</v>
      </c>
    </row>
    <row r="1611" spans="2:30" x14ac:dyDescent="0.25">
      <c r="B1611" t="s">
        <v>133</v>
      </c>
      <c r="C1611" t="s">
        <v>3261</v>
      </c>
      <c r="D1611" t="s">
        <v>4858</v>
      </c>
      <c r="E1611" t="s">
        <v>4859</v>
      </c>
      <c r="F1611" t="s">
        <v>7668</v>
      </c>
      <c r="G1611" t="s">
        <v>3890</v>
      </c>
      <c r="H1611" t="s">
        <v>4826</v>
      </c>
      <c r="I1611" t="s">
        <v>4810</v>
      </c>
      <c r="J1611">
        <v>2</v>
      </c>
      <c r="K1611">
        <v>23.399000000000001</v>
      </c>
      <c r="L1611">
        <v>15.864000000000001</v>
      </c>
      <c r="M1611">
        <v>14.744</v>
      </c>
      <c r="N1611">
        <v>13.651999999999999</v>
      </c>
      <c r="O1611">
        <v>13.680999999999999</v>
      </c>
      <c r="P1611">
        <v>13.768000000000001</v>
      </c>
      <c r="Q1611">
        <v>13.727</v>
      </c>
      <c r="R1611">
        <v>13.683</v>
      </c>
      <c r="S1611">
        <v>13.635999999999999</v>
      </c>
      <c r="T1611">
        <v>13.59</v>
      </c>
      <c r="U1611">
        <v>13.59</v>
      </c>
      <c r="V1611">
        <v>13.59</v>
      </c>
      <c r="W1611">
        <v>13.59</v>
      </c>
      <c r="X1611">
        <v>13.59</v>
      </c>
      <c r="Y1611">
        <v>13.59</v>
      </c>
      <c r="Z1611">
        <v>13.59</v>
      </c>
      <c r="AA1611">
        <v>13.59</v>
      </c>
      <c r="AB1611">
        <v>13.59</v>
      </c>
      <c r="AC1611">
        <v>13.59</v>
      </c>
      <c r="AD1611">
        <v>13.59</v>
      </c>
    </row>
    <row r="1612" spans="2:30" x14ac:dyDescent="0.25">
      <c r="B1612" t="s">
        <v>133</v>
      </c>
      <c r="C1612" t="s">
        <v>3261</v>
      </c>
      <c r="D1612" t="s">
        <v>4861</v>
      </c>
      <c r="E1612" t="s">
        <v>4862</v>
      </c>
      <c r="F1612" t="s">
        <v>7669</v>
      </c>
      <c r="G1612" t="s">
        <v>3890</v>
      </c>
      <c r="H1612" t="s">
        <v>4830</v>
      </c>
      <c r="I1612" t="s">
        <v>4810</v>
      </c>
      <c r="J1612">
        <v>2</v>
      </c>
      <c r="K1612">
        <v>-5.8</v>
      </c>
      <c r="L1612">
        <v>-6.0380000000000003</v>
      </c>
      <c r="M1612">
        <v>-6.5</v>
      </c>
      <c r="N1612">
        <v>-6.76</v>
      </c>
      <c r="O1612">
        <v>-7.03</v>
      </c>
      <c r="P1612">
        <v>-7.3120000000000003</v>
      </c>
      <c r="Q1612">
        <v>-7.6040000000000001</v>
      </c>
      <c r="R1612">
        <v>-7.9080000000000004</v>
      </c>
      <c r="S1612">
        <v>-8.2249999999999996</v>
      </c>
      <c r="T1612">
        <v>-8.5540000000000003</v>
      </c>
      <c r="U1612">
        <v>-8.8960000000000008</v>
      </c>
      <c r="V1612">
        <v>-9.2520000000000007</v>
      </c>
      <c r="W1612">
        <v>-9.6219999999999999</v>
      </c>
      <c r="X1612">
        <v>-10.007</v>
      </c>
      <c r="Y1612">
        <v>-10.407</v>
      </c>
      <c r="Z1612">
        <v>-10.823</v>
      </c>
      <c r="AA1612">
        <v>-11.256</v>
      </c>
      <c r="AB1612">
        <v>-11.706</v>
      </c>
      <c r="AC1612">
        <v>-12.175000000000001</v>
      </c>
      <c r="AD1612">
        <v>-12.662000000000001</v>
      </c>
    </row>
    <row r="1613" spans="2:30" x14ac:dyDescent="0.25">
      <c r="B1613" t="s">
        <v>133</v>
      </c>
      <c r="C1613" t="s">
        <v>3261</v>
      </c>
      <c r="D1613" t="s">
        <v>4864</v>
      </c>
      <c r="E1613" t="s">
        <v>4446</v>
      </c>
      <c r="F1613" t="s">
        <v>7543</v>
      </c>
      <c r="G1613" t="s">
        <v>3890</v>
      </c>
      <c r="H1613" t="s">
        <v>4865</v>
      </c>
      <c r="I1613" t="s">
        <v>4810</v>
      </c>
      <c r="J1613">
        <v>1</v>
      </c>
      <c r="K1613">
        <v>0.184</v>
      </c>
      <c r="L1613">
        <v>0.187</v>
      </c>
      <c r="M1613">
        <v>1E-3</v>
      </c>
      <c r="N1613">
        <v>1E-3</v>
      </c>
      <c r="O1613">
        <v>1E-3</v>
      </c>
      <c r="P1613">
        <v>1E-3</v>
      </c>
      <c r="Q1613">
        <v>1E-3</v>
      </c>
      <c r="R1613">
        <v>1E-3</v>
      </c>
      <c r="S1613">
        <v>1E-3</v>
      </c>
      <c r="T1613">
        <v>1E-3</v>
      </c>
      <c r="U1613">
        <v>1E-3</v>
      </c>
      <c r="V1613">
        <v>1E-3</v>
      </c>
      <c r="W1613">
        <v>1E-3</v>
      </c>
      <c r="X1613">
        <v>1E-3</v>
      </c>
      <c r="Y1613">
        <v>1E-3</v>
      </c>
      <c r="Z1613">
        <v>1E-3</v>
      </c>
      <c r="AA1613">
        <v>1E-3</v>
      </c>
      <c r="AB1613">
        <v>1E-3</v>
      </c>
      <c r="AC1613">
        <v>1E-3</v>
      </c>
      <c r="AD1613">
        <v>1E-3</v>
      </c>
    </row>
    <row r="1614" spans="2:30" x14ac:dyDescent="0.25">
      <c r="B1614" t="s">
        <v>133</v>
      </c>
      <c r="C1614" t="s">
        <v>3261</v>
      </c>
      <c r="D1614" t="s">
        <v>4866</v>
      </c>
      <c r="E1614" t="s">
        <v>4867</v>
      </c>
      <c r="F1614" t="s">
        <v>7670</v>
      </c>
      <c r="G1614" t="s">
        <v>3890</v>
      </c>
      <c r="H1614" t="s">
        <v>4686</v>
      </c>
      <c r="I1614" t="s">
        <v>4687</v>
      </c>
      <c r="J1614">
        <v>1</v>
      </c>
      <c r="K1614">
        <v>1.9179999999999999</v>
      </c>
      <c r="L1614">
        <v>1.9410000000000001</v>
      </c>
      <c r="M1614">
        <v>7.0000000000000001E-3</v>
      </c>
      <c r="N1614">
        <v>7.0000000000000001E-3</v>
      </c>
      <c r="O1614">
        <v>7.0000000000000001E-3</v>
      </c>
      <c r="P1614">
        <v>7.0000000000000001E-3</v>
      </c>
      <c r="Q1614">
        <v>7.0000000000000001E-3</v>
      </c>
      <c r="R1614">
        <v>7.0000000000000001E-3</v>
      </c>
      <c r="S1614">
        <v>7.0000000000000001E-3</v>
      </c>
      <c r="T1614">
        <v>7.0000000000000001E-3</v>
      </c>
      <c r="U1614">
        <v>7.0000000000000001E-3</v>
      </c>
      <c r="V1614">
        <v>7.0000000000000001E-3</v>
      </c>
      <c r="W1614">
        <v>7.0000000000000001E-3</v>
      </c>
      <c r="X1614">
        <v>7.0000000000000001E-3</v>
      </c>
      <c r="Y1614">
        <v>7.0000000000000001E-3</v>
      </c>
      <c r="Z1614">
        <v>7.0000000000000001E-3</v>
      </c>
      <c r="AA1614">
        <v>7.0000000000000001E-3</v>
      </c>
      <c r="AB1614">
        <v>7.0000000000000001E-3</v>
      </c>
      <c r="AC1614">
        <v>7.0000000000000001E-3</v>
      </c>
      <c r="AD1614">
        <v>7.0000000000000001E-3</v>
      </c>
    </row>
    <row r="1615" spans="2:30" x14ac:dyDescent="0.25">
      <c r="B1615" t="s">
        <v>133</v>
      </c>
      <c r="C1615" t="s">
        <v>3261</v>
      </c>
      <c r="D1615" t="s">
        <v>4869</v>
      </c>
      <c r="E1615" t="s">
        <v>4870</v>
      </c>
      <c r="F1615" t="s">
        <v>7671</v>
      </c>
      <c r="G1615" t="s">
        <v>3890</v>
      </c>
      <c r="H1615" t="s">
        <v>4839</v>
      </c>
      <c r="I1615" t="s">
        <v>4810</v>
      </c>
      <c r="J1615">
        <v>2</v>
      </c>
      <c r="K1615">
        <v>5.2720000000000002</v>
      </c>
      <c r="L1615">
        <v>5.4829999999999997</v>
      </c>
      <c r="M1615">
        <v>5.702</v>
      </c>
      <c r="N1615">
        <v>5.93</v>
      </c>
      <c r="O1615">
        <v>6.1680000000000001</v>
      </c>
      <c r="P1615">
        <v>6.4139999999999997</v>
      </c>
      <c r="Q1615">
        <v>6.6710000000000003</v>
      </c>
      <c r="R1615">
        <v>6.9379999999999997</v>
      </c>
      <c r="S1615">
        <v>7.2149999999999999</v>
      </c>
      <c r="T1615">
        <v>7.5039999999999996</v>
      </c>
      <c r="U1615">
        <v>7.8040000000000003</v>
      </c>
      <c r="V1615">
        <v>8.1159999999999997</v>
      </c>
      <c r="W1615">
        <v>8.4410000000000007</v>
      </c>
      <c r="X1615">
        <v>8.7780000000000005</v>
      </c>
      <c r="Y1615">
        <v>9.1300000000000008</v>
      </c>
      <c r="Z1615">
        <v>9.4949999999999992</v>
      </c>
      <c r="AA1615">
        <v>9.8740000000000006</v>
      </c>
      <c r="AB1615">
        <v>10.269</v>
      </c>
      <c r="AC1615">
        <v>10.68</v>
      </c>
      <c r="AD1615">
        <v>11.106999999999999</v>
      </c>
    </row>
    <row r="1616" spans="2:30" x14ac:dyDescent="0.25">
      <c r="B1616" t="s">
        <v>133</v>
      </c>
      <c r="C1616" t="s">
        <v>3261</v>
      </c>
      <c r="D1616" t="s">
        <v>4872</v>
      </c>
      <c r="E1616" t="s">
        <v>4873</v>
      </c>
      <c r="F1616" t="s">
        <v>7672</v>
      </c>
      <c r="G1616" t="s">
        <v>3890</v>
      </c>
      <c r="H1616" t="s">
        <v>4695</v>
      </c>
      <c r="I1616" t="s">
        <v>4687</v>
      </c>
      <c r="J1616">
        <v>2</v>
      </c>
      <c r="K1616">
        <v>54.802</v>
      </c>
      <c r="L1616">
        <v>56.994</v>
      </c>
      <c r="M1616">
        <v>59.274000000000001</v>
      </c>
      <c r="N1616">
        <v>61.645000000000003</v>
      </c>
      <c r="O1616">
        <v>64.11</v>
      </c>
      <c r="P1616">
        <v>66.674999999999997</v>
      </c>
      <c r="Q1616">
        <v>69.341999999999999</v>
      </c>
      <c r="R1616">
        <v>72.114999999999995</v>
      </c>
      <c r="S1616">
        <v>75</v>
      </c>
      <c r="T1616">
        <v>78</v>
      </c>
      <c r="U1616">
        <v>81.12</v>
      </c>
      <c r="V1616">
        <v>84.364999999999995</v>
      </c>
      <c r="W1616">
        <v>87.739000000000004</v>
      </c>
      <c r="X1616">
        <v>91.248999999999995</v>
      </c>
      <c r="Y1616">
        <v>94.899000000000001</v>
      </c>
      <c r="Z1616">
        <v>98.694999999999993</v>
      </c>
      <c r="AA1616">
        <v>102.643</v>
      </c>
      <c r="AB1616">
        <v>106.748</v>
      </c>
      <c r="AC1616">
        <v>111.018</v>
      </c>
      <c r="AD1616">
        <v>115.459</v>
      </c>
    </row>
    <row r="1617" spans="2:30" x14ac:dyDescent="0.25">
      <c r="B1617" t="s">
        <v>133</v>
      </c>
      <c r="C1617" t="s">
        <v>3261</v>
      </c>
      <c r="D1617" t="s">
        <v>4875</v>
      </c>
      <c r="E1617" t="s">
        <v>4876</v>
      </c>
      <c r="F1617" t="s">
        <v>7673</v>
      </c>
      <c r="G1617" t="s">
        <v>3890</v>
      </c>
      <c r="H1617" t="s">
        <v>4645</v>
      </c>
      <c r="I1617" t="s">
        <v>4810</v>
      </c>
      <c r="J1617">
        <v>2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  <c r="W1617" t="e">
        <v>#N/A</v>
      </c>
      <c r="X1617" t="e">
        <v>#N/A</v>
      </c>
      <c r="Y1617" t="e">
        <v>#N/A</v>
      </c>
      <c r="Z1617" t="e">
        <v>#N/A</v>
      </c>
      <c r="AA1617" t="e">
        <v>#N/A</v>
      </c>
      <c r="AB1617" t="e">
        <v>#N/A</v>
      </c>
      <c r="AC1617" t="e">
        <v>#N/A</v>
      </c>
      <c r="AD1617" t="e">
        <v>#N/A</v>
      </c>
    </row>
    <row r="1618" spans="2:30" x14ac:dyDescent="0.25">
      <c r="B1618" t="s">
        <v>133</v>
      </c>
      <c r="C1618" t="s">
        <v>3261</v>
      </c>
      <c r="D1618" t="s">
        <v>4878</v>
      </c>
      <c r="E1618" t="s">
        <v>4879</v>
      </c>
      <c r="F1618" t="s">
        <v>7674</v>
      </c>
      <c r="G1618" t="s">
        <v>3890</v>
      </c>
      <c r="H1618" t="s">
        <v>4394</v>
      </c>
      <c r="I1618" t="s">
        <v>4810</v>
      </c>
      <c r="J1618">
        <v>2</v>
      </c>
      <c r="K1618">
        <v>13.301</v>
      </c>
      <c r="L1618">
        <v>6.66</v>
      </c>
      <c r="M1618">
        <v>5.9119999999999999</v>
      </c>
      <c r="N1618">
        <v>5.032</v>
      </c>
      <c r="O1618">
        <v>5.0549999999999997</v>
      </c>
      <c r="P1618">
        <v>5.125</v>
      </c>
      <c r="Q1618">
        <v>5.0919999999999996</v>
      </c>
      <c r="R1618">
        <v>5.056</v>
      </c>
      <c r="S1618">
        <v>5.0179999999999998</v>
      </c>
      <c r="T1618">
        <v>4.9820000000000002</v>
      </c>
      <c r="U1618">
        <v>4.9820000000000002</v>
      </c>
      <c r="V1618">
        <v>4.9820000000000002</v>
      </c>
      <c r="W1618">
        <v>4.9820000000000002</v>
      </c>
      <c r="X1618">
        <v>4.9820000000000002</v>
      </c>
      <c r="Y1618">
        <v>4.9820000000000002</v>
      </c>
      <c r="Z1618">
        <v>4.9820000000000002</v>
      </c>
      <c r="AA1618">
        <v>4.9820000000000002</v>
      </c>
      <c r="AB1618">
        <v>4.9820000000000002</v>
      </c>
      <c r="AC1618">
        <v>4.9820000000000002</v>
      </c>
      <c r="AD1618">
        <v>4.9820000000000002</v>
      </c>
    </row>
    <row r="1619" spans="2:30" x14ac:dyDescent="0.25">
      <c r="B1619" t="s">
        <v>133</v>
      </c>
      <c r="C1619" t="s">
        <v>3261</v>
      </c>
      <c r="D1619" t="s">
        <v>4881</v>
      </c>
      <c r="E1619" t="s">
        <v>4882</v>
      </c>
      <c r="F1619" t="s">
        <v>7675</v>
      </c>
      <c r="G1619" t="s">
        <v>3890</v>
      </c>
      <c r="H1619" t="s">
        <v>4653</v>
      </c>
      <c r="I1619" t="s">
        <v>4810</v>
      </c>
      <c r="J1619">
        <v>2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  <c r="W1619" t="e">
        <v>#N/A</v>
      </c>
      <c r="X1619" t="e">
        <v>#N/A</v>
      </c>
      <c r="Y1619" t="e">
        <v>#N/A</v>
      </c>
      <c r="Z1619" t="e">
        <v>#N/A</v>
      </c>
      <c r="AA1619" t="e">
        <v>#N/A</v>
      </c>
      <c r="AB1619" t="e">
        <v>#N/A</v>
      </c>
      <c r="AC1619" t="e">
        <v>#N/A</v>
      </c>
      <c r="AD1619" t="e">
        <v>#N/A</v>
      </c>
    </row>
    <row r="1620" spans="2:30" x14ac:dyDescent="0.25">
      <c r="B1620" t="s">
        <v>133</v>
      </c>
      <c r="C1620" t="s">
        <v>3261</v>
      </c>
      <c r="D1620" t="s">
        <v>4884</v>
      </c>
      <c r="E1620" t="s">
        <v>4885</v>
      </c>
      <c r="F1620" t="s">
        <v>7676</v>
      </c>
      <c r="G1620" t="s">
        <v>3890</v>
      </c>
      <c r="H1620" t="s">
        <v>4669</v>
      </c>
      <c r="I1620" t="s">
        <v>4810</v>
      </c>
      <c r="J1620">
        <v>2</v>
      </c>
      <c r="K1620">
        <v>5.2720000000000002</v>
      </c>
      <c r="L1620">
        <v>5.4829999999999997</v>
      </c>
      <c r="M1620">
        <v>5.702</v>
      </c>
      <c r="N1620">
        <v>5.93</v>
      </c>
      <c r="O1620">
        <v>6.1680000000000001</v>
      </c>
      <c r="P1620">
        <v>6.4139999999999997</v>
      </c>
      <c r="Q1620">
        <v>6.6710000000000003</v>
      </c>
      <c r="R1620">
        <v>6.9379999999999997</v>
      </c>
      <c r="S1620">
        <v>7.2149999999999999</v>
      </c>
      <c r="T1620">
        <v>7.5039999999999996</v>
      </c>
      <c r="U1620">
        <v>7.8040000000000003</v>
      </c>
      <c r="V1620">
        <v>8.1159999999999997</v>
      </c>
      <c r="W1620">
        <v>8.4410000000000007</v>
      </c>
      <c r="X1620">
        <v>8.7780000000000005</v>
      </c>
      <c r="Y1620">
        <v>9.1300000000000008</v>
      </c>
      <c r="Z1620">
        <v>9.4949999999999992</v>
      </c>
      <c r="AA1620">
        <v>9.8740000000000006</v>
      </c>
      <c r="AB1620">
        <v>10.269</v>
      </c>
      <c r="AC1620">
        <v>10.68</v>
      </c>
      <c r="AD1620">
        <v>11.106999999999999</v>
      </c>
    </row>
    <row r="1621" spans="2:30" x14ac:dyDescent="0.25">
      <c r="B1621" t="s">
        <v>133</v>
      </c>
      <c r="C1621" t="s">
        <v>3261</v>
      </c>
      <c r="D1621" t="s">
        <v>4887</v>
      </c>
      <c r="E1621" t="s">
        <v>4888</v>
      </c>
      <c r="F1621" t="s">
        <v>7677</v>
      </c>
      <c r="G1621" t="s">
        <v>3890</v>
      </c>
      <c r="H1621" t="s">
        <v>4673</v>
      </c>
      <c r="I1621" t="s">
        <v>4810</v>
      </c>
      <c r="J1621">
        <v>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2:30" x14ac:dyDescent="0.25">
      <c r="B1622" t="s">
        <v>133</v>
      </c>
      <c r="C1622" t="s">
        <v>3261</v>
      </c>
      <c r="D1622" t="s">
        <v>4890</v>
      </c>
      <c r="E1622" t="s">
        <v>4891</v>
      </c>
      <c r="F1622" t="s">
        <v>7678</v>
      </c>
      <c r="G1622" t="s">
        <v>3890</v>
      </c>
      <c r="H1622" t="s">
        <v>4826</v>
      </c>
      <c r="I1622" t="s">
        <v>4810</v>
      </c>
      <c r="J1622">
        <v>2</v>
      </c>
      <c r="K1622">
        <v>13.301</v>
      </c>
      <c r="L1622">
        <v>6.66</v>
      </c>
      <c r="M1622">
        <v>5.9119999999999999</v>
      </c>
      <c r="N1622">
        <v>5.032</v>
      </c>
      <c r="O1622">
        <v>5.0549999999999997</v>
      </c>
      <c r="P1622">
        <v>5.125</v>
      </c>
      <c r="Q1622">
        <v>5.0919999999999996</v>
      </c>
      <c r="R1622">
        <v>5.056</v>
      </c>
      <c r="S1622">
        <v>5.0179999999999998</v>
      </c>
      <c r="T1622">
        <v>4.9820000000000002</v>
      </c>
      <c r="U1622">
        <v>4.9820000000000002</v>
      </c>
      <c r="V1622">
        <v>4.9820000000000002</v>
      </c>
      <c r="W1622">
        <v>4.9820000000000002</v>
      </c>
      <c r="X1622">
        <v>4.9820000000000002</v>
      </c>
      <c r="Y1622">
        <v>4.9820000000000002</v>
      </c>
      <c r="Z1622">
        <v>4.9820000000000002</v>
      </c>
      <c r="AA1622">
        <v>4.9820000000000002</v>
      </c>
      <c r="AB1622">
        <v>4.9820000000000002</v>
      </c>
      <c r="AC1622">
        <v>4.9820000000000002</v>
      </c>
      <c r="AD1622">
        <v>4.9820000000000002</v>
      </c>
    </row>
    <row r="1623" spans="2:30" x14ac:dyDescent="0.25">
      <c r="B1623" t="s">
        <v>133</v>
      </c>
      <c r="C1623" t="s">
        <v>3261</v>
      </c>
      <c r="D1623" t="s">
        <v>4893</v>
      </c>
      <c r="E1623" t="s">
        <v>4894</v>
      </c>
      <c r="F1623" t="s">
        <v>7679</v>
      </c>
      <c r="G1623" t="s">
        <v>3890</v>
      </c>
      <c r="H1623" t="s">
        <v>4830</v>
      </c>
      <c r="I1623" t="s">
        <v>4810</v>
      </c>
      <c r="J1623">
        <v>2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  <c r="W1623" t="e">
        <v>#N/A</v>
      </c>
      <c r="X1623" t="e">
        <v>#N/A</v>
      </c>
      <c r="Y1623" t="e">
        <v>#N/A</v>
      </c>
      <c r="Z1623" t="e">
        <v>#N/A</v>
      </c>
      <c r="AA1623" t="e">
        <v>#N/A</v>
      </c>
      <c r="AB1623" t="e">
        <v>#N/A</v>
      </c>
      <c r="AC1623" t="e">
        <v>#N/A</v>
      </c>
      <c r="AD1623" t="e">
        <v>#N/A</v>
      </c>
    </row>
    <row r="1624" spans="2:30" x14ac:dyDescent="0.25">
      <c r="B1624" t="s">
        <v>133</v>
      </c>
      <c r="C1624" t="s">
        <v>3261</v>
      </c>
      <c r="D1624" t="s">
        <v>4896</v>
      </c>
      <c r="E1624" t="s">
        <v>4452</v>
      </c>
      <c r="F1624" t="s">
        <v>7545</v>
      </c>
      <c r="G1624" t="s">
        <v>3890</v>
      </c>
      <c r="H1624" t="s">
        <v>4897</v>
      </c>
      <c r="I1624" t="s">
        <v>4810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2:30" x14ac:dyDescent="0.25">
      <c r="B1625" t="s">
        <v>133</v>
      </c>
      <c r="C1625" t="s">
        <v>3261</v>
      </c>
      <c r="D1625" t="s">
        <v>4898</v>
      </c>
      <c r="E1625" t="s">
        <v>4899</v>
      </c>
      <c r="F1625" t="s">
        <v>7680</v>
      </c>
      <c r="G1625" t="s">
        <v>3890</v>
      </c>
      <c r="H1625" t="s">
        <v>4686</v>
      </c>
      <c r="I1625" t="s">
        <v>4687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2:30" x14ac:dyDescent="0.25">
      <c r="B1626" t="s">
        <v>133</v>
      </c>
      <c r="C1626" t="s">
        <v>3261</v>
      </c>
      <c r="D1626" t="s">
        <v>4901</v>
      </c>
      <c r="E1626" t="s">
        <v>4902</v>
      </c>
      <c r="F1626" t="s">
        <v>7681</v>
      </c>
      <c r="G1626" t="s">
        <v>3890</v>
      </c>
      <c r="H1626" t="s">
        <v>4839</v>
      </c>
      <c r="I1626" t="s">
        <v>4810</v>
      </c>
      <c r="J1626">
        <v>2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  <c r="W1626" t="e">
        <v>#N/A</v>
      </c>
      <c r="X1626" t="e">
        <v>#N/A</v>
      </c>
      <c r="Y1626" t="e">
        <v>#N/A</v>
      </c>
      <c r="Z1626" t="e">
        <v>#N/A</v>
      </c>
      <c r="AA1626" t="e">
        <v>#N/A</v>
      </c>
      <c r="AB1626" t="e">
        <v>#N/A</v>
      </c>
      <c r="AC1626" t="e">
        <v>#N/A</v>
      </c>
      <c r="AD1626" t="e">
        <v>#N/A</v>
      </c>
    </row>
    <row r="1627" spans="2:30" x14ac:dyDescent="0.25">
      <c r="B1627" t="s">
        <v>133</v>
      </c>
      <c r="C1627" t="s">
        <v>3261</v>
      </c>
      <c r="D1627" t="s">
        <v>4904</v>
      </c>
      <c r="E1627" t="s">
        <v>4905</v>
      </c>
      <c r="F1627" t="s">
        <v>7682</v>
      </c>
      <c r="G1627" t="s">
        <v>3890</v>
      </c>
      <c r="H1627" t="s">
        <v>4695</v>
      </c>
      <c r="I1627" t="s">
        <v>4687</v>
      </c>
      <c r="J1627">
        <v>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2:30" x14ac:dyDescent="0.25">
      <c r="B1628" t="s">
        <v>133</v>
      </c>
      <c r="C1628" t="s">
        <v>3261</v>
      </c>
      <c r="D1628" t="s">
        <v>4907</v>
      </c>
      <c r="E1628" t="s">
        <v>4908</v>
      </c>
      <c r="F1628" t="s">
        <v>7683</v>
      </c>
      <c r="G1628" t="s">
        <v>3890</v>
      </c>
      <c r="H1628" t="s">
        <v>4645</v>
      </c>
      <c r="I1628" t="s">
        <v>4810</v>
      </c>
      <c r="J1628">
        <v>2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  <c r="W1628" t="e">
        <v>#N/A</v>
      </c>
      <c r="X1628" t="e">
        <v>#N/A</v>
      </c>
      <c r="Y1628" t="e">
        <v>#N/A</v>
      </c>
      <c r="Z1628" t="e">
        <v>#N/A</v>
      </c>
      <c r="AA1628" t="e">
        <v>#N/A</v>
      </c>
      <c r="AB1628" t="e">
        <v>#N/A</v>
      </c>
      <c r="AC1628" t="e">
        <v>#N/A</v>
      </c>
      <c r="AD1628" t="e">
        <v>#N/A</v>
      </c>
    </row>
    <row r="1629" spans="2:30" x14ac:dyDescent="0.25">
      <c r="B1629" t="s">
        <v>133</v>
      </c>
      <c r="C1629" t="s">
        <v>3261</v>
      </c>
      <c r="D1629" t="s">
        <v>4910</v>
      </c>
      <c r="E1629" t="s">
        <v>4911</v>
      </c>
      <c r="F1629" t="s">
        <v>7684</v>
      </c>
      <c r="G1629" t="s">
        <v>3890</v>
      </c>
      <c r="H1629" t="s">
        <v>4394</v>
      </c>
      <c r="I1629" t="s">
        <v>4810</v>
      </c>
      <c r="J1629">
        <v>2</v>
      </c>
      <c r="K1629">
        <v>12.260999999999999</v>
      </c>
      <c r="L1629">
        <v>10.192</v>
      </c>
      <c r="M1629">
        <v>9.57</v>
      </c>
      <c r="N1629">
        <v>9.64</v>
      </c>
      <c r="O1629">
        <v>9.6809999999999992</v>
      </c>
      <c r="P1629">
        <v>9.5749999999999993</v>
      </c>
      <c r="Q1629">
        <v>9.4489999999999998</v>
      </c>
      <c r="R1629">
        <v>9.4049999999999994</v>
      </c>
      <c r="S1629">
        <v>9.3919999999999995</v>
      </c>
      <c r="T1629">
        <v>9.3849999999999998</v>
      </c>
      <c r="U1629">
        <v>9.3849999999999998</v>
      </c>
      <c r="V1629">
        <v>9.3849999999999998</v>
      </c>
      <c r="W1629">
        <v>9.3849999999999998</v>
      </c>
      <c r="X1629">
        <v>9.3849999999999998</v>
      </c>
      <c r="Y1629">
        <v>9.3849999999999998</v>
      </c>
      <c r="Z1629">
        <v>9.3849999999999998</v>
      </c>
      <c r="AA1629">
        <v>9.3849999999999998</v>
      </c>
      <c r="AB1629">
        <v>9.3849999999999998</v>
      </c>
      <c r="AC1629">
        <v>9.3849999999999998</v>
      </c>
      <c r="AD1629">
        <v>9.3849999999999998</v>
      </c>
    </row>
    <row r="1630" spans="2:30" x14ac:dyDescent="0.25">
      <c r="B1630" t="s">
        <v>133</v>
      </c>
      <c r="C1630" t="s">
        <v>3261</v>
      </c>
      <c r="D1630" t="s">
        <v>4913</v>
      </c>
      <c r="E1630" t="s">
        <v>4914</v>
      </c>
      <c r="F1630" t="s">
        <v>7685</v>
      </c>
      <c r="G1630" t="s">
        <v>3890</v>
      </c>
      <c r="H1630" t="s">
        <v>4653</v>
      </c>
      <c r="I1630" t="s">
        <v>4810</v>
      </c>
      <c r="J1630">
        <v>2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  <c r="W1630" t="e">
        <v>#N/A</v>
      </c>
      <c r="X1630" t="e">
        <v>#N/A</v>
      </c>
      <c r="Y1630" t="e">
        <v>#N/A</v>
      </c>
      <c r="Z1630" t="e">
        <v>#N/A</v>
      </c>
      <c r="AA1630" t="e">
        <v>#N/A</v>
      </c>
      <c r="AB1630" t="e">
        <v>#N/A</v>
      </c>
      <c r="AC1630" t="e">
        <v>#N/A</v>
      </c>
      <c r="AD1630" t="e">
        <v>#N/A</v>
      </c>
    </row>
    <row r="1631" spans="2:30" x14ac:dyDescent="0.25">
      <c r="B1631" t="s">
        <v>133</v>
      </c>
      <c r="C1631" t="s">
        <v>3261</v>
      </c>
      <c r="D1631" t="s">
        <v>4916</v>
      </c>
      <c r="E1631" t="s">
        <v>4917</v>
      </c>
      <c r="F1631" t="s">
        <v>7686</v>
      </c>
      <c r="G1631" t="s">
        <v>3890</v>
      </c>
      <c r="H1631" t="s">
        <v>4669</v>
      </c>
      <c r="I1631" t="s">
        <v>4810</v>
      </c>
      <c r="J1631">
        <v>2</v>
      </c>
      <c r="K1631">
        <v>3.0579999999999998</v>
      </c>
      <c r="L1631">
        <v>3.18</v>
      </c>
      <c r="M1631">
        <v>3.3069999999999999</v>
      </c>
      <c r="N1631">
        <v>3.44</v>
      </c>
      <c r="O1631">
        <v>3.577</v>
      </c>
      <c r="P1631">
        <v>3.72</v>
      </c>
      <c r="Q1631">
        <v>3.8690000000000002</v>
      </c>
      <c r="R1631">
        <v>4.024</v>
      </c>
      <c r="S1631">
        <v>4.1849999999999996</v>
      </c>
      <c r="T1631">
        <v>4.3520000000000003</v>
      </c>
      <c r="U1631">
        <v>4.5259999999999998</v>
      </c>
      <c r="V1631">
        <v>4.7080000000000002</v>
      </c>
      <c r="W1631">
        <v>4.8959999999999999</v>
      </c>
      <c r="X1631">
        <v>5.0919999999999996</v>
      </c>
      <c r="Y1631">
        <v>5.2949999999999999</v>
      </c>
      <c r="Z1631">
        <v>5.5069999999999997</v>
      </c>
      <c r="AA1631">
        <v>5.7270000000000003</v>
      </c>
      <c r="AB1631">
        <v>5.9569999999999999</v>
      </c>
      <c r="AC1631">
        <v>6.1950000000000003</v>
      </c>
      <c r="AD1631">
        <v>6.4429999999999996</v>
      </c>
    </row>
    <row r="1632" spans="2:30" x14ac:dyDescent="0.25">
      <c r="B1632" t="s">
        <v>133</v>
      </c>
      <c r="C1632" t="s">
        <v>3261</v>
      </c>
      <c r="D1632" t="s">
        <v>4919</v>
      </c>
      <c r="E1632" t="s">
        <v>4920</v>
      </c>
      <c r="F1632" t="s">
        <v>7687</v>
      </c>
      <c r="G1632" t="s">
        <v>3890</v>
      </c>
      <c r="H1632" t="s">
        <v>4673</v>
      </c>
      <c r="I1632" t="s">
        <v>4810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2:30" x14ac:dyDescent="0.25">
      <c r="B1633" t="s">
        <v>133</v>
      </c>
      <c r="C1633" t="s">
        <v>3261</v>
      </c>
      <c r="D1633" t="s">
        <v>4922</v>
      </c>
      <c r="E1633" t="s">
        <v>4923</v>
      </c>
      <c r="F1633" t="s">
        <v>7688</v>
      </c>
      <c r="G1633" t="s">
        <v>3890</v>
      </c>
      <c r="H1633" t="s">
        <v>4925</v>
      </c>
      <c r="I1633" t="s">
        <v>4810</v>
      </c>
      <c r="J1633">
        <v>2</v>
      </c>
      <c r="K1633">
        <v>5.3360000000000003</v>
      </c>
      <c r="L1633">
        <v>5.01</v>
      </c>
      <c r="M1633">
        <v>5.0869999999999997</v>
      </c>
      <c r="N1633">
        <v>5.0869999999999997</v>
      </c>
      <c r="O1633">
        <v>5.0869999999999997</v>
      </c>
      <c r="P1633">
        <v>5.0869999999999997</v>
      </c>
      <c r="Q1633">
        <v>5.0869999999999997</v>
      </c>
      <c r="R1633">
        <v>5.0869999999999997</v>
      </c>
      <c r="S1633">
        <v>5.0869999999999997</v>
      </c>
      <c r="T1633">
        <v>5.0869999999999997</v>
      </c>
      <c r="U1633">
        <v>5.0869999999999997</v>
      </c>
      <c r="V1633">
        <v>5.0869999999999997</v>
      </c>
      <c r="W1633">
        <v>5.0869999999999997</v>
      </c>
      <c r="X1633">
        <v>5.0869999999999997</v>
      </c>
      <c r="Y1633">
        <v>5.0869999999999997</v>
      </c>
      <c r="Z1633">
        <v>5.0869999999999997</v>
      </c>
      <c r="AA1633">
        <v>5.0869999999999997</v>
      </c>
      <c r="AB1633">
        <v>5.0869999999999997</v>
      </c>
      <c r="AC1633">
        <v>5.0869999999999997</v>
      </c>
      <c r="AD1633">
        <v>5.0869999999999997</v>
      </c>
    </row>
    <row r="1634" spans="2:30" x14ac:dyDescent="0.25">
      <c r="B1634" t="s">
        <v>133</v>
      </c>
      <c r="C1634" t="s">
        <v>3261</v>
      </c>
      <c r="D1634" t="s">
        <v>4926</v>
      </c>
      <c r="E1634" t="s">
        <v>4927</v>
      </c>
      <c r="F1634" t="s">
        <v>7689</v>
      </c>
      <c r="G1634" t="s">
        <v>3890</v>
      </c>
      <c r="H1634" t="s">
        <v>4929</v>
      </c>
      <c r="I1634" t="s">
        <v>4810</v>
      </c>
      <c r="J1634">
        <v>2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  <c r="W1634" t="e">
        <v>#N/A</v>
      </c>
      <c r="X1634" t="e">
        <v>#N/A</v>
      </c>
      <c r="Y1634" t="e">
        <v>#N/A</v>
      </c>
      <c r="Z1634" t="e">
        <v>#N/A</v>
      </c>
      <c r="AA1634" t="e">
        <v>#N/A</v>
      </c>
      <c r="AB1634" t="e">
        <v>#N/A</v>
      </c>
      <c r="AC1634" t="e">
        <v>#N/A</v>
      </c>
      <c r="AD1634" t="e">
        <v>#N/A</v>
      </c>
    </row>
    <row r="1635" spans="2:30" x14ac:dyDescent="0.25">
      <c r="B1635" t="s">
        <v>133</v>
      </c>
      <c r="C1635" t="s">
        <v>3261</v>
      </c>
      <c r="D1635" t="s">
        <v>4930</v>
      </c>
      <c r="E1635" t="s">
        <v>4443</v>
      </c>
      <c r="F1635" t="s">
        <v>7542</v>
      </c>
      <c r="G1635" t="s">
        <v>3890</v>
      </c>
      <c r="H1635" t="s">
        <v>4832</v>
      </c>
      <c r="I1635" t="s">
        <v>4810</v>
      </c>
      <c r="J1635">
        <v>1</v>
      </c>
      <c r="K1635">
        <v>-6.9240000000000004</v>
      </c>
      <c r="L1635">
        <v>-5.181</v>
      </c>
      <c r="M1635">
        <v>-4.4829999999999997</v>
      </c>
      <c r="N1635">
        <v>-4.5529999999999999</v>
      </c>
      <c r="O1635">
        <v>-4.5940000000000003</v>
      </c>
      <c r="P1635">
        <v>-4.4880000000000004</v>
      </c>
      <c r="Q1635">
        <v>-4.3620000000000001</v>
      </c>
      <c r="R1635">
        <v>-4.3179999999999996</v>
      </c>
      <c r="S1635">
        <v>-4.3049999999999997</v>
      </c>
      <c r="T1635">
        <v>-4.298</v>
      </c>
      <c r="U1635">
        <v>-4.298</v>
      </c>
      <c r="V1635">
        <v>-4.298</v>
      </c>
      <c r="W1635">
        <v>-4.298</v>
      </c>
      <c r="X1635">
        <v>-4.298</v>
      </c>
      <c r="Y1635">
        <v>-4.298</v>
      </c>
      <c r="Z1635">
        <v>-4.298</v>
      </c>
      <c r="AA1635">
        <v>-4.298</v>
      </c>
      <c r="AB1635">
        <v>-4.298</v>
      </c>
      <c r="AC1635">
        <v>-4.298</v>
      </c>
      <c r="AD1635">
        <v>-4.298</v>
      </c>
    </row>
    <row r="1636" spans="2:30" x14ac:dyDescent="0.25">
      <c r="B1636" t="s">
        <v>133</v>
      </c>
      <c r="C1636" t="s">
        <v>3261</v>
      </c>
      <c r="D1636" t="s">
        <v>4931</v>
      </c>
      <c r="E1636" t="s">
        <v>4932</v>
      </c>
      <c r="F1636" t="s">
        <v>7690</v>
      </c>
      <c r="G1636" t="s">
        <v>3890</v>
      </c>
      <c r="H1636" t="s">
        <v>4686</v>
      </c>
      <c r="I1636" t="s">
        <v>4687</v>
      </c>
      <c r="J1636">
        <v>1</v>
      </c>
      <c r="K1636">
        <v>-124.092</v>
      </c>
      <c r="L1636">
        <v>-92.858000000000004</v>
      </c>
      <c r="M1636">
        <v>-80.331999999999994</v>
      </c>
      <c r="N1636">
        <v>-81.596000000000004</v>
      </c>
      <c r="O1636">
        <v>-82.334999999999994</v>
      </c>
      <c r="P1636">
        <v>-80.424999999999997</v>
      </c>
      <c r="Q1636">
        <v>-78.180000000000007</v>
      </c>
      <c r="R1636">
        <v>-77.38</v>
      </c>
      <c r="S1636">
        <v>-77.153000000000006</v>
      </c>
      <c r="T1636">
        <v>-77.024000000000001</v>
      </c>
      <c r="U1636">
        <v>-77.024000000000001</v>
      </c>
      <c r="V1636">
        <v>-77.024000000000001</v>
      </c>
      <c r="W1636">
        <v>-77.024000000000001</v>
      </c>
      <c r="X1636">
        <v>-77.024000000000001</v>
      </c>
      <c r="Y1636">
        <v>-77.024000000000001</v>
      </c>
      <c r="Z1636">
        <v>-77.024000000000001</v>
      </c>
      <c r="AA1636">
        <v>-77.024000000000001</v>
      </c>
      <c r="AB1636">
        <v>-77.024000000000001</v>
      </c>
      <c r="AC1636">
        <v>-77.024000000000001</v>
      </c>
      <c r="AD1636">
        <v>-77.024000000000001</v>
      </c>
    </row>
    <row r="1637" spans="2:30" x14ac:dyDescent="0.25">
      <c r="B1637" t="s">
        <v>133</v>
      </c>
      <c r="C1637" t="s">
        <v>3261</v>
      </c>
      <c r="D1637" t="s">
        <v>4934</v>
      </c>
      <c r="E1637" t="s">
        <v>4935</v>
      </c>
      <c r="F1637" t="s">
        <v>7691</v>
      </c>
      <c r="G1637" t="s">
        <v>3890</v>
      </c>
      <c r="H1637" t="s">
        <v>4937</v>
      </c>
      <c r="I1637" t="s">
        <v>4810</v>
      </c>
      <c r="J1637">
        <v>2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  <c r="W1637" t="e">
        <v>#N/A</v>
      </c>
      <c r="X1637" t="e">
        <v>#N/A</v>
      </c>
      <c r="Y1637" t="e">
        <v>#N/A</v>
      </c>
      <c r="Z1637" t="e">
        <v>#N/A</v>
      </c>
      <c r="AA1637" t="e">
        <v>#N/A</v>
      </c>
      <c r="AB1637" t="e">
        <v>#N/A</v>
      </c>
      <c r="AC1637" t="e">
        <v>#N/A</v>
      </c>
      <c r="AD1637" t="e">
        <v>#N/A</v>
      </c>
    </row>
    <row r="1638" spans="2:30" x14ac:dyDescent="0.25">
      <c r="B1638" t="s">
        <v>133</v>
      </c>
      <c r="C1638" t="s">
        <v>3261</v>
      </c>
      <c r="D1638" t="s">
        <v>4938</v>
      </c>
      <c r="E1638" t="s">
        <v>4939</v>
      </c>
      <c r="F1638" t="s">
        <v>7692</v>
      </c>
      <c r="G1638" t="s">
        <v>3890</v>
      </c>
      <c r="H1638" t="s">
        <v>4695</v>
      </c>
      <c r="I1638" t="s">
        <v>4687</v>
      </c>
      <c r="J1638">
        <v>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2:30" x14ac:dyDescent="0.25">
      <c r="B1639" t="s">
        <v>133</v>
      </c>
      <c r="C1639" t="s">
        <v>3261</v>
      </c>
      <c r="D1639" t="s">
        <v>4941</v>
      </c>
      <c r="E1639" t="s">
        <v>4942</v>
      </c>
      <c r="F1639" t="s">
        <v>7693</v>
      </c>
      <c r="G1639" t="s">
        <v>3890</v>
      </c>
      <c r="H1639" t="s">
        <v>4645</v>
      </c>
      <c r="I1639" t="s">
        <v>4810</v>
      </c>
      <c r="J1639">
        <v>2</v>
      </c>
      <c r="K1639">
        <v>22.748999999999999</v>
      </c>
      <c r="L1639">
        <v>20.734000000000002</v>
      </c>
      <c r="M1639">
        <v>20.172000000000001</v>
      </c>
      <c r="N1639">
        <v>20.399000000000001</v>
      </c>
      <c r="O1639">
        <v>20.600999999999999</v>
      </c>
      <c r="P1639">
        <v>20.649000000000001</v>
      </c>
      <c r="Q1639">
        <v>20.683</v>
      </c>
      <c r="R1639">
        <v>20.811</v>
      </c>
      <c r="S1639">
        <v>20.981000000000002</v>
      </c>
      <c r="T1639">
        <v>21.164000000000001</v>
      </c>
      <c r="U1639">
        <v>21.363</v>
      </c>
      <c r="V1639">
        <v>21.568999999999999</v>
      </c>
      <c r="W1639">
        <v>21.783999999999999</v>
      </c>
      <c r="X1639">
        <v>22.007000000000001</v>
      </c>
      <c r="Y1639">
        <v>22.239000000000001</v>
      </c>
      <c r="Z1639">
        <v>22.481000000000002</v>
      </c>
      <c r="AA1639">
        <v>22.731999999999999</v>
      </c>
      <c r="AB1639">
        <v>22.992999999999999</v>
      </c>
      <c r="AC1639">
        <v>23.265000000000001</v>
      </c>
      <c r="AD1639">
        <v>23.547000000000001</v>
      </c>
    </row>
    <row r="1640" spans="2:30" x14ac:dyDescent="0.25">
      <c r="B1640" t="s">
        <v>133</v>
      </c>
      <c r="C1640" t="s">
        <v>3261</v>
      </c>
      <c r="D1640" t="s">
        <v>4944</v>
      </c>
      <c r="E1640" t="s">
        <v>4945</v>
      </c>
      <c r="F1640" t="s">
        <v>7694</v>
      </c>
      <c r="G1640" t="s">
        <v>3890</v>
      </c>
      <c r="H1640" t="s">
        <v>4394</v>
      </c>
      <c r="I1640" t="s">
        <v>4810</v>
      </c>
      <c r="J1640">
        <v>2</v>
      </c>
      <c r="K1640">
        <v>16.896999999999998</v>
      </c>
      <c r="L1640">
        <v>15.007</v>
      </c>
      <c r="M1640">
        <v>14.387</v>
      </c>
      <c r="N1640">
        <v>14.454000000000001</v>
      </c>
      <c r="O1640">
        <v>14.493</v>
      </c>
      <c r="P1640">
        <v>14.391999999999999</v>
      </c>
      <c r="Q1640">
        <v>14.273</v>
      </c>
      <c r="R1640">
        <v>14.231</v>
      </c>
      <c r="S1640">
        <v>14.218999999999999</v>
      </c>
      <c r="T1640">
        <v>14.212</v>
      </c>
      <c r="U1640">
        <v>14.212</v>
      </c>
      <c r="V1640">
        <v>14.212</v>
      </c>
      <c r="W1640">
        <v>14.212</v>
      </c>
      <c r="X1640">
        <v>14.212</v>
      </c>
      <c r="Y1640">
        <v>14.212</v>
      </c>
      <c r="Z1640">
        <v>14.212</v>
      </c>
      <c r="AA1640">
        <v>14.212</v>
      </c>
      <c r="AB1640">
        <v>14.212</v>
      </c>
      <c r="AC1640">
        <v>14.212</v>
      </c>
      <c r="AD1640">
        <v>14.212</v>
      </c>
    </row>
    <row r="1641" spans="2:30" x14ac:dyDescent="0.25">
      <c r="B1641" t="s">
        <v>133</v>
      </c>
      <c r="C1641" t="s">
        <v>3261</v>
      </c>
      <c r="D1641" t="s">
        <v>4947</v>
      </c>
      <c r="E1641" t="s">
        <v>4948</v>
      </c>
      <c r="F1641" t="s">
        <v>7695</v>
      </c>
      <c r="G1641" t="s">
        <v>3890</v>
      </c>
      <c r="H1641" t="s">
        <v>4653</v>
      </c>
      <c r="I1641" t="s">
        <v>4810</v>
      </c>
      <c r="J1641">
        <v>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2:30" x14ac:dyDescent="0.25">
      <c r="B1642" t="s">
        <v>133</v>
      </c>
      <c r="C1642" t="s">
        <v>3261</v>
      </c>
      <c r="D1642" t="s">
        <v>4950</v>
      </c>
      <c r="E1642" t="s">
        <v>4951</v>
      </c>
      <c r="F1642" t="s">
        <v>7696</v>
      </c>
      <c r="G1642" t="s">
        <v>3890</v>
      </c>
      <c r="H1642" t="s">
        <v>4669</v>
      </c>
      <c r="I1642" t="s">
        <v>4810</v>
      </c>
      <c r="J1642">
        <v>2</v>
      </c>
      <c r="K1642">
        <v>3.0579999999999998</v>
      </c>
      <c r="L1642">
        <v>3.18</v>
      </c>
      <c r="M1642">
        <v>3.3069999999999999</v>
      </c>
      <c r="N1642">
        <v>3.44</v>
      </c>
      <c r="O1642">
        <v>3.577</v>
      </c>
      <c r="P1642">
        <v>3.72</v>
      </c>
      <c r="Q1642">
        <v>3.8690000000000002</v>
      </c>
      <c r="R1642">
        <v>4.024</v>
      </c>
      <c r="S1642">
        <v>4.1849999999999996</v>
      </c>
      <c r="T1642">
        <v>4.3520000000000003</v>
      </c>
      <c r="U1642">
        <v>4.5259999999999998</v>
      </c>
      <c r="V1642">
        <v>4.7080000000000002</v>
      </c>
      <c r="W1642">
        <v>4.8959999999999999</v>
      </c>
      <c r="X1642">
        <v>5.0919999999999996</v>
      </c>
      <c r="Y1642">
        <v>5.2949999999999999</v>
      </c>
      <c r="Z1642">
        <v>5.5069999999999997</v>
      </c>
      <c r="AA1642">
        <v>5.7270000000000003</v>
      </c>
      <c r="AB1642">
        <v>5.9569999999999999</v>
      </c>
      <c r="AC1642">
        <v>6.1950000000000003</v>
      </c>
      <c r="AD1642">
        <v>6.4429999999999996</v>
      </c>
    </row>
    <row r="1643" spans="2:30" x14ac:dyDescent="0.25">
      <c r="B1643" t="s">
        <v>133</v>
      </c>
      <c r="C1643" t="s">
        <v>3261</v>
      </c>
      <c r="D1643" t="s">
        <v>4953</v>
      </c>
      <c r="E1643" t="s">
        <v>4954</v>
      </c>
      <c r="F1643" t="s">
        <v>7697</v>
      </c>
      <c r="G1643" t="s">
        <v>3890</v>
      </c>
      <c r="H1643" t="s">
        <v>4673</v>
      </c>
      <c r="I1643" t="s">
        <v>4810</v>
      </c>
      <c r="J1643">
        <v>2</v>
      </c>
      <c r="K1643">
        <v>2.794</v>
      </c>
      <c r="L1643">
        <v>2.5459999999999998</v>
      </c>
      <c r="M1643">
        <v>2.4769999999999999</v>
      </c>
      <c r="N1643">
        <v>2.5049999999999999</v>
      </c>
      <c r="O1643">
        <v>2.5299999999999998</v>
      </c>
      <c r="P1643">
        <v>2.536</v>
      </c>
      <c r="Q1643">
        <v>2.54</v>
      </c>
      <c r="R1643">
        <v>2.556</v>
      </c>
      <c r="S1643">
        <v>2.577</v>
      </c>
      <c r="T1643">
        <v>2.5990000000000002</v>
      </c>
      <c r="U1643">
        <v>2.6230000000000002</v>
      </c>
      <c r="V1643">
        <v>2.649</v>
      </c>
      <c r="W1643">
        <v>2.6749999999999998</v>
      </c>
      <c r="X1643">
        <v>2.7029999999999998</v>
      </c>
      <c r="Y1643">
        <v>2.7309999999999999</v>
      </c>
      <c r="Z1643">
        <v>2.7610000000000001</v>
      </c>
      <c r="AA1643">
        <v>2.7919999999999998</v>
      </c>
      <c r="AB1643">
        <v>2.8239999999999998</v>
      </c>
      <c r="AC1643">
        <v>2.8570000000000002</v>
      </c>
      <c r="AD1643">
        <v>2.8919999999999999</v>
      </c>
    </row>
    <row r="1644" spans="2:30" x14ac:dyDescent="0.25">
      <c r="B1644" t="s">
        <v>133</v>
      </c>
      <c r="C1644" t="s">
        <v>3261</v>
      </c>
      <c r="D1644" t="s">
        <v>4956</v>
      </c>
      <c r="E1644" t="s">
        <v>4957</v>
      </c>
      <c r="F1644" t="s">
        <v>7698</v>
      </c>
      <c r="G1644" t="s">
        <v>3890</v>
      </c>
      <c r="H1644" t="s">
        <v>4925</v>
      </c>
      <c r="I1644" t="s">
        <v>4810</v>
      </c>
      <c r="J1644">
        <v>2</v>
      </c>
      <c r="K1644">
        <v>4.6340000000000003</v>
      </c>
      <c r="L1644">
        <v>3.2090000000000001</v>
      </c>
      <c r="M1644">
        <v>2.331</v>
      </c>
      <c r="N1644">
        <v>2.331</v>
      </c>
      <c r="O1644">
        <v>2.331</v>
      </c>
      <c r="P1644">
        <v>2.331</v>
      </c>
      <c r="Q1644">
        <v>2.331</v>
      </c>
      <c r="R1644">
        <v>2.331</v>
      </c>
      <c r="S1644">
        <v>2.331</v>
      </c>
      <c r="T1644">
        <v>2.331</v>
      </c>
      <c r="U1644">
        <v>2.331</v>
      </c>
      <c r="V1644">
        <v>2.331</v>
      </c>
      <c r="W1644">
        <v>2.331</v>
      </c>
      <c r="X1644">
        <v>2.331</v>
      </c>
      <c r="Y1644">
        <v>2.331</v>
      </c>
      <c r="Z1644">
        <v>2.331</v>
      </c>
      <c r="AA1644">
        <v>2.331</v>
      </c>
      <c r="AB1644">
        <v>2.331</v>
      </c>
      <c r="AC1644">
        <v>2.331</v>
      </c>
      <c r="AD1644">
        <v>2.331</v>
      </c>
    </row>
    <row r="1645" spans="2:30" x14ac:dyDescent="0.25">
      <c r="B1645" t="s">
        <v>133</v>
      </c>
      <c r="C1645" t="s">
        <v>3261</v>
      </c>
      <c r="D1645" t="s">
        <v>4959</v>
      </c>
      <c r="E1645" t="s">
        <v>4960</v>
      </c>
      <c r="F1645" t="s">
        <v>7699</v>
      </c>
      <c r="G1645" t="s">
        <v>3890</v>
      </c>
      <c r="H1645" t="s">
        <v>4929</v>
      </c>
      <c r="I1645" t="s">
        <v>4810</v>
      </c>
      <c r="J1645">
        <v>2</v>
      </c>
      <c r="K1645">
        <v>-18.114999999999998</v>
      </c>
      <c r="L1645">
        <v>-17.526</v>
      </c>
      <c r="M1645">
        <v>-17.841000000000001</v>
      </c>
      <c r="N1645">
        <v>-18.068000000000001</v>
      </c>
      <c r="O1645">
        <v>-18.27</v>
      </c>
      <c r="P1645">
        <v>-18.318000000000001</v>
      </c>
      <c r="Q1645">
        <v>-18.352</v>
      </c>
      <c r="R1645">
        <v>-18.48</v>
      </c>
      <c r="S1645">
        <v>-18.649999999999999</v>
      </c>
      <c r="T1645">
        <v>-18.832999999999998</v>
      </c>
      <c r="U1645">
        <v>-19.032</v>
      </c>
      <c r="V1645">
        <v>-19.238</v>
      </c>
      <c r="W1645">
        <v>-19.452999999999999</v>
      </c>
      <c r="X1645">
        <v>-19.675999999999998</v>
      </c>
      <c r="Y1645">
        <v>-19.908000000000001</v>
      </c>
      <c r="Z1645">
        <v>-20.149999999999999</v>
      </c>
      <c r="AA1645">
        <v>-20.401</v>
      </c>
      <c r="AB1645">
        <v>-20.661999999999999</v>
      </c>
      <c r="AC1645">
        <v>-20.934000000000001</v>
      </c>
      <c r="AD1645">
        <v>-21.216000000000001</v>
      </c>
    </row>
    <row r="1646" spans="2:30" x14ac:dyDescent="0.25">
      <c r="B1646" t="s">
        <v>133</v>
      </c>
      <c r="C1646" t="s">
        <v>3261</v>
      </c>
      <c r="D1646" t="s">
        <v>4962</v>
      </c>
      <c r="E1646" t="s">
        <v>4449</v>
      </c>
      <c r="F1646" t="s">
        <v>7544</v>
      </c>
      <c r="G1646" t="s">
        <v>3890</v>
      </c>
      <c r="H1646" t="s">
        <v>4865</v>
      </c>
      <c r="I1646" t="s">
        <v>4810</v>
      </c>
      <c r="J1646">
        <v>1</v>
      </c>
      <c r="K1646">
        <v>-12.263</v>
      </c>
      <c r="L1646">
        <v>-11.798999999999999</v>
      </c>
      <c r="M1646">
        <v>-12.055999999999999</v>
      </c>
      <c r="N1646">
        <v>-12.122999999999999</v>
      </c>
      <c r="O1646">
        <v>-12.162000000000001</v>
      </c>
      <c r="P1646">
        <v>-12.061</v>
      </c>
      <c r="Q1646">
        <v>-11.942</v>
      </c>
      <c r="R1646">
        <v>-11.9</v>
      </c>
      <c r="S1646">
        <v>-11.888</v>
      </c>
      <c r="T1646">
        <v>-11.881</v>
      </c>
      <c r="U1646">
        <v>-11.881</v>
      </c>
      <c r="V1646">
        <v>-11.881</v>
      </c>
      <c r="W1646">
        <v>-11.881</v>
      </c>
      <c r="X1646">
        <v>-11.881</v>
      </c>
      <c r="Y1646">
        <v>-11.881</v>
      </c>
      <c r="Z1646">
        <v>-11.881</v>
      </c>
      <c r="AA1646">
        <v>-11.881</v>
      </c>
      <c r="AB1646">
        <v>-11.881</v>
      </c>
      <c r="AC1646">
        <v>-11.881</v>
      </c>
      <c r="AD1646">
        <v>-11.881</v>
      </c>
    </row>
    <row r="1647" spans="2:30" x14ac:dyDescent="0.25">
      <c r="B1647" t="s">
        <v>133</v>
      </c>
      <c r="C1647" t="s">
        <v>3261</v>
      </c>
      <c r="D1647" t="s">
        <v>4963</v>
      </c>
      <c r="E1647" t="s">
        <v>4964</v>
      </c>
      <c r="F1647" t="s">
        <v>7700</v>
      </c>
      <c r="G1647" t="s">
        <v>3890</v>
      </c>
      <c r="H1647" t="s">
        <v>4686</v>
      </c>
      <c r="I1647" t="s">
        <v>4687</v>
      </c>
      <c r="J1647">
        <v>1</v>
      </c>
      <c r="K1647">
        <v>-219.76400000000001</v>
      </c>
      <c r="L1647">
        <v>-211.446</v>
      </c>
      <c r="M1647">
        <v>-216.06299999999999</v>
      </c>
      <c r="N1647">
        <v>-217.261</v>
      </c>
      <c r="O1647">
        <v>-217.96</v>
      </c>
      <c r="P1647">
        <v>-216.15100000000001</v>
      </c>
      <c r="Q1647">
        <v>-214.023</v>
      </c>
      <c r="R1647">
        <v>-213.26499999999999</v>
      </c>
      <c r="S1647">
        <v>-213.05</v>
      </c>
      <c r="T1647">
        <v>-212.928</v>
      </c>
      <c r="U1647">
        <v>-212.928</v>
      </c>
      <c r="V1647">
        <v>-212.928</v>
      </c>
      <c r="W1647">
        <v>-212.928</v>
      </c>
      <c r="X1647">
        <v>-212.928</v>
      </c>
      <c r="Y1647">
        <v>-212.928</v>
      </c>
      <c r="Z1647">
        <v>-212.928</v>
      </c>
      <c r="AA1647">
        <v>-212.928</v>
      </c>
      <c r="AB1647">
        <v>-212.928</v>
      </c>
      <c r="AC1647">
        <v>-212.928</v>
      </c>
      <c r="AD1647">
        <v>-212.928</v>
      </c>
    </row>
    <row r="1648" spans="2:30" x14ac:dyDescent="0.25">
      <c r="B1648" t="s">
        <v>133</v>
      </c>
      <c r="C1648" t="s">
        <v>3261</v>
      </c>
      <c r="D1648" t="s">
        <v>4966</v>
      </c>
      <c r="E1648" t="s">
        <v>4967</v>
      </c>
      <c r="F1648" t="s">
        <v>7701</v>
      </c>
      <c r="G1648" t="s">
        <v>3890</v>
      </c>
      <c r="H1648" t="s">
        <v>4937</v>
      </c>
      <c r="I1648" t="s">
        <v>4810</v>
      </c>
      <c r="J1648">
        <v>2</v>
      </c>
      <c r="K1648">
        <v>3.0579999999999998</v>
      </c>
      <c r="L1648">
        <v>3.181</v>
      </c>
      <c r="M1648">
        <v>3.3079999999999998</v>
      </c>
      <c r="N1648">
        <v>3.44</v>
      </c>
      <c r="O1648">
        <v>3.5779999999999998</v>
      </c>
      <c r="P1648">
        <v>3.7210000000000001</v>
      </c>
      <c r="Q1648">
        <v>3.87</v>
      </c>
      <c r="R1648">
        <v>4.024</v>
      </c>
      <c r="S1648">
        <v>4.1849999999999996</v>
      </c>
      <c r="T1648">
        <v>4.3529999999999998</v>
      </c>
      <c r="U1648">
        <v>4.5270000000000001</v>
      </c>
      <c r="V1648">
        <v>4.7080000000000002</v>
      </c>
      <c r="W1648">
        <v>4.8959999999999999</v>
      </c>
      <c r="X1648">
        <v>5.0919999999999996</v>
      </c>
      <c r="Y1648">
        <v>5.2960000000000003</v>
      </c>
      <c r="Z1648">
        <v>5.508</v>
      </c>
      <c r="AA1648">
        <v>5.7279999999999998</v>
      </c>
      <c r="AB1648">
        <v>5.9569999999999999</v>
      </c>
      <c r="AC1648">
        <v>6.1950000000000003</v>
      </c>
      <c r="AD1648">
        <v>6.4429999999999996</v>
      </c>
    </row>
    <row r="1649" spans="2:30" x14ac:dyDescent="0.25">
      <c r="B1649" t="s">
        <v>133</v>
      </c>
      <c r="C1649" t="s">
        <v>3261</v>
      </c>
      <c r="D1649" t="s">
        <v>4969</v>
      </c>
      <c r="E1649" t="s">
        <v>4970</v>
      </c>
      <c r="F1649" t="s">
        <v>7702</v>
      </c>
      <c r="G1649" t="s">
        <v>3890</v>
      </c>
      <c r="H1649" t="s">
        <v>4695</v>
      </c>
      <c r="I1649" t="s">
        <v>4687</v>
      </c>
      <c r="J1649">
        <v>2</v>
      </c>
      <c r="K1649">
        <v>54.808999999999997</v>
      </c>
      <c r="L1649">
        <v>57.000999999999998</v>
      </c>
      <c r="M1649">
        <v>59.280999999999999</v>
      </c>
      <c r="N1649">
        <v>61.652000000000001</v>
      </c>
      <c r="O1649">
        <v>64.117999999999995</v>
      </c>
      <c r="P1649">
        <v>66.682000000000002</v>
      </c>
      <c r="Q1649">
        <v>69.349000000000004</v>
      </c>
      <c r="R1649">
        <v>72.123000000000005</v>
      </c>
      <c r="S1649">
        <v>75.007999999999996</v>
      </c>
      <c r="T1649">
        <v>78.007999999999996</v>
      </c>
      <c r="U1649">
        <v>81.128</v>
      </c>
      <c r="V1649">
        <v>84.373000000000005</v>
      </c>
      <c r="W1649">
        <v>87.748000000000005</v>
      </c>
      <c r="X1649">
        <v>91.257000000000005</v>
      </c>
      <c r="Y1649">
        <v>94.906999999999996</v>
      </c>
      <c r="Z1649">
        <v>98.703000000000003</v>
      </c>
      <c r="AA1649">
        <v>102.651</v>
      </c>
      <c r="AB1649">
        <v>106.75700000000001</v>
      </c>
      <c r="AC1649">
        <v>111.027</v>
      </c>
      <c r="AD1649">
        <v>115.467</v>
      </c>
    </row>
    <row r="1650" spans="2:30" x14ac:dyDescent="0.25">
      <c r="B1650" t="s">
        <v>133</v>
      </c>
      <c r="C1650" t="s">
        <v>3261</v>
      </c>
      <c r="D1650" t="s">
        <v>4972</v>
      </c>
      <c r="E1650" t="s">
        <v>4973</v>
      </c>
      <c r="F1650" t="s">
        <v>7703</v>
      </c>
      <c r="G1650" t="s">
        <v>3890</v>
      </c>
      <c r="H1650" t="s">
        <v>4645</v>
      </c>
      <c r="I1650" t="s">
        <v>4810</v>
      </c>
      <c r="J1650">
        <v>2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  <c r="W1650" t="e">
        <v>#N/A</v>
      </c>
      <c r="X1650" t="e">
        <v>#N/A</v>
      </c>
      <c r="Y1650" t="e">
        <v>#N/A</v>
      </c>
      <c r="Z1650" t="e">
        <v>#N/A</v>
      </c>
      <c r="AA1650" t="e">
        <v>#N/A</v>
      </c>
      <c r="AB1650" t="e">
        <v>#N/A</v>
      </c>
      <c r="AC1650" t="e">
        <v>#N/A</v>
      </c>
      <c r="AD1650" t="e">
        <v>#N/A</v>
      </c>
    </row>
    <row r="1651" spans="2:30" x14ac:dyDescent="0.25">
      <c r="B1651" t="s">
        <v>133</v>
      </c>
      <c r="C1651" t="s">
        <v>3261</v>
      </c>
      <c r="D1651" t="s">
        <v>4975</v>
      </c>
      <c r="E1651" t="s">
        <v>4976</v>
      </c>
      <c r="F1651" t="s">
        <v>7704</v>
      </c>
      <c r="G1651" t="s">
        <v>3890</v>
      </c>
      <c r="H1651" t="s">
        <v>4394</v>
      </c>
      <c r="I1651" t="s">
        <v>4810</v>
      </c>
      <c r="J1651">
        <v>2</v>
      </c>
      <c r="K1651">
        <v>11.488</v>
      </c>
      <c r="L1651">
        <v>9.3889999999999993</v>
      </c>
      <c r="M1651">
        <v>8.7669999999999995</v>
      </c>
      <c r="N1651">
        <v>8.8460000000000001</v>
      </c>
      <c r="O1651">
        <v>8.8919999999999995</v>
      </c>
      <c r="P1651">
        <v>8.7729999999999997</v>
      </c>
      <c r="Q1651">
        <v>8.6319999999999997</v>
      </c>
      <c r="R1651">
        <v>8.5820000000000007</v>
      </c>
      <c r="S1651">
        <v>8.5679999999999996</v>
      </c>
      <c r="T1651">
        <v>8.56</v>
      </c>
      <c r="U1651">
        <v>8.56</v>
      </c>
      <c r="V1651">
        <v>8.56</v>
      </c>
      <c r="W1651">
        <v>8.56</v>
      </c>
      <c r="X1651">
        <v>8.56</v>
      </c>
      <c r="Y1651">
        <v>8.56</v>
      </c>
      <c r="Z1651">
        <v>8.56</v>
      </c>
      <c r="AA1651">
        <v>8.56</v>
      </c>
      <c r="AB1651">
        <v>8.56</v>
      </c>
      <c r="AC1651">
        <v>8.56</v>
      </c>
      <c r="AD1651">
        <v>8.56</v>
      </c>
    </row>
    <row r="1652" spans="2:30" x14ac:dyDescent="0.25">
      <c r="B1652" t="s">
        <v>133</v>
      </c>
      <c r="C1652" t="s">
        <v>3261</v>
      </c>
      <c r="D1652" t="s">
        <v>4978</v>
      </c>
      <c r="E1652" t="s">
        <v>4979</v>
      </c>
      <c r="F1652" t="s">
        <v>7705</v>
      </c>
      <c r="G1652" t="s">
        <v>3890</v>
      </c>
      <c r="H1652" t="s">
        <v>4653</v>
      </c>
      <c r="I1652" t="s">
        <v>4810</v>
      </c>
      <c r="J1652">
        <v>2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  <c r="W1652" t="e">
        <v>#N/A</v>
      </c>
      <c r="X1652" t="e">
        <v>#N/A</v>
      </c>
      <c r="Y1652" t="e">
        <v>#N/A</v>
      </c>
      <c r="Z1652" t="e">
        <v>#N/A</v>
      </c>
      <c r="AA1652" t="e">
        <v>#N/A</v>
      </c>
      <c r="AB1652" t="e">
        <v>#N/A</v>
      </c>
      <c r="AC1652" t="e">
        <v>#N/A</v>
      </c>
      <c r="AD1652" t="e">
        <v>#N/A</v>
      </c>
    </row>
    <row r="1653" spans="2:30" x14ac:dyDescent="0.25">
      <c r="B1653" t="s">
        <v>133</v>
      </c>
      <c r="C1653" t="s">
        <v>3261</v>
      </c>
      <c r="D1653" t="s">
        <v>4981</v>
      </c>
      <c r="E1653" t="s">
        <v>4982</v>
      </c>
      <c r="F1653" t="s">
        <v>7706</v>
      </c>
      <c r="G1653" t="s">
        <v>3890</v>
      </c>
      <c r="H1653" t="s">
        <v>4669</v>
      </c>
      <c r="I1653" t="s">
        <v>4810</v>
      </c>
      <c r="J1653">
        <v>2</v>
      </c>
      <c r="K1653">
        <v>3.0579999999999998</v>
      </c>
      <c r="L1653">
        <v>3.18</v>
      </c>
      <c r="M1653">
        <v>3.3069999999999999</v>
      </c>
      <c r="N1653">
        <v>3.44</v>
      </c>
      <c r="O1653">
        <v>3.577</v>
      </c>
      <c r="P1653">
        <v>3.72</v>
      </c>
      <c r="Q1653">
        <v>3.8690000000000002</v>
      </c>
      <c r="R1653">
        <v>4.024</v>
      </c>
      <c r="S1653">
        <v>4.1849999999999996</v>
      </c>
      <c r="T1653">
        <v>4.3520000000000003</v>
      </c>
      <c r="U1653">
        <v>4.5259999999999998</v>
      </c>
      <c r="V1653">
        <v>4.7080000000000002</v>
      </c>
      <c r="W1653">
        <v>4.8959999999999999</v>
      </c>
      <c r="X1653">
        <v>5.0919999999999996</v>
      </c>
      <c r="Y1653">
        <v>5.2949999999999999</v>
      </c>
      <c r="Z1653">
        <v>5.5069999999999997</v>
      </c>
      <c r="AA1653">
        <v>5.7270000000000003</v>
      </c>
      <c r="AB1653">
        <v>5.9569999999999999</v>
      </c>
      <c r="AC1653">
        <v>6.1950000000000003</v>
      </c>
      <c r="AD1653">
        <v>6.4429999999999996</v>
      </c>
    </row>
    <row r="1654" spans="2:30" x14ac:dyDescent="0.25">
      <c r="B1654" t="s">
        <v>133</v>
      </c>
      <c r="C1654" t="s">
        <v>3261</v>
      </c>
      <c r="D1654" t="s">
        <v>4984</v>
      </c>
      <c r="E1654" t="s">
        <v>4985</v>
      </c>
      <c r="F1654" t="s">
        <v>7707</v>
      </c>
      <c r="G1654" t="s">
        <v>3890</v>
      </c>
      <c r="H1654" t="s">
        <v>4673</v>
      </c>
      <c r="I1654" t="s">
        <v>4810</v>
      </c>
      <c r="J1654">
        <v>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2:30" x14ac:dyDescent="0.25">
      <c r="B1655" t="s">
        <v>133</v>
      </c>
      <c r="C1655" t="s">
        <v>3261</v>
      </c>
      <c r="D1655" t="s">
        <v>4987</v>
      </c>
      <c r="E1655" t="s">
        <v>4988</v>
      </c>
      <c r="F1655" t="s">
        <v>7708</v>
      </c>
      <c r="G1655" t="s">
        <v>3890</v>
      </c>
      <c r="H1655" t="s">
        <v>4925</v>
      </c>
      <c r="I1655" t="s">
        <v>4810</v>
      </c>
      <c r="J1655">
        <v>2</v>
      </c>
      <c r="K1655">
        <v>2.7839999999999998</v>
      </c>
      <c r="L1655">
        <v>2.6139999999999999</v>
      </c>
      <c r="M1655">
        <v>2.6539999999999999</v>
      </c>
      <c r="N1655">
        <v>2.6539999999999999</v>
      </c>
      <c r="O1655">
        <v>2.6539999999999999</v>
      </c>
      <c r="P1655">
        <v>2.6539999999999999</v>
      </c>
      <c r="Q1655">
        <v>2.6539999999999999</v>
      </c>
      <c r="R1655">
        <v>2.6539999999999999</v>
      </c>
      <c r="S1655">
        <v>2.6539999999999999</v>
      </c>
      <c r="T1655">
        <v>2.6539999999999999</v>
      </c>
      <c r="U1655">
        <v>2.6539999999999999</v>
      </c>
      <c r="V1655">
        <v>2.6539999999999999</v>
      </c>
      <c r="W1655">
        <v>2.6539999999999999</v>
      </c>
      <c r="X1655">
        <v>2.6539999999999999</v>
      </c>
      <c r="Y1655">
        <v>2.6539999999999999</v>
      </c>
      <c r="Z1655">
        <v>2.6539999999999999</v>
      </c>
      <c r="AA1655">
        <v>2.6539999999999999</v>
      </c>
      <c r="AB1655">
        <v>2.6539999999999999</v>
      </c>
      <c r="AC1655">
        <v>2.6539999999999999</v>
      </c>
      <c r="AD1655">
        <v>2.6539999999999999</v>
      </c>
    </row>
    <row r="1656" spans="2:30" x14ac:dyDescent="0.25">
      <c r="B1656" t="s">
        <v>133</v>
      </c>
      <c r="C1656" t="s">
        <v>3261</v>
      </c>
      <c r="D1656" t="s">
        <v>4990</v>
      </c>
      <c r="E1656" t="s">
        <v>4991</v>
      </c>
      <c r="F1656" t="s">
        <v>7709</v>
      </c>
      <c r="G1656" t="s">
        <v>3890</v>
      </c>
      <c r="H1656" t="s">
        <v>4929</v>
      </c>
      <c r="I1656" t="s">
        <v>4810</v>
      </c>
      <c r="J1656">
        <v>2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  <c r="W1656" t="e">
        <v>#N/A</v>
      </c>
      <c r="X1656" t="e">
        <v>#N/A</v>
      </c>
      <c r="Y1656" t="e">
        <v>#N/A</v>
      </c>
      <c r="Z1656" t="e">
        <v>#N/A</v>
      </c>
      <c r="AA1656" t="e">
        <v>#N/A</v>
      </c>
      <c r="AB1656" t="e">
        <v>#N/A</v>
      </c>
      <c r="AC1656" t="e">
        <v>#N/A</v>
      </c>
      <c r="AD1656" t="e">
        <v>#N/A</v>
      </c>
    </row>
    <row r="1657" spans="2:30" x14ac:dyDescent="0.25">
      <c r="B1657" t="s">
        <v>133</v>
      </c>
      <c r="C1657" t="s">
        <v>3261</v>
      </c>
      <c r="D1657" t="s">
        <v>4993</v>
      </c>
      <c r="E1657" t="s">
        <v>4455</v>
      </c>
      <c r="F1657" t="s">
        <v>7546</v>
      </c>
      <c r="G1657" t="s">
        <v>3890</v>
      </c>
      <c r="H1657" t="s">
        <v>4897</v>
      </c>
      <c r="I1657" t="s">
        <v>4810</v>
      </c>
      <c r="J1657">
        <v>1</v>
      </c>
      <c r="K1657">
        <v>-8.7029999999999994</v>
      </c>
      <c r="L1657">
        <v>-6.7750000000000004</v>
      </c>
      <c r="M1657">
        <v>-6.1120000000000001</v>
      </c>
      <c r="N1657">
        <v>-6.1909999999999998</v>
      </c>
      <c r="O1657">
        <v>-6.2380000000000004</v>
      </c>
      <c r="P1657">
        <v>-6.1180000000000003</v>
      </c>
      <c r="Q1657">
        <v>-5.9779999999999998</v>
      </c>
      <c r="R1657">
        <v>-5.9279999999999999</v>
      </c>
      <c r="S1657">
        <v>-5.9139999999999997</v>
      </c>
      <c r="T1657">
        <v>-5.9059999999999997</v>
      </c>
      <c r="U1657">
        <v>-5.9059999999999997</v>
      </c>
      <c r="V1657">
        <v>-5.9059999999999997</v>
      </c>
      <c r="W1657">
        <v>-5.9059999999999997</v>
      </c>
      <c r="X1657">
        <v>-5.9059999999999997</v>
      </c>
      <c r="Y1657">
        <v>-5.9059999999999997</v>
      </c>
      <c r="Z1657">
        <v>-5.9059999999999997</v>
      </c>
      <c r="AA1657">
        <v>-5.9059999999999997</v>
      </c>
      <c r="AB1657">
        <v>-5.9059999999999997</v>
      </c>
      <c r="AC1657">
        <v>-5.9059999999999997</v>
      </c>
      <c r="AD1657">
        <v>-5.9059999999999997</v>
      </c>
    </row>
    <row r="1658" spans="2:30" x14ac:dyDescent="0.25">
      <c r="B1658" t="s">
        <v>133</v>
      </c>
      <c r="C1658" t="s">
        <v>3261</v>
      </c>
      <c r="D1658" t="s">
        <v>4994</v>
      </c>
      <c r="E1658" t="s">
        <v>4995</v>
      </c>
      <c r="F1658" t="s">
        <v>7710</v>
      </c>
      <c r="G1658" t="s">
        <v>3890</v>
      </c>
      <c r="H1658" t="s">
        <v>4686</v>
      </c>
      <c r="I1658" t="s">
        <v>4687</v>
      </c>
      <c r="J1658">
        <v>1</v>
      </c>
      <c r="K1658">
        <v>-155.976</v>
      </c>
      <c r="L1658">
        <v>-121.42400000000001</v>
      </c>
      <c r="M1658">
        <v>-109.542</v>
      </c>
      <c r="N1658">
        <v>-110.958</v>
      </c>
      <c r="O1658">
        <v>-111.785</v>
      </c>
      <c r="P1658">
        <v>-109.64700000000001</v>
      </c>
      <c r="Q1658">
        <v>-107.131</v>
      </c>
      <c r="R1658">
        <v>-106.235</v>
      </c>
      <c r="S1658">
        <v>-105.98099999999999</v>
      </c>
      <c r="T1658">
        <v>-105.837</v>
      </c>
      <c r="U1658">
        <v>-105.837</v>
      </c>
      <c r="V1658">
        <v>-105.837</v>
      </c>
      <c r="W1658">
        <v>-105.837</v>
      </c>
      <c r="X1658">
        <v>-105.837</v>
      </c>
      <c r="Y1658">
        <v>-105.837</v>
      </c>
      <c r="Z1658">
        <v>-105.837</v>
      </c>
      <c r="AA1658">
        <v>-105.837</v>
      </c>
      <c r="AB1658">
        <v>-105.837</v>
      </c>
      <c r="AC1658">
        <v>-105.837</v>
      </c>
      <c r="AD1658">
        <v>-105.837</v>
      </c>
    </row>
    <row r="1659" spans="2:30" x14ac:dyDescent="0.25">
      <c r="B1659" t="s">
        <v>133</v>
      </c>
      <c r="C1659" t="s">
        <v>3261</v>
      </c>
      <c r="D1659" t="s">
        <v>4997</v>
      </c>
      <c r="E1659" t="s">
        <v>4998</v>
      </c>
      <c r="F1659" t="s">
        <v>7711</v>
      </c>
      <c r="G1659" t="s">
        <v>3890</v>
      </c>
      <c r="H1659" t="s">
        <v>4937</v>
      </c>
      <c r="I1659" t="s">
        <v>4810</v>
      </c>
      <c r="J1659">
        <v>2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  <c r="W1659" t="e">
        <v>#N/A</v>
      </c>
      <c r="X1659" t="e">
        <v>#N/A</v>
      </c>
      <c r="Y1659" t="e">
        <v>#N/A</v>
      </c>
      <c r="Z1659" t="e">
        <v>#N/A</v>
      </c>
      <c r="AA1659" t="e">
        <v>#N/A</v>
      </c>
      <c r="AB1659" t="e">
        <v>#N/A</v>
      </c>
      <c r="AC1659" t="e">
        <v>#N/A</v>
      </c>
      <c r="AD1659" t="e">
        <v>#N/A</v>
      </c>
    </row>
    <row r="1660" spans="2:30" x14ac:dyDescent="0.25">
      <c r="B1660" t="s">
        <v>133</v>
      </c>
      <c r="C1660" t="s">
        <v>3261</v>
      </c>
      <c r="D1660" t="s">
        <v>5000</v>
      </c>
      <c r="E1660" t="s">
        <v>5001</v>
      </c>
      <c r="F1660" t="s">
        <v>7712</v>
      </c>
      <c r="G1660" t="s">
        <v>3890</v>
      </c>
      <c r="H1660" t="s">
        <v>4695</v>
      </c>
      <c r="I1660" t="s">
        <v>4687</v>
      </c>
      <c r="J1660">
        <v>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2:30" x14ac:dyDescent="0.25">
      <c r="B1661" t="s">
        <v>133</v>
      </c>
      <c r="C1661" t="s">
        <v>3261</v>
      </c>
      <c r="D1661" t="s">
        <v>5003</v>
      </c>
      <c r="E1661" t="s">
        <v>5004</v>
      </c>
      <c r="F1661" t="s">
        <v>7713</v>
      </c>
      <c r="G1661" t="s">
        <v>3890</v>
      </c>
      <c r="H1661" t="s">
        <v>4645</v>
      </c>
      <c r="I1661" t="s">
        <v>4263</v>
      </c>
      <c r="J1661">
        <v>2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  <c r="W1661" t="e">
        <v>#N/A</v>
      </c>
      <c r="X1661" t="e">
        <v>#N/A</v>
      </c>
      <c r="Y1661" t="e">
        <v>#N/A</v>
      </c>
      <c r="Z1661" t="e">
        <v>#N/A</v>
      </c>
      <c r="AA1661" t="e">
        <v>#N/A</v>
      </c>
      <c r="AB1661" t="e">
        <v>#N/A</v>
      </c>
      <c r="AC1661" t="e">
        <v>#N/A</v>
      </c>
      <c r="AD1661" t="e">
        <v>#N/A</v>
      </c>
    </row>
    <row r="1662" spans="2:30" x14ac:dyDescent="0.25">
      <c r="B1662" t="s">
        <v>133</v>
      </c>
      <c r="C1662" t="s">
        <v>3261</v>
      </c>
      <c r="D1662" t="s">
        <v>5006</v>
      </c>
      <c r="E1662" t="s">
        <v>5007</v>
      </c>
      <c r="F1662" t="s">
        <v>7714</v>
      </c>
      <c r="G1662" t="s">
        <v>3890</v>
      </c>
      <c r="H1662" t="s">
        <v>4394</v>
      </c>
      <c r="I1662" t="s">
        <v>4263</v>
      </c>
      <c r="J1662">
        <v>2</v>
      </c>
      <c r="K1662">
        <v>6.4000000000000001E-2</v>
      </c>
      <c r="L1662">
        <v>6.2E-2</v>
      </c>
      <c r="M1662">
        <v>0.107</v>
      </c>
      <c r="N1662">
        <v>0.105</v>
      </c>
      <c r="O1662">
        <v>0.107</v>
      </c>
      <c r="P1662">
        <v>0.108</v>
      </c>
      <c r="Q1662">
        <v>0.108</v>
      </c>
      <c r="R1662">
        <v>0.107</v>
      </c>
      <c r="S1662">
        <v>0.107</v>
      </c>
      <c r="T1662">
        <v>0.107</v>
      </c>
      <c r="U1662">
        <v>0.107</v>
      </c>
      <c r="V1662">
        <v>0.106</v>
      </c>
      <c r="W1662">
        <v>0.106</v>
      </c>
      <c r="X1662">
        <v>0.106</v>
      </c>
      <c r="Y1662">
        <v>0.106</v>
      </c>
      <c r="Z1662">
        <v>0.105</v>
      </c>
      <c r="AA1662">
        <v>0.105</v>
      </c>
      <c r="AB1662">
        <v>0.105</v>
      </c>
      <c r="AC1662">
        <v>0.104</v>
      </c>
      <c r="AD1662">
        <v>0.104</v>
      </c>
    </row>
    <row r="1663" spans="2:30" x14ac:dyDescent="0.25">
      <c r="B1663" t="s">
        <v>133</v>
      </c>
      <c r="C1663" t="s">
        <v>3261</v>
      </c>
      <c r="D1663" t="s">
        <v>5009</v>
      </c>
      <c r="E1663" t="s">
        <v>5010</v>
      </c>
      <c r="F1663" t="s">
        <v>7715</v>
      </c>
      <c r="G1663" t="s">
        <v>3890</v>
      </c>
      <c r="H1663" t="s">
        <v>4653</v>
      </c>
      <c r="I1663" t="s">
        <v>4263</v>
      </c>
      <c r="J1663">
        <v>2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  <c r="W1663" t="e">
        <v>#N/A</v>
      </c>
      <c r="X1663" t="e">
        <v>#N/A</v>
      </c>
      <c r="Y1663" t="e">
        <v>#N/A</v>
      </c>
      <c r="Z1663" t="e">
        <v>#N/A</v>
      </c>
      <c r="AA1663" t="e">
        <v>#N/A</v>
      </c>
      <c r="AB1663" t="e">
        <v>#N/A</v>
      </c>
      <c r="AC1663" t="e">
        <v>#N/A</v>
      </c>
      <c r="AD1663" t="e">
        <v>#N/A</v>
      </c>
    </row>
    <row r="1664" spans="2:30" x14ac:dyDescent="0.25">
      <c r="B1664" t="s">
        <v>133</v>
      </c>
      <c r="C1664" t="s">
        <v>3261</v>
      </c>
      <c r="D1664" t="s">
        <v>5012</v>
      </c>
      <c r="E1664" t="s">
        <v>5013</v>
      </c>
      <c r="F1664" t="s">
        <v>7716</v>
      </c>
      <c r="G1664" t="s">
        <v>3890</v>
      </c>
      <c r="H1664" t="s">
        <v>4669</v>
      </c>
      <c r="I1664" t="s">
        <v>4263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2:30" x14ac:dyDescent="0.25">
      <c r="B1665" t="s">
        <v>133</v>
      </c>
      <c r="C1665" t="s">
        <v>3261</v>
      </c>
      <c r="D1665" t="s">
        <v>5015</v>
      </c>
      <c r="E1665" t="s">
        <v>5016</v>
      </c>
      <c r="F1665" t="s">
        <v>7717</v>
      </c>
      <c r="G1665" t="s">
        <v>3890</v>
      </c>
      <c r="H1665" t="s">
        <v>4673</v>
      </c>
      <c r="I1665" t="s">
        <v>4263</v>
      </c>
      <c r="J1665">
        <v>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2:30" x14ac:dyDescent="0.25">
      <c r="B1666" t="s">
        <v>133</v>
      </c>
      <c r="C1666" t="s">
        <v>3261</v>
      </c>
      <c r="D1666" t="s">
        <v>5018</v>
      </c>
      <c r="E1666" t="s">
        <v>5019</v>
      </c>
      <c r="F1666" t="s">
        <v>7718</v>
      </c>
      <c r="G1666" t="s">
        <v>3890</v>
      </c>
      <c r="H1666" t="s">
        <v>5021</v>
      </c>
      <c r="I1666" t="s">
        <v>4263</v>
      </c>
      <c r="J1666">
        <v>2</v>
      </c>
      <c r="K1666">
        <v>6.4000000000000001E-2</v>
      </c>
      <c r="L1666">
        <v>6.2E-2</v>
      </c>
      <c r="M1666">
        <v>5.1999999999999998E-2</v>
      </c>
      <c r="N1666">
        <v>4.9000000000000002E-2</v>
      </c>
      <c r="O1666">
        <v>5.0999999999999997E-2</v>
      </c>
      <c r="P1666">
        <v>5.2999999999999999E-2</v>
      </c>
      <c r="Q1666">
        <v>5.8999999999999997E-2</v>
      </c>
      <c r="R1666">
        <v>6.5000000000000002E-2</v>
      </c>
      <c r="S1666">
        <v>7.0999999999999994E-2</v>
      </c>
      <c r="T1666">
        <v>7.8E-2</v>
      </c>
      <c r="U1666">
        <v>8.4000000000000005E-2</v>
      </c>
      <c r="V1666">
        <v>0.09</v>
      </c>
      <c r="W1666">
        <v>9.6000000000000002E-2</v>
      </c>
      <c r="X1666">
        <v>0.10199999999999999</v>
      </c>
      <c r="Y1666">
        <v>0.108</v>
      </c>
      <c r="Z1666">
        <v>0.114</v>
      </c>
      <c r="AA1666">
        <v>0.12</v>
      </c>
      <c r="AB1666">
        <v>0.126</v>
      </c>
      <c r="AC1666">
        <v>0.13200000000000001</v>
      </c>
      <c r="AD1666">
        <v>0.13800000000000001</v>
      </c>
    </row>
    <row r="1667" spans="2:30" x14ac:dyDescent="0.25">
      <c r="B1667" t="s">
        <v>133</v>
      </c>
      <c r="C1667" t="s">
        <v>3261</v>
      </c>
      <c r="D1667" t="s">
        <v>5022</v>
      </c>
      <c r="E1667" t="s">
        <v>5023</v>
      </c>
      <c r="F1667" t="s">
        <v>7719</v>
      </c>
      <c r="G1667" t="s">
        <v>3890</v>
      </c>
      <c r="H1667" t="s">
        <v>5025</v>
      </c>
      <c r="I1667" t="s">
        <v>4263</v>
      </c>
      <c r="J1667">
        <v>2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  <c r="W1667" t="e">
        <v>#N/A</v>
      </c>
      <c r="X1667" t="e">
        <v>#N/A</v>
      </c>
      <c r="Y1667" t="e">
        <v>#N/A</v>
      </c>
      <c r="Z1667" t="e">
        <v>#N/A</v>
      </c>
      <c r="AA1667" t="e">
        <v>#N/A</v>
      </c>
      <c r="AB1667" t="e">
        <v>#N/A</v>
      </c>
      <c r="AC1667" t="e">
        <v>#N/A</v>
      </c>
      <c r="AD1667" t="e">
        <v>#N/A</v>
      </c>
    </row>
    <row r="1668" spans="2:30" x14ac:dyDescent="0.25">
      <c r="B1668" t="s">
        <v>133</v>
      </c>
      <c r="C1668" t="s">
        <v>3261</v>
      </c>
      <c r="D1668" t="s">
        <v>5026</v>
      </c>
      <c r="E1668" t="s">
        <v>4433</v>
      </c>
      <c r="F1668" t="s">
        <v>7539</v>
      </c>
      <c r="G1668" t="s">
        <v>3890</v>
      </c>
      <c r="H1668" t="s">
        <v>4832</v>
      </c>
      <c r="I1668" t="s">
        <v>4263</v>
      </c>
      <c r="J1668">
        <v>1</v>
      </c>
      <c r="K1668">
        <v>0</v>
      </c>
      <c r="L1668">
        <v>0</v>
      </c>
      <c r="M1668">
        <v>-5.5E-2</v>
      </c>
      <c r="N1668">
        <v>-5.5E-2</v>
      </c>
      <c r="O1668">
        <v>-5.5E-2</v>
      </c>
      <c r="P1668">
        <v>-5.5E-2</v>
      </c>
      <c r="Q1668">
        <v>-5.5E-2</v>
      </c>
      <c r="R1668">
        <v>-5.5E-2</v>
      </c>
      <c r="S1668">
        <v>-5.5E-2</v>
      </c>
      <c r="T1668">
        <v>-5.5E-2</v>
      </c>
      <c r="U1668">
        <v>-5.5E-2</v>
      </c>
      <c r="V1668">
        <v>-5.5E-2</v>
      </c>
      <c r="W1668">
        <v>-5.5E-2</v>
      </c>
      <c r="X1668">
        <v>-5.5E-2</v>
      </c>
      <c r="Y1668">
        <v>-5.5E-2</v>
      </c>
      <c r="Z1668">
        <v>-5.5E-2</v>
      </c>
      <c r="AA1668">
        <v>-5.5E-2</v>
      </c>
      <c r="AB1668">
        <v>-5.5E-2</v>
      </c>
      <c r="AC1668">
        <v>-5.5E-2</v>
      </c>
      <c r="AD1668">
        <v>-5.5E-2</v>
      </c>
    </row>
    <row r="1669" spans="2:30" x14ac:dyDescent="0.25">
      <c r="B1669" t="s">
        <v>133</v>
      </c>
      <c r="C1669" t="s">
        <v>3261</v>
      </c>
      <c r="D1669" t="s">
        <v>5027</v>
      </c>
      <c r="E1669" t="s">
        <v>5028</v>
      </c>
      <c r="F1669" t="s">
        <v>7720</v>
      </c>
      <c r="G1669" t="s">
        <v>3890</v>
      </c>
      <c r="H1669" t="s">
        <v>4686</v>
      </c>
      <c r="I1669" t="s">
        <v>4687</v>
      </c>
      <c r="J1669">
        <v>1</v>
      </c>
      <c r="K1669" t="e">
        <v>#DIV/0!</v>
      </c>
      <c r="L1669" t="e">
        <v>#DIV/0!</v>
      </c>
      <c r="M1669" t="e">
        <v>#DIV/0!</v>
      </c>
      <c r="N1669" t="e">
        <v>#DIV/0!</v>
      </c>
      <c r="O1669" t="e">
        <v>#DIV/0!</v>
      </c>
      <c r="P1669" t="e">
        <v>#DIV/0!</v>
      </c>
      <c r="Q1669" t="e">
        <v>#DIV/0!</v>
      </c>
      <c r="R1669" t="e">
        <v>#DIV/0!</v>
      </c>
      <c r="S1669" t="e">
        <v>#DIV/0!</v>
      </c>
      <c r="T1669" t="e">
        <v>#DIV/0!</v>
      </c>
      <c r="U1669" t="e">
        <v>#DIV/0!</v>
      </c>
      <c r="V1669" t="e">
        <v>#DIV/0!</v>
      </c>
      <c r="W1669" t="e">
        <v>#DIV/0!</v>
      </c>
      <c r="X1669" t="e">
        <v>#DIV/0!</v>
      </c>
      <c r="Y1669" t="e">
        <v>#DIV/0!</v>
      </c>
      <c r="Z1669" t="e">
        <v>#DIV/0!</v>
      </c>
      <c r="AA1669" t="e">
        <v>#DIV/0!</v>
      </c>
      <c r="AB1669" t="e">
        <v>#DIV/0!</v>
      </c>
      <c r="AC1669" t="e">
        <v>#DIV/0!</v>
      </c>
      <c r="AD1669" t="e">
        <v>#DIV/0!</v>
      </c>
    </row>
    <row r="1670" spans="2:30" x14ac:dyDescent="0.25">
      <c r="B1670" t="s">
        <v>133</v>
      </c>
      <c r="C1670" t="s">
        <v>3261</v>
      </c>
      <c r="D1670" t="s">
        <v>5030</v>
      </c>
      <c r="E1670" t="s">
        <v>5031</v>
      </c>
      <c r="F1670" t="s">
        <v>7721</v>
      </c>
      <c r="G1670" t="s">
        <v>3890</v>
      </c>
      <c r="H1670" t="s">
        <v>5033</v>
      </c>
      <c r="I1670" t="s">
        <v>4263</v>
      </c>
      <c r="J1670">
        <v>2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  <c r="W1670" t="e">
        <v>#N/A</v>
      </c>
      <c r="X1670" t="e">
        <v>#N/A</v>
      </c>
      <c r="Y1670" t="e">
        <v>#N/A</v>
      </c>
      <c r="Z1670" t="e">
        <v>#N/A</v>
      </c>
      <c r="AA1670" t="e">
        <v>#N/A</v>
      </c>
      <c r="AB1670" t="e">
        <v>#N/A</v>
      </c>
      <c r="AC1670" t="e">
        <v>#N/A</v>
      </c>
      <c r="AD1670" t="e">
        <v>#N/A</v>
      </c>
    </row>
    <row r="1671" spans="2:30" x14ac:dyDescent="0.25">
      <c r="B1671" t="s">
        <v>133</v>
      </c>
      <c r="C1671" t="s">
        <v>3261</v>
      </c>
      <c r="D1671" t="s">
        <v>5034</v>
      </c>
      <c r="E1671" t="s">
        <v>5035</v>
      </c>
      <c r="F1671" t="s">
        <v>7722</v>
      </c>
      <c r="G1671" t="s">
        <v>3890</v>
      </c>
      <c r="H1671" t="s">
        <v>4695</v>
      </c>
      <c r="I1671" t="s">
        <v>4687</v>
      </c>
      <c r="J1671">
        <v>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2:30" x14ac:dyDescent="0.25">
      <c r="B1672" t="s">
        <v>133</v>
      </c>
      <c r="C1672" t="s">
        <v>3261</v>
      </c>
      <c r="D1672" t="s">
        <v>5037</v>
      </c>
      <c r="E1672" t="s">
        <v>5038</v>
      </c>
      <c r="F1672" t="s">
        <v>7723</v>
      </c>
      <c r="G1672" t="s">
        <v>3890</v>
      </c>
      <c r="H1672" t="s">
        <v>4645</v>
      </c>
      <c r="I1672" t="s">
        <v>4263</v>
      </c>
      <c r="J1672">
        <v>2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  <c r="W1672" t="e">
        <v>#N/A</v>
      </c>
      <c r="X1672" t="e">
        <v>#N/A</v>
      </c>
      <c r="Y1672" t="e">
        <v>#N/A</v>
      </c>
      <c r="Z1672" t="e">
        <v>#N/A</v>
      </c>
      <c r="AA1672" t="e">
        <v>#N/A</v>
      </c>
      <c r="AB1672" t="e">
        <v>#N/A</v>
      </c>
      <c r="AC1672" t="e">
        <v>#N/A</v>
      </c>
      <c r="AD1672" t="e">
        <v>#N/A</v>
      </c>
    </row>
    <row r="1673" spans="2:30" x14ac:dyDescent="0.25">
      <c r="B1673" t="s">
        <v>133</v>
      </c>
      <c r="C1673" t="s">
        <v>3261</v>
      </c>
      <c r="D1673" t="s">
        <v>5040</v>
      </c>
      <c r="E1673" t="s">
        <v>4396</v>
      </c>
      <c r="F1673" t="s">
        <v>7527</v>
      </c>
      <c r="G1673" t="s">
        <v>3890</v>
      </c>
      <c r="H1673" t="s">
        <v>4394</v>
      </c>
      <c r="I1673" t="s">
        <v>4263</v>
      </c>
      <c r="J1673">
        <v>2</v>
      </c>
      <c r="K1673">
        <v>5.8999999999999997E-2</v>
      </c>
      <c r="L1673">
        <v>5.0999999999999997E-2</v>
      </c>
      <c r="M1673">
        <v>0.10100000000000001</v>
      </c>
      <c r="N1673">
        <v>9.8000000000000004E-2</v>
      </c>
      <c r="O1673">
        <v>0.1</v>
      </c>
      <c r="P1673">
        <v>0.10100000000000001</v>
      </c>
      <c r="Q1673">
        <v>0.10100000000000001</v>
      </c>
      <c r="R1673">
        <v>0.10100000000000001</v>
      </c>
      <c r="S1673">
        <v>0.10100000000000001</v>
      </c>
      <c r="T1673">
        <v>0.1</v>
      </c>
      <c r="U1673">
        <v>0.1</v>
      </c>
      <c r="V1673">
        <v>0.1</v>
      </c>
      <c r="W1673">
        <v>0.1</v>
      </c>
      <c r="X1673">
        <v>0.1</v>
      </c>
      <c r="Y1673">
        <v>9.9000000000000005E-2</v>
      </c>
      <c r="Z1673">
        <v>9.9000000000000005E-2</v>
      </c>
      <c r="AA1673">
        <v>9.9000000000000005E-2</v>
      </c>
      <c r="AB1673">
        <v>9.8000000000000004E-2</v>
      </c>
      <c r="AC1673">
        <v>9.8000000000000004E-2</v>
      </c>
      <c r="AD1673">
        <v>9.8000000000000004E-2</v>
      </c>
    </row>
    <row r="1674" spans="2:30" x14ac:dyDescent="0.25">
      <c r="B1674" t="s">
        <v>133</v>
      </c>
      <c r="C1674" t="s">
        <v>3261</v>
      </c>
      <c r="D1674" t="s">
        <v>5041</v>
      </c>
      <c r="E1674" t="s">
        <v>5042</v>
      </c>
      <c r="F1674" t="s">
        <v>7724</v>
      </c>
      <c r="G1674" t="s">
        <v>3890</v>
      </c>
      <c r="H1674" t="s">
        <v>4653</v>
      </c>
      <c r="I1674" t="s">
        <v>4263</v>
      </c>
      <c r="J1674">
        <v>2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  <c r="W1674" t="e">
        <v>#N/A</v>
      </c>
      <c r="X1674" t="e">
        <v>#N/A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</row>
    <row r="1675" spans="2:30" x14ac:dyDescent="0.25">
      <c r="B1675" t="s">
        <v>133</v>
      </c>
      <c r="C1675" t="s">
        <v>3261</v>
      </c>
      <c r="D1675" t="s">
        <v>5044</v>
      </c>
      <c r="E1675" t="s">
        <v>5045</v>
      </c>
      <c r="F1675" t="s">
        <v>7725</v>
      </c>
      <c r="G1675" t="s">
        <v>3890</v>
      </c>
      <c r="H1675" t="s">
        <v>4669</v>
      </c>
      <c r="I1675" t="s">
        <v>4263</v>
      </c>
      <c r="J1675">
        <v>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2:30" x14ac:dyDescent="0.25">
      <c r="B1676" t="s">
        <v>133</v>
      </c>
      <c r="C1676" t="s">
        <v>3261</v>
      </c>
      <c r="D1676" t="s">
        <v>5047</v>
      </c>
      <c r="E1676" t="s">
        <v>5048</v>
      </c>
      <c r="F1676" t="s">
        <v>7726</v>
      </c>
      <c r="G1676" t="s">
        <v>3890</v>
      </c>
      <c r="H1676" t="s">
        <v>4673</v>
      </c>
      <c r="I1676" t="s">
        <v>4263</v>
      </c>
      <c r="J1676">
        <v>2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  <c r="W1676" t="e">
        <v>#N/A</v>
      </c>
      <c r="X1676" t="e">
        <v>#N/A</v>
      </c>
      <c r="Y1676" t="e">
        <v>#N/A</v>
      </c>
      <c r="Z1676" t="e">
        <v>#N/A</v>
      </c>
      <c r="AA1676" t="e">
        <v>#N/A</v>
      </c>
      <c r="AB1676" t="e">
        <v>#N/A</v>
      </c>
      <c r="AC1676" t="e">
        <v>#N/A</v>
      </c>
      <c r="AD1676" t="e">
        <v>#N/A</v>
      </c>
    </row>
    <row r="1677" spans="2:30" x14ac:dyDescent="0.25">
      <c r="B1677" t="s">
        <v>133</v>
      </c>
      <c r="C1677" t="s">
        <v>3261</v>
      </c>
      <c r="D1677" t="s">
        <v>5050</v>
      </c>
      <c r="E1677" t="s">
        <v>5051</v>
      </c>
      <c r="F1677" t="s">
        <v>7727</v>
      </c>
      <c r="G1677" t="s">
        <v>3890</v>
      </c>
      <c r="H1677" t="s">
        <v>5021</v>
      </c>
      <c r="I1677" t="s">
        <v>4263</v>
      </c>
      <c r="J1677">
        <v>2</v>
      </c>
      <c r="K1677">
        <v>6.0999999999999999E-2</v>
      </c>
      <c r="L1677">
        <v>5.1999999999999998E-2</v>
      </c>
      <c r="M1677">
        <v>4.5999999999999999E-2</v>
      </c>
      <c r="N1677">
        <v>4.2999999999999997E-2</v>
      </c>
      <c r="O1677">
        <v>4.4999999999999998E-2</v>
      </c>
      <c r="P1677">
        <v>4.5999999999999999E-2</v>
      </c>
      <c r="Q1677">
        <v>5.1999999999999998E-2</v>
      </c>
      <c r="R1677">
        <v>5.8000000000000003E-2</v>
      </c>
      <c r="S1677">
        <v>6.5000000000000002E-2</v>
      </c>
      <c r="T1677">
        <v>7.0999999999999994E-2</v>
      </c>
      <c r="U1677">
        <v>7.8E-2</v>
      </c>
      <c r="V1677">
        <v>8.4000000000000005E-2</v>
      </c>
      <c r="W1677">
        <v>0.09</v>
      </c>
      <c r="X1677">
        <v>9.6000000000000002E-2</v>
      </c>
      <c r="Y1677">
        <v>0.10199999999999999</v>
      </c>
      <c r="Z1677">
        <v>0.108</v>
      </c>
      <c r="AA1677">
        <v>0.114</v>
      </c>
      <c r="AB1677">
        <v>0.12</v>
      </c>
      <c r="AC1677">
        <v>0.126</v>
      </c>
      <c r="AD1677">
        <v>0.13200000000000001</v>
      </c>
    </row>
    <row r="1678" spans="2:30" x14ac:dyDescent="0.25">
      <c r="B1678" t="s">
        <v>133</v>
      </c>
      <c r="C1678" t="s">
        <v>3261</v>
      </c>
      <c r="D1678" t="s">
        <v>5053</v>
      </c>
      <c r="E1678" t="s">
        <v>5054</v>
      </c>
      <c r="F1678" t="s">
        <v>7728</v>
      </c>
      <c r="G1678" t="s">
        <v>3890</v>
      </c>
      <c r="H1678" t="s">
        <v>5025</v>
      </c>
      <c r="I1678" t="s">
        <v>4263</v>
      </c>
      <c r="J1678">
        <v>2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  <c r="W1678" t="e">
        <v>#N/A</v>
      </c>
      <c r="X1678" t="e">
        <v>#N/A</v>
      </c>
      <c r="Y1678" t="e">
        <v>#N/A</v>
      </c>
      <c r="Z1678" t="e">
        <v>#N/A</v>
      </c>
      <c r="AA1678" t="e">
        <v>#N/A</v>
      </c>
      <c r="AB1678" t="e">
        <v>#N/A</v>
      </c>
      <c r="AC1678" t="e">
        <v>#N/A</v>
      </c>
      <c r="AD1678" t="e">
        <v>#N/A</v>
      </c>
    </row>
    <row r="1679" spans="2:30" x14ac:dyDescent="0.25">
      <c r="B1679" t="s">
        <v>133</v>
      </c>
      <c r="C1679" t="s">
        <v>3261</v>
      </c>
      <c r="D1679" t="s">
        <v>5056</v>
      </c>
      <c r="E1679" t="s">
        <v>4437</v>
      </c>
      <c r="F1679" t="s">
        <v>7540</v>
      </c>
      <c r="G1679" t="s">
        <v>3890</v>
      </c>
      <c r="H1679" t="s">
        <v>4865</v>
      </c>
      <c r="I1679" t="s">
        <v>4263</v>
      </c>
      <c r="J1679">
        <v>1</v>
      </c>
      <c r="K1679">
        <v>2E-3</v>
      </c>
      <c r="L1679">
        <v>1E-3</v>
      </c>
      <c r="M1679">
        <v>-5.5E-2</v>
      </c>
      <c r="N1679">
        <v>-5.5E-2</v>
      </c>
      <c r="O1679">
        <v>-5.5E-2</v>
      </c>
      <c r="P1679">
        <v>-5.5E-2</v>
      </c>
      <c r="Q1679">
        <v>-5.5E-2</v>
      </c>
      <c r="R1679">
        <v>-5.5E-2</v>
      </c>
      <c r="S1679">
        <v>-5.5E-2</v>
      </c>
      <c r="T1679">
        <v>-5.5E-2</v>
      </c>
      <c r="U1679">
        <v>-5.5E-2</v>
      </c>
      <c r="V1679">
        <v>-5.5E-2</v>
      </c>
      <c r="W1679">
        <v>-5.5E-2</v>
      </c>
      <c r="X1679">
        <v>-5.5E-2</v>
      </c>
      <c r="Y1679">
        <v>-5.5E-2</v>
      </c>
      <c r="Z1679">
        <v>-5.5E-2</v>
      </c>
      <c r="AA1679">
        <v>-5.5E-2</v>
      </c>
      <c r="AB1679">
        <v>-5.5E-2</v>
      </c>
      <c r="AC1679">
        <v>-5.5E-2</v>
      </c>
      <c r="AD1679">
        <v>-5.5E-2</v>
      </c>
    </row>
    <row r="1680" spans="2:30" x14ac:dyDescent="0.25">
      <c r="B1680" t="s">
        <v>133</v>
      </c>
      <c r="C1680" t="s">
        <v>3261</v>
      </c>
      <c r="D1680" t="s">
        <v>5057</v>
      </c>
      <c r="E1680" t="s">
        <v>5058</v>
      </c>
      <c r="F1680" t="s">
        <v>7729</v>
      </c>
      <c r="G1680" t="s">
        <v>3890</v>
      </c>
      <c r="H1680" t="s">
        <v>4686</v>
      </c>
      <c r="I1680" t="s">
        <v>4687</v>
      </c>
      <c r="J1680">
        <v>1</v>
      </c>
      <c r="K1680" t="e">
        <v>#DIV/0!</v>
      </c>
      <c r="L1680" t="e">
        <v>#DIV/0!</v>
      </c>
      <c r="M1680" t="e">
        <v>#DIV/0!</v>
      </c>
      <c r="N1680" t="e">
        <v>#DIV/0!</v>
      </c>
      <c r="O1680" t="e">
        <v>#DIV/0!</v>
      </c>
      <c r="P1680" t="e">
        <v>#DIV/0!</v>
      </c>
      <c r="Q1680" t="e">
        <v>#DIV/0!</v>
      </c>
      <c r="R1680" t="e">
        <v>#DIV/0!</v>
      </c>
      <c r="S1680" t="e">
        <v>#DIV/0!</v>
      </c>
      <c r="T1680" t="e">
        <v>#DIV/0!</v>
      </c>
      <c r="U1680" t="e">
        <v>#DIV/0!</v>
      </c>
      <c r="V1680" t="e">
        <v>#DIV/0!</v>
      </c>
      <c r="W1680" t="e">
        <v>#DIV/0!</v>
      </c>
      <c r="X1680" t="e">
        <v>#DIV/0!</v>
      </c>
      <c r="Y1680" t="e">
        <v>#DIV/0!</v>
      </c>
      <c r="Z1680" t="e">
        <v>#DIV/0!</v>
      </c>
      <c r="AA1680" t="e">
        <v>#DIV/0!</v>
      </c>
      <c r="AB1680" t="e">
        <v>#DIV/0!</v>
      </c>
      <c r="AC1680" t="e">
        <v>#DIV/0!</v>
      </c>
      <c r="AD1680" t="e">
        <v>#DIV/0!</v>
      </c>
    </row>
    <row r="1681" spans="2:30" x14ac:dyDescent="0.25">
      <c r="B1681" t="s">
        <v>133</v>
      </c>
      <c r="C1681" t="s">
        <v>3261</v>
      </c>
      <c r="D1681" t="s">
        <v>5060</v>
      </c>
      <c r="E1681" t="s">
        <v>5061</v>
      </c>
      <c r="F1681" t="s">
        <v>7730</v>
      </c>
      <c r="G1681" t="s">
        <v>3890</v>
      </c>
      <c r="H1681" t="s">
        <v>5033</v>
      </c>
      <c r="I1681" t="s">
        <v>4263</v>
      </c>
      <c r="J1681">
        <v>2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  <c r="W1681" t="e">
        <v>#N/A</v>
      </c>
      <c r="X1681" t="e">
        <v>#N/A</v>
      </c>
      <c r="Y1681" t="e">
        <v>#N/A</v>
      </c>
      <c r="Z1681" t="e">
        <v>#N/A</v>
      </c>
      <c r="AA1681" t="e">
        <v>#N/A</v>
      </c>
      <c r="AB1681" t="e">
        <v>#N/A</v>
      </c>
      <c r="AC1681" t="e">
        <v>#N/A</v>
      </c>
      <c r="AD1681" t="e">
        <v>#N/A</v>
      </c>
    </row>
    <row r="1682" spans="2:30" x14ac:dyDescent="0.25">
      <c r="B1682" t="s">
        <v>133</v>
      </c>
      <c r="C1682" t="s">
        <v>3261</v>
      </c>
      <c r="D1682" t="s">
        <v>5063</v>
      </c>
      <c r="E1682" t="s">
        <v>5064</v>
      </c>
      <c r="F1682" t="s">
        <v>7731</v>
      </c>
      <c r="G1682" t="s">
        <v>3890</v>
      </c>
      <c r="H1682" t="s">
        <v>4695</v>
      </c>
      <c r="I1682" t="s">
        <v>4687</v>
      </c>
      <c r="J1682">
        <v>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2:30" x14ac:dyDescent="0.25">
      <c r="B1683" t="s">
        <v>133</v>
      </c>
      <c r="C1683" t="s">
        <v>3261</v>
      </c>
      <c r="D1683" t="s">
        <v>5066</v>
      </c>
      <c r="E1683" t="s">
        <v>5067</v>
      </c>
      <c r="F1683" t="s">
        <v>7732</v>
      </c>
      <c r="G1683" t="s">
        <v>3890</v>
      </c>
      <c r="H1683" t="s">
        <v>4695</v>
      </c>
      <c r="I1683" t="s">
        <v>4687</v>
      </c>
      <c r="J1683">
        <v>1</v>
      </c>
      <c r="K1683">
        <v>2.6909999999999998</v>
      </c>
      <c r="L1683">
        <v>2.8210000000000002</v>
      </c>
      <c r="M1683">
        <v>3.3180000000000001</v>
      </c>
      <c r="N1683">
        <v>3.53</v>
      </c>
      <c r="O1683">
        <v>3.6869999999999998</v>
      </c>
      <c r="P1683">
        <v>3.7810000000000001</v>
      </c>
      <c r="Q1683">
        <v>3.8290000000000002</v>
      </c>
      <c r="R1683">
        <v>3.87</v>
      </c>
      <c r="S1683">
        <v>3.9060000000000001</v>
      </c>
      <c r="T1683">
        <v>3.93</v>
      </c>
      <c r="U1683">
        <v>3.9470000000000001</v>
      </c>
      <c r="V1683">
        <v>3.9569999999999999</v>
      </c>
      <c r="W1683">
        <v>3.964</v>
      </c>
      <c r="X1683">
        <v>3.9660000000000002</v>
      </c>
      <c r="Y1683">
        <v>3.9660000000000002</v>
      </c>
      <c r="Z1683">
        <v>3.96</v>
      </c>
      <c r="AA1683">
        <v>3.9510000000000001</v>
      </c>
      <c r="AB1683">
        <v>3.9359999999999999</v>
      </c>
      <c r="AC1683">
        <v>3.9159999999999999</v>
      </c>
      <c r="AD1683">
        <v>3.9020000000000001</v>
      </c>
    </row>
    <row r="1684" spans="2:30" x14ac:dyDescent="0.25">
      <c r="B1684" t="s">
        <v>133</v>
      </c>
      <c r="C1684" t="s">
        <v>3261</v>
      </c>
      <c r="D1684" t="s">
        <v>5069</v>
      </c>
      <c r="E1684" t="s">
        <v>5070</v>
      </c>
      <c r="F1684" t="s">
        <v>7733</v>
      </c>
      <c r="G1684" t="s">
        <v>3890</v>
      </c>
      <c r="H1684" t="s">
        <v>4695</v>
      </c>
      <c r="I1684" t="s">
        <v>4687</v>
      </c>
      <c r="J1684">
        <v>2</v>
      </c>
      <c r="K1684">
        <v>2.6909999999999998</v>
      </c>
      <c r="L1684">
        <v>2.8210000000000002</v>
      </c>
      <c r="M1684">
        <v>3.3180000000000001</v>
      </c>
      <c r="N1684">
        <v>3.53</v>
      </c>
      <c r="O1684">
        <v>3.6869999999999998</v>
      </c>
      <c r="P1684">
        <v>3.7810000000000001</v>
      </c>
      <c r="Q1684">
        <v>3.8290000000000002</v>
      </c>
      <c r="R1684">
        <v>3.984</v>
      </c>
      <c r="S1684">
        <v>4.0730000000000004</v>
      </c>
      <c r="T1684">
        <v>4.1529999999999996</v>
      </c>
      <c r="U1684">
        <v>4.2050000000000001</v>
      </c>
      <c r="V1684">
        <v>4.2510000000000003</v>
      </c>
      <c r="W1684">
        <v>4.2869999999999999</v>
      </c>
      <c r="X1684">
        <v>4.3150000000000004</v>
      </c>
      <c r="Y1684">
        <v>4.3360000000000003</v>
      </c>
      <c r="Z1684">
        <v>4.3499999999999996</v>
      </c>
      <c r="AA1684">
        <v>4.3570000000000002</v>
      </c>
      <c r="AB1684">
        <v>4.3570000000000002</v>
      </c>
      <c r="AC1684">
        <v>4.3520000000000003</v>
      </c>
      <c r="AD1684">
        <v>4.351</v>
      </c>
    </row>
    <row r="1685" spans="2:30" x14ac:dyDescent="0.25">
      <c r="B1685" t="s">
        <v>133</v>
      </c>
      <c r="C1685" t="s">
        <v>3261</v>
      </c>
      <c r="D1685" t="s">
        <v>5072</v>
      </c>
      <c r="E1685" t="s">
        <v>5073</v>
      </c>
      <c r="F1685" t="s">
        <v>7734</v>
      </c>
      <c r="G1685" t="s">
        <v>3890</v>
      </c>
      <c r="H1685" t="s">
        <v>5075</v>
      </c>
      <c r="I1685" t="s">
        <v>4687</v>
      </c>
      <c r="J1685">
        <v>2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  <c r="W1685" t="e">
        <v>#N/A</v>
      </c>
      <c r="X1685" t="e">
        <v>#N/A</v>
      </c>
      <c r="Y1685" t="e">
        <v>#N/A</v>
      </c>
      <c r="Z1685" t="e">
        <v>#N/A</v>
      </c>
      <c r="AA1685" t="e">
        <v>#N/A</v>
      </c>
      <c r="AB1685" t="e">
        <v>#N/A</v>
      </c>
      <c r="AC1685" t="e">
        <v>#N/A</v>
      </c>
      <c r="AD1685" t="e">
        <v>#N/A</v>
      </c>
    </row>
    <row r="1686" spans="2:30" x14ac:dyDescent="0.25">
      <c r="B1686" t="s">
        <v>133</v>
      </c>
      <c r="C1686" t="s">
        <v>3261</v>
      </c>
      <c r="D1686" t="s">
        <v>5076</v>
      </c>
      <c r="E1686" t="s">
        <v>5077</v>
      </c>
      <c r="F1686" t="s">
        <v>7735</v>
      </c>
      <c r="G1686" t="s">
        <v>3890</v>
      </c>
      <c r="H1686" t="s">
        <v>5075</v>
      </c>
      <c r="I1686" t="s">
        <v>4687</v>
      </c>
      <c r="J1686">
        <v>2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  <c r="W1686" t="e">
        <v>#N/A</v>
      </c>
      <c r="X1686" t="e">
        <v>#N/A</v>
      </c>
      <c r="Y1686" t="e">
        <v>#N/A</v>
      </c>
      <c r="Z1686" t="e">
        <v>#N/A</v>
      </c>
      <c r="AA1686" t="e">
        <v>#N/A</v>
      </c>
      <c r="AB1686" t="e">
        <v>#N/A</v>
      </c>
      <c r="AC1686" t="e">
        <v>#N/A</v>
      </c>
      <c r="AD1686" t="e">
        <v>#N/A</v>
      </c>
    </row>
    <row r="1687" spans="2:30" x14ac:dyDescent="0.25">
      <c r="B1687" t="s">
        <v>133</v>
      </c>
      <c r="C1687" t="s">
        <v>3261</v>
      </c>
      <c r="D1687" t="s">
        <v>5079</v>
      </c>
      <c r="E1687" t="s">
        <v>5080</v>
      </c>
      <c r="F1687" t="s">
        <v>7736</v>
      </c>
      <c r="G1687" t="s">
        <v>3890</v>
      </c>
      <c r="H1687" t="s">
        <v>5075</v>
      </c>
      <c r="I1687" t="s">
        <v>4687</v>
      </c>
      <c r="J1687">
        <v>2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  <c r="W1687" t="e">
        <v>#N/A</v>
      </c>
      <c r="X1687" t="e">
        <v>#N/A</v>
      </c>
      <c r="Y1687" t="e">
        <v>#N/A</v>
      </c>
      <c r="Z1687" t="e">
        <v>#N/A</v>
      </c>
      <c r="AA1687" t="e">
        <v>#N/A</v>
      </c>
      <c r="AB1687" t="e">
        <v>#N/A</v>
      </c>
      <c r="AC1687" t="e">
        <v>#N/A</v>
      </c>
      <c r="AD1687" t="e">
        <v>#N/A</v>
      </c>
    </row>
    <row r="1688" spans="2:30" x14ac:dyDescent="0.25">
      <c r="B1688" t="s">
        <v>133</v>
      </c>
      <c r="C1688" t="s">
        <v>3261</v>
      </c>
      <c r="D1688" t="s">
        <v>5082</v>
      </c>
      <c r="E1688" t="s">
        <v>5083</v>
      </c>
      <c r="F1688" t="s">
        <v>7737</v>
      </c>
      <c r="G1688" t="s">
        <v>3890</v>
      </c>
      <c r="H1688" t="s">
        <v>5075</v>
      </c>
      <c r="I1688" t="s">
        <v>4687</v>
      </c>
      <c r="J1688">
        <v>2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  <c r="W1688" t="e">
        <v>#N/A</v>
      </c>
      <c r="X1688" t="e">
        <v>#N/A</v>
      </c>
      <c r="Y1688" t="e">
        <v>#N/A</v>
      </c>
      <c r="Z1688" t="e">
        <v>#N/A</v>
      </c>
      <c r="AA1688" t="e">
        <v>#N/A</v>
      </c>
      <c r="AB1688" t="e">
        <v>#N/A</v>
      </c>
      <c r="AC1688" t="e">
        <v>#N/A</v>
      </c>
      <c r="AD1688" t="e">
        <v>#N/A</v>
      </c>
    </row>
    <row r="1689" spans="2:30" x14ac:dyDescent="0.25">
      <c r="B1689" t="s">
        <v>133</v>
      </c>
      <c r="C1689" t="s">
        <v>3261</v>
      </c>
      <c r="D1689" t="s">
        <v>5085</v>
      </c>
      <c r="E1689" t="s">
        <v>5086</v>
      </c>
      <c r="F1689" t="s">
        <v>7738</v>
      </c>
      <c r="G1689" t="s">
        <v>3890</v>
      </c>
      <c r="H1689" t="s">
        <v>5075</v>
      </c>
      <c r="I1689" t="s">
        <v>4687</v>
      </c>
      <c r="J1689">
        <v>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2:30" x14ac:dyDescent="0.25">
      <c r="B1690" t="s">
        <v>133</v>
      </c>
      <c r="C1690" t="s">
        <v>3261</v>
      </c>
      <c r="D1690" t="s">
        <v>5088</v>
      </c>
      <c r="E1690" t="s">
        <v>5089</v>
      </c>
      <c r="F1690" t="s">
        <v>7739</v>
      </c>
      <c r="G1690" t="s">
        <v>3890</v>
      </c>
      <c r="H1690" t="s">
        <v>5075</v>
      </c>
      <c r="I1690" t="s">
        <v>4687</v>
      </c>
      <c r="J1690">
        <v>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2:30" x14ac:dyDescent="0.25">
      <c r="B1691" t="s">
        <v>133</v>
      </c>
      <c r="C1691" t="s">
        <v>3261</v>
      </c>
      <c r="D1691" t="s">
        <v>5091</v>
      </c>
      <c r="E1691" t="s">
        <v>5092</v>
      </c>
      <c r="F1691" t="s">
        <v>7740</v>
      </c>
      <c r="G1691" t="s">
        <v>3890</v>
      </c>
      <c r="H1691" t="s">
        <v>5075</v>
      </c>
      <c r="I1691" t="s">
        <v>4687</v>
      </c>
      <c r="J1691">
        <v>2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  <c r="W1691" t="e">
        <v>#N/A</v>
      </c>
      <c r="X1691" t="e">
        <v>#N/A</v>
      </c>
      <c r="Y1691" t="e">
        <v>#N/A</v>
      </c>
      <c r="Z1691" t="e">
        <v>#N/A</v>
      </c>
      <c r="AA1691" t="e">
        <v>#N/A</v>
      </c>
      <c r="AB1691" t="e">
        <v>#N/A</v>
      </c>
      <c r="AC1691" t="e">
        <v>#N/A</v>
      </c>
      <c r="AD1691" t="e">
        <v>#N/A</v>
      </c>
    </row>
    <row r="1692" spans="2:30" x14ac:dyDescent="0.25">
      <c r="B1692" t="s">
        <v>133</v>
      </c>
      <c r="C1692" t="s">
        <v>3261</v>
      </c>
      <c r="D1692" t="s">
        <v>5094</v>
      </c>
      <c r="E1692" t="s">
        <v>5095</v>
      </c>
      <c r="F1692" t="s">
        <v>7741</v>
      </c>
      <c r="G1692" t="s">
        <v>3890</v>
      </c>
      <c r="H1692" t="s">
        <v>5075</v>
      </c>
      <c r="I1692" t="s">
        <v>4687</v>
      </c>
      <c r="J1692">
        <v>2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  <c r="W1692" t="e">
        <v>#N/A</v>
      </c>
      <c r="X1692" t="e">
        <v>#N/A</v>
      </c>
      <c r="Y1692" t="e">
        <v>#N/A</v>
      </c>
      <c r="Z1692" t="e">
        <v>#N/A</v>
      </c>
      <c r="AA1692" t="e">
        <v>#N/A</v>
      </c>
      <c r="AB1692" t="e">
        <v>#N/A</v>
      </c>
      <c r="AC1692" t="e">
        <v>#N/A</v>
      </c>
      <c r="AD1692" t="e">
        <v>#N/A</v>
      </c>
    </row>
    <row r="1693" spans="2:30" x14ac:dyDescent="0.25">
      <c r="B1693" t="s">
        <v>133</v>
      </c>
      <c r="C1693" t="s">
        <v>3261</v>
      </c>
      <c r="D1693" t="s">
        <v>5097</v>
      </c>
      <c r="E1693" t="s">
        <v>5098</v>
      </c>
      <c r="F1693" t="s">
        <v>7742</v>
      </c>
      <c r="G1693" t="s">
        <v>3890</v>
      </c>
      <c r="H1693" t="s">
        <v>5075</v>
      </c>
      <c r="I1693" t="s">
        <v>4687</v>
      </c>
      <c r="J1693">
        <v>2</v>
      </c>
      <c r="K1693">
        <v>6.9362124947994486E-3</v>
      </c>
      <c r="L1693">
        <v>7.0523458064633395E-3</v>
      </c>
      <c r="M1693">
        <v>7.2140233585393544E-3</v>
      </c>
      <c r="N1693">
        <v>7.2930917877762026E-3</v>
      </c>
      <c r="O1693">
        <v>7.4007664736978956E-3</v>
      </c>
      <c r="P1693">
        <v>7.5059751190643736E-3</v>
      </c>
      <c r="Q1693">
        <v>7.6103051109899893E-3</v>
      </c>
      <c r="R1693">
        <v>7.7036393441181402E-3</v>
      </c>
      <c r="S1693">
        <v>7.7917482659545815E-3</v>
      </c>
      <c r="T1693">
        <v>7.8760804945162358E-3</v>
      </c>
      <c r="U1693">
        <v>7.9583684003904902E-3</v>
      </c>
      <c r="V1693">
        <v>8.038652939071269E-3</v>
      </c>
      <c r="W1693">
        <v>8.1175594177015885E-3</v>
      </c>
      <c r="X1693">
        <v>8.1946037194784455E-3</v>
      </c>
      <c r="Y1693">
        <v>8.2700469919705939E-3</v>
      </c>
      <c r="Z1693">
        <v>8.3436874059188426E-3</v>
      </c>
      <c r="AA1693">
        <v>8.3436874059188426E-3</v>
      </c>
      <c r="AB1693">
        <v>8.3436874059188426E-3</v>
      </c>
      <c r="AC1693">
        <v>8.3436874059188426E-3</v>
      </c>
      <c r="AD1693">
        <v>8.3436874059188409E-3</v>
      </c>
    </row>
    <row r="1694" spans="2:30" x14ac:dyDescent="0.25">
      <c r="B1694" t="s">
        <v>133</v>
      </c>
      <c r="C1694" t="s">
        <v>3261</v>
      </c>
      <c r="D1694" t="s">
        <v>5100</v>
      </c>
      <c r="E1694" t="s">
        <v>5101</v>
      </c>
      <c r="F1694" t="s">
        <v>7743</v>
      </c>
      <c r="G1694" t="s">
        <v>3890</v>
      </c>
      <c r="H1694" t="s">
        <v>5075</v>
      </c>
      <c r="I1694" t="s">
        <v>4687</v>
      </c>
      <c r="J1694">
        <v>2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  <c r="W1694" t="e">
        <v>#N/A</v>
      </c>
      <c r="X1694" t="e">
        <v>#N/A</v>
      </c>
      <c r="Y1694" t="e">
        <v>#N/A</v>
      </c>
      <c r="Z1694" t="e">
        <v>#N/A</v>
      </c>
      <c r="AA1694" t="e">
        <v>#N/A</v>
      </c>
      <c r="AB1694" t="e">
        <v>#N/A</v>
      </c>
      <c r="AC1694" t="e">
        <v>#N/A</v>
      </c>
      <c r="AD1694" t="e">
        <v>#N/A</v>
      </c>
    </row>
    <row r="1695" spans="2:30" x14ac:dyDescent="0.25">
      <c r="B1695" t="s">
        <v>133</v>
      </c>
      <c r="C1695" t="s">
        <v>3261</v>
      </c>
      <c r="D1695" t="s">
        <v>5103</v>
      </c>
      <c r="E1695" t="s">
        <v>5104</v>
      </c>
      <c r="F1695" t="s">
        <v>7744</v>
      </c>
      <c r="G1695" t="s">
        <v>3890</v>
      </c>
      <c r="H1695" t="s">
        <v>5075</v>
      </c>
      <c r="I1695" t="s">
        <v>4687</v>
      </c>
      <c r="J1695">
        <v>1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  <c r="W1695" t="e">
        <v>#N/A</v>
      </c>
      <c r="X1695" t="e">
        <v>#N/A</v>
      </c>
      <c r="Y1695" t="e">
        <v>#N/A</v>
      </c>
      <c r="Z1695" t="e">
        <v>#N/A</v>
      </c>
      <c r="AA1695" t="e">
        <v>#N/A</v>
      </c>
      <c r="AB1695" t="e">
        <v>#N/A</v>
      </c>
      <c r="AC1695" t="e">
        <v>#N/A</v>
      </c>
      <c r="AD1695" t="e">
        <v>#N/A</v>
      </c>
    </row>
    <row r="1696" spans="2:30" x14ac:dyDescent="0.25">
      <c r="B1696" t="s">
        <v>133</v>
      </c>
      <c r="C1696" t="s">
        <v>3261</v>
      </c>
      <c r="D1696" t="s">
        <v>5103</v>
      </c>
      <c r="E1696" t="s">
        <v>5106</v>
      </c>
      <c r="F1696" t="s">
        <v>7745</v>
      </c>
      <c r="G1696" t="s">
        <v>3890</v>
      </c>
      <c r="H1696" t="s">
        <v>5075</v>
      </c>
      <c r="I1696" t="s">
        <v>4687</v>
      </c>
      <c r="J1696">
        <v>2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  <c r="W1696" t="e">
        <v>#N/A</v>
      </c>
      <c r="X1696" t="e">
        <v>#N/A</v>
      </c>
      <c r="Y1696" t="e">
        <v>#N/A</v>
      </c>
      <c r="Z1696" t="e">
        <v>#N/A</v>
      </c>
      <c r="AA1696" t="e">
        <v>#N/A</v>
      </c>
      <c r="AB1696" t="e">
        <v>#N/A</v>
      </c>
      <c r="AC1696" t="e">
        <v>#N/A</v>
      </c>
      <c r="AD1696" t="e">
        <v>#N/A</v>
      </c>
    </row>
    <row r="1697" spans="2:30" x14ac:dyDescent="0.25">
      <c r="B1697" t="s">
        <v>133</v>
      </c>
      <c r="C1697" t="s">
        <v>3261</v>
      </c>
      <c r="D1697" t="s">
        <v>5108</v>
      </c>
      <c r="E1697" t="s">
        <v>5109</v>
      </c>
      <c r="F1697" t="s">
        <v>7746</v>
      </c>
      <c r="G1697" t="s">
        <v>3890</v>
      </c>
      <c r="H1697" t="s">
        <v>5111</v>
      </c>
      <c r="I1697" t="s">
        <v>4687</v>
      </c>
      <c r="J1697">
        <v>1</v>
      </c>
      <c r="K1697">
        <v>54.801765375148797</v>
      </c>
      <c r="L1697">
        <v>56.99383599015475</v>
      </c>
      <c r="M1697">
        <v>59.273589429760939</v>
      </c>
      <c r="N1697">
        <v>61.644533006951377</v>
      </c>
      <c r="O1697">
        <v>64.110314327229432</v>
      </c>
      <c r="P1697">
        <v>66.674726900318618</v>
      </c>
      <c r="Q1697">
        <v>69.341715976331358</v>
      </c>
      <c r="R1697">
        <v>72.115384615384613</v>
      </c>
      <c r="S1697">
        <v>75</v>
      </c>
      <c r="T1697">
        <v>78</v>
      </c>
      <c r="U1697">
        <v>81.12</v>
      </c>
      <c r="V1697">
        <v>84.364800000000002</v>
      </c>
      <c r="W1697">
        <v>87.739392000000009</v>
      </c>
      <c r="X1697">
        <v>91.248967680000007</v>
      </c>
      <c r="Y1697">
        <v>94.898926387200007</v>
      </c>
      <c r="Z1697">
        <v>98.69488344268801</v>
      </c>
      <c r="AA1697">
        <v>102.64267878039553</v>
      </c>
      <c r="AB1697">
        <v>106.74838593161135</v>
      </c>
      <c r="AC1697">
        <v>111.01832136887582</v>
      </c>
      <c r="AD1697">
        <v>115.45905422363086</v>
      </c>
    </row>
    <row r="1698" spans="2:30" x14ac:dyDescent="0.25">
      <c r="B1698" t="s">
        <v>133</v>
      </c>
      <c r="C1698" t="s">
        <v>3261</v>
      </c>
      <c r="D1698" t="s">
        <v>5112</v>
      </c>
      <c r="E1698" t="s">
        <v>5113</v>
      </c>
      <c r="F1698" t="s">
        <v>7747</v>
      </c>
      <c r="G1698" t="s">
        <v>3890</v>
      </c>
      <c r="H1698" t="s">
        <v>109</v>
      </c>
      <c r="I1698" t="s">
        <v>108</v>
      </c>
      <c r="J1698">
        <v>1</v>
      </c>
      <c r="K1698">
        <v>84652.787400000001</v>
      </c>
      <c r="L1698">
        <v>82605.210091752058</v>
      </c>
      <c r="M1698">
        <v>93076.263310735274</v>
      </c>
      <c r="N1698">
        <v>97660.903879172314</v>
      </c>
      <c r="O1698">
        <v>99883.26559557984</v>
      </c>
      <c r="P1698">
        <v>102725.50351107852</v>
      </c>
      <c r="Q1698">
        <v>106869.44318846347</v>
      </c>
      <c r="R1698">
        <v>111405.02564127475</v>
      </c>
      <c r="S1698">
        <v>116204.06279838546</v>
      </c>
      <c r="T1698">
        <v>121509.57269062284</v>
      </c>
      <c r="U1698">
        <v>127156.57263530469</v>
      </c>
      <c r="V1698">
        <v>133223.60772336368</v>
      </c>
      <c r="W1698">
        <v>139695.67565713078</v>
      </c>
      <c r="X1698">
        <v>146629.91705072028</v>
      </c>
      <c r="Y1698">
        <v>154032.26271624945</v>
      </c>
      <c r="Z1698">
        <v>161993.68269035983</v>
      </c>
      <c r="AA1698">
        <v>170574.56884279643</v>
      </c>
      <c r="AB1698">
        <v>179860.70302367941</v>
      </c>
      <c r="AC1698">
        <v>189936.71611465031</v>
      </c>
      <c r="AD1698">
        <v>200456.03204407732</v>
      </c>
    </row>
    <row r="1699" spans="2:30" x14ac:dyDescent="0.25">
      <c r="B1699" t="s">
        <v>133</v>
      </c>
      <c r="C1699" t="s">
        <v>3261</v>
      </c>
      <c r="D1699" t="s">
        <v>5115</v>
      </c>
      <c r="E1699" t="s">
        <v>5116</v>
      </c>
      <c r="F1699" t="s">
        <v>7748</v>
      </c>
      <c r="G1699" t="s">
        <v>3890</v>
      </c>
      <c r="H1699" t="s">
        <v>109</v>
      </c>
      <c r="I1699" t="s">
        <v>108</v>
      </c>
      <c r="J1699">
        <v>1</v>
      </c>
      <c r="K1699">
        <v>1651.0930000000001</v>
      </c>
      <c r="L1699">
        <v>1545.134</v>
      </c>
      <c r="M1699">
        <v>1836.8230000000001</v>
      </c>
      <c r="N1699">
        <v>1975.171</v>
      </c>
      <c r="O1699">
        <v>2006.8579999999999</v>
      </c>
      <c r="P1699">
        <v>2038.454</v>
      </c>
      <c r="Q1699">
        <v>2090.7600000000002</v>
      </c>
      <c r="R1699">
        <v>2141.0300000000002</v>
      </c>
      <c r="S1699">
        <v>2188.41</v>
      </c>
      <c r="T1699">
        <v>2235.8040000000001</v>
      </c>
      <c r="U1699">
        <v>2278.1129999999998</v>
      </c>
      <c r="V1699">
        <v>2320.529</v>
      </c>
      <c r="W1699">
        <v>2363.0390000000002</v>
      </c>
      <c r="X1699">
        <v>2405.6320000000001</v>
      </c>
      <c r="Y1699">
        <v>2448.2950000000001</v>
      </c>
      <c r="Z1699">
        <v>2491.0169999999998</v>
      </c>
      <c r="AA1699">
        <v>2533.7860000000001</v>
      </c>
      <c r="AB1699">
        <v>2576.5909999999999</v>
      </c>
      <c r="AC1699">
        <v>2619.4189999999999</v>
      </c>
      <c r="AD1699">
        <v>2662.26</v>
      </c>
    </row>
    <row r="1700" spans="2:30" x14ac:dyDescent="0.25">
      <c r="B1700" t="s">
        <v>133</v>
      </c>
      <c r="C1700" t="s">
        <v>3261</v>
      </c>
      <c r="D1700" t="s">
        <v>5118</v>
      </c>
      <c r="E1700" t="s">
        <v>5119</v>
      </c>
      <c r="F1700" t="s">
        <v>7749</v>
      </c>
      <c r="G1700" t="s">
        <v>3890</v>
      </c>
      <c r="H1700" t="s">
        <v>109</v>
      </c>
      <c r="I1700" t="s">
        <v>108</v>
      </c>
      <c r="J1700">
        <v>1</v>
      </c>
      <c r="K1700">
        <v>42937.004999999997</v>
      </c>
      <c r="L1700">
        <v>39972.894</v>
      </c>
      <c r="M1700">
        <v>47161.006999999998</v>
      </c>
      <c r="N1700">
        <v>48233.921000000002</v>
      </c>
      <c r="O1700">
        <v>47663.53</v>
      </c>
      <c r="P1700">
        <v>47791.707000000002</v>
      </c>
      <c r="Q1700">
        <v>49275.875999999997</v>
      </c>
      <c r="R1700">
        <v>50896.870999999999</v>
      </c>
      <c r="S1700">
        <v>52355.53</v>
      </c>
      <c r="T1700">
        <v>53866.05</v>
      </c>
      <c r="U1700">
        <v>55465.29</v>
      </c>
      <c r="V1700">
        <v>57237.817999999999</v>
      </c>
      <c r="W1700">
        <v>59178.915000000001</v>
      </c>
      <c r="X1700">
        <v>61338.178999999996</v>
      </c>
      <c r="Y1700">
        <v>63721.038</v>
      </c>
      <c r="Z1700">
        <v>66384.278999999995</v>
      </c>
      <c r="AA1700">
        <v>69370.365999999995</v>
      </c>
      <c r="AB1700">
        <v>72742.676000000007</v>
      </c>
      <c r="AC1700">
        <v>76575.350000000006</v>
      </c>
      <c r="AD1700">
        <v>80433.002999999997</v>
      </c>
    </row>
    <row r="1701" spans="2:30" x14ac:dyDescent="0.25">
      <c r="B1701" t="s">
        <v>133</v>
      </c>
      <c r="C1701" t="s">
        <v>3261</v>
      </c>
      <c r="D1701" t="s">
        <v>5121</v>
      </c>
      <c r="E1701" t="s">
        <v>5122</v>
      </c>
      <c r="F1701" t="s">
        <v>7750</v>
      </c>
      <c r="G1701" t="s">
        <v>3890</v>
      </c>
      <c r="H1701" t="s">
        <v>109</v>
      </c>
      <c r="I1701" t="s">
        <v>108</v>
      </c>
      <c r="J1701">
        <v>1</v>
      </c>
      <c r="K1701">
        <v>7688.0550000000003</v>
      </c>
      <c r="L1701">
        <v>7382.1220000000003</v>
      </c>
      <c r="M1701">
        <v>7820.5169999999998</v>
      </c>
      <c r="N1701">
        <v>9963.2890000000007</v>
      </c>
      <c r="O1701">
        <v>9996.473</v>
      </c>
      <c r="P1701">
        <v>10040.493</v>
      </c>
      <c r="Q1701">
        <v>10104.35</v>
      </c>
      <c r="R1701">
        <v>10170.476000000001</v>
      </c>
      <c r="S1701">
        <v>10233.127</v>
      </c>
      <c r="T1701">
        <v>10301.992</v>
      </c>
      <c r="U1701">
        <v>10378.269</v>
      </c>
      <c r="V1701">
        <v>10461.94</v>
      </c>
      <c r="W1701">
        <v>10553.672</v>
      </c>
      <c r="X1701">
        <v>10653.630999999999</v>
      </c>
      <c r="Y1701">
        <v>10762.258</v>
      </c>
      <c r="Z1701">
        <v>10879.782999999999</v>
      </c>
      <c r="AA1701">
        <v>11006.638999999999</v>
      </c>
      <c r="AB1701">
        <v>11143.370999999999</v>
      </c>
      <c r="AC1701">
        <v>11290.245000000001</v>
      </c>
      <c r="AD1701">
        <v>11447.72</v>
      </c>
    </row>
    <row r="1702" spans="2:30" x14ac:dyDescent="0.25">
      <c r="B1702" t="s">
        <v>133</v>
      </c>
      <c r="C1702" t="s">
        <v>3261</v>
      </c>
      <c r="D1702" t="s">
        <v>5124</v>
      </c>
      <c r="E1702" t="s">
        <v>5125</v>
      </c>
      <c r="F1702" t="s">
        <v>7751</v>
      </c>
      <c r="G1702" t="s">
        <v>3890</v>
      </c>
      <c r="H1702" t="s">
        <v>109</v>
      </c>
      <c r="I1702" t="s">
        <v>108</v>
      </c>
      <c r="J1702">
        <v>1</v>
      </c>
      <c r="K1702">
        <v>7404.3140000000003</v>
      </c>
      <c r="L1702">
        <v>7147.93</v>
      </c>
      <c r="M1702">
        <v>7001.1750000000002</v>
      </c>
      <c r="N1702">
        <v>6753.6639999999998</v>
      </c>
      <c r="O1702">
        <v>6886.5370000000003</v>
      </c>
      <c r="P1702">
        <v>7548.8450000000003</v>
      </c>
      <c r="Q1702">
        <v>8264.5689999999995</v>
      </c>
      <c r="R1702">
        <v>9039.0759999999991</v>
      </c>
      <c r="S1702">
        <v>9962.8960000000006</v>
      </c>
      <c r="T1702">
        <v>11055</v>
      </c>
      <c r="U1702">
        <v>12234.907999999999</v>
      </c>
      <c r="V1702">
        <v>13496.285</v>
      </c>
      <c r="W1702">
        <v>14832.485000000001</v>
      </c>
      <c r="X1702">
        <v>16236.275</v>
      </c>
      <c r="Y1702">
        <v>17698.248</v>
      </c>
      <c r="Z1702">
        <v>19231.596000000001</v>
      </c>
      <c r="AA1702">
        <v>20833.882000000001</v>
      </c>
      <c r="AB1702">
        <v>22502.595000000001</v>
      </c>
      <c r="AC1702">
        <v>24236.026999999998</v>
      </c>
      <c r="AD1702">
        <v>26000.758999999998</v>
      </c>
    </row>
    <row r="1703" spans="2:30" x14ac:dyDescent="0.25">
      <c r="B1703" t="s">
        <v>133</v>
      </c>
      <c r="C1703" t="s">
        <v>3261</v>
      </c>
      <c r="D1703" t="s">
        <v>5127</v>
      </c>
      <c r="E1703" t="s">
        <v>5128</v>
      </c>
      <c r="F1703" t="s">
        <v>7752</v>
      </c>
      <c r="G1703" t="s">
        <v>3890</v>
      </c>
      <c r="H1703" t="s">
        <v>109</v>
      </c>
      <c r="I1703" t="s">
        <v>108</v>
      </c>
      <c r="J1703">
        <v>1</v>
      </c>
      <c r="K1703">
        <v>15214.834999999999</v>
      </c>
      <c r="L1703">
        <v>16168.272999999999</v>
      </c>
      <c r="M1703">
        <v>17468.254000000001</v>
      </c>
      <c r="N1703">
        <v>17210.601999999999</v>
      </c>
      <c r="O1703">
        <v>17931.196</v>
      </c>
      <c r="P1703">
        <v>19045.128000000001</v>
      </c>
      <c r="Q1703">
        <v>20275.214</v>
      </c>
      <c r="R1703">
        <v>21586.026999999998</v>
      </c>
      <c r="S1703">
        <v>23101.032999999999</v>
      </c>
      <c r="T1703">
        <v>24867.493999999999</v>
      </c>
      <c r="U1703">
        <v>26778.224999999999</v>
      </c>
      <c r="V1703">
        <v>28823.225999999999</v>
      </c>
      <c r="W1703">
        <v>30976.754000000001</v>
      </c>
      <c r="X1703">
        <v>33242.692000000003</v>
      </c>
      <c r="Y1703">
        <v>35613.048000000003</v>
      </c>
      <c r="Z1703">
        <v>38098.769</v>
      </c>
      <c r="AA1703">
        <v>40699.949999999997</v>
      </c>
      <c r="AB1703">
        <v>43420.855000000003</v>
      </c>
      <c r="AC1703">
        <v>46267.17</v>
      </c>
      <c r="AD1703">
        <v>49230.813000000002</v>
      </c>
    </row>
    <row r="1704" spans="2:30" x14ac:dyDescent="0.25">
      <c r="B1704" t="s">
        <v>133</v>
      </c>
      <c r="C1704" t="s">
        <v>3261</v>
      </c>
      <c r="D1704" t="s">
        <v>5130</v>
      </c>
      <c r="E1704" t="s">
        <v>5131</v>
      </c>
      <c r="F1704" t="s">
        <v>7753</v>
      </c>
      <c r="G1704" t="s">
        <v>3890</v>
      </c>
      <c r="H1704" t="s">
        <v>109</v>
      </c>
      <c r="I1704" t="s">
        <v>108</v>
      </c>
      <c r="J1704">
        <v>1</v>
      </c>
      <c r="K1704">
        <v>5389.2640000000001</v>
      </c>
      <c r="L1704">
        <v>6059.357</v>
      </c>
      <c r="M1704">
        <v>7304.8469999999998</v>
      </c>
      <c r="N1704">
        <v>7485.0290000000005</v>
      </c>
      <c r="O1704">
        <v>7660.826</v>
      </c>
      <c r="P1704">
        <v>7867.7740000000003</v>
      </c>
      <c r="Q1704">
        <v>8112.866</v>
      </c>
      <c r="R1704">
        <v>8347.6450000000004</v>
      </c>
      <c r="S1704">
        <v>8567.366</v>
      </c>
      <c r="T1704">
        <v>8788.9699999999993</v>
      </c>
      <c r="U1704">
        <v>9013.2360000000008</v>
      </c>
      <c r="V1704">
        <v>9240.1190000000006</v>
      </c>
      <c r="W1704">
        <v>9469.5740000000005</v>
      </c>
      <c r="X1704">
        <v>9701.5529999999999</v>
      </c>
      <c r="Y1704">
        <v>9936.0069999999996</v>
      </c>
      <c r="Z1704">
        <v>10172.888000000001</v>
      </c>
      <c r="AA1704">
        <v>10412.143</v>
      </c>
      <c r="AB1704">
        <v>10653.721</v>
      </c>
      <c r="AC1704">
        <v>10897.566999999999</v>
      </c>
      <c r="AD1704">
        <v>11143.626</v>
      </c>
    </row>
    <row r="1705" spans="2:30" x14ac:dyDescent="0.25">
      <c r="B1705" t="s">
        <v>133</v>
      </c>
      <c r="C1705" t="s">
        <v>3261</v>
      </c>
      <c r="D1705" t="s">
        <v>5133</v>
      </c>
      <c r="E1705" t="s">
        <v>5134</v>
      </c>
      <c r="F1705" t="s">
        <v>7754</v>
      </c>
      <c r="G1705" t="s">
        <v>3890</v>
      </c>
      <c r="H1705" t="s">
        <v>109</v>
      </c>
      <c r="I1705" t="s">
        <v>108</v>
      </c>
      <c r="J1705">
        <v>1</v>
      </c>
      <c r="K1705">
        <v>659.322</v>
      </c>
      <c r="L1705">
        <v>771.90700000000004</v>
      </c>
      <c r="M1705">
        <v>857.73800000000006</v>
      </c>
      <c r="N1705">
        <v>889.11699999999996</v>
      </c>
      <c r="O1705">
        <v>920.298</v>
      </c>
      <c r="P1705">
        <v>957.94299999999998</v>
      </c>
      <c r="Q1705">
        <v>1003.823</v>
      </c>
      <c r="R1705">
        <v>1048.83</v>
      </c>
      <c r="S1705">
        <v>1091.8589999999999</v>
      </c>
      <c r="T1705">
        <v>1136.079</v>
      </c>
      <c r="U1705">
        <v>1181.4929999999999</v>
      </c>
      <c r="V1705">
        <v>1228.1030000000001</v>
      </c>
      <c r="W1705">
        <v>1275.9059999999999</v>
      </c>
      <c r="X1705">
        <v>1324.8989999999999</v>
      </c>
      <c r="Y1705">
        <v>1375.079</v>
      </c>
      <c r="Z1705">
        <v>1426.4359999999999</v>
      </c>
      <c r="AA1705">
        <v>1478.963</v>
      </c>
      <c r="AB1705">
        <v>1532.6469999999999</v>
      </c>
      <c r="AC1705">
        <v>1587.4749999999999</v>
      </c>
      <c r="AD1705">
        <v>1643.43</v>
      </c>
    </row>
    <row r="1706" spans="2:30" x14ac:dyDescent="0.25">
      <c r="B1706" t="s">
        <v>133</v>
      </c>
      <c r="C1706" t="s">
        <v>3261</v>
      </c>
      <c r="D1706" t="s">
        <v>5136</v>
      </c>
      <c r="E1706" t="s">
        <v>5137</v>
      </c>
      <c r="F1706" t="s">
        <v>7755</v>
      </c>
      <c r="G1706" t="s">
        <v>3890</v>
      </c>
      <c r="H1706" t="s">
        <v>109</v>
      </c>
      <c r="I1706" t="s">
        <v>108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2:30" x14ac:dyDescent="0.25">
      <c r="B1707" t="s">
        <v>133</v>
      </c>
      <c r="C1707" t="s">
        <v>3261</v>
      </c>
      <c r="D1707" t="s">
        <v>5139</v>
      </c>
      <c r="E1707" t="s">
        <v>5140</v>
      </c>
      <c r="F1707" t="s">
        <v>7756</v>
      </c>
      <c r="G1707" t="s">
        <v>3890</v>
      </c>
      <c r="H1707" t="s">
        <v>109</v>
      </c>
      <c r="I1707" t="s">
        <v>108</v>
      </c>
      <c r="J1707">
        <v>1</v>
      </c>
      <c r="K1707">
        <v>2179.63</v>
      </c>
      <c r="L1707">
        <v>2350.8629999999998</v>
      </c>
      <c r="M1707">
        <v>2312.4969999999998</v>
      </c>
      <c r="N1707">
        <v>3841.2840000000001</v>
      </c>
      <c r="O1707">
        <v>5513.2820000000002</v>
      </c>
      <c r="P1707">
        <v>6135.44</v>
      </c>
      <c r="Q1707">
        <v>6446.7960000000003</v>
      </c>
      <c r="R1707">
        <v>6884.393</v>
      </c>
      <c r="S1707">
        <v>7417.6629999999996</v>
      </c>
      <c r="T1707">
        <v>7976.4889999999996</v>
      </c>
      <c r="U1707">
        <v>8549.81</v>
      </c>
      <c r="V1707">
        <v>9142.8109999999997</v>
      </c>
      <c r="W1707">
        <v>9776.9889999999996</v>
      </c>
      <c r="X1707">
        <v>10463.136</v>
      </c>
      <c r="Y1707">
        <v>11218.773999999999</v>
      </c>
      <c r="Z1707">
        <v>12053.789000000001</v>
      </c>
      <c r="AA1707">
        <v>12988.088</v>
      </c>
      <c r="AB1707">
        <v>14041.853999999999</v>
      </c>
      <c r="AC1707">
        <v>15221.414000000001</v>
      </c>
      <c r="AD1707">
        <v>16656.702000000001</v>
      </c>
    </row>
    <row r="1708" spans="2:30" x14ac:dyDescent="0.25">
      <c r="B1708" t="s">
        <v>133</v>
      </c>
      <c r="C1708" t="s">
        <v>3261</v>
      </c>
      <c r="D1708" t="s">
        <v>5142</v>
      </c>
      <c r="E1708" t="s">
        <v>5143</v>
      </c>
      <c r="F1708" t="s">
        <v>7757</v>
      </c>
      <c r="G1708" t="s">
        <v>3890</v>
      </c>
      <c r="H1708" t="s">
        <v>109</v>
      </c>
      <c r="I1708" t="s">
        <v>108</v>
      </c>
      <c r="J1708">
        <v>1</v>
      </c>
      <c r="K1708">
        <v>1529.27</v>
      </c>
      <c r="L1708">
        <v>1206.73</v>
      </c>
      <c r="M1708">
        <v>1313.405</v>
      </c>
      <c r="N1708">
        <v>1308.827</v>
      </c>
      <c r="O1708">
        <v>1304.2660000000001</v>
      </c>
      <c r="P1708">
        <v>1299.72</v>
      </c>
      <c r="Q1708">
        <v>1295.19</v>
      </c>
      <c r="R1708">
        <v>1290.6759999999999</v>
      </c>
      <c r="S1708">
        <v>1286.1780000000001</v>
      </c>
      <c r="T1708">
        <v>1281.6949999999999</v>
      </c>
      <c r="U1708">
        <v>1277.2280000000001</v>
      </c>
      <c r="V1708">
        <v>1272.777</v>
      </c>
      <c r="W1708">
        <v>1268.3409999999999</v>
      </c>
      <c r="X1708">
        <v>1263.921</v>
      </c>
      <c r="Y1708">
        <v>1259.5160000000001</v>
      </c>
      <c r="Z1708">
        <v>1255.126</v>
      </c>
      <c r="AA1708">
        <v>1250.752</v>
      </c>
      <c r="AB1708">
        <v>1246.393</v>
      </c>
      <c r="AC1708">
        <v>1242.049</v>
      </c>
      <c r="AD1708">
        <v>1237.72</v>
      </c>
    </row>
    <row r="1709" spans="2:30" x14ac:dyDescent="0.25">
      <c r="B1709" t="s">
        <v>133</v>
      </c>
      <c r="C1709" t="s">
        <v>3261</v>
      </c>
      <c r="D1709" t="s">
        <v>5145</v>
      </c>
      <c r="E1709" t="s">
        <v>5146</v>
      </c>
      <c r="F1709" t="s">
        <v>7758</v>
      </c>
      <c r="G1709" t="s">
        <v>3890</v>
      </c>
      <c r="H1709" t="s">
        <v>109</v>
      </c>
      <c r="I1709" t="s">
        <v>108</v>
      </c>
      <c r="J1709">
        <v>2</v>
      </c>
      <c r="K1709">
        <v>84652.786999999997</v>
      </c>
      <c r="L1709">
        <v>82605.210000000006</v>
      </c>
      <c r="M1709">
        <v>93076.263000000006</v>
      </c>
      <c r="N1709">
        <v>97660.903999999995</v>
      </c>
      <c r="O1709">
        <v>99883.266000000003</v>
      </c>
      <c r="P1709">
        <v>102725.504</v>
      </c>
      <c r="Q1709">
        <v>106869.443</v>
      </c>
      <c r="R1709">
        <v>108766.12</v>
      </c>
      <c r="S1709">
        <v>111691.69</v>
      </c>
      <c r="T1709">
        <v>114980.408</v>
      </c>
      <c r="U1709">
        <v>118955.39</v>
      </c>
      <c r="V1709">
        <v>123327.90399999999</v>
      </c>
      <c r="W1709">
        <v>128195.109</v>
      </c>
      <c r="X1709">
        <v>133540.011</v>
      </c>
      <c r="Y1709">
        <v>139390.41399999999</v>
      </c>
      <c r="Z1709">
        <v>145817.46799999999</v>
      </c>
      <c r="AA1709">
        <v>152873.87899999999</v>
      </c>
      <c r="AB1709">
        <v>160614.446</v>
      </c>
      <c r="AC1709">
        <v>169060.166</v>
      </c>
      <c r="AD1709">
        <v>177973.516</v>
      </c>
    </row>
    <row r="1710" spans="2:30" x14ac:dyDescent="0.25">
      <c r="B1710" t="s">
        <v>133</v>
      </c>
      <c r="C1710" t="s">
        <v>3261</v>
      </c>
      <c r="D1710" t="s">
        <v>5148</v>
      </c>
      <c r="E1710" t="s">
        <v>5149</v>
      </c>
      <c r="F1710" t="s">
        <v>7759</v>
      </c>
      <c r="G1710" t="s">
        <v>3890</v>
      </c>
      <c r="H1710" t="s">
        <v>109</v>
      </c>
      <c r="I1710" t="s">
        <v>108</v>
      </c>
      <c r="J1710">
        <v>2</v>
      </c>
      <c r="K1710">
        <v>1651.0930000000001</v>
      </c>
      <c r="L1710">
        <v>1545.134</v>
      </c>
      <c r="M1710">
        <v>1836.8230000000001</v>
      </c>
      <c r="N1710">
        <v>1975.171</v>
      </c>
      <c r="O1710">
        <v>2006.8579999999999</v>
      </c>
      <c r="P1710">
        <v>2038.454</v>
      </c>
      <c r="Q1710">
        <v>2090.7600000000002</v>
      </c>
      <c r="R1710">
        <v>2141.1260000000002</v>
      </c>
      <c r="S1710">
        <v>2188.5329999999999</v>
      </c>
      <c r="T1710">
        <v>2235.7559999999999</v>
      </c>
      <c r="U1710">
        <v>2277.7240000000002</v>
      </c>
      <c r="V1710">
        <v>2319.6509999999998</v>
      </c>
      <c r="W1710">
        <v>2361.8919999999998</v>
      </c>
      <c r="X1710">
        <v>2404.6570000000002</v>
      </c>
      <c r="Y1710">
        <v>2448.1979999999999</v>
      </c>
      <c r="Z1710">
        <v>2492.8670000000002</v>
      </c>
      <c r="AA1710">
        <v>2538.98</v>
      </c>
      <c r="AB1710">
        <v>2586.692</v>
      </c>
      <c r="AC1710">
        <v>2636.0540000000001</v>
      </c>
      <c r="AD1710">
        <v>2686.86</v>
      </c>
    </row>
    <row r="1711" spans="2:30" x14ac:dyDescent="0.25">
      <c r="B1711" t="s">
        <v>133</v>
      </c>
      <c r="C1711" t="s">
        <v>3261</v>
      </c>
      <c r="D1711" t="s">
        <v>5151</v>
      </c>
      <c r="E1711" t="s">
        <v>5152</v>
      </c>
      <c r="F1711" t="s">
        <v>7760</v>
      </c>
      <c r="G1711" t="s">
        <v>3890</v>
      </c>
      <c r="H1711" t="s">
        <v>109</v>
      </c>
      <c r="I1711" t="s">
        <v>108</v>
      </c>
      <c r="J1711">
        <v>2</v>
      </c>
      <c r="K1711">
        <v>42937.004999999997</v>
      </c>
      <c r="L1711">
        <v>39972.894</v>
      </c>
      <c r="M1711">
        <v>47161.006999999998</v>
      </c>
      <c r="N1711">
        <v>48233.921000000002</v>
      </c>
      <c r="O1711">
        <v>47663.53</v>
      </c>
      <c r="P1711">
        <v>47791.707000000002</v>
      </c>
      <c r="Q1711">
        <v>49275.875999999997</v>
      </c>
      <c r="R1711">
        <v>48256.6</v>
      </c>
      <c r="S1711">
        <v>48406.421000000002</v>
      </c>
      <c r="T1711">
        <v>48436.042000000001</v>
      </c>
      <c r="U1711">
        <v>48921.063000000002</v>
      </c>
      <c r="V1711">
        <v>49477.904999999999</v>
      </c>
      <c r="W1711">
        <v>50261.587</v>
      </c>
      <c r="X1711">
        <v>51232.991999999998</v>
      </c>
      <c r="Y1711">
        <v>52428.18</v>
      </c>
      <c r="Z1711">
        <v>53876.076999999997</v>
      </c>
      <c r="AA1711">
        <v>55611.207999999999</v>
      </c>
      <c r="AB1711">
        <v>57667.065999999999</v>
      </c>
      <c r="AC1711">
        <v>60034.118000000002</v>
      </c>
      <c r="AD1711">
        <v>62508.51</v>
      </c>
    </row>
    <row r="1712" spans="2:30" x14ac:dyDescent="0.25">
      <c r="B1712" t="s">
        <v>133</v>
      </c>
      <c r="C1712" t="s">
        <v>3261</v>
      </c>
      <c r="D1712" t="s">
        <v>5154</v>
      </c>
      <c r="E1712" t="s">
        <v>5155</v>
      </c>
      <c r="F1712" t="s">
        <v>7761</v>
      </c>
      <c r="G1712" t="s">
        <v>3890</v>
      </c>
      <c r="H1712" t="s">
        <v>109</v>
      </c>
      <c r="I1712" t="s">
        <v>108</v>
      </c>
      <c r="J1712">
        <v>2</v>
      </c>
      <c r="K1712">
        <v>7688.0550000000003</v>
      </c>
      <c r="L1712">
        <v>7382.1220000000003</v>
      </c>
      <c r="M1712">
        <v>7820.5169999999998</v>
      </c>
      <c r="N1712">
        <v>9963.2890000000007</v>
      </c>
      <c r="O1712">
        <v>9996.473</v>
      </c>
      <c r="P1712">
        <v>10040.493</v>
      </c>
      <c r="Q1712">
        <v>10104.35</v>
      </c>
      <c r="R1712">
        <v>10170.844999999999</v>
      </c>
      <c r="S1712">
        <v>10210.246999999999</v>
      </c>
      <c r="T1712">
        <v>10257.066000000001</v>
      </c>
      <c r="U1712">
        <v>10309.558000000001</v>
      </c>
      <c r="V1712">
        <v>10371.459000000001</v>
      </c>
      <c r="W1712" s="130">
        <v>10442.575999999999</v>
      </c>
      <c r="X1712" s="130">
        <v>10524.306</v>
      </c>
      <c r="Y1712" s="130">
        <v>10617.615</v>
      </c>
      <c r="Z1712" s="130">
        <v>10724.308999999999</v>
      </c>
      <c r="AA1712" s="130">
        <v>10846.119000000001</v>
      </c>
      <c r="AB1712" s="130">
        <v>10984.284</v>
      </c>
      <c r="AC1712" s="130">
        <v>11139.424000000001</v>
      </c>
      <c r="AD1712" s="130">
        <v>11311.023999999999</v>
      </c>
    </row>
    <row r="1713" spans="2:30" x14ac:dyDescent="0.25">
      <c r="B1713" t="s">
        <v>133</v>
      </c>
      <c r="C1713" t="s">
        <v>3261</v>
      </c>
      <c r="D1713" t="s">
        <v>5157</v>
      </c>
      <c r="E1713" t="s">
        <v>5158</v>
      </c>
      <c r="F1713" t="s">
        <v>7762</v>
      </c>
      <c r="G1713" t="s">
        <v>3890</v>
      </c>
      <c r="H1713" t="s">
        <v>109</v>
      </c>
      <c r="I1713" t="s">
        <v>108</v>
      </c>
      <c r="J1713">
        <v>2</v>
      </c>
      <c r="K1713">
        <v>7404.3140000000003</v>
      </c>
      <c r="L1713">
        <v>7147.93</v>
      </c>
      <c r="M1713">
        <v>7001.1750000000002</v>
      </c>
      <c r="N1713">
        <v>6753.6639999999998</v>
      </c>
      <c r="O1713">
        <v>6886.5370000000003</v>
      </c>
      <c r="P1713">
        <v>7548.8450000000003</v>
      </c>
      <c r="Q1713">
        <v>8264.5689999999995</v>
      </c>
      <c r="R1713">
        <v>9039.0779999999995</v>
      </c>
      <c r="S1713">
        <v>9963.2430000000004</v>
      </c>
      <c r="T1713">
        <v>11056.718999999999</v>
      </c>
      <c r="U1713">
        <v>12240.299000000001</v>
      </c>
      <c r="V1713">
        <v>13509.203</v>
      </c>
      <c r="W1713" s="130">
        <v>14858.413</v>
      </c>
      <c r="X1713" s="130">
        <v>16282.18</v>
      </c>
      <c r="Y1713" s="130">
        <v>17772.594000000001</v>
      </c>
      <c r="Z1713" s="130">
        <v>19343.823</v>
      </c>
      <c r="AA1713" s="130">
        <v>20995.041000000001</v>
      </c>
      <c r="AB1713" s="130">
        <v>22725.261999999999</v>
      </c>
      <c r="AC1713" s="130">
        <v>24534.062000000002</v>
      </c>
      <c r="AD1713" s="130">
        <v>26387.567999999999</v>
      </c>
    </row>
    <row r="1714" spans="2:30" x14ac:dyDescent="0.25">
      <c r="B1714" t="s">
        <v>133</v>
      </c>
      <c r="C1714" t="s">
        <v>3261</v>
      </c>
      <c r="D1714" t="s">
        <v>5160</v>
      </c>
      <c r="E1714" t="s">
        <v>5161</v>
      </c>
      <c r="F1714" t="s">
        <v>7763</v>
      </c>
      <c r="G1714" t="s">
        <v>3890</v>
      </c>
      <c r="H1714" t="s">
        <v>109</v>
      </c>
      <c r="I1714" t="s">
        <v>108</v>
      </c>
      <c r="J1714">
        <v>2</v>
      </c>
      <c r="K1714">
        <v>15214.834999999999</v>
      </c>
      <c r="L1714">
        <v>16168.272999999999</v>
      </c>
      <c r="M1714">
        <v>17468.254000000001</v>
      </c>
      <c r="N1714">
        <v>17210.601999999999</v>
      </c>
      <c r="O1714">
        <v>17931.196</v>
      </c>
      <c r="P1714">
        <v>19045.128000000001</v>
      </c>
      <c r="Q1714">
        <v>20275.214</v>
      </c>
      <c r="R1714">
        <v>21586.353999999999</v>
      </c>
      <c r="S1714">
        <v>23101.736000000001</v>
      </c>
      <c r="T1714">
        <v>24868.873</v>
      </c>
      <c r="U1714">
        <v>26782.701000000001</v>
      </c>
      <c r="V1714">
        <v>28837.154999999999</v>
      </c>
      <c r="W1714">
        <v>31014.969000000001</v>
      </c>
      <c r="X1714">
        <v>33324.341999999997</v>
      </c>
      <c r="Y1714">
        <v>35762.463000000003</v>
      </c>
      <c r="Z1714">
        <v>38345.279000000002</v>
      </c>
      <c r="AA1714">
        <v>41077.374000000003</v>
      </c>
      <c r="AB1714">
        <v>43966.169000000002</v>
      </c>
      <c r="AC1714">
        <v>47020.101999999999</v>
      </c>
      <c r="AD1714">
        <v>50231.18</v>
      </c>
    </row>
    <row r="1715" spans="2:30" x14ac:dyDescent="0.25">
      <c r="B1715" t="s">
        <v>133</v>
      </c>
      <c r="C1715" t="s">
        <v>3261</v>
      </c>
      <c r="D1715" t="s">
        <v>5163</v>
      </c>
      <c r="E1715" t="s">
        <v>5164</v>
      </c>
      <c r="F1715" t="s">
        <v>7764</v>
      </c>
      <c r="G1715" t="s">
        <v>3890</v>
      </c>
      <c r="H1715" t="s">
        <v>109</v>
      </c>
      <c r="I1715" t="s">
        <v>108</v>
      </c>
      <c r="J1715">
        <v>2</v>
      </c>
      <c r="K1715">
        <v>5389.2640000000001</v>
      </c>
      <c r="L1715">
        <v>6059.357</v>
      </c>
      <c r="M1715">
        <v>7304.8469999999998</v>
      </c>
      <c r="N1715">
        <v>7485.0290000000005</v>
      </c>
      <c r="O1715">
        <v>7660.826</v>
      </c>
      <c r="P1715">
        <v>7867.7740000000003</v>
      </c>
      <c r="Q1715">
        <v>8112.866</v>
      </c>
      <c r="R1715">
        <v>8348.1219999999994</v>
      </c>
      <c r="S1715">
        <v>8567.9850000000006</v>
      </c>
      <c r="T1715">
        <v>8788.7279999999992</v>
      </c>
      <c r="U1715">
        <v>9011.2659999999996</v>
      </c>
      <c r="V1715">
        <v>9235.6370000000006</v>
      </c>
      <c r="W1715">
        <v>9463.67</v>
      </c>
      <c r="X1715">
        <v>9696.4979999999996</v>
      </c>
      <c r="Y1715">
        <v>9935.5</v>
      </c>
      <c r="Z1715">
        <v>10182.641</v>
      </c>
      <c r="AA1715">
        <v>10439.74</v>
      </c>
      <c r="AB1715">
        <v>10707.822</v>
      </c>
      <c r="AC1715">
        <v>10987.382</v>
      </c>
      <c r="AD1715">
        <v>11277.522000000001</v>
      </c>
    </row>
    <row r="1716" spans="2:30" x14ac:dyDescent="0.25">
      <c r="B1716" t="s">
        <v>133</v>
      </c>
      <c r="C1716" t="s">
        <v>3261</v>
      </c>
      <c r="D1716" t="s">
        <v>5166</v>
      </c>
      <c r="E1716" t="s">
        <v>5167</v>
      </c>
      <c r="F1716" t="s">
        <v>7765</v>
      </c>
      <c r="G1716" t="s">
        <v>3890</v>
      </c>
      <c r="H1716" t="s">
        <v>109</v>
      </c>
      <c r="I1716" t="s">
        <v>108</v>
      </c>
      <c r="J1716">
        <v>2</v>
      </c>
      <c r="K1716">
        <v>659.322</v>
      </c>
      <c r="L1716">
        <v>771.90700000000004</v>
      </c>
      <c r="M1716">
        <v>857.73800000000006</v>
      </c>
      <c r="N1716">
        <v>889.11699999999996</v>
      </c>
      <c r="O1716">
        <v>920.298</v>
      </c>
      <c r="P1716">
        <v>957.94299999999998</v>
      </c>
      <c r="Q1716">
        <v>1003.823</v>
      </c>
      <c r="R1716">
        <v>1048.925</v>
      </c>
      <c r="S1716">
        <v>1091.9870000000001</v>
      </c>
      <c r="T1716">
        <v>1136.029</v>
      </c>
      <c r="U1716">
        <v>1181.0719999999999</v>
      </c>
      <c r="V1716">
        <v>1227.1289999999999</v>
      </c>
      <c r="W1716">
        <v>1274.6010000000001</v>
      </c>
      <c r="X1716">
        <v>1323.761</v>
      </c>
      <c r="Y1716">
        <v>1374.952</v>
      </c>
      <c r="Z1716">
        <v>1428.665</v>
      </c>
      <c r="AA1716">
        <v>1485.3820000000001</v>
      </c>
      <c r="AB1716">
        <v>1545.423</v>
      </c>
      <c r="AC1716">
        <v>1608.9929999999999</v>
      </c>
      <c r="AD1716">
        <v>1675.963</v>
      </c>
    </row>
    <row r="1717" spans="2:30" x14ac:dyDescent="0.25">
      <c r="B1717" t="s">
        <v>133</v>
      </c>
      <c r="C1717" t="s">
        <v>3261</v>
      </c>
      <c r="D1717" t="s">
        <v>5169</v>
      </c>
      <c r="E1717" t="s">
        <v>5170</v>
      </c>
      <c r="F1717" t="s">
        <v>7766</v>
      </c>
      <c r="G1717" t="s">
        <v>3890</v>
      </c>
      <c r="H1717" t="s">
        <v>109</v>
      </c>
      <c r="I1717" t="s">
        <v>108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</row>
    <row r="1718" spans="2:30" x14ac:dyDescent="0.25">
      <c r="B1718" t="s">
        <v>133</v>
      </c>
      <c r="C1718" t="s">
        <v>3261</v>
      </c>
      <c r="D1718" t="s">
        <v>5172</v>
      </c>
      <c r="E1718" t="s">
        <v>5173</v>
      </c>
      <c r="F1718" t="s">
        <v>7767</v>
      </c>
      <c r="G1718" t="s">
        <v>3890</v>
      </c>
      <c r="H1718" t="s">
        <v>109</v>
      </c>
      <c r="I1718" t="s">
        <v>108</v>
      </c>
      <c r="J1718">
        <v>2</v>
      </c>
      <c r="K1718">
        <v>2179.63</v>
      </c>
      <c r="L1718">
        <v>2350.8629999999998</v>
      </c>
      <c r="M1718">
        <v>2312.4969999999998</v>
      </c>
      <c r="N1718">
        <v>3841.2840000000001</v>
      </c>
      <c r="O1718">
        <v>5513.2820000000002</v>
      </c>
      <c r="P1718">
        <v>6135.44</v>
      </c>
      <c r="Q1718">
        <v>6446.7960000000003</v>
      </c>
      <c r="R1718">
        <v>6884.393</v>
      </c>
      <c r="S1718">
        <v>6875.3620000000001</v>
      </c>
      <c r="T1718">
        <v>6919.4989999999998</v>
      </c>
      <c r="U1718">
        <v>6954.4780000000001</v>
      </c>
      <c r="V1718">
        <v>7076.9870000000001</v>
      </c>
      <c r="W1718">
        <v>7249.06</v>
      </c>
      <c r="X1718">
        <v>7487.3549999999996</v>
      </c>
      <c r="Y1718">
        <v>7791.3969999999999</v>
      </c>
      <c r="Z1718">
        <v>8168.6819999999998</v>
      </c>
      <c r="AA1718">
        <v>8629.2839999999997</v>
      </c>
      <c r="AB1718">
        <v>9185.3340000000007</v>
      </c>
      <c r="AC1718">
        <v>9857.982</v>
      </c>
      <c r="AD1718">
        <v>10657.169</v>
      </c>
    </row>
    <row r="1719" spans="2:30" x14ac:dyDescent="0.25">
      <c r="B1719" t="s">
        <v>133</v>
      </c>
      <c r="C1719" t="s">
        <v>3261</v>
      </c>
      <c r="D1719" t="s">
        <v>5175</v>
      </c>
      <c r="E1719" t="s">
        <v>5176</v>
      </c>
      <c r="F1719" t="s">
        <v>7768</v>
      </c>
      <c r="G1719" t="s">
        <v>3890</v>
      </c>
      <c r="H1719" t="s">
        <v>109</v>
      </c>
      <c r="I1719" t="s">
        <v>108</v>
      </c>
      <c r="J1719">
        <v>2</v>
      </c>
      <c r="K1719">
        <v>1529.27</v>
      </c>
      <c r="L1719">
        <v>1206.73</v>
      </c>
      <c r="M1719">
        <v>1313.405</v>
      </c>
      <c r="N1719">
        <v>1308.827</v>
      </c>
      <c r="O1719">
        <v>1304.2660000000001</v>
      </c>
      <c r="P1719">
        <v>1299.72</v>
      </c>
      <c r="Q1719">
        <v>1295.19</v>
      </c>
      <c r="R1719">
        <v>1290.6759999999999</v>
      </c>
      <c r="S1719">
        <v>1286.1780000000001</v>
      </c>
      <c r="T1719">
        <v>1281.6949999999999</v>
      </c>
      <c r="U1719">
        <v>1277.2280000000001</v>
      </c>
      <c r="V1719">
        <v>1272.777</v>
      </c>
      <c r="W1719">
        <v>1268.3409999999999</v>
      </c>
      <c r="X1719">
        <v>1263.921</v>
      </c>
      <c r="Y1719">
        <v>1259.5160000000001</v>
      </c>
      <c r="Z1719">
        <v>1255.126</v>
      </c>
      <c r="AA1719">
        <v>1250.752</v>
      </c>
      <c r="AB1719">
        <v>1246.393</v>
      </c>
      <c r="AC1719">
        <v>1242.049</v>
      </c>
      <c r="AD1719">
        <v>1237.72</v>
      </c>
    </row>
    <row r="1720" spans="2:30" x14ac:dyDescent="0.25">
      <c r="B1720" t="s">
        <v>133</v>
      </c>
      <c r="C1720" t="s">
        <v>3261</v>
      </c>
      <c r="D1720" t="s">
        <v>5178</v>
      </c>
      <c r="E1720" t="s">
        <v>5116</v>
      </c>
      <c r="F1720" t="s">
        <v>7748</v>
      </c>
      <c r="G1720" t="s">
        <v>3890</v>
      </c>
      <c r="H1720" t="s">
        <v>109</v>
      </c>
      <c r="I1720" t="s">
        <v>108</v>
      </c>
      <c r="J1720">
        <v>1</v>
      </c>
      <c r="K1720">
        <v>1651.0930000000001</v>
      </c>
      <c r="L1720">
        <v>1545.134</v>
      </c>
      <c r="M1720">
        <v>1836.8230000000001</v>
      </c>
      <c r="N1720">
        <v>1975.171</v>
      </c>
      <c r="O1720">
        <v>2006.8579999999999</v>
      </c>
      <c r="P1720">
        <v>2038.454</v>
      </c>
      <c r="Q1720">
        <v>2090.7600000000002</v>
      </c>
      <c r="R1720">
        <v>2141.0300000000002</v>
      </c>
      <c r="S1720">
        <v>2188.41</v>
      </c>
      <c r="T1720">
        <v>2235.8040000000001</v>
      </c>
      <c r="U1720">
        <v>2278.1129999999998</v>
      </c>
      <c r="V1720">
        <v>2320.529</v>
      </c>
      <c r="W1720">
        <v>2363.0390000000002</v>
      </c>
      <c r="X1720">
        <v>2405.6320000000001</v>
      </c>
      <c r="Y1720">
        <v>2448.2950000000001</v>
      </c>
      <c r="Z1720">
        <v>2491.0169999999998</v>
      </c>
      <c r="AA1720">
        <v>2533.7860000000001</v>
      </c>
      <c r="AB1720">
        <v>2576.5909999999999</v>
      </c>
      <c r="AC1720">
        <v>2619.4189999999999</v>
      </c>
      <c r="AD1720">
        <v>2662.26</v>
      </c>
    </row>
    <row r="1721" spans="2:30" x14ac:dyDescent="0.25">
      <c r="B1721" t="s">
        <v>133</v>
      </c>
      <c r="C1721" t="s">
        <v>3261</v>
      </c>
      <c r="D1721" t="s">
        <v>5179</v>
      </c>
      <c r="E1721" t="s">
        <v>5180</v>
      </c>
      <c r="F1721" t="s">
        <v>7769</v>
      </c>
      <c r="G1721" t="s">
        <v>3890</v>
      </c>
      <c r="H1721" t="s">
        <v>109</v>
      </c>
      <c r="I1721" t="s">
        <v>108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2:30" x14ac:dyDescent="0.25">
      <c r="B1722" t="s">
        <v>133</v>
      </c>
      <c r="C1722" t="s">
        <v>3261</v>
      </c>
      <c r="D1722" t="s">
        <v>5182</v>
      </c>
      <c r="E1722" t="s">
        <v>5183</v>
      </c>
      <c r="F1722" t="s">
        <v>7770</v>
      </c>
      <c r="G1722" t="s">
        <v>3890</v>
      </c>
      <c r="H1722" t="s">
        <v>109</v>
      </c>
      <c r="I1722" t="s">
        <v>108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2:30" x14ac:dyDescent="0.25">
      <c r="B1723" t="s">
        <v>133</v>
      </c>
      <c r="C1723" t="s">
        <v>3261</v>
      </c>
      <c r="D1723" t="s">
        <v>5185</v>
      </c>
      <c r="E1723" t="s">
        <v>5186</v>
      </c>
      <c r="F1723" t="s">
        <v>7771</v>
      </c>
      <c r="G1723" t="s">
        <v>3890</v>
      </c>
      <c r="H1723" t="s">
        <v>109</v>
      </c>
      <c r="I1723" t="s">
        <v>108</v>
      </c>
      <c r="J1723">
        <v>1</v>
      </c>
      <c r="K1723">
        <v>1.6379999999999999</v>
      </c>
      <c r="L1723">
        <v>1.6379999999999999</v>
      </c>
      <c r="M1723">
        <v>1.8740000000000001</v>
      </c>
      <c r="N1723">
        <v>1.978</v>
      </c>
      <c r="O1723">
        <v>1.994</v>
      </c>
      <c r="P1723">
        <v>2.008</v>
      </c>
      <c r="Q1723">
        <v>2.0369999999999999</v>
      </c>
      <c r="R1723">
        <v>2.0640000000000001</v>
      </c>
      <c r="S1723">
        <v>2.09</v>
      </c>
      <c r="T1723">
        <v>2.1150000000000002</v>
      </c>
      <c r="U1723">
        <v>2.1360000000000001</v>
      </c>
      <c r="V1723">
        <v>2.157</v>
      </c>
      <c r="W1723">
        <v>2.177</v>
      </c>
      <c r="X1723">
        <v>2.198</v>
      </c>
      <c r="Y1723">
        <v>2.218</v>
      </c>
      <c r="Z1723">
        <v>2.238</v>
      </c>
      <c r="AA1723">
        <v>2.258</v>
      </c>
      <c r="AB1723">
        <v>2.2770000000000001</v>
      </c>
      <c r="AC1723">
        <v>2.2970000000000002</v>
      </c>
      <c r="AD1723">
        <v>2.3159999999999998</v>
      </c>
    </row>
    <row r="1724" spans="2:30" x14ac:dyDescent="0.25">
      <c r="B1724" t="s">
        <v>133</v>
      </c>
      <c r="C1724" t="s">
        <v>3261</v>
      </c>
      <c r="D1724" t="s">
        <v>5188</v>
      </c>
      <c r="E1724" t="s">
        <v>5189</v>
      </c>
      <c r="F1724" t="s">
        <v>7772</v>
      </c>
      <c r="G1724" t="s">
        <v>3890</v>
      </c>
      <c r="H1724" t="s">
        <v>109</v>
      </c>
      <c r="I1724" t="s">
        <v>108</v>
      </c>
      <c r="J1724">
        <v>1</v>
      </c>
      <c r="K1724">
        <v>1649.4549999999999</v>
      </c>
      <c r="L1724">
        <v>1543.4960000000001</v>
      </c>
      <c r="M1724">
        <v>1834.9490000000001</v>
      </c>
      <c r="N1724">
        <v>1973.192</v>
      </c>
      <c r="O1724">
        <v>2004.864</v>
      </c>
      <c r="P1724">
        <v>2036.4459999999999</v>
      </c>
      <c r="Q1724">
        <v>2088.723</v>
      </c>
      <c r="R1724">
        <v>2138.9659999999999</v>
      </c>
      <c r="S1724">
        <v>2186.3200000000002</v>
      </c>
      <c r="T1724">
        <v>2233.6889999999999</v>
      </c>
      <c r="U1724">
        <v>2275.9769999999999</v>
      </c>
      <c r="V1724">
        <v>2318.3719999999998</v>
      </c>
      <c r="W1724">
        <v>2360.8620000000001</v>
      </c>
      <c r="X1724">
        <v>2403.4340000000002</v>
      </c>
      <c r="Y1724">
        <v>2446.0770000000002</v>
      </c>
      <c r="Z1724">
        <v>2488.779</v>
      </c>
      <c r="AA1724">
        <v>2531.529</v>
      </c>
      <c r="AB1724">
        <v>2574.3130000000001</v>
      </c>
      <c r="AC1724">
        <v>2617.1219999999998</v>
      </c>
      <c r="AD1724">
        <v>2659.944</v>
      </c>
    </row>
    <row r="1725" spans="2:30" x14ac:dyDescent="0.25">
      <c r="B1725" t="s">
        <v>133</v>
      </c>
      <c r="C1725" t="s">
        <v>3261</v>
      </c>
      <c r="D1725" t="s">
        <v>5191</v>
      </c>
      <c r="E1725" t="s">
        <v>5192</v>
      </c>
      <c r="F1725" t="s">
        <v>7773</v>
      </c>
      <c r="G1725" t="s">
        <v>3890</v>
      </c>
      <c r="H1725" t="s">
        <v>109</v>
      </c>
      <c r="I1725" t="s">
        <v>108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2:30" x14ac:dyDescent="0.25">
      <c r="B1726" t="s">
        <v>133</v>
      </c>
      <c r="C1726" t="s">
        <v>3261</v>
      </c>
      <c r="D1726" t="s">
        <v>5194</v>
      </c>
      <c r="E1726" t="s">
        <v>5119</v>
      </c>
      <c r="F1726" t="s">
        <v>7749</v>
      </c>
      <c r="G1726" t="s">
        <v>3890</v>
      </c>
      <c r="H1726" t="s">
        <v>109</v>
      </c>
      <c r="I1726" t="s">
        <v>108</v>
      </c>
      <c r="J1726">
        <v>1</v>
      </c>
      <c r="K1726">
        <v>42937.004999999997</v>
      </c>
      <c r="L1726">
        <v>39972.894</v>
      </c>
      <c r="M1726">
        <v>47161.006999999998</v>
      </c>
      <c r="N1726">
        <v>48233.921000000002</v>
      </c>
      <c r="O1726">
        <v>47663.53</v>
      </c>
      <c r="P1726">
        <v>47791.707000000002</v>
      </c>
      <c r="Q1726">
        <v>49275.875999999997</v>
      </c>
      <c r="R1726">
        <v>50896.870999999999</v>
      </c>
      <c r="S1726">
        <v>52355.53</v>
      </c>
      <c r="T1726">
        <v>53866.05</v>
      </c>
      <c r="U1726">
        <v>55465.29</v>
      </c>
      <c r="V1726">
        <v>57237.817999999999</v>
      </c>
      <c r="W1726">
        <v>59178.915000000001</v>
      </c>
      <c r="X1726">
        <v>61338.178999999996</v>
      </c>
      <c r="Y1726">
        <v>63721.038</v>
      </c>
      <c r="Z1726">
        <v>66384.278999999995</v>
      </c>
      <c r="AA1726">
        <v>69370.365999999995</v>
      </c>
      <c r="AB1726">
        <v>72742.676000000007</v>
      </c>
      <c r="AC1726">
        <v>76575.350000000006</v>
      </c>
      <c r="AD1726">
        <v>80433.002999999997</v>
      </c>
    </row>
    <row r="1727" spans="2:30" x14ac:dyDescent="0.25">
      <c r="B1727" t="s">
        <v>133</v>
      </c>
      <c r="C1727" t="s">
        <v>3261</v>
      </c>
      <c r="D1727" t="s">
        <v>5195</v>
      </c>
      <c r="E1727" t="s">
        <v>5196</v>
      </c>
      <c r="F1727" t="s">
        <v>7774</v>
      </c>
      <c r="G1727" t="s">
        <v>3890</v>
      </c>
      <c r="H1727" t="s">
        <v>109</v>
      </c>
      <c r="I1727" t="s">
        <v>108</v>
      </c>
      <c r="J1727">
        <v>1</v>
      </c>
      <c r="K1727">
        <v>29443.696</v>
      </c>
      <c r="L1727">
        <v>28005.871999999999</v>
      </c>
      <c r="M1727">
        <v>33519.074999999997</v>
      </c>
      <c r="N1727">
        <v>34176.673000000003</v>
      </c>
      <c r="O1727">
        <v>33170.572999999997</v>
      </c>
      <c r="P1727">
        <v>32743.955000000002</v>
      </c>
      <c r="Q1727">
        <v>33565.813999999998</v>
      </c>
      <c r="R1727">
        <v>34538.724000000002</v>
      </c>
      <c r="S1727">
        <v>35371.07</v>
      </c>
      <c r="T1727">
        <v>36232.254000000001</v>
      </c>
      <c r="U1727">
        <v>37162.347000000002</v>
      </c>
      <c r="V1727">
        <v>38246.281000000003</v>
      </c>
      <c r="W1727">
        <v>39479.815999999999</v>
      </c>
      <c r="X1727">
        <v>40913.029000000002</v>
      </c>
      <c r="Y1727">
        <v>42552.000999999997</v>
      </c>
      <c r="Z1727">
        <v>44452.589</v>
      </c>
      <c r="AA1727">
        <v>46657.432000000001</v>
      </c>
      <c r="AB1727">
        <v>49230.095999999998</v>
      </c>
      <c r="AC1727">
        <v>52244.862000000001</v>
      </c>
      <c r="AD1727">
        <v>55268.678</v>
      </c>
    </row>
    <row r="1728" spans="2:30" x14ac:dyDescent="0.25">
      <c r="B1728" t="s">
        <v>133</v>
      </c>
      <c r="C1728" t="s">
        <v>3261</v>
      </c>
      <c r="D1728" t="s">
        <v>5198</v>
      </c>
      <c r="E1728" t="s">
        <v>5199</v>
      </c>
      <c r="F1728" t="s">
        <v>7775</v>
      </c>
      <c r="G1728" t="s">
        <v>3890</v>
      </c>
      <c r="H1728" t="s">
        <v>109</v>
      </c>
      <c r="I1728" t="s">
        <v>108</v>
      </c>
      <c r="J1728">
        <v>1</v>
      </c>
      <c r="K1728">
        <v>495.238</v>
      </c>
      <c r="L1728">
        <v>484.52</v>
      </c>
      <c r="M1728">
        <v>472.24900000000002</v>
      </c>
      <c r="N1728">
        <v>454.66399999999999</v>
      </c>
      <c r="O1728">
        <v>463.9</v>
      </c>
      <c r="P1728">
        <v>509.44099999999997</v>
      </c>
      <c r="Q1728">
        <v>559.21799999999996</v>
      </c>
      <c r="R1728">
        <v>613.43499999999995</v>
      </c>
      <c r="S1728">
        <v>678.10400000000004</v>
      </c>
      <c r="T1728">
        <v>754.60400000000004</v>
      </c>
      <c r="U1728">
        <v>837.58299999999997</v>
      </c>
      <c r="V1728">
        <v>926.67499999999995</v>
      </c>
      <c r="W1728">
        <v>1021.415</v>
      </c>
      <c r="X1728" s="169">
        <v>1121.3409999999999</v>
      </c>
      <c r="Y1728" s="169">
        <v>1225.8330000000001</v>
      </c>
      <c r="Z1728" s="169">
        <v>1335.86</v>
      </c>
      <c r="AA1728" s="169">
        <v>1451.3019999999999</v>
      </c>
      <c r="AB1728" s="169">
        <v>1572.0329999999999</v>
      </c>
      <c r="AC1728" s="169">
        <v>1697.9860000000001</v>
      </c>
      <c r="AD1728" s="169">
        <v>1826.9159999999999</v>
      </c>
    </row>
    <row r="1729" spans="2:30" x14ac:dyDescent="0.25">
      <c r="B1729" t="s">
        <v>133</v>
      </c>
      <c r="C1729" t="s">
        <v>3261</v>
      </c>
      <c r="D1729" t="s">
        <v>5201</v>
      </c>
      <c r="E1729" t="s">
        <v>5202</v>
      </c>
      <c r="F1729" t="s">
        <v>7776</v>
      </c>
      <c r="G1729" t="s">
        <v>3890</v>
      </c>
      <c r="H1729" t="s">
        <v>109</v>
      </c>
      <c r="I1729" t="s">
        <v>108</v>
      </c>
      <c r="J1729">
        <v>1</v>
      </c>
      <c r="K1729">
        <v>1921.182</v>
      </c>
      <c r="L1729">
        <v>1978.2729999999999</v>
      </c>
      <c r="M1729">
        <v>2706.33</v>
      </c>
      <c r="N1729">
        <v>2725.7469999999998</v>
      </c>
      <c r="O1729">
        <v>2743.748</v>
      </c>
      <c r="P1729">
        <v>2766.3090000000002</v>
      </c>
      <c r="Q1729">
        <v>2794.2820000000002</v>
      </c>
      <c r="R1729">
        <v>2819.5949999999998</v>
      </c>
      <c r="S1729">
        <v>2841.6509999999998</v>
      </c>
      <c r="T1729">
        <v>2863.2159999999999</v>
      </c>
      <c r="U1729">
        <v>2884.4180000000001</v>
      </c>
      <c r="V1729">
        <v>2905.2550000000001</v>
      </c>
      <c r="W1729">
        <v>2925.7260000000001</v>
      </c>
      <c r="X1729" s="169">
        <v>2945.8290000000002</v>
      </c>
      <c r="Y1729" s="169">
        <v>2965.5630000000001</v>
      </c>
      <c r="Z1729" s="169">
        <v>2984.9279999999999</v>
      </c>
      <c r="AA1729" s="169">
        <v>3003.922</v>
      </c>
      <c r="AB1729" s="169">
        <v>3022.5450000000001</v>
      </c>
      <c r="AC1729" s="169">
        <v>3040.7950000000001</v>
      </c>
      <c r="AD1729" s="169">
        <v>3058.674</v>
      </c>
    </row>
    <row r="1730" spans="2:30" x14ac:dyDescent="0.25">
      <c r="B1730" t="s">
        <v>133</v>
      </c>
      <c r="C1730" t="s">
        <v>3261</v>
      </c>
      <c r="D1730" t="s">
        <v>5204</v>
      </c>
      <c r="E1730" t="s">
        <v>5205</v>
      </c>
      <c r="F1730" t="s">
        <v>7777</v>
      </c>
      <c r="G1730" t="s">
        <v>3890</v>
      </c>
      <c r="H1730" t="s">
        <v>109</v>
      </c>
      <c r="I1730" t="s">
        <v>108</v>
      </c>
      <c r="J1730">
        <v>1</v>
      </c>
      <c r="K1730">
        <v>11076.89</v>
      </c>
      <c r="L1730">
        <v>9504.23</v>
      </c>
      <c r="M1730">
        <v>10463.352999999999</v>
      </c>
      <c r="N1730">
        <v>10876.838</v>
      </c>
      <c r="O1730">
        <v>11285.308000000001</v>
      </c>
      <c r="P1730">
        <v>11772.002</v>
      </c>
      <c r="Q1730">
        <v>12356.561</v>
      </c>
      <c r="R1730">
        <v>12925.117</v>
      </c>
      <c r="S1730">
        <v>13464.705</v>
      </c>
      <c r="T1730">
        <v>14015.976000000001</v>
      </c>
      <c r="U1730">
        <v>14580.942999999999</v>
      </c>
      <c r="V1730">
        <v>15159.606</v>
      </c>
      <c r="W1730">
        <v>15751.958000000001</v>
      </c>
      <c r="X1730">
        <v>16357.98</v>
      </c>
      <c r="Y1730">
        <v>16977.641</v>
      </c>
      <c r="Z1730">
        <v>17610.901000000002</v>
      </c>
      <c r="AA1730">
        <v>18257.708999999999</v>
      </c>
      <c r="AB1730">
        <v>18918.002</v>
      </c>
      <c r="AC1730">
        <v>19591.705999999998</v>
      </c>
      <c r="AD1730">
        <v>20278.735000000001</v>
      </c>
    </row>
    <row r="1731" spans="2:30" x14ac:dyDescent="0.25">
      <c r="B1731" t="s">
        <v>133</v>
      </c>
      <c r="C1731" t="s">
        <v>3261</v>
      </c>
      <c r="D1731" t="s">
        <v>5207</v>
      </c>
      <c r="E1731" t="s">
        <v>5208</v>
      </c>
      <c r="F1731" t="s">
        <v>7778</v>
      </c>
      <c r="G1731" t="s">
        <v>3890</v>
      </c>
      <c r="H1731" t="s">
        <v>109</v>
      </c>
      <c r="I1731" t="s">
        <v>108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spans="2:30" x14ac:dyDescent="0.25">
      <c r="B1732" t="s">
        <v>133</v>
      </c>
      <c r="C1732" t="s">
        <v>3261</v>
      </c>
      <c r="D1732" t="s">
        <v>5210</v>
      </c>
      <c r="E1732" t="s">
        <v>5125</v>
      </c>
      <c r="F1732" t="s">
        <v>7751</v>
      </c>
      <c r="G1732" t="s">
        <v>3890</v>
      </c>
      <c r="H1732" t="s">
        <v>109</v>
      </c>
      <c r="I1732" t="s">
        <v>108</v>
      </c>
      <c r="J1732">
        <v>1</v>
      </c>
      <c r="K1732">
        <v>7404.3140000000003</v>
      </c>
      <c r="L1732">
        <v>7147.93</v>
      </c>
      <c r="M1732">
        <v>7001.1750000000002</v>
      </c>
      <c r="N1732">
        <v>6753.6639999999998</v>
      </c>
      <c r="O1732">
        <v>6886.5370000000003</v>
      </c>
      <c r="P1732">
        <v>7548.8450000000003</v>
      </c>
      <c r="Q1732">
        <v>8264.5689999999995</v>
      </c>
      <c r="R1732">
        <v>9039.0759999999991</v>
      </c>
      <c r="S1732">
        <v>9962.8960000000006</v>
      </c>
      <c r="T1732">
        <v>11055</v>
      </c>
      <c r="U1732">
        <v>12234.907999999999</v>
      </c>
      <c r="V1732">
        <v>13496.285</v>
      </c>
      <c r="W1732">
        <v>14832.485000000001</v>
      </c>
      <c r="X1732">
        <v>16236.275</v>
      </c>
      <c r="Y1732">
        <v>17698.248</v>
      </c>
      <c r="Z1732">
        <v>19231.596000000001</v>
      </c>
      <c r="AA1732">
        <v>20833.882000000001</v>
      </c>
      <c r="AB1732">
        <v>22502.595000000001</v>
      </c>
      <c r="AC1732">
        <v>24236.026999999998</v>
      </c>
      <c r="AD1732">
        <v>26000.758999999998</v>
      </c>
    </row>
    <row r="1733" spans="2:30" x14ac:dyDescent="0.25">
      <c r="B1733" t="s">
        <v>133</v>
      </c>
      <c r="C1733" t="s">
        <v>3261</v>
      </c>
      <c r="D1733" t="s">
        <v>5211</v>
      </c>
      <c r="E1733" t="s">
        <v>5212</v>
      </c>
      <c r="F1733" t="s">
        <v>7779</v>
      </c>
      <c r="G1733" t="s">
        <v>3890</v>
      </c>
      <c r="H1733" t="s">
        <v>109</v>
      </c>
      <c r="I1733" t="s">
        <v>108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spans="2:30" x14ac:dyDescent="0.25">
      <c r="B1734" t="s">
        <v>133</v>
      </c>
      <c r="C1734" t="s">
        <v>3261</v>
      </c>
      <c r="D1734" t="s">
        <v>5214</v>
      </c>
      <c r="E1734" t="s">
        <v>5215</v>
      </c>
      <c r="F1734" t="s">
        <v>7780</v>
      </c>
      <c r="G1734" t="s">
        <v>3890</v>
      </c>
      <c r="H1734" t="s">
        <v>109</v>
      </c>
      <c r="I1734" t="s">
        <v>108</v>
      </c>
      <c r="J1734">
        <v>1</v>
      </c>
      <c r="K1734">
        <v>7404.3140000000003</v>
      </c>
      <c r="L1734">
        <v>7147.93</v>
      </c>
      <c r="M1734">
        <v>7001.1750000000002</v>
      </c>
      <c r="N1734">
        <v>6753.6639999999998</v>
      </c>
      <c r="O1734">
        <v>6886.5370000000003</v>
      </c>
      <c r="P1734">
        <v>7548.8450000000003</v>
      </c>
      <c r="Q1734">
        <v>8264.5689999999995</v>
      </c>
      <c r="R1734">
        <v>9039.0759999999991</v>
      </c>
      <c r="S1734">
        <v>9962.8960000000006</v>
      </c>
      <c r="T1734">
        <v>11055</v>
      </c>
      <c r="U1734">
        <v>12234.907999999999</v>
      </c>
      <c r="V1734">
        <v>13496.285</v>
      </c>
      <c r="W1734">
        <v>14832.485000000001</v>
      </c>
      <c r="X1734">
        <v>16236.275</v>
      </c>
      <c r="Y1734">
        <v>17698.248</v>
      </c>
      <c r="Z1734">
        <v>19231.596000000001</v>
      </c>
      <c r="AA1734">
        <v>20833.882000000001</v>
      </c>
      <c r="AB1734">
        <v>22502.595000000001</v>
      </c>
      <c r="AC1734">
        <v>24236.026999999998</v>
      </c>
      <c r="AD1734">
        <v>26000.758999999998</v>
      </c>
    </row>
    <row r="1735" spans="2:30" x14ac:dyDescent="0.25">
      <c r="B1735" t="s">
        <v>133</v>
      </c>
      <c r="C1735" t="s">
        <v>3261</v>
      </c>
      <c r="D1735" t="s">
        <v>5217</v>
      </c>
      <c r="E1735" t="s">
        <v>5218</v>
      </c>
      <c r="F1735" t="s">
        <v>7781</v>
      </c>
      <c r="G1735" t="s">
        <v>3890</v>
      </c>
      <c r="H1735" t="s">
        <v>109</v>
      </c>
      <c r="I1735" t="s">
        <v>108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2:30" x14ac:dyDescent="0.25">
      <c r="B1736" t="s">
        <v>133</v>
      </c>
      <c r="C1736" t="s">
        <v>3261</v>
      </c>
      <c r="D1736" t="s">
        <v>5220</v>
      </c>
      <c r="E1736" t="s">
        <v>5221</v>
      </c>
      <c r="F1736" t="s">
        <v>7782</v>
      </c>
      <c r="G1736" t="s">
        <v>3890</v>
      </c>
      <c r="H1736" t="s">
        <v>109</v>
      </c>
      <c r="I1736" t="s">
        <v>108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2:30" x14ac:dyDescent="0.25">
      <c r="B1737" t="s">
        <v>133</v>
      </c>
      <c r="C1737" t="s">
        <v>3261</v>
      </c>
      <c r="D1737" t="s">
        <v>5223</v>
      </c>
      <c r="E1737" t="s">
        <v>5224</v>
      </c>
      <c r="F1737" t="s">
        <v>7783</v>
      </c>
      <c r="G1737" t="s">
        <v>3890</v>
      </c>
      <c r="H1737" t="s">
        <v>109</v>
      </c>
      <c r="I1737" t="s">
        <v>108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2:30" x14ac:dyDescent="0.25">
      <c r="B1738" t="s">
        <v>133</v>
      </c>
      <c r="C1738" t="s">
        <v>3261</v>
      </c>
      <c r="D1738" t="s">
        <v>5226</v>
      </c>
      <c r="E1738" t="s">
        <v>5128</v>
      </c>
      <c r="F1738" t="s">
        <v>7752</v>
      </c>
      <c r="G1738" t="s">
        <v>3890</v>
      </c>
      <c r="H1738" t="s">
        <v>109</v>
      </c>
      <c r="I1738" t="s">
        <v>108</v>
      </c>
      <c r="J1738">
        <v>1</v>
      </c>
      <c r="K1738">
        <v>15214.834999999999</v>
      </c>
      <c r="L1738">
        <v>16168.272999999999</v>
      </c>
      <c r="M1738">
        <v>17468.254000000001</v>
      </c>
      <c r="N1738">
        <v>17210.601999999999</v>
      </c>
      <c r="O1738">
        <v>17931.196</v>
      </c>
      <c r="P1738">
        <v>19045.128000000001</v>
      </c>
      <c r="Q1738">
        <v>20275.214</v>
      </c>
      <c r="R1738">
        <v>21586.026999999998</v>
      </c>
      <c r="S1738">
        <v>23101.032999999999</v>
      </c>
      <c r="T1738">
        <v>24867.493999999999</v>
      </c>
      <c r="U1738">
        <v>26778.224999999999</v>
      </c>
      <c r="V1738">
        <v>28823.225999999999</v>
      </c>
      <c r="W1738">
        <v>30976.754000000001</v>
      </c>
      <c r="X1738">
        <v>33242.692000000003</v>
      </c>
      <c r="Y1738">
        <v>35613.048000000003</v>
      </c>
      <c r="Z1738">
        <v>38098.769</v>
      </c>
      <c r="AA1738">
        <v>40699.949999999997</v>
      </c>
      <c r="AB1738">
        <v>43420.855000000003</v>
      </c>
      <c r="AC1738">
        <v>46267.17</v>
      </c>
      <c r="AD1738">
        <v>49230.813000000002</v>
      </c>
    </row>
    <row r="1739" spans="2:30" x14ac:dyDescent="0.25">
      <c r="B1739" t="s">
        <v>133</v>
      </c>
      <c r="C1739" t="s">
        <v>3261</v>
      </c>
      <c r="D1739" t="s">
        <v>5227</v>
      </c>
      <c r="E1739" t="s">
        <v>5228</v>
      </c>
      <c r="F1739" t="s">
        <v>7784</v>
      </c>
      <c r="G1739" t="s">
        <v>3890</v>
      </c>
      <c r="H1739" t="s">
        <v>109</v>
      </c>
      <c r="I1739" t="s">
        <v>108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2:30" x14ac:dyDescent="0.25">
      <c r="B1740" t="s">
        <v>133</v>
      </c>
      <c r="C1740" t="s">
        <v>3261</v>
      </c>
      <c r="D1740" t="s">
        <v>5230</v>
      </c>
      <c r="E1740" t="s">
        <v>5231</v>
      </c>
      <c r="F1740" t="s">
        <v>7785</v>
      </c>
      <c r="G1740" t="s">
        <v>3890</v>
      </c>
      <c r="H1740" t="s">
        <v>109</v>
      </c>
      <c r="I1740" t="s">
        <v>108</v>
      </c>
      <c r="J1740">
        <v>1</v>
      </c>
      <c r="K1740">
        <v>10010.589</v>
      </c>
      <c r="L1740">
        <v>9837.6170000000002</v>
      </c>
      <c r="M1740">
        <v>9543.0020000000004</v>
      </c>
      <c r="N1740">
        <v>9122.26</v>
      </c>
      <c r="O1740">
        <v>9684.2070000000003</v>
      </c>
      <c r="P1740">
        <v>10613.831</v>
      </c>
      <c r="Q1740">
        <v>11628.550999999999</v>
      </c>
      <c r="R1740">
        <v>12733.902</v>
      </c>
      <c r="S1740">
        <v>14057.061</v>
      </c>
      <c r="T1740">
        <v>15631.088</v>
      </c>
      <c r="U1740">
        <v>17348.161</v>
      </c>
      <c r="V1740">
        <v>19198.324000000001</v>
      </c>
      <c r="W1740">
        <v>21155.879000000001</v>
      </c>
      <c r="X1740">
        <v>23224.756000000001</v>
      </c>
      <c r="Y1740">
        <v>25397.007000000001</v>
      </c>
      <c r="Z1740">
        <v>27683.625</v>
      </c>
      <c r="AA1740">
        <v>30084.751</v>
      </c>
      <c r="AB1740">
        <v>32604.694</v>
      </c>
      <c r="AC1740">
        <v>35249.186000000002</v>
      </c>
      <c r="AD1740">
        <v>38010.19</v>
      </c>
    </row>
    <row r="1741" spans="2:30" x14ac:dyDescent="0.25">
      <c r="B1741" t="s">
        <v>133</v>
      </c>
      <c r="C1741" t="s">
        <v>3261</v>
      </c>
      <c r="D1741" t="s">
        <v>5233</v>
      </c>
      <c r="E1741" t="s">
        <v>5234</v>
      </c>
      <c r="F1741" t="s">
        <v>7786</v>
      </c>
      <c r="G1741" t="s">
        <v>3890</v>
      </c>
      <c r="H1741" t="s">
        <v>109</v>
      </c>
      <c r="I1741" t="s">
        <v>108</v>
      </c>
      <c r="J1741">
        <v>1</v>
      </c>
      <c r="K1741">
        <v>875.27200000000005</v>
      </c>
      <c r="L1741">
        <v>1064.7159999999999</v>
      </c>
      <c r="M1741">
        <v>1332.902</v>
      </c>
      <c r="N1741">
        <v>1360.3309999999999</v>
      </c>
      <c r="O1741">
        <v>1387.0129999999999</v>
      </c>
      <c r="P1741">
        <v>1418.011</v>
      </c>
      <c r="Q1741">
        <v>1454.232</v>
      </c>
      <c r="R1741">
        <v>1488.788</v>
      </c>
      <c r="S1741">
        <v>1521.0530000000001</v>
      </c>
      <c r="T1741">
        <v>1553.4179999999999</v>
      </c>
      <c r="U1741">
        <v>1585.9880000000001</v>
      </c>
      <c r="V1741">
        <v>1618.7570000000001</v>
      </c>
      <c r="W1741">
        <v>1651.7159999999999</v>
      </c>
      <c r="X1741">
        <v>1684.8589999999999</v>
      </c>
      <c r="Y1741">
        <v>1718.1769999999999</v>
      </c>
      <c r="Z1741">
        <v>1751.663</v>
      </c>
      <c r="AA1741">
        <v>1785.309</v>
      </c>
      <c r="AB1741">
        <v>1819.1079999999999</v>
      </c>
      <c r="AC1741">
        <v>1853.0509999999999</v>
      </c>
      <c r="AD1741">
        <v>1887.1320000000001</v>
      </c>
    </row>
    <row r="1742" spans="2:30" x14ac:dyDescent="0.25">
      <c r="B1742" t="s">
        <v>133</v>
      </c>
      <c r="C1742" t="s">
        <v>3261</v>
      </c>
      <c r="D1742" t="s">
        <v>5236</v>
      </c>
      <c r="E1742" t="s">
        <v>5237</v>
      </c>
      <c r="F1742" t="s">
        <v>7787</v>
      </c>
      <c r="G1742" t="s">
        <v>3890</v>
      </c>
      <c r="H1742" t="s">
        <v>109</v>
      </c>
      <c r="I1742" t="s">
        <v>108</v>
      </c>
      <c r="J1742">
        <v>1</v>
      </c>
      <c r="K1742">
        <v>4328.9740000000002</v>
      </c>
      <c r="L1742">
        <v>5265.94</v>
      </c>
      <c r="M1742">
        <v>6592.35</v>
      </c>
      <c r="N1742">
        <v>6728.01</v>
      </c>
      <c r="O1742">
        <v>6859.9750000000004</v>
      </c>
      <c r="P1742">
        <v>7013.2860000000001</v>
      </c>
      <c r="Q1742">
        <v>7192.4309999999996</v>
      </c>
      <c r="R1742">
        <v>7363.3370000000004</v>
      </c>
      <c r="S1742">
        <v>7522.9189999999999</v>
      </c>
      <c r="T1742">
        <v>7682.9880000000003</v>
      </c>
      <c r="U1742">
        <v>7844.076</v>
      </c>
      <c r="V1742">
        <v>8006.1459999999997</v>
      </c>
      <c r="W1742">
        <v>8169.1589999999997</v>
      </c>
      <c r="X1742">
        <v>8333.0769999999993</v>
      </c>
      <c r="Y1742">
        <v>8497.8639999999996</v>
      </c>
      <c r="Z1742">
        <v>8663.4809999999998</v>
      </c>
      <c r="AA1742">
        <v>8829.89</v>
      </c>
      <c r="AB1742">
        <v>8997.0540000000001</v>
      </c>
      <c r="AC1742">
        <v>9164.9339999999993</v>
      </c>
      <c r="AD1742">
        <v>9333.4920000000002</v>
      </c>
    </row>
    <row r="1743" spans="2:30" x14ac:dyDescent="0.25">
      <c r="B1743" t="s">
        <v>133</v>
      </c>
      <c r="C1743" t="s">
        <v>3261</v>
      </c>
      <c r="D1743" t="s">
        <v>5239</v>
      </c>
      <c r="E1743" t="s">
        <v>5240</v>
      </c>
      <c r="F1743" t="s">
        <v>7788</v>
      </c>
      <c r="G1743" t="s">
        <v>3890</v>
      </c>
      <c r="H1743" t="s">
        <v>109</v>
      </c>
      <c r="I1743" t="s">
        <v>108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2:30" x14ac:dyDescent="0.25">
      <c r="B1744" t="s">
        <v>133</v>
      </c>
      <c r="C1744" t="s">
        <v>3261</v>
      </c>
      <c r="D1744" t="s">
        <v>5242</v>
      </c>
      <c r="E1744" t="s">
        <v>5131</v>
      </c>
      <c r="F1744" t="s">
        <v>7753</v>
      </c>
      <c r="G1744" t="s">
        <v>3890</v>
      </c>
      <c r="H1744" t="s">
        <v>109</v>
      </c>
      <c r="I1744" t="s">
        <v>108</v>
      </c>
      <c r="J1744">
        <v>1</v>
      </c>
      <c r="K1744">
        <v>5389.2640000000001</v>
      </c>
      <c r="L1744">
        <v>6059.357</v>
      </c>
      <c r="M1744">
        <v>7304.8469999999998</v>
      </c>
      <c r="N1744">
        <v>7485.0290000000005</v>
      </c>
      <c r="O1744">
        <v>7660.826</v>
      </c>
      <c r="P1744">
        <v>7867.7740000000003</v>
      </c>
      <c r="Q1744">
        <v>8112.866</v>
      </c>
      <c r="R1744">
        <v>8347.6450000000004</v>
      </c>
      <c r="S1744">
        <v>8567.366</v>
      </c>
      <c r="T1744">
        <v>8788.9699999999993</v>
      </c>
      <c r="U1744">
        <v>9013.2360000000008</v>
      </c>
      <c r="V1744">
        <v>9240.1190000000006</v>
      </c>
      <c r="W1744">
        <v>9469.5740000000005</v>
      </c>
      <c r="X1744">
        <v>9701.5529999999999</v>
      </c>
      <c r="Y1744">
        <v>9936.0069999999996</v>
      </c>
      <c r="Z1744">
        <v>10172.888000000001</v>
      </c>
      <c r="AA1744">
        <v>10412.143</v>
      </c>
      <c r="AB1744">
        <v>10653.721</v>
      </c>
      <c r="AC1744">
        <v>10897.566999999999</v>
      </c>
      <c r="AD1744">
        <v>11143.626</v>
      </c>
    </row>
    <row r="1745" spans="2:30" x14ac:dyDescent="0.25">
      <c r="B1745" t="s">
        <v>133</v>
      </c>
      <c r="C1745" t="s">
        <v>3261</v>
      </c>
      <c r="D1745" t="s">
        <v>5243</v>
      </c>
      <c r="E1745" t="s">
        <v>5244</v>
      </c>
      <c r="F1745" t="s">
        <v>7789</v>
      </c>
      <c r="G1745" t="s">
        <v>3890</v>
      </c>
      <c r="H1745" t="s">
        <v>109</v>
      </c>
      <c r="I1745" t="s">
        <v>108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2:30" x14ac:dyDescent="0.25">
      <c r="B1746" t="s">
        <v>133</v>
      </c>
      <c r="C1746" t="s">
        <v>3261</v>
      </c>
      <c r="D1746" t="s">
        <v>5246</v>
      </c>
      <c r="E1746" t="s">
        <v>5247</v>
      </c>
      <c r="F1746" t="s">
        <v>7790</v>
      </c>
      <c r="G1746" t="s">
        <v>3890</v>
      </c>
      <c r="H1746" t="s">
        <v>109</v>
      </c>
      <c r="I1746" t="s">
        <v>108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2:30" x14ac:dyDescent="0.25">
      <c r="B1747" t="s">
        <v>133</v>
      </c>
      <c r="C1747" t="s">
        <v>3261</v>
      </c>
      <c r="D1747" t="s">
        <v>5249</v>
      </c>
      <c r="E1747" t="s">
        <v>5250</v>
      </c>
      <c r="F1747" t="s">
        <v>7791</v>
      </c>
      <c r="G1747" t="s">
        <v>3890</v>
      </c>
      <c r="H1747" t="s">
        <v>109</v>
      </c>
      <c r="I1747" t="s">
        <v>108</v>
      </c>
      <c r="J1747">
        <v>1</v>
      </c>
      <c r="K1747">
        <v>3107.4549999999999</v>
      </c>
      <c r="L1747">
        <v>3427.6979999999999</v>
      </c>
      <c r="M1747">
        <v>4102.9210000000003</v>
      </c>
      <c r="N1747">
        <v>4179.0079999999998</v>
      </c>
      <c r="O1747">
        <v>4252.4840000000004</v>
      </c>
      <c r="P1747">
        <v>4338.8559999999998</v>
      </c>
      <c r="Q1747">
        <v>4440.8180000000002</v>
      </c>
      <c r="R1747">
        <v>4537.2790000000005</v>
      </c>
      <c r="S1747">
        <v>4626.3739999999998</v>
      </c>
      <c r="T1747">
        <v>4715.3950000000004</v>
      </c>
      <c r="U1747">
        <v>4804.6670000000004</v>
      </c>
      <c r="V1747">
        <v>4894.165</v>
      </c>
      <c r="W1747">
        <v>4983.8620000000001</v>
      </c>
      <c r="X1747">
        <v>5073.7340000000004</v>
      </c>
      <c r="Y1747">
        <v>5163.7550000000001</v>
      </c>
      <c r="Z1747">
        <v>5253.9</v>
      </c>
      <c r="AA1747">
        <v>5344.1450000000004</v>
      </c>
      <c r="AB1747">
        <v>5434.4660000000003</v>
      </c>
      <c r="AC1747">
        <v>5524.8370000000004</v>
      </c>
      <c r="AD1747">
        <v>5615.2340000000004</v>
      </c>
    </row>
    <row r="1748" spans="2:30" x14ac:dyDescent="0.25">
      <c r="B1748" t="s">
        <v>133</v>
      </c>
      <c r="C1748" t="s">
        <v>3261</v>
      </c>
      <c r="D1748" t="s">
        <v>5252</v>
      </c>
      <c r="E1748" t="s">
        <v>5253</v>
      </c>
      <c r="F1748" t="s">
        <v>7792</v>
      </c>
      <c r="G1748" t="s">
        <v>3890</v>
      </c>
      <c r="H1748" t="s">
        <v>109</v>
      </c>
      <c r="I1748" t="s">
        <v>108</v>
      </c>
      <c r="J1748">
        <v>1</v>
      </c>
      <c r="K1748">
        <v>2281.8090000000002</v>
      </c>
      <c r="L1748">
        <v>2631.6590000000001</v>
      </c>
      <c r="M1748">
        <v>3201.9259999999999</v>
      </c>
      <c r="N1748">
        <v>3306.0210000000002</v>
      </c>
      <c r="O1748">
        <v>3408.3420000000001</v>
      </c>
      <c r="P1748">
        <v>3528.9180000000001</v>
      </c>
      <c r="Q1748">
        <v>3672.0479999999998</v>
      </c>
      <c r="R1748">
        <v>3810.3670000000002</v>
      </c>
      <c r="S1748">
        <v>3940.9920000000002</v>
      </c>
      <c r="T1748">
        <v>4073.5749999999998</v>
      </c>
      <c r="U1748">
        <v>4208.5680000000002</v>
      </c>
      <c r="V1748">
        <v>4345.9539999999997</v>
      </c>
      <c r="W1748">
        <v>4485.7120000000004</v>
      </c>
      <c r="X1748">
        <v>4627.8190000000004</v>
      </c>
      <c r="Y1748">
        <v>4772.2529999999997</v>
      </c>
      <c r="Z1748">
        <v>4918.9880000000003</v>
      </c>
      <c r="AA1748">
        <v>5067.9979999999996</v>
      </c>
      <c r="AB1748">
        <v>5219.2550000000001</v>
      </c>
      <c r="AC1748">
        <v>5372.73</v>
      </c>
      <c r="AD1748">
        <v>5528.3919999999998</v>
      </c>
    </row>
    <row r="1749" spans="2:30" x14ac:dyDescent="0.25">
      <c r="B1749" t="s">
        <v>133</v>
      </c>
      <c r="C1749" t="s">
        <v>3261</v>
      </c>
      <c r="D1749" t="s">
        <v>5255</v>
      </c>
      <c r="E1749" t="s">
        <v>5256</v>
      </c>
      <c r="F1749" t="s">
        <v>7793</v>
      </c>
      <c r="G1749" t="s">
        <v>3890</v>
      </c>
      <c r="H1749" t="s">
        <v>109</v>
      </c>
      <c r="I1749" t="s">
        <v>108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2:30" x14ac:dyDescent="0.25">
      <c r="B1750" t="s">
        <v>133</v>
      </c>
      <c r="C1750" t="s">
        <v>3261</v>
      </c>
      <c r="D1750" t="s">
        <v>5258</v>
      </c>
      <c r="E1750" t="s">
        <v>5134</v>
      </c>
      <c r="F1750" t="s">
        <v>7754</v>
      </c>
      <c r="G1750" t="s">
        <v>3890</v>
      </c>
      <c r="H1750" t="s">
        <v>109</v>
      </c>
      <c r="I1750" t="s">
        <v>108</v>
      </c>
      <c r="J1750">
        <v>1</v>
      </c>
      <c r="K1750">
        <v>659.322</v>
      </c>
      <c r="L1750">
        <v>771.90700000000004</v>
      </c>
      <c r="M1750">
        <v>857.73800000000006</v>
      </c>
      <c r="N1750">
        <v>889.11699999999996</v>
      </c>
      <c r="O1750">
        <v>920.298</v>
      </c>
      <c r="P1750">
        <v>957.94299999999998</v>
      </c>
      <c r="Q1750">
        <v>1003.823</v>
      </c>
      <c r="R1750">
        <v>1048.83</v>
      </c>
      <c r="S1750">
        <v>1091.8589999999999</v>
      </c>
      <c r="T1750">
        <v>1136.079</v>
      </c>
      <c r="U1750">
        <v>1181.4929999999999</v>
      </c>
      <c r="V1750">
        <v>1228.1030000000001</v>
      </c>
      <c r="W1750">
        <v>1275.9059999999999</v>
      </c>
      <c r="X1750">
        <v>1324.8989999999999</v>
      </c>
      <c r="Y1750">
        <v>1375.079</v>
      </c>
      <c r="Z1750">
        <v>1426.4359999999999</v>
      </c>
      <c r="AA1750">
        <v>1478.963</v>
      </c>
      <c r="AB1750">
        <v>1532.6469999999999</v>
      </c>
      <c r="AC1750">
        <v>1587.4749999999999</v>
      </c>
      <c r="AD1750">
        <v>1643.43</v>
      </c>
    </row>
    <row r="1751" spans="2:30" x14ac:dyDescent="0.25">
      <c r="B1751" t="s">
        <v>133</v>
      </c>
      <c r="C1751" t="s">
        <v>3261</v>
      </c>
      <c r="D1751" t="s">
        <v>5259</v>
      </c>
      <c r="E1751" t="s">
        <v>5260</v>
      </c>
      <c r="F1751" t="s">
        <v>7794</v>
      </c>
      <c r="G1751" t="s">
        <v>3890</v>
      </c>
      <c r="H1751" t="s">
        <v>109</v>
      </c>
      <c r="I1751" t="s">
        <v>108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2:30" x14ac:dyDescent="0.25">
      <c r="B1752" t="s">
        <v>133</v>
      </c>
      <c r="C1752" t="s">
        <v>3261</v>
      </c>
      <c r="D1752" t="s">
        <v>5262</v>
      </c>
      <c r="E1752" t="s">
        <v>5263</v>
      </c>
      <c r="F1752" t="s">
        <v>7795</v>
      </c>
      <c r="G1752" t="s">
        <v>3890</v>
      </c>
      <c r="H1752" t="s">
        <v>109</v>
      </c>
      <c r="I1752" t="s">
        <v>108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2:30" x14ac:dyDescent="0.25">
      <c r="B1753" t="s">
        <v>133</v>
      </c>
      <c r="C1753" t="s">
        <v>3261</v>
      </c>
      <c r="D1753" t="s">
        <v>5265</v>
      </c>
      <c r="E1753" t="s">
        <v>5266</v>
      </c>
      <c r="F1753" t="s">
        <v>7796</v>
      </c>
      <c r="G1753" t="s">
        <v>3890</v>
      </c>
      <c r="H1753" t="s">
        <v>109</v>
      </c>
      <c r="I1753" t="s">
        <v>108</v>
      </c>
      <c r="J1753">
        <v>1</v>
      </c>
      <c r="K1753">
        <v>3</v>
      </c>
      <c r="L1753">
        <v>3.181</v>
      </c>
      <c r="M1753">
        <v>3.6320000000000001</v>
      </c>
      <c r="N1753">
        <v>3.7050000000000001</v>
      </c>
      <c r="O1753">
        <v>3.7759999999999998</v>
      </c>
      <c r="P1753">
        <v>3.859</v>
      </c>
      <c r="Q1753">
        <v>3.9569999999999999</v>
      </c>
      <c r="R1753">
        <v>4.0510000000000002</v>
      </c>
      <c r="S1753">
        <v>4.1369999999999996</v>
      </c>
      <c r="T1753">
        <v>4.2240000000000002</v>
      </c>
      <c r="U1753">
        <v>4.3120000000000003</v>
      </c>
      <c r="V1753">
        <v>4.399</v>
      </c>
      <c r="W1753">
        <v>4.4880000000000004</v>
      </c>
      <c r="X1753">
        <v>4.5759999999999996</v>
      </c>
      <c r="Y1753">
        <v>4.665</v>
      </c>
      <c r="Z1753">
        <v>4.7549999999999999</v>
      </c>
      <c r="AA1753">
        <v>4.8449999999999998</v>
      </c>
      <c r="AB1753">
        <v>4.9349999999999996</v>
      </c>
      <c r="AC1753">
        <v>5.0259999999999998</v>
      </c>
      <c r="AD1753">
        <v>5.117</v>
      </c>
    </row>
    <row r="1754" spans="2:30" x14ac:dyDescent="0.25">
      <c r="B1754" t="s">
        <v>133</v>
      </c>
      <c r="C1754" t="s">
        <v>3261</v>
      </c>
      <c r="D1754" t="s">
        <v>5268</v>
      </c>
      <c r="E1754" t="s">
        <v>5269</v>
      </c>
      <c r="F1754" t="s">
        <v>7797</v>
      </c>
      <c r="G1754" t="s">
        <v>3890</v>
      </c>
      <c r="H1754" t="s">
        <v>109</v>
      </c>
      <c r="I1754" t="s">
        <v>108</v>
      </c>
      <c r="J1754">
        <v>1</v>
      </c>
      <c r="K1754">
        <v>4</v>
      </c>
      <c r="L1754">
        <v>4.3959999999999999</v>
      </c>
      <c r="M1754">
        <v>5.07</v>
      </c>
      <c r="N1754">
        <v>5.234</v>
      </c>
      <c r="O1754">
        <v>5.3959999999999999</v>
      </c>
      <c r="P1754">
        <v>5.5869999999999997</v>
      </c>
      <c r="Q1754">
        <v>5.8140000000000001</v>
      </c>
      <c r="R1754">
        <v>6.0330000000000004</v>
      </c>
      <c r="S1754">
        <v>6.24</v>
      </c>
      <c r="T1754">
        <v>6.45</v>
      </c>
      <c r="U1754">
        <v>6.6630000000000003</v>
      </c>
      <c r="V1754">
        <v>6.8810000000000002</v>
      </c>
      <c r="W1754">
        <v>7.1020000000000003</v>
      </c>
      <c r="X1754">
        <v>7.327</v>
      </c>
      <c r="Y1754">
        <v>7.556</v>
      </c>
      <c r="Z1754">
        <v>7.7880000000000003</v>
      </c>
      <c r="AA1754">
        <v>8.0239999999999991</v>
      </c>
      <c r="AB1754">
        <v>8.2629999999999999</v>
      </c>
      <c r="AC1754">
        <v>8.5060000000000002</v>
      </c>
      <c r="AD1754">
        <v>8.7530000000000001</v>
      </c>
    </row>
    <row r="1755" spans="2:30" x14ac:dyDescent="0.25">
      <c r="B1755" t="s">
        <v>133</v>
      </c>
      <c r="C1755" t="s">
        <v>3261</v>
      </c>
      <c r="D1755" t="s">
        <v>5271</v>
      </c>
      <c r="E1755" t="s">
        <v>5272</v>
      </c>
      <c r="F1755" t="s">
        <v>7798</v>
      </c>
      <c r="G1755" t="s">
        <v>3890</v>
      </c>
      <c r="H1755" t="s">
        <v>109</v>
      </c>
      <c r="I1755" t="s">
        <v>108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2:30" x14ac:dyDescent="0.25">
      <c r="B1756" t="s">
        <v>133</v>
      </c>
      <c r="C1756" t="s">
        <v>3261</v>
      </c>
      <c r="D1756" t="s">
        <v>5274</v>
      </c>
      <c r="E1756" t="s">
        <v>5122</v>
      </c>
      <c r="F1756" t="s">
        <v>7750</v>
      </c>
      <c r="G1756" t="s">
        <v>3890</v>
      </c>
      <c r="H1756" t="s">
        <v>109</v>
      </c>
      <c r="I1756" t="s">
        <v>108</v>
      </c>
      <c r="J1756">
        <v>1</v>
      </c>
      <c r="K1756">
        <v>7688.0550000000003</v>
      </c>
      <c r="L1756">
        <v>7382.1220000000003</v>
      </c>
      <c r="M1756">
        <v>7820.5169999999998</v>
      </c>
      <c r="N1756">
        <v>9963.2890000000007</v>
      </c>
      <c r="O1756">
        <v>9996.473</v>
      </c>
      <c r="P1756">
        <v>10040.493</v>
      </c>
      <c r="Q1756">
        <v>10104.35</v>
      </c>
      <c r="R1756">
        <v>10170.476000000001</v>
      </c>
      <c r="S1756">
        <v>10233.127</v>
      </c>
      <c r="T1756">
        <v>10301.992</v>
      </c>
      <c r="U1756">
        <v>10378.269</v>
      </c>
      <c r="V1756">
        <v>10461.94</v>
      </c>
      <c r="W1756">
        <v>10553.672</v>
      </c>
      <c r="X1756">
        <v>10653.630999999999</v>
      </c>
      <c r="Y1756">
        <v>10762.258</v>
      </c>
      <c r="Z1756">
        <v>10879.782999999999</v>
      </c>
      <c r="AA1756">
        <v>11006.638999999999</v>
      </c>
      <c r="AB1756">
        <v>11143.370999999999</v>
      </c>
      <c r="AC1756">
        <v>11290.245000000001</v>
      </c>
      <c r="AD1756">
        <v>11447.72</v>
      </c>
    </row>
    <row r="1757" spans="2:30" x14ac:dyDescent="0.25">
      <c r="B1757" t="s">
        <v>133</v>
      </c>
      <c r="C1757" t="s">
        <v>3261</v>
      </c>
      <c r="D1757" t="s">
        <v>5275</v>
      </c>
      <c r="E1757" t="s">
        <v>5276</v>
      </c>
      <c r="F1757" t="s">
        <v>7799</v>
      </c>
      <c r="G1757" t="s">
        <v>3890</v>
      </c>
      <c r="H1757" t="s">
        <v>109</v>
      </c>
      <c r="I1757" t="s">
        <v>108</v>
      </c>
      <c r="J1757">
        <v>1</v>
      </c>
      <c r="K1757">
        <v>4691.6719999999996</v>
      </c>
      <c r="L1757">
        <v>4566.808</v>
      </c>
      <c r="M1757">
        <v>4436.3280000000004</v>
      </c>
      <c r="N1757">
        <v>5363.9560000000001</v>
      </c>
      <c r="O1757">
        <v>5260.9070000000002</v>
      </c>
      <c r="P1757">
        <v>5144.1360000000004</v>
      </c>
      <c r="Q1757">
        <v>5016.8670000000002</v>
      </c>
      <c r="R1757">
        <v>4898.4859999999999</v>
      </c>
      <c r="S1757">
        <v>4787.1270000000004</v>
      </c>
      <c r="T1757">
        <v>4679.4560000000001</v>
      </c>
      <c r="U1757">
        <v>4576.0609999999997</v>
      </c>
      <c r="V1757">
        <v>4476.9549999999999</v>
      </c>
      <c r="W1757">
        <v>4382.8310000000001</v>
      </c>
      <c r="X1757">
        <v>4293.8890000000001</v>
      </c>
      <c r="Y1757">
        <v>4210.6049999999996</v>
      </c>
      <c r="Z1757">
        <v>4133.2449999999999</v>
      </c>
      <c r="AA1757">
        <v>4062.2779999999998</v>
      </c>
      <c r="AB1757">
        <v>3998.2890000000002</v>
      </c>
      <c r="AC1757">
        <v>3941.587</v>
      </c>
      <c r="AD1757">
        <v>3892.674</v>
      </c>
    </row>
    <row r="1758" spans="2:30" x14ac:dyDescent="0.25">
      <c r="B1758" t="s">
        <v>133</v>
      </c>
      <c r="C1758" t="s">
        <v>3261</v>
      </c>
      <c r="D1758" t="s">
        <v>5278</v>
      </c>
      <c r="E1758" t="s">
        <v>5279</v>
      </c>
      <c r="F1758" t="s">
        <v>7800</v>
      </c>
      <c r="G1758" t="s">
        <v>3890</v>
      </c>
      <c r="H1758" t="s">
        <v>109</v>
      </c>
      <c r="I1758" t="s">
        <v>108</v>
      </c>
      <c r="J1758">
        <v>1</v>
      </c>
      <c r="K1758">
        <v>271.34100000000001</v>
      </c>
      <c r="L1758">
        <v>251.108</v>
      </c>
      <c r="M1758">
        <v>298.85899999999998</v>
      </c>
      <c r="N1758">
        <v>395.57299999999998</v>
      </c>
      <c r="O1758">
        <v>406.19900000000001</v>
      </c>
      <c r="P1758">
        <v>418.90199999999999</v>
      </c>
      <c r="Q1758">
        <v>434.16399999999999</v>
      </c>
      <c r="R1758">
        <v>448.73200000000003</v>
      </c>
      <c r="S1758">
        <v>462.27499999999998</v>
      </c>
      <c r="T1758">
        <v>475.93200000000002</v>
      </c>
      <c r="U1758">
        <v>489.75400000000002</v>
      </c>
      <c r="V1758">
        <v>503.73700000000002</v>
      </c>
      <c r="W1758">
        <v>517.875</v>
      </c>
      <c r="X1758">
        <v>532.16300000000001</v>
      </c>
      <c r="Y1758">
        <v>546.59500000000003</v>
      </c>
      <c r="Z1758">
        <v>561.16800000000001</v>
      </c>
      <c r="AA1758">
        <v>575.875</v>
      </c>
      <c r="AB1758">
        <v>590.71100000000001</v>
      </c>
      <c r="AC1758">
        <v>605.66999999999996</v>
      </c>
      <c r="AD1758">
        <v>620.74699999999996</v>
      </c>
    </row>
    <row r="1759" spans="2:30" x14ac:dyDescent="0.25">
      <c r="B1759" t="s">
        <v>133</v>
      </c>
      <c r="C1759" t="s">
        <v>3261</v>
      </c>
      <c r="D1759" t="s">
        <v>5281</v>
      </c>
      <c r="E1759" t="s">
        <v>5282</v>
      </c>
      <c r="F1759" t="s">
        <v>7801</v>
      </c>
      <c r="G1759" t="s">
        <v>3890</v>
      </c>
      <c r="H1759" t="s">
        <v>109</v>
      </c>
      <c r="I1759" t="s">
        <v>108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2:30" x14ac:dyDescent="0.25">
      <c r="B1760" t="s">
        <v>133</v>
      </c>
      <c r="C1760" t="s">
        <v>3261</v>
      </c>
      <c r="D1760" t="s">
        <v>5284</v>
      </c>
      <c r="E1760" t="s">
        <v>5285</v>
      </c>
      <c r="F1760" t="s">
        <v>7802</v>
      </c>
      <c r="G1760" t="s">
        <v>3890</v>
      </c>
      <c r="H1760" t="s">
        <v>109</v>
      </c>
      <c r="I1760" t="s">
        <v>108</v>
      </c>
      <c r="J1760">
        <v>1</v>
      </c>
      <c r="K1760">
        <v>2631.7759999999998</v>
      </c>
      <c r="L1760">
        <v>2478.98</v>
      </c>
      <c r="M1760">
        <v>2984.6860000000001</v>
      </c>
      <c r="N1760">
        <v>4071.1979999999999</v>
      </c>
      <c r="O1760">
        <v>4197.2</v>
      </c>
      <c r="P1760">
        <v>4345.6840000000002</v>
      </c>
      <c r="Q1760">
        <v>4521.9409999999998</v>
      </c>
      <c r="R1760">
        <v>4692.2730000000001</v>
      </c>
      <c r="S1760">
        <v>4853.1319999999996</v>
      </c>
      <c r="T1760">
        <v>5016.4009999999998</v>
      </c>
      <c r="U1760">
        <v>5182.6390000000001</v>
      </c>
      <c r="V1760">
        <v>5351.8220000000001</v>
      </c>
      <c r="W1760">
        <v>5523.9269999999997</v>
      </c>
      <c r="X1760">
        <v>5698.9250000000002</v>
      </c>
      <c r="Y1760">
        <v>5876.7870000000003</v>
      </c>
      <c r="Z1760">
        <v>6057.4840000000004</v>
      </c>
      <c r="AA1760">
        <v>6240.982</v>
      </c>
      <c r="AB1760">
        <v>6427.2479999999996</v>
      </c>
      <c r="AC1760">
        <v>6616.2449999999999</v>
      </c>
      <c r="AD1760">
        <v>6807.9340000000002</v>
      </c>
    </row>
    <row r="1761" spans="2:30" x14ac:dyDescent="0.25">
      <c r="B1761" t="s">
        <v>133</v>
      </c>
      <c r="C1761" t="s">
        <v>3261</v>
      </c>
      <c r="D1761" t="s">
        <v>5287</v>
      </c>
      <c r="E1761" t="s">
        <v>5288</v>
      </c>
      <c r="F1761" t="s">
        <v>7803</v>
      </c>
      <c r="G1761" t="s">
        <v>3890</v>
      </c>
      <c r="H1761" t="s">
        <v>109</v>
      </c>
      <c r="I1761" t="s">
        <v>108</v>
      </c>
      <c r="J1761">
        <v>1</v>
      </c>
      <c r="K1761">
        <v>93.265000000000001</v>
      </c>
      <c r="L1761">
        <v>85.225999999999999</v>
      </c>
      <c r="M1761">
        <v>100.645</v>
      </c>
      <c r="N1761">
        <v>132.56200000000001</v>
      </c>
      <c r="O1761">
        <v>132.166</v>
      </c>
      <c r="P1761">
        <v>131.77099999999999</v>
      </c>
      <c r="Q1761">
        <v>131.37799999999999</v>
      </c>
      <c r="R1761">
        <v>130.98500000000001</v>
      </c>
      <c r="S1761">
        <v>130.59399999999999</v>
      </c>
      <c r="T1761">
        <v>130.203</v>
      </c>
      <c r="U1761">
        <v>129.81399999999999</v>
      </c>
      <c r="V1761">
        <v>129.42599999999999</v>
      </c>
      <c r="W1761">
        <v>129.04</v>
      </c>
      <c r="X1761">
        <v>128.654</v>
      </c>
      <c r="Y1761">
        <v>128.27000000000001</v>
      </c>
      <c r="Z1761">
        <v>127.886</v>
      </c>
      <c r="AA1761">
        <v>127.504</v>
      </c>
      <c r="AB1761">
        <v>127.123</v>
      </c>
      <c r="AC1761">
        <v>126.74299999999999</v>
      </c>
      <c r="AD1761">
        <v>126.36499999999999</v>
      </c>
    </row>
    <row r="1762" spans="2:30" x14ac:dyDescent="0.25">
      <c r="B1762" t="s">
        <v>133</v>
      </c>
      <c r="C1762" t="s">
        <v>3261</v>
      </c>
      <c r="D1762" t="s">
        <v>5290</v>
      </c>
      <c r="E1762" t="s">
        <v>5291</v>
      </c>
      <c r="F1762" t="s">
        <v>7804</v>
      </c>
      <c r="G1762" t="s">
        <v>3890</v>
      </c>
      <c r="H1762" t="s">
        <v>109</v>
      </c>
      <c r="I1762" t="s">
        <v>108</v>
      </c>
      <c r="J1762">
        <v>1</v>
      </c>
      <c r="K1762">
        <v>80943.887000000002</v>
      </c>
      <c r="L1762">
        <v>79047.616999999998</v>
      </c>
      <c r="M1762">
        <v>89450.361999999994</v>
      </c>
      <c r="N1762">
        <v>92510.793000000005</v>
      </c>
      <c r="O1762">
        <v>93065.717999999993</v>
      </c>
      <c r="P1762">
        <v>95290.343999999997</v>
      </c>
      <c r="Q1762">
        <v>99127.456999999995</v>
      </c>
      <c r="R1762">
        <v>103229.95600000001</v>
      </c>
      <c r="S1762">
        <v>107500.22100000001</v>
      </c>
      <c r="T1762">
        <v>112251.38800000001</v>
      </c>
      <c r="U1762">
        <v>117329.534</v>
      </c>
      <c r="V1762">
        <v>122808.019</v>
      </c>
      <c r="W1762">
        <v>128650.345</v>
      </c>
      <c r="X1762">
        <v>134902.85999999999</v>
      </c>
      <c r="Y1762">
        <v>141553.973</v>
      </c>
      <c r="Z1762">
        <v>148684.76800000001</v>
      </c>
      <c r="AA1762">
        <v>156335.72899999999</v>
      </c>
      <c r="AB1762">
        <v>164572.45699999999</v>
      </c>
      <c r="AC1762">
        <v>173473.253</v>
      </c>
      <c r="AD1762">
        <v>182561.61</v>
      </c>
    </row>
    <row r="1763" spans="2:30" x14ac:dyDescent="0.25">
      <c r="B1763" t="s">
        <v>133</v>
      </c>
      <c r="C1763" t="s">
        <v>3261</v>
      </c>
      <c r="D1763" t="s">
        <v>5293</v>
      </c>
      <c r="E1763" t="s">
        <v>5143</v>
      </c>
      <c r="F1763" t="s">
        <v>7757</v>
      </c>
      <c r="G1763" t="s">
        <v>3890</v>
      </c>
      <c r="H1763" t="s">
        <v>109</v>
      </c>
      <c r="I1763" t="s">
        <v>108</v>
      </c>
      <c r="J1763">
        <v>1</v>
      </c>
      <c r="K1763">
        <v>1529.27</v>
      </c>
      <c r="L1763">
        <v>1206.73</v>
      </c>
      <c r="M1763">
        <v>1313.405</v>
      </c>
      <c r="N1763">
        <v>1308.827</v>
      </c>
      <c r="O1763">
        <v>1304.2660000000001</v>
      </c>
      <c r="P1763">
        <v>1299.72</v>
      </c>
      <c r="Q1763">
        <v>1295.19</v>
      </c>
      <c r="R1763">
        <v>1290.6759999999999</v>
      </c>
      <c r="S1763">
        <v>1286.1780000000001</v>
      </c>
      <c r="T1763">
        <v>1281.6949999999999</v>
      </c>
      <c r="U1763">
        <v>1277.2280000000001</v>
      </c>
      <c r="V1763">
        <v>1272.777</v>
      </c>
      <c r="W1763">
        <v>1268.3409999999999</v>
      </c>
      <c r="X1763">
        <v>1263.921</v>
      </c>
      <c r="Y1763">
        <v>1259.5160000000001</v>
      </c>
      <c r="Z1763">
        <v>1255.126</v>
      </c>
      <c r="AA1763">
        <v>1250.752</v>
      </c>
      <c r="AB1763">
        <v>1246.393</v>
      </c>
      <c r="AC1763">
        <v>1242.049</v>
      </c>
      <c r="AD1763">
        <v>1237.72</v>
      </c>
    </row>
    <row r="1764" spans="2:30" x14ac:dyDescent="0.25">
      <c r="B1764" t="s">
        <v>133</v>
      </c>
      <c r="C1764" t="s">
        <v>3261</v>
      </c>
      <c r="D1764" t="s">
        <v>5294</v>
      </c>
      <c r="E1764" t="s">
        <v>5295</v>
      </c>
      <c r="F1764" t="s">
        <v>7805</v>
      </c>
      <c r="G1764" t="s">
        <v>3890</v>
      </c>
      <c r="H1764" t="s">
        <v>109</v>
      </c>
      <c r="I1764" t="s">
        <v>108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2:30" x14ac:dyDescent="0.25">
      <c r="B1765" t="s">
        <v>133</v>
      </c>
      <c r="C1765" t="s">
        <v>3261</v>
      </c>
      <c r="D1765" t="s">
        <v>5297</v>
      </c>
      <c r="E1765" t="s">
        <v>5298</v>
      </c>
      <c r="F1765" t="s">
        <v>7806</v>
      </c>
      <c r="G1765" t="s">
        <v>3890</v>
      </c>
      <c r="H1765" t="s">
        <v>109</v>
      </c>
      <c r="I1765" t="s">
        <v>108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2:30" x14ac:dyDescent="0.25">
      <c r="B1766" t="s">
        <v>133</v>
      </c>
      <c r="C1766" t="s">
        <v>3261</v>
      </c>
      <c r="D1766" t="s">
        <v>5300</v>
      </c>
      <c r="E1766" t="s">
        <v>5301</v>
      </c>
      <c r="F1766" t="s">
        <v>7807</v>
      </c>
      <c r="G1766" t="s">
        <v>3890</v>
      </c>
      <c r="H1766" t="s">
        <v>109</v>
      </c>
      <c r="I1766" t="s">
        <v>108</v>
      </c>
      <c r="J1766">
        <v>1</v>
      </c>
      <c r="K1766">
        <v>1529.27</v>
      </c>
      <c r="L1766">
        <v>1206.73</v>
      </c>
      <c r="M1766">
        <v>1313.405</v>
      </c>
      <c r="N1766">
        <v>1308.827</v>
      </c>
      <c r="O1766">
        <v>1304.2660000000001</v>
      </c>
      <c r="P1766">
        <v>1299.72</v>
      </c>
      <c r="Q1766">
        <v>1295.19</v>
      </c>
      <c r="R1766">
        <v>1290.6759999999999</v>
      </c>
      <c r="S1766">
        <v>1286.1780000000001</v>
      </c>
      <c r="T1766">
        <v>1281.6949999999999</v>
      </c>
      <c r="U1766">
        <v>1277.2280000000001</v>
      </c>
      <c r="V1766">
        <v>1272.777</v>
      </c>
      <c r="W1766">
        <v>1268.3409999999999</v>
      </c>
      <c r="X1766">
        <v>1263.921</v>
      </c>
      <c r="Y1766">
        <v>1259.5160000000001</v>
      </c>
      <c r="Z1766">
        <v>1255.126</v>
      </c>
      <c r="AA1766">
        <v>1250.752</v>
      </c>
      <c r="AB1766">
        <v>1246.393</v>
      </c>
      <c r="AC1766">
        <v>1242.049</v>
      </c>
      <c r="AD1766">
        <v>1237.72</v>
      </c>
    </row>
    <row r="1767" spans="2:30" x14ac:dyDescent="0.25">
      <c r="B1767" t="s">
        <v>133</v>
      </c>
      <c r="C1767" t="s">
        <v>3261</v>
      </c>
      <c r="D1767" t="s">
        <v>5303</v>
      </c>
      <c r="E1767" t="s">
        <v>5304</v>
      </c>
      <c r="F1767" t="s">
        <v>7808</v>
      </c>
      <c r="G1767" t="s">
        <v>3890</v>
      </c>
      <c r="H1767" t="s">
        <v>109</v>
      </c>
      <c r="I1767" t="s">
        <v>108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2:30" x14ac:dyDescent="0.25">
      <c r="B1768" t="s">
        <v>133</v>
      </c>
      <c r="C1768" t="s">
        <v>3261</v>
      </c>
      <c r="D1768" t="s">
        <v>5306</v>
      </c>
      <c r="E1768" t="s">
        <v>5307</v>
      </c>
      <c r="F1768" t="s">
        <v>7809</v>
      </c>
      <c r="G1768" t="s">
        <v>3890</v>
      </c>
      <c r="H1768" t="s">
        <v>109</v>
      </c>
      <c r="I1768" t="s">
        <v>108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2:30" x14ac:dyDescent="0.25">
      <c r="B1769" t="s">
        <v>133</v>
      </c>
      <c r="C1769" t="s">
        <v>3261</v>
      </c>
      <c r="D1769" t="s">
        <v>5309</v>
      </c>
      <c r="E1769" t="s">
        <v>5113</v>
      </c>
      <c r="F1769" t="s">
        <v>7747</v>
      </c>
      <c r="G1769" t="s">
        <v>3890</v>
      </c>
      <c r="H1769" t="s">
        <v>109</v>
      </c>
      <c r="I1769" t="s">
        <v>108</v>
      </c>
      <c r="J1769">
        <v>1</v>
      </c>
      <c r="K1769">
        <v>84652.786999999997</v>
      </c>
      <c r="L1769">
        <v>82605.210000000006</v>
      </c>
      <c r="M1769">
        <v>93076.263000000006</v>
      </c>
      <c r="N1769">
        <v>97660.903999999995</v>
      </c>
      <c r="O1769">
        <v>99883.266000000003</v>
      </c>
      <c r="P1769">
        <v>102725.504</v>
      </c>
      <c r="Q1769">
        <v>106869.443</v>
      </c>
      <c r="R1769">
        <v>111405.026</v>
      </c>
      <c r="S1769">
        <v>116204.06299999999</v>
      </c>
      <c r="T1769">
        <v>121509.573</v>
      </c>
      <c r="U1769">
        <v>127156.573</v>
      </c>
      <c r="V1769">
        <v>133223.60800000001</v>
      </c>
      <c r="W1769">
        <v>139695.67600000001</v>
      </c>
      <c r="X1769">
        <v>146629.91699999999</v>
      </c>
      <c r="Y1769">
        <v>154032.26300000001</v>
      </c>
      <c r="Z1769">
        <v>161993.68299999999</v>
      </c>
      <c r="AA1769">
        <v>170574.56899999999</v>
      </c>
      <c r="AB1769">
        <v>179860.70300000001</v>
      </c>
      <c r="AC1769">
        <v>189936.71599999999</v>
      </c>
      <c r="AD1769">
        <v>200456.03200000001</v>
      </c>
    </row>
    <row r="1770" spans="2:30" x14ac:dyDescent="0.25">
      <c r="B1770" t="s">
        <v>133</v>
      </c>
      <c r="C1770" t="s">
        <v>3261</v>
      </c>
      <c r="D1770" t="s">
        <v>5310</v>
      </c>
      <c r="E1770" t="s">
        <v>5116</v>
      </c>
      <c r="F1770" t="s">
        <v>7748</v>
      </c>
      <c r="G1770" t="s">
        <v>3890</v>
      </c>
      <c r="H1770" t="s">
        <v>109</v>
      </c>
      <c r="I1770" t="s">
        <v>108</v>
      </c>
      <c r="J1770">
        <v>1</v>
      </c>
      <c r="K1770">
        <v>1651.0930000000001</v>
      </c>
      <c r="L1770">
        <v>1545.134</v>
      </c>
      <c r="M1770">
        <v>1836.8230000000001</v>
      </c>
      <c r="N1770">
        <v>1975.171</v>
      </c>
      <c r="O1770">
        <v>2006.8579999999999</v>
      </c>
      <c r="P1770">
        <v>2038.454</v>
      </c>
      <c r="Q1770">
        <v>2090.7600000000002</v>
      </c>
      <c r="R1770">
        <v>2141.0300000000002</v>
      </c>
      <c r="S1770">
        <v>2188.41</v>
      </c>
      <c r="T1770">
        <v>2235.8040000000001</v>
      </c>
      <c r="U1770">
        <v>2278.1129999999998</v>
      </c>
      <c r="V1770">
        <v>2320.529</v>
      </c>
      <c r="W1770">
        <v>2363.0390000000002</v>
      </c>
      <c r="X1770">
        <v>2405.6320000000001</v>
      </c>
      <c r="Y1770">
        <v>2448.2950000000001</v>
      </c>
      <c r="Z1770">
        <v>2491.0169999999998</v>
      </c>
      <c r="AA1770">
        <v>2533.7860000000001</v>
      </c>
      <c r="AB1770">
        <v>2576.5909999999999</v>
      </c>
      <c r="AC1770">
        <v>2619.4189999999999</v>
      </c>
      <c r="AD1770">
        <v>2662.26</v>
      </c>
    </row>
    <row r="1771" spans="2:30" x14ac:dyDescent="0.25">
      <c r="B1771" t="s">
        <v>133</v>
      </c>
      <c r="C1771" t="s">
        <v>3261</v>
      </c>
      <c r="D1771" t="s">
        <v>5311</v>
      </c>
      <c r="E1771" t="s">
        <v>5119</v>
      </c>
      <c r="F1771" t="s">
        <v>7749</v>
      </c>
      <c r="G1771" t="s">
        <v>3890</v>
      </c>
      <c r="H1771" t="s">
        <v>109</v>
      </c>
      <c r="I1771" t="s">
        <v>108</v>
      </c>
      <c r="J1771">
        <v>1</v>
      </c>
      <c r="K1771">
        <v>42937.004999999997</v>
      </c>
      <c r="L1771">
        <v>39972.894</v>
      </c>
      <c r="M1771">
        <v>47161.006999999998</v>
      </c>
      <c r="N1771">
        <v>48233.921000000002</v>
      </c>
      <c r="O1771">
        <v>47663.53</v>
      </c>
      <c r="P1771">
        <v>47791.707000000002</v>
      </c>
      <c r="Q1771">
        <v>49275.875999999997</v>
      </c>
      <c r="R1771">
        <v>50896.870999999999</v>
      </c>
      <c r="S1771">
        <v>52355.53</v>
      </c>
      <c r="T1771">
        <v>53866.05</v>
      </c>
      <c r="U1771">
        <v>55465.29</v>
      </c>
      <c r="V1771">
        <v>57237.817999999999</v>
      </c>
      <c r="W1771">
        <v>59178.915000000001</v>
      </c>
      <c r="X1771">
        <v>61338.178999999996</v>
      </c>
      <c r="Y1771">
        <v>63721.038</v>
      </c>
      <c r="Z1771">
        <v>66384.278999999995</v>
      </c>
      <c r="AA1771">
        <v>69370.365999999995</v>
      </c>
      <c r="AB1771">
        <v>72742.676000000007</v>
      </c>
      <c r="AC1771">
        <v>76575.350000000006</v>
      </c>
      <c r="AD1771">
        <v>80433.002999999997</v>
      </c>
    </row>
    <row r="1772" spans="2:30" x14ac:dyDescent="0.25">
      <c r="B1772" t="s">
        <v>133</v>
      </c>
      <c r="C1772" t="s">
        <v>3261</v>
      </c>
      <c r="D1772" t="s">
        <v>5312</v>
      </c>
      <c r="E1772" t="s">
        <v>5122</v>
      </c>
      <c r="F1772" t="s">
        <v>7750</v>
      </c>
      <c r="G1772" t="s">
        <v>3890</v>
      </c>
      <c r="H1772" t="s">
        <v>109</v>
      </c>
      <c r="I1772" t="s">
        <v>108</v>
      </c>
      <c r="J1772">
        <v>1</v>
      </c>
      <c r="K1772">
        <v>7688.0550000000003</v>
      </c>
      <c r="L1772">
        <v>7382.1220000000003</v>
      </c>
      <c r="M1772">
        <v>7820.5169999999998</v>
      </c>
      <c r="N1772">
        <v>9963.2890000000007</v>
      </c>
      <c r="O1772">
        <v>9996.473</v>
      </c>
      <c r="P1772">
        <v>10040.493</v>
      </c>
      <c r="Q1772">
        <v>10104.35</v>
      </c>
      <c r="R1772">
        <v>10170.476000000001</v>
      </c>
      <c r="S1772">
        <v>10233.127</v>
      </c>
      <c r="T1772">
        <v>10301.992</v>
      </c>
      <c r="U1772">
        <v>10378.269</v>
      </c>
      <c r="V1772">
        <v>10461.94</v>
      </c>
      <c r="W1772">
        <v>10553.672</v>
      </c>
      <c r="X1772">
        <v>10653.630999999999</v>
      </c>
      <c r="Y1772">
        <v>10762.258</v>
      </c>
      <c r="Z1772">
        <v>10879.782999999999</v>
      </c>
      <c r="AA1772">
        <v>11006.638999999999</v>
      </c>
      <c r="AB1772">
        <v>11143.370999999999</v>
      </c>
      <c r="AC1772">
        <v>11290.245000000001</v>
      </c>
      <c r="AD1772">
        <v>11447.72</v>
      </c>
    </row>
    <row r="1773" spans="2:30" x14ac:dyDescent="0.25">
      <c r="B1773" t="s">
        <v>133</v>
      </c>
      <c r="C1773" t="s">
        <v>3261</v>
      </c>
      <c r="D1773" t="s">
        <v>5313</v>
      </c>
      <c r="E1773" t="s">
        <v>5125</v>
      </c>
      <c r="F1773" t="s">
        <v>7751</v>
      </c>
      <c r="G1773" t="s">
        <v>3890</v>
      </c>
      <c r="H1773" t="s">
        <v>109</v>
      </c>
      <c r="I1773" t="s">
        <v>108</v>
      </c>
      <c r="J1773">
        <v>1</v>
      </c>
      <c r="K1773">
        <v>7404.3140000000003</v>
      </c>
      <c r="L1773">
        <v>7147.93</v>
      </c>
      <c r="M1773">
        <v>7001.1750000000002</v>
      </c>
      <c r="N1773">
        <v>6753.6639999999998</v>
      </c>
      <c r="O1773">
        <v>6886.5370000000003</v>
      </c>
      <c r="P1773">
        <v>7548.8450000000003</v>
      </c>
      <c r="Q1773">
        <v>8264.5689999999995</v>
      </c>
      <c r="R1773">
        <v>9039.0759999999991</v>
      </c>
      <c r="S1773">
        <v>9962.8960000000006</v>
      </c>
      <c r="T1773">
        <v>11055</v>
      </c>
      <c r="U1773">
        <v>12234.907999999999</v>
      </c>
      <c r="V1773">
        <v>13496.285</v>
      </c>
      <c r="W1773">
        <v>14832.485000000001</v>
      </c>
      <c r="X1773">
        <v>16236.275</v>
      </c>
      <c r="Y1773">
        <v>17698.248</v>
      </c>
      <c r="Z1773">
        <v>19231.596000000001</v>
      </c>
      <c r="AA1773">
        <v>20833.882000000001</v>
      </c>
      <c r="AB1773">
        <v>22502.595000000001</v>
      </c>
      <c r="AC1773">
        <v>24236.026999999998</v>
      </c>
      <c r="AD1773">
        <v>26000.758999999998</v>
      </c>
    </row>
    <row r="1774" spans="2:30" x14ac:dyDescent="0.25">
      <c r="B1774" t="s">
        <v>133</v>
      </c>
      <c r="C1774" t="s">
        <v>3261</v>
      </c>
      <c r="D1774" t="s">
        <v>5314</v>
      </c>
      <c r="E1774" t="s">
        <v>5128</v>
      </c>
      <c r="F1774" t="s">
        <v>7752</v>
      </c>
      <c r="G1774" t="s">
        <v>3890</v>
      </c>
      <c r="H1774" t="s">
        <v>109</v>
      </c>
      <c r="I1774" t="s">
        <v>108</v>
      </c>
      <c r="J1774">
        <v>1</v>
      </c>
      <c r="K1774">
        <v>15214.834999999999</v>
      </c>
      <c r="L1774">
        <v>16168.272999999999</v>
      </c>
      <c r="M1774">
        <v>17468.254000000001</v>
      </c>
      <c r="N1774">
        <v>17210.601999999999</v>
      </c>
      <c r="O1774">
        <v>17931.196</v>
      </c>
      <c r="P1774">
        <v>19045.128000000001</v>
      </c>
      <c r="Q1774">
        <v>20275.214</v>
      </c>
      <c r="R1774">
        <v>21586.026999999998</v>
      </c>
      <c r="S1774">
        <v>23101.032999999999</v>
      </c>
      <c r="T1774">
        <v>24867.493999999999</v>
      </c>
      <c r="U1774">
        <v>26778.224999999999</v>
      </c>
      <c r="V1774">
        <v>28823.225999999999</v>
      </c>
      <c r="W1774">
        <v>30976.754000000001</v>
      </c>
      <c r="X1774">
        <v>33242.692000000003</v>
      </c>
      <c r="Y1774">
        <v>35613.048000000003</v>
      </c>
      <c r="Z1774">
        <v>38098.769</v>
      </c>
      <c r="AA1774">
        <v>40699.949999999997</v>
      </c>
      <c r="AB1774">
        <v>43420.855000000003</v>
      </c>
      <c r="AC1774">
        <v>46267.17</v>
      </c>
      <c r="AD1774">
        <v>49230.813000000002</v>
      </c>
    </row>
    <row r="1775" spans="2:30" x14ac:dyDescent="0.25">
      <c r="B1775" t="s">
        <v>133</v>
      </c>
      <c r="C1775" t="s">
        <v>3261</v>
      </c>
      <c r="D1775" t="s">
        <v>5315</v>
      </c>
      <c r="E1775" t="s">
        <v>5131</v>
      </c>
      <c r="F1775" t="s">
        <v>7753</v>
      </c>
      <c r="G1775" t="s">
        <v>3890</v>
      </c>
      <c r="H1775" t="s">
        <v>109</v>
      </c>
      <c r="I1775" t="s">
        <v>108</v>
      </c>
      <c r="J1775">
        <v>1</v>
      </c>
      <c r="K1775">
        <v>5389.2640000000001</v>
      </c>
      <c r="L1775">
        <v>6059.357</v>
      </c>
      <c r="M1775">
        <v>7304.8469999999998</v>
      </c>
      <c r="N1775">
        <v>7485.0290000000005</v>
      </c>
      <c r="O1775">
        <v>7660.826</v>
      </c>
      <c r="P1775">
        <v>7867.7740000000003</v>
      </c>
      <c r="Q1775">
        <v>8112.866</v>
      </c>
      <c r="R1775">
        <v>8347.6450000000004</v>
      </c>
      <c r="S1775">
        <v>8567.366</v>
      </c>
      <c r="T1775">
        <v>8788.9699999999993</v>
      </c>
      <c r="U1775">
        <v>9013.2360000000008</v>
      </c>
      <c r="V1775">
        <v>9240.1190000000006</v>
      </c>
      <c r="W1775">
        <v>9469.5740000000005</v>
      </c>
      <c r="X1775">
        <v>9701.5529999999999</v>
      </c>
      <c r="Y1775">
        <v>9936.0069999999996</v>
      </c>
      <c r="Z1775">
        <v>10172.888000000001</v>
      </c>
      <c r="AA1775">
        <v>10412.143</v>
      </c>
      <c r="AB1775">
        <v>10653.721</v>
      </c>
      <c r="AC1775">
        <v>10897.566999999999</v>
      </c>
      <c r="AD1775">
        <v>11143.626</v>
      </c>
    </row>
    <row r="1776" spans="2:30" x14ac:dyDescent="0.25">
      <c r="B1776" t="s">
        <v>133</v>
      </c>
      <c r="C1776" t="s">
        <v>3261</v>
      </c>
      <c r="D1776" t="s">
        <v>5316</v>
      </c>
      <c r="E1776" t="s">
        <v>5134</v>
      </c>
      <c r="F1776" t="s">
        <v>7754</v>
      </c>
      <c r="G1776" t="s">
        <v>3890</v>
      </c>
      <c r="H1776" t="s">
        <v>109</v>
      </c>
      <c r="I1776" t="s">
        <v>108</v>
      </c>
      <c r="J1776">
        <v>1</v>
      </c>
      <c r="K1776">
        <v>659.322</v>
      </c>
      <c r="L1776">
        <v>771.90700000000004</v>
      </c>
      <c r="M1776">
        <v>857.73800000000006</v>
      </c>
      <c r="N1776">
        <v>889.11699999999996</v>
      </c>
      <c r="O1776">
        <v>920.298</v>
      </c>
      <c r="P1776">
        <v>957.94299999999998</v>
      </c>
      <c r="Q1776">
        <v>1003.823</v>
      </c>
      <c r="R1776">
        <v>1048.83</v>
      </c>
      <c r="S1776">
        <v>1091.8589999999999</v>
      </c>
      <c r="T1776">
        <v>1136.079</v>
      </c>
      <c r="U1776">
        <v>1181.4929999999999</v>
      </c>
      <c r="V1776">
        <v>1228.1030000000001</v>
      </c>
      <c r="W1776">
        <v>1275.9059999999999</v>
      </c>
      <c r="X1776">
        <v>1324.8989999999999</v>
      </c>
      <c r="Y1776">
        <v>1375.079</v>
      </c>
      <c r="Z1776">
        <v>1426.4359999999999</v>
      </c>
      <c r="AA1776">
        <v>1478.963</v>
      </c>
      <c r="AB1776">
        <v>1532.6469999999999</v>
      </c>
      <c r="AC1776">
        <v>1587.4749999999999</v>
      </c>
      <c r="AD1776">
        <v>1643.43</v>
      </c>
    </row>
    <row r="1777" spans="2:30" x14ac:dyDescent="0.25">
      <c r="B1777" t="s">
        <v>133</v>
      </c>
      <c r="C1777" t="s">
        <v>3261</v>
      </c>
      <c r="D1777" t="s">
        <v>5317</v>
      </c>
      <c r="E1777" t="s">
        <v>5143</v>
      </c>
      <c r="F1777" t="s">
        <v>7757</v>
      </c>
      <c r="G1777" t="s">
        <v>3890</v>
      </c>
      <c r="H1777" t="s">
        <v>109</v>
      </c>
      <c r="I1777" t="s">
        <v>108</v>
      </c>
      <c r="J1777">
        <v>1</v>
      </c>
      <c r="K1777">
        <v>1529.27</v>
      </c>
      <c r="L1777">
        <v>1206.73</v>
      </c>
      <c r="M1777">
        <v>1313.405</v>
      </c>
      <c r="N1777">
        <v>1308.827</v>
      </c>
      <c r="O1777">
        <v>1304.2660000000001</v>
      </c>
      <c r="P1777">
        <v>1299.72</v>
      </c>
      <c r="Q1777">
        <v>1295.19</v>
      </c>
      <c r="R1777">
        <v>1290.6759999999999</v>
      </c>
      <c r="S1777">
        <v>1286.1780000000001</v>
      </c>
      <c r="T1777">
        <v>1281.6949999999999</v>
      </c>
      <c r="U1777">
        <v>1277.2280000000001</v>
      </c>
      <c r="V1777">
        <v>1272.777</v>
      </c>
      <c r="W1777">
        <v>1268.3409999999999</v>
      </c>
      <c r="X1777">
        <v>1263.921</v>
      </c>
      <c r="Y1777">
        <v>1259.5160000000001</v>
      </c>
      <c r="Z1777">
        <v>1255.126</v>
      </c>
      <c r="AA1777">
        <v>1250.752</v>
      </c>
      <c r="AB1777">
        <v>1246.393</v>
      </c>
      <c r="AC1777">
        <v>1242.049</v>
      </c>
      <c r="AD1777">
        <v>1237.72</v>
      </c>
    </row>
    <row r="1778" spans="2:30" x14ac:dyDescent="0.25">
      <c r="B1778" t="s">
        <v>133</v>
      </c>
      <c r="C1778" t="s">
        <v>3261</v>
      </c>
      <c r="D1778" t="s">
        <v>5318</v>
      </c>
      <c r="E1778" t="s">
        <v>5319</v>
      </c>
      <c r="F1778" t="s">
        <v>7810</v>
      </c>
      <c r="G1778" t="s">
        <v>3890</v>
      </c>
      <c r="H1778" t="s">
        <v>109</v>
      </c>
      <c r="I1778" t="s">
        <v>108</v>
      </c>
      <c r="J1778">
        <v>1</v>
      </c>
      <c r="K1778">
        <v>2179.63</v>
      </c>
      <c r="L1778">
        <v>2350.8629999999998</v>
      </c>
      <c r="M1778">
        <v>2312.4969999999998</v>
      </c>
      <c r="N1778">
        <v>3841.2840000000001</v>
      </c>
      <c r="O1778">
        <v>5513.2820000000002</v>
      </c>
      <c r="P1778">
        <v>6135.44</v>
      </c>
      <c r="Q1778">
        <v>6446.7960000000003</v>
      </c>
      <c r="R1778">
        <v>6884.393</v>
      </c>
      <c r="S1778">
        <v>7417.6629999999996</v>
      </c>
      <c r="T1778">
        <v>7976.4889999999996</v>
      </c>
      <c r="U1778">
        <v>8549.81</v>
      </c>
      <c r="V1778">
        <v>9142.8109999999997</v>
      </c>
      <c r="W1778">
        <v>9776.9889999999996</v>
      </c>
      <c r="X1778">
        <v>10463.136</v>
      </c>
      <c r="Y1778">
        <v>11218.773999999999</v>
      </c>
      <c r="Z1778">
        <v>12053.789000000001</v>
      </c>
      <c r="AA1778">
        <v>12988.088</v>
      </c>
      <c r="AB1778">
        <v>14041.853999999999</v>
      </c>
      <c r="AC1778">
        <v>15221.414000000001</v>
      </c>
      <c r="AD1778">
        <v>16656.702000000001</v>
      </c>
    </row>
    <row r="1779" spans="2:30" x14ac:dyDescent="0.25">
      <c r="B1779" t="s">
        <v>133</v>
      </c>
      <c r="C1779" t="s">
        <v>3261</v>
      </c>
      <c r="D1779" t="s">
        <v>5321</v>
      </c>
      <c r="E1779" t="s">
        <v>5149</v>
      </c>
      <c r="F1779" t="s">
        <v>7759</v>
      </c>
      <c r="G1779" t="s">
        <v>3890</v>
      </c>
      <c r="H1779" t="s">
        <v>109</v>
      </c>
      <c r="I1779" t="s">
        <v>108</v>
      </c>
      <c r="J1779">
        <v>1</v>
      </c>
      <c r="K1779">
        <v>1651.0930000000001</v>
      </c>
      <c r="L1779">
        <v>1545.134</v>
      </c>
      <c r="M1779">
        <v>1836.8230000000001</v>
      </c>
      <c r="N1779">
        <v>1975.171</v>
      </c>
      <c r="O1779">
        <v>2006.8579999999999</v>
      </c>
      <c r="P1779">
        <v>2038.454</v>
      </c>
      <c r="Q1779">
        <v>2090.7600000000002</v>
      </c>
      <c r="R1779">
        <v>2141.1260000000002</v>
      </c>
      <c r="S1779">
        <v>2188.5329999999999</v>
      </c>
      <c r="T1779">
        <v>2235.7559999999999</v>
      </c>
      <c r="U1779">
        <v>2277.7240000000002</v>
      </c>
      <c r="V1779">
        <v>2319.6509999999998</v>
      </c>
      <c r="W1779">
        <v>2361.8919999999998</v>
      </c>
      <c r="X1779">
        <v>2404.6570000000002</v>
      </c>
      <c r="Y1779">
        <v>2448.1979999999999</v>
      </c>
      <c r="Z1779">
        <v>2492.8670000000002</v>
      </c>
      <c r="AA1779">
        <v>2538.98</v>
      </c>
      <c r="AB1779">
        <v>2586.692</v>
      </c>
      <c r="AC1779">
        <v>2636.0540000000001</v>
      </c>
      <c r="AD1779">
        <v>2686.86</v>
      </c>
    </row>
    <row r="1780" spans="2:30" x14ac:dyDescent="0.25">
      <c r="B1780" t="s">
        <v>133</v>
      </c>
      <c r="C1780" t="s">
        <v>3261</v>
      </c>
      <c r="D1780" t="s">
        <v>5322</v>
      </c>
      <c r="E1780" t="s">
        <v>5323</v>
      </c>
      <c r="F1780" t="s">
        <v>7811</v>
      </c>
      <c r="G1780" t="s">
        <v>3890</v>
      </c>
      <c r="H1780" t="s">
        <v>109</v>
      </c>
      <c r="I1780" t="s">
        <v>108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2:30" x14ac:dyDescent="0.25">
      <c r="B1781" t="s">
        <v>133</v>
      </c>
      <c r="C1781" t="s">
        <v>3261</v>
      </c>
      <c r="D1781" t="s">
        <v>5325</v>
      </c>
      <c r="E1781" t="s">
        <v>5326</v>
      </c>
      <c r="F1781" t="s">
        <v>7812</v>
      </c>
      <c r="G1781" t="s">
        <v>3890</v>
      </c>
      <c r="H1781" t="s">
        <v>109</v>
      </c>
      <c r="I1781" t="s">
        <v>108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2:30" x14ac:dyDescent="0.25">
      <c r="B1782" t="s">
        <v>133</v>
      </c>
      <c r="C1782" t="s">
        <v>3261</v>
      </c>
      <c r="D1782" t="s">
        <v>5328</v>
      </c>
      <c r="E1782" t="s">
        <v>5329</v>
      </c>
      <c r="F1782" t="s">
        <v>7813</v>
      </c>
      <c r="G1782" t="s">
        <v>3890</v>
      </c>
      <c r="H1782" t="s">
        <v>109</v>
      </c>
      <c r="I1782" t="s">
        <v>108</v>
      </c>
      <c r="J1782">
        <v>1</v>
      </c>
      <c r="K1782">
        <v>1.6379999999999999</v>
      </c>
      <c r="L1782">
        <v>1.6379999999999999</v>
      </c>
      <c r="M1782">
        <v>1.8740000000000001</v>
      </c>
      <c r="N1782">
        <v>1.978</v>
      </c>
      <c r="O1782">
        <v>1.994</v>
      </c>
      <c r="P1782">
        <v>2.008</v>
      </c>
      <c r="Q1782">
        <v>2.0369999999999999</v>
      </c>
      <c r="R1782">
        <v>2.0640000000000001</v>
      </c>
      <c r="S1782">
        <v>2.09</v>
      </c>
      <c r="T1782">
        <v>2.1150000000000002</v>
      </c>
      <c r="U1782">
        <v>2.1360000000000001</v>
      </c>
      <c r="V1782">
        <v>2.1560000000000001</v>
      </c>
      <c r="W1782">
        <v>2.177</v>
      </c>
      <c r="X1782">
        <v>2.1970000000000001</v>
      </c>
      <c r="Y1782">
        <v>2.218</v>
      </c>
      <c r="Z1782">
        <v>2.2389999999999999</v>
      </c>
      <c r="AA1782">
        <v>2.2599999999999998</v>
      </c>
      <c r="AB1782">
        <v>2.2829999999999999</v>
      </c>
      <c r="AC1782">
        <v>2.306</v>
      </c>
      <c r="AD1782">
        <v>2.3290000000000002</v>
      </c>
    </row>
    <row r="1783" spans="2:30" x14ac:dyDescent="0.25">
      <c r="B1783" t="s">
        <v>133</v>
      </c>
      <c r="C1783" t="s">
        <v>3261</v>
      </c>
      <c r="D1783" t="s">
        <v>5331</v>
      </c>
      <c r="E1783" t="s">
        <v>5332</v>
      </c>
      <c r="F1783" t="s">
        <v>7814</v>
      </c>
      <c r="G1783" t="s">
        <v>3890</v>
      </c>
      <c r="H1783" t="s">
        <v>109</v>
      </c>
      <c r="I1783" t="s">
        <v>108</v>
      </c>
      <c r="J1783">
        <v>2</v>
      </c>
      <c r="K1783">
        <v>1649.4549999999999</v>
      </c>
      <c r="L1783">
        <v>1543.4960000000001</v>
      </c>
      <c r="M1783">
        <v>1834.9490000000001</v>
      </c>
      <c r="N1783">
        <v>1973.192</v>
      </c>
      <c r="O1783">
        <v>2004.864</v>
      </c>
      <c r="P1783">
        <v>2036.4459999999999</v>
      </c>
      <c r="Q1783">
        <v>2088.723</v>
      </c>
      <c r="R1783">
        <v>2139.0619999999999</v>
      </c>
      <c r="S1783">
        <v>2186.444</v>
      </c>
      <c r="T1783">
        <v>2233.6410000000001</v>
      </c>
      <c r="U1783">
        <v>2275.5880000000002</v>
      </c>
      <c r="V1783">
        <v>2317.4949999999999</v>
      </c>
      <c r="W1783">
        <v>2359.7159999999999</v>
      </c>
      <c r="X1783">
        <v>2402.46</v>
      </c>
      <c r="Y1783">
        <v>2445.98</v>
      </c>
      <c r="Z1783">
        <v>2490.6280000000002</v>
      </c>
      <c r="AA1783">
        <v>2536.7199999999998</v>
      </c>
      <c r="AB1783">
        <v>2584.4090000000001</v>
      </c>
      <c r="AC1783">
        <v>2633.7489999999998</v>
      </c>
      <c r="AD1783">
        <v>2684.5309999999999</v>
      </c>
    </row>
    <row r="1784" spans="2:30" x14ac:dyDescent="0.25">
      <c r="B1784" t="s">
        <v>133</v>
      </c>
      <c r="C1784" t="s">
        <v>3261</v>
      </c>
      <c r="D1784" t="s">
        <v>5334</v>
      </c>
      <c r="E1784" t="s">
        <v>5335</v>
      </c>
      <c r="F1784" t="s">
        <v>7815</v>
      </c>
      <c r="G1784" t="s">
        <v>3890</v>
      </c>
      <c r="H1784" t="s">
        <v>109</v>
      </c>
      <c r="I1784" t="s">
        <v>108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2:30" x14ac:dyDescent="0.25">
      <c r="B1785" t="s">
        <v>133</v>
      </c>
      <c r="C1785" t="s">
        <v>3261</v>
      </c>
      <c r="D1785" t="s">
        <v>5337</v>
      </c>
      <c r="E1785" t="s">
        <v>5152</v>
      </c>
      <c r="F1785" t="s">
        <v>7760</v>
      </c>
      <c r="G1785" t="s">
        <v>3890</v>
      </c>
      <c r="H1785" t="s">
        <v>109</v>
      </c>
      <c r="I1785" t="s">
        <v>108</v>
      </c>
      <c r="J1785">
        <v>2</v>
      </c>
      <c r="K1785">
        <v>42937.004999999997</v>
      </c>
      <c r="L1785">
        <v>39972.894</v>
      </c>
      <c r="M1785">
        <v>47161.006999999998</v>
      </c>
      <c r="N1785">
        <v>48233.921000000002</v>
      </c>
      <c r="O1785">
        <v>47663.53</v>
      </c>
      <c r="P1785">
        <v>47791.707000000002</v>
      </c>
      <c r="Q1785">
        <v>49275.875999999997</v>
      </c>
      <c r="R1785">
        <v>48256.6</v>
      </c>
      <c r="S1785">
        <v>48406.421000000002</v>
      </c>
      <c r="T1785">
        <v>48436.042000000001</v>
      </c>
      <c r="U1785">
        <v>48921.063000000002</v>
      </c>
      <c r="V1785">
        <v>49477.904999999999</v>
      </c>
      <c r="W1785">
        <v>50261.587</v>
      </c>
      <c r="X1785">
        <v>51232.991999999998</v>
      </c>
      <c r="Y1785">
        <v>52428.18</v>
      </c>
      <c r="Z1785">
        <v>53876.076999999997</v>
      </c>
      <c r="AA1785">
        <v>55611.207999999999</v>
      </c>
      <c r="AB1785">
        <v>57667.065999999999</v>
      </c>
      <c r="AC1785">
        <v>60034.118000000002</v>
      </c>
      <c r="AD1785">
        <v>62508.51</v>
      </c>
    </row>
    <row r="1786" spans="2:30" x14ac:dyDescent="0.25">
      <c r="B1786" t="s">
        <v>133</v>
      </c>
      <c r="C1786" t="s">
        <v>3261</v>
      </c>
      <c r="D1786" t="s">
        <v>5338</v>
      </c>
      <c r="E1786" t="s">
        <v>5339</v>
      </c>
      <c r="F1786" t="s">
        <v>7816</v>
      </c>
      <c r="G1786" t="s">
        <v>3890</v>
      </c>
      <c r="H1786" t="s">
        <v>109</v>
      </c>
      <c r="I1786" t="s">
        <v>108</v>
      </c>
      <c r="J1786">
        <v>2</v>
      </c>
      <c r="K1786">
        <v>29443.696</v>
      </c>
      <c r="L1786">
        <v>28005.871999999999</v>
      </c>
      <c r="M1786">
        <v>33519.074999999997</v>
      </c>
      <c r="N1786">
        <v>34176.673000000003</v>
      </c>
      <c r="O1786">
        <v>33170.572999999997</v>
      </c>
      <c r="P1786">
        <v>32743.955000000002</v>
      </c>
      <c r="Q1786">
        <v>33565.813999999998</v>
      </c>
      <c r="R1786">
        <v>31897.255000000001</v>
      </c>
      <c r="S1786">
        <v>31420.384999999998</v>
      </c>
      <c r="T1786">
        <v>30802.870999999999</v>
      </c>
      <c r="U1786">
        <v>30623.153999999999</v>
      </c>
      <c r="V1786">
        <v>30497.762999999999</v>
      </c>
      <c r="W1786">
        <v>30577.012999999999</v>
      </c>
      <c r="X1786">
        <v>30818.81</v>
      </c>
      <c r="Y1786">
        <v>31255.572</v>
      </c>
      <c r="Z1786">
        <v>31909.215</v>
      </c>
      <c r="AA1786">
        <v>32808.482000000004</v>
      </c>
      <c r="AB1786">
        <v>33983.150999999998</v>
      </c>
      <c r="AC1786">
        <v>35421.338000000003</v>
      </c>
      <c r="AD1786">
        <v>36923.158000000003</v>
      </c>
    </row>
    <row r="1787" spans="2:30" x14ac:dyDescent="0.25">
      <c r="B1787" t="s">
        <v>133</v>
      </c>
      <c r="C1787" t="s">
        <v>3261</v>
      </c>
      <c r="D1787" t="s">
        <v>5341</v>
      </c>
      <c r="E1787" t="s">
        <v>5342</v>
      </c>
      <c r="F1787" t="s">
        <v>7817</v>
      </c>
      <c r="G1787" t="s">
        <v>3890</v>
      </c>
      <c r="H1787" t="s">
        <v>109</v>
      </c>
      <c r="I1787" t="s">
        <v>108</v>
      </c>
      <c r="J1787">
        <v>2</v>
      </c>
      <c r="K1787">
        <v>495.238</v>
      </c>
      <c r="L1787">
        <v>484.52</v>
      </c>
      <c r="M1787">
        <v>472.24900000000002</v>
      </c>
      <c r="N1787">
        <v>454.66399999999999</v>
      </c>
      <c r="O1787">
        <v>463.9</v>
      </c>
      <c r="P1787">
        <v>509.44099999999997</v>
      </c>
      <c r="Q1787">
        <v>559.21799999999996</v>
      </c>
      <c r="R1787">
        <v>613.4</v>
      </c>
      <c r="S1787">
        <v>678.05899999999997</v>
      </c>
      <c r="T1787">
        <v>754.61900000000003</v>
      </c>
      <c r="U1787">
        <v>837.82299999999998</v>
      </c>
      <c r="V1787">
        <v>927.41</v>
      </c>
      <c r="W1787">
        <v>1023.034</v>
      </c>
      <c r="X1787">
        <v>1124.3409999999999</v>
      </c>
      <c r="Y1787">
        <v>1230.8219999999999</v>
      </c>
      <c r="Z1787">
        <v>1343.5229999999999</v>
      </c>
      <c r="AA1787">
        <v>1462.4459999999999</v>
      </c>
      <c r="AB1787">
        <v>1587.586</v>
      </c>
      <c r="AC1787">
        <v>1718.981</v>
      </c>
      <c r="AD1787">
        <v>1854.377</v>
      </c>
    </row>
    <row r="1788" spans="2:30" x14ac:dyDescent="0.25">
      <c r="B1788" t="s">
        <v>133</v>
      </c>
      <c r="C1788" t="s">
        <v>3261</v>
      </c>
      <c r="D1788" t="s">
        <v>5344</v>
      </c>
      <c r="E1788" t="s">
        <v>5345</v>
      </c>
      <c r="F1788" t="s">
        <v>7818</v>
      </c>
      <c r="G1788" t="s">
        <v>3890</v>
      </c>
      <c r="H1788" t="s">
        <v>109</v>
      </c>
      <c r="I1788" t="s">
        <v>108</v>
      </c>
      <c r="J1788">
        <v>2</v>
      </c>
      <c r="K1788">
        <v>1921.182</v>
      </c>
      <c r="L1788">
        <v>1978.2729999999999</v>
      </c>
      <c r="M1788">
        <v>2706.33</v>
      </c>
      <c r="N1788">
        <v>2725.7469999999998</v>
      </c>
      <c r="O1788">
        <v>2743.748</v>
      </c>
      <c r="P1788">
        <v>2766.3090000000002</v>
      </c>
      <c r="Q1788">
        <v>2794.2820000000002</v>
      </c>
      <c r="R1788">
        <v>2819.67</v>
      </c>
      <c r="S1788">
        <v>2841.748</v>
      </c>
      <c r="T1788">
        <v>2863.1790000000001</v>
      </c>
      <c r="U1788">
        <v>2884.1219999999998</v>
      </c>
      <c r="V1788">
        <v>2904.5949999999998</v>
      </c>
      <c r="W1788">
        <v>2924.873</v>
      </c>
      <c r="X1788">
        <v>2945.1129999999998</v>
      </c>
      <c r="Y1788">
        <v>2965.4929999999999</v>
      </c>
      <c r="Z1788">
        <v>2986.259</v>
      </c>
      <c r="AA1788">
        <v>3007.616</v>
      </c>
      <c r="AB1788">
        <v>3029.6509999999998</v>
      </c>
      <c r="AC1788">
        <v>3052.3719999999998</v>
      </c>
      <c r="AD1788">
        <v>3075.607</v>
      </c>
    </row>
    <row r="1789" spans="2:30" x14ac:dyDescent="0.25">
      <c r="B1789" t="s">
        <v>133</v>
      </c>
      <c r="C1789" t="s">
        <v>3261</v>
      </c>
      <c r="D1789" t="s">
        <v>5347</v>
      </c>
      <c r="E1789" t="s">
        <v>5348</v>
      </c>
      <c r="F1789" t="s">
        <v>7819</v>
      </c>
      <c r="G1789" t="s">
        <v>3890</v>
      </c>
      <c r="H1789" t="s">
        <v>109</v>
      </c>
      <c r="I1789" t="s">
        <v>108</v>
      </c>
      <c r="J1789">
        <v>2</v>
      </c>
      <c r="K1789">
        <v>11076.89</v>
      </c>
      <c r="L1789">
        <v>9504.23</v>
      </c>
      <c r="M1789">
        <v>10463.352999999999</v>
      </c>
      <c r="N1789">
        <v>10876.838</v>
      </c>
      <c r="O1789">
        <v>11285.308000000001</v>
      </c>
      <c r="P1789">
        <v>11772.002</v>
      </c>
      <c r="Q1789">
        <v>12356.561</v>
      </c>
      <c r="R1789">
        <v>12926.275</v>
      </c>
      <c r="S1789">
        <v>13466.227999999999</v>
      </c>
      <c r="T1789">
        <v>14015.373</v>
      </c>
      <c r="U1789">
        <v>14575.964</v>
      </c>
      <c r="V1789">
        <v>15148.137000000001</v>
      </c>
      <c r="W1789">
        <v>15736.666999999999</v>
      </c>
      <c r="X1789">
        <v>16344.727999999999</v>
      </c>
      <c r="Y1789">
        <v>16976.293000000001</v>
      </c>
      <c r="Z1789">
        <v>17637.080999999998</v>
      </c>
      <c r="AA1789">
        <v>18332.663</v>
      </c>
      <c r="AB1789">
        <v>19066.678</v>
      </c>
      <c r="AC1789">
        <v>19841.428</v>
      </c>
      <c r="AD1789">
        <v>20655.367999999999</v>
      </c>
    </row>
    <row r="1790" spans="2:30" x14ac:dyDescent="0.25">
      <c r="B1790" t="s">
        <v>133</v>
      </c>
      <c r="C1790" t="s">
        <v>3261</v>
      </c>
      <c r="D1790" t="s">
        <v>5350</v>
      </c>
      <c r="E1790" t="s">
        <v>5351</v>
      </c>
      <c r="F1790" t="s">
        <v>7820</v>
      </c>
      <c r="G1790" t="s">
        <v>3890</v>
      </c>
      <c r="H1790" t="s">
        <v>109</v>
      </c>
      <c r="I1790" t="s">
        <v>108</v>
      </c>
      <c r="J1790">
        <v>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2:30" x14ac:dyDescent="0.25">
      <c r="B1791" t="s">
        <v>133</v>
      </c>
      <c r="C1791" t="s">
        <v>3261</v>
      </c>
      <c r="D1791" t="s">
        <v>5353</v>
      </c>
      <c r="E1791" t="s">
        <v>5158</v>
      </c>
      <c r="F1791" t="s">
        <v>7762</v>
      </c>
      <c r="G1791" t="s">
        <v>3890</v>
      </c>
      <c r="H1791" t="s">
        <v>109</v>
      </c>
      <c r="I1791" t="s">
        <v>108</v>
      </c>
      <c r="J1791">
        <v>2</v>
      </c>
      <c r="K1791">
        <v>7404.3140000000003</v>
      </c>
      <c r="L1791">
        <v>7147.93</v>
      </c>
      <c r="M1791">
        <v>7001.1750000000002</v>
      </c>
      <c r="N1791">
        <v>6753.6639999999998</v>
      </c>
      <c r="O1791">
        <v>6886.5370000000003</v>
      </c>
      <c r="P1791">
        <v>7548.8450000000003</v>
      </c>
      <c r="Q1791">
        <v>8264.5689999999995</v>
      </c>
      <c r="R1791">
        <v>9039.0779999999995</v>
      </c>
      <c r="S1791">
        <v>9963.2430000000004</v>
      </c>
      <c r="T1791">
        <v>11056.718999999999</v>
      </c>
      <c r="U1791">
        <v>12240.299000000001</v>
      </c>
      <c r="V1791">
        <v>13509.203</v>
      </c>
      <c r="W1791">
        <v>14858.413</v>
      </c>
      <c r="X1791">
        <v>16282.18</v>
      </c>
      <c r="Y1791">
        <v>17772.594000000001</v>
      </c>
      <c r="Z1791">
        <v>19343.823</v>
      </c>
      <c r="AA1791">
        <v>20995.041000000001</v>
      </c>
      <c r="AB1791">
        <v>22725.261999999999</v>
      </c>
      <c r="AC1791">
        <v>24534.062000000002</v>
      </c>
      <c r="AD1791">
        <v>26387.567999999999</v>
      </c>
    </row>
    <row r="1792" spans="2:30" x14ac:dyDescent="0.25">
      <c r="B1792" t="s">
        <v>133</v>
      </c>
      <c r="C1792" t="s">
        <v>3261</v>
      </c>
      <c r="D1792" t="s">
        <v>5354</v>
      </c>
      <c r="E1792" t="s">
        <v>5355</v>
      </c>
      <c r="F1792" t="s">
        <v>7821</v>
      </c>
      <c r="G1792" t="s">
        <v>3890</v>
      </c>
      <c r="H1792" t="s">
        <v>109</v>
      </c>
      <c r="I1792" t="s">
        <v>108</v>
      </c>
      <c r="J1792">
        <v>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2:30" x14ac:dyDescent="0.25">
      <c r="B1793" t="s">
        <v>133</v>
      </c>
      <c r="C1793" t="s">
        <v>3261</v>
      </c>
      <c r="D1793" t="s">
        <v>5357</v>
      </c>
      <c r="E1793" t="s">
        <v>5358</v>
      </c>
      <c r="F1793" t="s">
        <v>7822</v>
      </c>
      <c r="G1793" t="s">
        <v>3890</v>
      </c>
      <c r="H1793" t="s">
        <v>109</v>
      </c>
      <c r="I1793" t="s">
        <v>108</v>
      </c>
      <c r="J1793">
        <v>2</v>
      </c>
      <c r="K1793">
        <v>7404.3140000000003</v>
      </c>
      <c r="L1793">
        <v>7147.93</v>
      </c>
      <c r="M1793">
        <v>7001.1750000000002</v>
      </c>
      <c r="N1793">
        <v>6753.6639999999998</v>
      </c>
      <c r="O1793">
        <v>6886.5370000000003</v>
      </c>
      <c r="P1793">
        <v>7548.8450000000003</v>
      </c>
      <c r="Q1793">
        <v>8264.5689999999995</v>
      </c>
      <c r="R1793">
        <v>9039.0779999999995</v>
      </c>
      <c r="S1793">
        <v>9963.2430000000004</v>
      </c>
      <c r="T1793">
        <v>11056.718999999999</v>
      </c>
      <c r="U1793">
        <v>12240.299000000001</v>
      </c>
      <c r="V1793">
        <v>13509.203</v>
      </c>
      <c r="W1793">
        <v>14858.413</v>
      </c>
      <c r="X1793">
        <v>16282.18</v>
      </c>
      <c r="Y1793">
        <v>17772.594000000001</v>
      </c>
      <c r="Z1793">
        <v>19343.823</v>
      </c>
      <c r="AA1793">
        <v>20995.041000000001</v>
      </c>
      <c r="AB1793">
        <v>22725.261999999999</v>
      </c>
      <c r="AC1793">
        <v>24534.062000000002</v>
      </c>
      <c r="AD1793">
        <v>26387.567999999999</v>
      </c>
    </row>
    <row r="1794" spans="2:30" x14ac:dyDescent="0.25">
      <c r="B1794" t="s">
        <v>133</v>
      </c>
      <c r="C1794" t="s">
        <v>3261</v>
      </c>
      <c r="D1794" t="s">
        <v>5360</v>
      </c>
      <c r="E1794" t="s">
        <v>5361</v>
      </c>
      <c r="F1794" t="s">
        <v>7823</v>
      </c>
      <c r="G1794" t="s">
        <v>3890</v>
      </c>
      <c r="H1794" t="s">
        <v>109</v>
      </c>
      <c r="I1794" t="s">
        <v>108</v>
      </c>
      <c r="J1794">
        <v>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2:30" x14ac:dyDescent="0.25">
      <c r="B1795" t="s">
        <v>133</v>
      </c>
      <c r="C1795" t="s">
        <v>3261</v>
      </c>
      <c r="D1795" t="s">
        <v>5363</v>
      </c>
      <c r="E1795" t="s">
        <v>5364</v>
      </c>
      <c r="F1795" t="s">
        <v>7824</v>
      </c>
      <c r="G1795" t="s">
        <v>3890</v>
      </c>
      <c r="H1795" t="s">
        <v>109</v>
      </c>
      <c r="I1795" t="s">
        <v>108</v>
      </c>
      <c r="J1795">
        <v>2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</row>
    <row r="1796" spans="2:30" x14ac:dyDescent="0.25">
      <c r="B1796" t="s">
        <v>133</v>
      </c>
      <c r="C1796" t="s">
        <v>3261</v>
      </c>
      <c r="D1796" t="s">
        <v>5366</v>
      </c>
      <c r="E1796" t="s">
        <v>5367</v>
      </c>
      <c r="F1796" t="s">
        <v>7825</v>
      </c>
      <c r="G1796" t="s">
        <v>3890</v>
      </c>
      <c r="H1796" t="s">
        <v>109</v>
      </c>
      <c r="I1796" t="s">
        <v>108</v>
      </c>
      <c r="J1796">
        <v>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</row>
    <row r="1797" spans="2:30" x14ac:dyDescent="0.25">
      <c r="B1797" t="s">
        <v>133</v>
      </c>
      <c r="C1797" t="s">
        <v>3261</v>
      </c>
      <c r="D1797" t="s">
        <v>5369</v>
      </c>
      <c r="E1797" t="s">
        <v>5161</v>
      </c>
      <c r="F1797" t="s">
        <v>7763</v>
      </c>
      <c r="G1797" t="s">
        <v>3890</v>
      </c>
      <c r="H1797" t="s">
        <v>109</v>
      </c>
      <c r="I1797" t="s">
        <v>108</v>
      </c>
      <c r="J1797">
        <v>2</v>
      </c>
      <c r="K1797">
        <v>15214.834999999999</v>
      </c>
      <c r="L1797">
        <v>16168.272999999999</v>
      </c>
      <c r="M1797">
        <v>17468.254000000001</v>
      </c>
      <c r="N1797">
        <v>17210.601999999999</v>
      </c>
      <c r="O1797">
        <v>17931.196</v>
      </c>
      <c r="P1797">
        <v>19045.128000000001</v>
      </c>
      <c r="Q1797">
        <v>20275.214</v>
      </c>
      <c r="R1797">
        <v>21586.353999999999</v>
      </c>
      <c r="S1797">
        <v>23101.736000000001</v>
      </c>
      <c r="T1797">
        <v>24868.873</v>
      </c>
      <c r="U1797">
        <v>26782.701000000001</v>
      </c>
      <c r="V1797">
        <v>28837.154999999999</v>
      </c>
      <c r="W1797">
        <v>31014.969000000001</v>
      </c>
      <c r="X1797">
        <v>33324.341999999997</v>
      </c>
      <c r="Y1797">
        <v>35762.463000000003</v>
      </c>
      <c r="Z1797">
        <v>38345.279000000002</v>
      </c>
      <c r="AA1797">
        <v>41077.374000000003</v>
      </c>
      <c r="AB1797">
        <v>43966.169000000002</v>
      </c>
      <c r="AC1797">
        <v>47020.101999999999</v>
      </c>
      <c r="AD1797">
        <v>50231.18</v>
      </c>
    </row>
    <row r="1798" spans="2:30" x14ac:dyDescent="0.25">
      <c r="B1798" t="s">
        <v>133</v>
      </c>
      <c r="C1798" t="s">
        <v>3261</v>
      </c>
      <c r="D1798" t="s">
        <v>5370</v>
      </c>
      <c r="E1798" t="s">
        <v>5371</v>
      </c>
      <c r="F1798" t="s">
        <v>7826</v>
      </c>
      <c r="G1798" t="s">
        <v>3890</v>
      </c>
      <c r="H1798" t="s">
        <v>109</v>
      </c>
      <c r="I1798" t="s">
        <v>108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2:30" x14ac:dyDescent="0.25">
      <c r="B1799" t="s">
        <v>133</v>
      </c>
      <c r="C1799" t="s">
        <v>3261</v>
      </c>
      <c r="D1799" t="s">
        <v>5373</v>
      </c>
      <c r="E1799" t="s">
        <v>5374</v>
      </c>
      <c r="F1799" t="s">
        <v>7827</v>
      </c>
      <c r="G1799" t="s">
        <v>3890</v>
      </c>
      <c r="H1799" t="s">
        <v>109</v>
      </c>
      <c r="I1799" t="s">
        <v>108</v>
      </c>
      <c r="J1799">
        <v>2</v>
      </c>
      <c r="K1799">
        <v>10010.589</v>
      </c>
      <c r="L1799">
        <v>9837.6170000000002</v>
      </c>
      <c r="M1799">
        <v>9543.0020000000004</v>
      </c>
      <c r="N1799">
        <v>9122.26</v>
      </c>
      <c r="O1799">
        <v>9684.2070000000003</v>
      </c>
      <c r="P1799">
        <v>10613.831</v>
      </c>
      <c r="Q1799">
        <v>11628.550999999999</v>
      </c>
      <c r="R1799">
        <v>12733.833000000001</v>
      </c>
      <c r="S1799">
        <v>14057.252</v>
      </c>
      <c r="T1799">
        <v>15632.666999999999</v>
      </c>
      <c r="U1799">
        <v>17354.246999999999</v>
      </c>
      <c r="V1799">
        <v>19215.894</v>
      </c>
      <c r="W1799">
        <v>21198.862000000001</v>
      </c>
      <c r="X1799">
        <v>23310.465</v>
      </c>
      <c r="Y1799">
        <v>25546.827000000001</v>
      </c>
      <c r="Z1799">
        <v>27922.397000000001</v>
      </c>
      <c r="AA1799">
        <v>30440.407999999999</v>
      </c>
      <c r="AB1799">
        <v>33107.589</v>
      </c>
      <c r="AC1799">
        <v>35932.120000000003</v>
      </c>
      <c r="AD1799">
        <v>38906.837</v>
      </c>
    </row>
    <row r="1800" spans="2:30" x14ac:dyDescent="0.25">
      <c r="B1800" t="s">
        <v>133</v>
      </c>
      <c r="C1800" t="s">
        <v>3261</v>
      </c>
      <c r="D1800" t="s">
        <v>5376</v>
      </c>
      <c r="E1800" t="s">
        <v>5377</v>
      </c>
      <c r="F1800" t="s">
        <v>7828</v>
      </c>
      <c r="G1800" t="s">
        <v>3890</v>
      </c>
      <c r="H1800" t="s">
        <v>109</v>
      </c>
      <c r="I1800" t="s">
        <v>108</v>
      </c>
      <c r="J1800">
        <v>2</v>
      </c>
      <c r="K1800">
        <v>875.27200000000005</v>
      </c>
      <c r="L1800">
        <v>1064.7159999999999</v>
      </c>
      <c r="M1800">
        <v>1332.902</v>
      </c>
      <c r="N1800">
        <v>1360.3309999999999</v>
      </c>
      <c r="O1800">
        <v>1387.0129999999999</v>
      </c>
      <c r="P1800">
        <v>1418.011</v>
      </c>
      <c r="Q1800">
        <v>1454.232</v>
      </c>
      <c r="R1800">
        <v>1488.854</v>
      </c>
      <c r="S1800">
        <v>1521.1389999999999</v>
      </c>
      <c r="T1800">
        <v>1553.384</v>
      </c>
      <c r="U1800">
        <v>1585.7170000000001</v>
      </c>
      <c r="V1800">
        <v>1618.144</v>
      </c>
      <c r="W1800">
        <v>1650.914</v>
      </c>
      <c r="X1800">
        <v>1684.1759999999999</v>
      </c>
      <c r="Y1800">
        <v>1718.1089999999999</v>
      </c>
      <c r="Z1800">
        <v>1752.9639999999999</v>
      </c>
      <c r="AA1800">
        <v>1788.97</v>
      </c>
      <c r="AB1800">
        <v>1826.242</v>
      </c>
      <c r="AC1800">
        <v>1864.8240000000001</v>
      </c>
      <c r="AD1800">
        <v>1904.576</v>
      </c>
    </row>
    <row r="1801" spans="2:30" x14ac:dyDescent="0.25">
      <c r="B1801" t="s">
        <v>133</v>
      </c>
      <c r="C1801" t="s">
        <v>3261</v>
      </c>
      <c r="D1801" t="s">
        <v>5379</v>
      </c>
      <c r="E1801" t="s">
        <v>5380</v>
      </c>
      <c r="F1801" t="s">
        <v>7829</v>
      </c>
      <c r="G1801" t="s">
        <v>3890</v>
      </c>
      <c r="H1801" t="s">
        <v>109</v>
      </c>
      <c r="I1801" t="s">
        <v>108</v>
      </c>
      <c r="J1801">
        <v>2</v>
      </c>
      <c r="K1801">
        <v>4328.9740000000002</v>
      </c>
      <c r="L1801">
        <v>5265.94</v>
      </c>
      <c r="M1801">
        <v>6592.35</v>
      </c>
      <c r="N1801">
        <v>6728.01</v>
      </c>
      <c r="O1801">
        <v>6859.9750000000004</v>
      </c>
      <c r="P1801">
        <v>7013.2860000000001</v>
      </c>
      <c r="Q1801">
        <v>7192.4309999999996</v>
      </c>
      <c r="R1801">
        <v>7363.6670000000004</v>
      </c>
      <c r="S1801">
        <v>7523.3440000000001</v>
      </c>
      <c r="T1801">
        <v>7682.8220000000001</v>
      </c>
      <c r="U1801">
        <v>7842.7370000000001</v>
      </c>
      <c r="V1801">
        <v>8003.116</v>
      </c>
      <c r="W1801">
        <v>8165.192</v>
      </c>
      <c r="X1801">
        <v>8329.7009999999991</v>
      </c>
      <c r="Y1801">
        <v>8497.527</v>
      </c>
      <c r="Z1801">
        <v>8669.9179999999997</v>
      </c>
      <c r="AA1801">
        <v>8847.9959999999992</v>
      </c>
      <c r="AB1801">
        <v>9032.3379999999997</v>
      </c>
      <c r="AC1801">
        <v>9223.1579999999994</v>
      </c>
      <c r="AD1801">
        <v>9419.768</v>
      </c>
    </row>
    <row r="1802" spans="2:30" x14ac:dyDescent="0.25">
      <c r="B1802" t="s">
        <v>133</v>
      </c>
      <c r="C1802" t="s">
        <v>3261</v>
      </c>
      <c r="D1802" t="s">
        <v>5382</v>
      </c>
      <c r="E1802" t="s">
        <v>5383</v>
      </c>
      <c r="F1802" t="s">
        <v>7830</v>
      </c>
      <c r="G1802" t="s">
        <v>3890</v>
      </c>
      <c r="H1802" t="s">
        <v>109</v>
      </c>
      <c r="I1802" t="s">
        <v>108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2:30" x14ac:dyDescent="0.25">
      <c r="B1803" t="s">
        <v>133</v>
      </c>
      <c r="C1803" t="s">
        <v>3261</v>
      </c>
      <c r="D1803" t="s">
        <v>5385</v>
      </c>
      <c r="E1803" t="s">
        <v>5164</v>
      </c>
      <c r="F1803" t="s">
        <v>7764</v>
      </c>
      <c r="G1803" t="s">
        <v>3890</v>
      </c>
      <c r="H1803" t="s">
        <v>109</v>
      </c>
      <c r="I1803" t="s">
        <v>108</v>
      </c>
      <c r="J1803">
        <v>2</v>
      </c>
      <c r="K1803">
        <v>5389.2640000000001</v>
      </c>
      <c r="L1803">
        <v>6059.357</v>
      </c>
      <c r="M1803">
        <v>7304.8469999999998</v>
      </c>
      <c r="N1803">
        <v>7485.0290000000005</v>
      </c>
      <c r="O1803">
        <v>7660.826</v>
      </c>
      <c r="P1803">
        <v>7867.7740000000003</v>
      </c>
      <c r="Q1803">
        <v>8112.866</v>
      </c>
      <c r="R1803">
        <v>8348.1219999999994</v>
      </c>
      <c r="S1803">
        <v>8567.9850000000006</v>
      </c>
      <c r="T1803">
        <v>8788.7279999999992</v>
      </c>
      <c r="U1803">
        <v>9011.2659999999996</v>
      </c>
      <c r="V1803">
        <v>9235.6370000000006</v>
      </c>
      <c r="W1803">
        <v>9463.67</v>
      </c>
      <c r="X1803">
        <v>9696.4979999999996</v>
      </c>
      <c r="Y1803">
        <v>9935.5</v>
      </c>
      <c r="Z1803">
        <v>10182.641</v>
      </c>
      <c r="AA1803">
        <v>10439.74</v>
      </c>
      <c r="AB1803">
        <v>10707.822</v>
      </c>
      <c r="AC1803">
        <v>10987.382</v>
      </c>
      <c r="AD1803">
        <v>11277.522000000001</v>
      </c>
    </row>
    <row r="1804" spans="2:30" x14ac:dyDescent="0.25">
      <c r="B1804" t="s">
        <v>133</v>
      </c>
      <c r="C1804" t="s">
        <v>3261</v>
      </c>
      <c r="D1804" t="s">
        <v>5386</v>
      </c>
      <c r="E1804" t="s">
        <v>5387</v>
      </c>
      <c r="F1804" t="s">
        <v>7831</v>
      </c>
      <c r="G1804" t="s">
        <v>3890</v>
      </c>
      <c r="H1804" t="s">
        <v>109</v>
      </c>
      <c r="I1804" t="s">
        <v>108</v>
      </c>
      <c r="J1804">
        <v>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2:30" x14ac:dyDescent="0.25">
      <c r="B1805" t="s">
        <v>133</v>
      </c>
      <c r="C1805" t="s">
        <v>3261</v>
      </c>
      <c r="D1805" t="s">
        <v>5389</v>
      </c>
      <c r="E1805" t="s">
        <v>5390</v>
      </c>
      <c r="F1805" t="s">
        <v>7832</v>
      </c>
      <c r="G1805" t="s">
        <v>3890</v>
      </c>
      <c r="H1805" t="s">
        <v>109</v>
      </c>
      <c r="I1805" t="s">
        <v>108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2:30" x14ac:dyDescent="0.25">
      <c r="B1806" t="s">
        <v>133</v>
      </c>
      <c r="C1806" t="s">
        <v>3261</v>
      </c>
      <c r="D1806" t="s">
        <v>5392</v>
      </c>
      <c r="E1806" t="s">
        <v>5393</v>
      </c>
      <c r="F1806" t="s">
        <v>7833</v>
      </c>
      <c r="G1806" t="s">
        <v>3890</v>
      </c>
      <c r="H1806" t="s">
        <v>109</v>
      </c>
      <c r="I1806" t="s">
        <v>108</v>
      </c>
      <c r="J1806">
        <v>2</v>
      </c>
      <c r="K1806">
        <v>3107.4549999999999</v>
      </c>
      <c r="L1806">
        <v>3427.6979999999999</v>
      </c>
      <c r="M1806">
        <v>4102.9210000000003</v>
      </c>
      <c r="N1806">
        <v>4179.0079999999998</v>
      </c>
      <c r="O1806">
        <v>4252.4840000000004</v>
      </c>
      <c r="P1806">
        <v>4338.8559999999998</v>
      </c>
      <c r="Q1806">
        <v>4440.8180000000002</v>
      </c>
      <c r="R1806">
        <v>4537.482</v>
      </c>
      <c r="S1806">
        <v>4626.6360000000004</v>
      </c>
      <c r="T1806">
        <v>4715.2939999999999</v>
      </c>
      <c r="U1806">
        <v>4803.8469999999998</v>
      </c>
      <c r="V1806">
        <v>4892.3130000000001</v>
      </c>
      <c r="W1806">
        <v>4981.442</v>
      </c>
      <c r="X1806">
        <v>5071.6779999999999</v>
      </c>
      <c r="Y1806">
        <v>5163.55</v>
      </c>
      <c r="Z1806">
        <v>5257.8040000000001</v>
      </c>
      <c r="AA1806">
        <v>5355.1040000000003</v>
      </c>
      <c r="AB1806">
        <v>5455.7790000000005</v>
      </c>
      <c r="AC1806">
        <v>5559.9359999999997</v>
      </c>
      <c r="AD1806">
        <v>5667.1390000000001</v>
      </c>
    </row>
    <row r="1807" spans="2:30" x14ac:dyDescent="0.25">
      <c r="B1807" t="s">
        <v>133</v>
      </c>
      <c r="C1807" t="s">
        <v>3261</v>
      </c>
      <c r="D1807" t="s">
        <v>5395</v>
      </c>
      <c r="E1807" t="s">
        <v>5396</v>
      </c>
      <c r="F1807" t="s">
        <v>7834</v>
      </c>
      <c r="G1807" t="s">
        <v>3890</v>
      </c>
      <c r="H1807" t="s">
        <v>109</v>
      </c>
      <c r="I1807" t="s">
        <v>108</v>
      </c>
      <c r="J1807">
        <v>2</v>
      </c>
      <c r="K1807">
        <v>2281.8090000000002</v>
      </c>
      <c r="L1807">
        <v>2631.6590000000001</v>
      </c>
      <c r="M1807">
        <v>3201.9259999999999</v>
      </c>
      <c r="N1807">
        <v>3306.0210000000002</v>
      </c>
      <c r="O1807">
        <v>3408.3420000000001</v>
      </c>
      <c r="P1807">
        <v>3528.9180000000001</v>
      </c>
      <c r="Q1807">
        <v>3672.0479999999998</v>
      </c>
      <c r="R1807">
        <v>3810.64</v>
      </c>
      <c r="S1807">
        <v>3941.3490000000002</v>
      </c>
      <c r="T1807">
        <v>4073.4340000000002</v>
      </c>
      <c r="U1807">
        <v>4207.4189999999999</v>
      </c>
      <c r="V1807">
        <v>4343.3239999999996</v>
      </c>
      <c r="W1807">
        <v>4482.2280000000001</v>
      </c>
      <c r="X1807">
        <v>4624.82</v>
      </c>
      <c r="Y1807">
        <v>4771.95</v>
      </c>
      <c r="Z1807">
        <v>4924.8370000000004</v>
      </c>
      <c r="AA1807">
        <v>5084.6360000000004</v>
      </c>
      <c r="AB1807">
        <v>5252.0439999999999</v>
      </c>
      <c r="AC1807">
        <v>5427.4459999999999</v>
      </c>
      <c r="AD1807">
        <v>5610.3829999999998</v>
      </c>
    </row>
    <row r="1808" spans="2:30" x14ac:dyDescent="0.25">
      <c r="B1808" t="s">
        <v>133</v>
      </c>
      <c r="C1808" t="s">
        <v>3261</v>
      </c>
      <c r="D1808" t="s">
        <v>5398</v>
      </c>
      <c r="E1808" t="s">
        <v>5399</v>
      </c>
      <c r="F1808" t="s">
        <v>7835</v>
      </c>
      <c r="G1808" t="s">
        <v>3890</v>
      </c>
      <c r="H1808" t="s">
        <v>109</v>
      </c>
      <c r="I1808" t="s">
        <v>108</v>
      </c>
      <c r="J1808">
        <v>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2:30" x14ac:dyDescent="0.25">
      <c r="B1809" t="s">
        <v>133</v>
      </c>
      <c r="C1809" t="s">
        <v>3261</v>
      </c>
      <c r="D1809" t="s">
        <v>5401</v>
      </c>
      <c r="E1809" t="s">
        <v>5167</v>
      </c>
      <c r="F1809" t="s">
        <v>7765</v>
      </c>
      <c r="G1809" t="s">
        <v>3890</v>
      </c>
      <c r="H1809" t="s">
        <v>109</v>
      </c>
      <c r="I1809" t="s">
        <v>108</v>
      </c>
      <c r="J1809">
        <v>2</v>
      </c>
      <c r="K1809">
        <v>659.322</v>
      </c>
      <c r="L1809">
        <v>771.90700000000004</v>
      </c>
      <c r="M1809">
        <v>857.73800000000006</v>
      </c>
      <c r="N1809">
        <v>889.11699999999996</v>
      </c>
      <c r="O1809">
        <v>920.298</v>
      </c>
      <c r="P1809">
        <v>957.94299999999998</v>
      </c>
      <c r="Q1809">
        <v>1003.823</v>
      </c>
      <c r="R1809">
        <v>1048.925</v>
      </c>
      <c r="S1809">
        <v>1091.9870000000001</v>
      </c>
      <c r="T1809">
        <v>1136.029</v>
      </c>
      <c r="U1809">
        <v>1181.0719999999999</v>
      </c>
      <c r="V1809">
        <v>1227.1289999999999</v>
      </c>
      <c r="W1809">
        <v>1274.6010000000001</v>
      </c>
      <c r="X1809">
        <v>1323.761</v>
      </c>
      <c r="Y1809">
        <v>1374.952</v>
      </c>
      <c r="Z1809">
        <v>1428.665</v>
      </c>
      <c r="AA1809">
        <v>1485.3820000000001</v>
      </c>
      <c r="AB1809">
        <v>1545.423</v>
      </c>
      <c r="AC1809">
        <v>1608.9929999999999</v>
      </c>
      <c r="AD1809">
        <v>1675.963</v>
      </c>
    </row>
    <row r="1810" spans="2:30" x14ac:dyDescent="0.25">
      <c r="B1810" t="s">
        <v>133</v>
      </c>
      <c r="C1810" t="s">
        <v>3261</v>
      </c>
      <c r="D1810" t="s">
        <v>5402</v>
      </c>
      <c r="E1810" t="s">
        <v>5403</v>
      </c>
      <c r="F1810" t="s">
        <v>7836</v>
      </c>
      <c r="G1810" t="s">
        <v>3890</v>
      </c>
      <c r="H1810" t="s">
        <v>109</v>
      </c>
      <c r="I1810" t="s">
        <v>108</v>
      </c>
      <c r="J1810">
        <v>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2:30" x14ac:dyDescent="0.25">
      <c r="B1811" t="s">
        <v>133</v>
      </c>
      <c r="C1811" t="s">
        <v>3261</v>
      </c>
      <c r="D1811" t="s">
        <v>5405</v>
      </c>
      <c r="E1811" t="s">
        <v>5406</v>
      </c>
      <c r="F1811" t="s">
        <v>7837</v>
      </c>
      <c r="G1811" t="s">
        <v>3890</v>
      </c>
      <c r="H1811" t="s">
        <v>109</v>
      </c>
      <c r="I1811" t="s">
        <v>108</v>
      </c>
      <c r="J1811">
        <v>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2:30" x14ac:dyDescent="0.25">
      <c r="B1812" t="s">
        <v>133</v>
      </c>
      <c r="C1812" t="s">
        <v>3261</v>
      </c>
      <c r="D1812" t="s">
        <v>5408</v>
      </c>
      <c r="E1812" t="s">
        <v>5409</v>
      </c>
      <c r="F1812" t="s">
        <v>7838</v>
      </c>
      <c r="G1812" t="s">
        <v>3890</v>
      </c>
      <c r="H1812" t="s">
        <v>109</v>
      </c>
      <c r="I1812" t="s">
        <v>108</v>
      </c>
      <c r="J1812">
        <v>2</v>
      </c>
      <c r="K1812">
        <v>3</v>
      </c>
      <c r="L1812">
        <v>3.181</v>
      </c>
      <c r="M1812">
        <v>3.6320000000000001</v>
      </c>
      <c r="N1812">
        <v>3.7050000000000001</v>
      </c>
      <c r="O1812">
        <v>3.7759999999999998</v>
      </c>
      <c r="P1812">
        <v>3.859</v>
      </c>
      <c r="Q1812">
        <v>3.9569999999999999</v>
      </c>
      <c r="R1812">
        <v>4.0510000000000002</v>
      </c>
      <c r="S1812">
        <v>4.1379999999999999</v>
      </c>
      <c r="T1812">
        <v>4.2240000000000002</v>
      </c>
      <c r="U1812">
        <v>4.3109999999999999</v>
      </c>
      <c r="V1812">
        <v>4.3979999999999997</v>
      </c>
      <c r="W1812">
        <v>4.4850000000000003</v>
      </c>
      <c r="X1812">
        <v>4.5739999999999998</v>
      </c>
      <c r="Y1812">
        <v>4.665</v>
      </c>
      <c r="Z1812">
        <v>4.7590000000000003</v>
      </c>
      <c r="AA1812">
        <v>4.8559999999999999</v>
      </c>
      <c r="AB1812">
        <v>4.9560000000000004</v>
      </c>
      <c r="AC1812">
        <v>5.0599999999999996</v>
      </c>
      <c r="AD1812">
        <v>5.1680000000000001</v>
      </c>
    </row>
    <row r="1813" spans="2:30" x14ac:dyDescent="0.25">
      <c r="B1813" t="s">
        <v>133</v>
      </c>
      <c r="C1813" t="s">
        <v>3261</v>
      </c>
      <c r="D1813" t="s">
        <v>5411</v>
      </c>
      <c r="E1813" t="s">
        <v>5412</v>
      </c>
      <c r="F1813" t="s">
        <v>7839</v>
      </c>
      <c r="G1813" t="s">
        <v>3890</v>
      </c>
      <c r="H1813" t="s">
        <v>109</v>
      </c>
      <c r="I1813" t="s">
        <v>108</v>
      </c>
      <c r="J1813">
        <v>2</v>
      </c>
      <c r="K1813">
        <v>4</v>
      </c>
      <c r="L1813">
        <v>4.3959999999999999</v>
      </c>
      <c r="M1813">
        <v>5.07</v>
      </c>
      <c r="N1813">
        <v>5.234</v>
      </c>
      <c r="O1813">
        <v>5.3959999999999999</v>
      </c>
      <c r="P1813">
        <v>5.5869999999999997</v>
      </c>
      <c r="Q1813">
        <v>5.8140000000000001</v>
      </c>
      <c r="R1813">
        <v>6.0330000000000004</v>
      </c>
      <c r="S1813">
        <v>6.24</v>
      </c>
      <c r="T1813">
        <v>6.4489999999999998</v>
      </c>
      <c r="U1813">
        <v>6.6609999999999996</v>
      </c>
      <c r="V1813">
        <v>6.8769999999999998</v>
      </c>
      <c r="W1813">
        <v>7.0970000000000004</v>
      </c>
      <c r="X1813">
        <v>7.3220000000000001</v>
      </c>
      <c r="Y1813">
        <v>7.5549999999999997</v>
      </c>
      <c r="Z1813">
        <v>7.7969999999999997</v>
      </c>
      <c r="AA1813">
        <v>8.0500000000000007</v>
      </c>
      <c r="AB1813">
        <v>8.3149999999999995</v>
      </c>
      <c r="AC1813">
        <v>8.593</v>
      </c>
      <c r="AD1813">
        <v>8.8829999999999991</v>
      </c>
    </row>
    <row r="1814" spans="2:30" x14ac:dyDescent="0.25">
      <c r="B1814" t="s">
        <v>133</v>
      </c>
      <c r="C1814" t="s">
        <v>3261</v>
      </c>
      <c r="D1814" t="s">
        <v>5414</v>
      </c>
      <c r="E1814" t="s">
        <v>5415</v>
      </c>
      <c r="F1814" t="s">
        <v>7840</v>
      </c>
      <c r="G1814" t="s">
        <v>3890</v>
      </c>
      <c r="H1814" t="s">
        <v>109</v>
      </c>
      <c r="I1814" t="s">
        <v>108</v>
      </c>
      <c r="J1814">
        <v>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2:30" x14ac:dyDescent="0.25">
      <c r="B1815" t="s">
        <v>133</v>
      </c>
      <c r="C1815" t="s">
        <v>3261</v>
      </c>
      <c r="D1815" t="s">
        <v>5417</v>
      </c>
      <c r="E1815" t="s">
        <v>5155</v>
      </c>
      <c r="F1815" t="s">
        <v>7761</v>
      </c>
      <c r="G1815" t="s">
        <v>3890</v>
      </c>
      <c r="H1815" t="s">
        <v>109</v>
      </c>
      <c r="I1815" t="s">
        <v>108</v>
      </c>
      <c r="J1815">
        <v>2</v>
      </c>
      <c r="K1815">
        <v>7688.0550000000003</v>
      </c>
      <c r="L1815">
        <v>7382.1220000000003</v>
      </c>
      <c r="M1815">
        <v>7820.5169999999998</v>
      </c>
      <c r="N1815">
        <v>9963.2890000000007</v>
      </c>
      <c r="O1815">
        <v>9996.473</v>
      </c>
      <c r="P1815">
        <v>10040.493</v>
      </c>
      <c r="Q1815">
        <v>10104.35</v>
      </c>
      <c r="R1815">
        <v>10170.844999999999</v>
      </c>
      <c r="S1815">
        <v>10210.246999999999</v>
      </c>
      <c r="T1815">
        <v>10257.066000000001</v>
      </c>
      <c r="U1815">
        <v>10309.558000000001</v>
      </c>
      <c r="V1815">
        <v>10371.459000000001</v>
      </c>
      <c r="W1815">
        <v>10442.575999999999</v>
      </c>
      <c r="X1815">
        <v>10524.306</v>
      </c>
      <c r="Y1815">
        <v>10617.615</v>
      </c>
      <c r="Z1815">
        <v>10724.308999999999</v>
      </c>
      <c r="AA1815">
        <v>10846.119000000001</v>
      </c>
      <c r="AB1815">
        <v>10984.284</v>
      </c>
      <c r="AC1815">
        <v>11139.424000000001</v>
      </c>
      <c r="AD1815">
        <v>11311.023999999999</v>
      </c>
    </row>
    <row r="1816" spans="2:30" x14ac:dyDescent="0.25">
      <c r="B1816" t="s">
        <v>133</v>
      </c>
      <c r="C1816" t="s">
        <v>3261</v>
      </c>
      <c r="D1816" t="s">
        <v>5418</v>
      </c>
      <c r="E1816" t="s">
        <v>5419</v>
      </c>
      <c r="F1816" t="s">
        <v>7841</v>
      </c>
      <c r="G1816" t="s">
        <v>3890</v>
      </c>
      <c r="H1816" t="s">
        <v>109</v>
      </c>
      <c r="I1816" t="s">
        <v>108</v>
      </c>
      <c r="J1816">
        <v>2</v>
      </c>
      <c r="K1816">
        <v>4691.6719999999996</v>
      </c>
      <c r="L1816">
        <v>4566.808</v>
      </c>
      <c r="M1816">
        <v>4436.3280000000004</v>
      </c>
      <c r="N1816">
        <v>5363.9560000000001</v>
      </c>
      <c r="O1816">
        <v>5260.9070000000002</v>
      </c>
      <c r="P1816">
        <v>5144.1360000000004</v>
      </c>
      <c r="Q1816">
        <v>5016.8670000000002</v>
      </c>
      <c r="R1816">
        <v>4898.4859999999999</v>
      </c>
      <c r="S1816">
        <v>4763.7659999999996</v>
      </c>
      <c r="T1816">
        <v>4634.72</v>
      </c>
      <c r="U1816">
        <v>4508.8999999999996</v>
      </c>
      <c r="V1816">
        <v>4390.018</v>
      </c>
      <c r="W1816">
        <v>4276.4279999999999</v>
      </c>
      <c r="X1816">
        <v>4168.6030000000001</v>
      </c>
      <c r="Y1816">
        <v>4066.3710000000001</v>
      </c>
      <c r="Z1816">
        <v>3969.9009999999998</v>
      </c>
      <c r="AA1816">
        <v>3879.3780000000002</v>
      </c>
      <c r="AB1816">
        <v>3795.1129999999998</v>
      </c>
      <c r="AC1816">
        <v>3717.2170000000001</v>
      </c>
      <c r="AD1816">
        <v>3645.8040000000001</v>
      </c>
    </row>
    <row r="1817" spans="2:30" x14ac:dyDescent="0.25">
      <c r="B1817" t="s">
        <v>133</v>
      </c>
      <c r="C1817" t="s">
        <v>3261</v>
      </c>
      <c r="D1817" t="s">
        <v>5421</v>
      </c>
      <c r="E1817" t="s">
        <v>5422</v>
      </c>
      <c r="F1817" t="s">
        <v>7842</v>
      </c>
      <c r="G1817" t="s">
        <v>3890</v>
      </c>
      <c r="H1817" t="s">
        <v>109</v>
      </c>
      <c r="I1817" t="s">
        <v>108</v>
      </c>
      <c r="J1817">
        <v>2</v>
      </c>
      <c r="K1817">
        <v>271.34100000000001</v>
      </c>
      <c r="L1817">
        <v>251.108</v>
      </c>
      <c r="M1817">
        <v>298.85899999999998</v>
      </c>
      <c r="N1817">
        <v>395.57299999999998</v>
      </c>
      <c r="O1817">
        <v>406.19900000000001</v>
      </c>
      <c r="P1817">
        <v>418.90199999999999</v>
      </c>
      <c r="Q1817">
        <v>434.16399999999999</v>
      </c>
      <c r="R1817">
        <v>448.76400000000001</v>
      </c>
      <c r="S1817">
        <v>462.31700000000001</v>
      </c>
      <c r="T1817">
        <v>475.916</v>
      </c>
      <c r="U1817">
        <v>489.62099999999998</v>
      </c>
      <c r="V1817">
        <v>503.43200000000002</v>
      </c>
      <c r="W1817">
        <v>517.47199999999998</v>
      </c>
      <c r="X1817">
        <v>531.81799999999998</v>
      </c>
      <c r="Y1817">
        <v>546.56100000000004</v>
      </c>
      <c r="Z1817">
        <v>561.83500000000004</v>
      </c>
      <c r="AA1817">
        <v>577.76599999999996</v>
      </c>
      <c r="AB1817">
        <v>594.42200000000003</v>
      </c>
      <c r="AC1817">
        <v>611.83900000000006</v>
      </c>
      <c r="AD1817">
        <v>629.95299999999997</v>
      </c>
    </row>
    <row r="1818" spans="2:30" x14ac:dyDescent="0.25">
      <c r="B1818" t="s">
        <v>133</v>
      </c>
      <c r="C1818" t="s">
        <v>3261</v>
      </c>
      <c r="D1818" t="s">
        <v>5424</v>
      </c>
      <c r="E1818" t="s">
        <v>5425</v>
      </c>
      <c r="F1818" t="s">
        <v>7843</v>
      </c>
      <c r="G1818" t="s">
        <v>3890</v>
      </c>
      <c r="H1818" t="s">
        <v>109</v>
      </c>
      <c r="I1818" t="s">
        <v>108</v>
      </c>
      <c r="J1818">
        <v>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2:30" x14ac:dyDescent="0.25">
      <c r="B1819" t="s">
        <v>133</v>
      </c>
      <c r="C1819" t="s">
        <v>3261</v>
      </c>
      <c r="D1819" t="s">
        <v>5427</v>
      </c>
      <c r="E1819" t="s">
        <v>5428</v>
      </c>
      <c r="F1819" t="s">
        <v>7844</v>
      </c>
      <c r="G1819" t="s">
        <v>3890</v>
      </c>
      <c r="H1819" t="s">
        <v>109</v>
      </c>
      <c r="I1819" t="s">
        <v>108</v>
      </c>
      <c r="J1819">
        <v>2</v>
      </c>
      <c r="K1819">
        <v>2631.7759999999998</v>
      </c>
      <c r="L1819">
        <v>2478.98</v>
      </c>
      <c r="M1819">
        <v>2984.6860000000001</v>
      </c>
      <c r="N1819">
        <v>4071.1979999999999</v>
      </c>
      <c r="O1819">
        <v>4197.2</v>
      </c>
      <c r="P1819">
        <v>4345.6840000000002</v>
      </c>
      <c r="Q1819">
        <v>4521.9409999999998</v>
      </c>
      <c r="R1819">
        <v>4692.6099999999997</v>
      </c>
      <c r="S1819">
        <v>4853.5709999999999</v>
      </c>
      <c r="T1819">
        <v>5016.2280000000001</v>
      </c>
      <c r="U1819">
        <v>5181.223</v>
      </c>
      <c r="V1819">
        <v>5348.5829999999996</v>
      </c>
      <c r="W1819">
        <v>5519.6360000000004</v>
      </c>
      <c r="X1819">
        <v>5695.2309999999998</v>
      </c>
      <c r="Y1819">
        <v>5876.4139999999998</v>
      </c>
      <c r="Z1819">
        <v>6064.6869999999999</v>
      </c>
      <c r="AA1819">
        <v>6261.4709999999995</v>
      </c>
      <c r="AB1819">
        <v>6467.6260000000002</v>
      </c>
      <c r="AC1819">
        <v>6683.625</v>
      </c>
      <c r="AD1819">
        <v>6908.902</v>
      </c>
    </row>
    <row r="1820" spans="2:30" x14ac:dyDescent="0.25">
      <c r="B1820" t="s">
        <v>133</v>
      </c>
      <c r="C1820" t="s">
        <v>3261</v>
      </c>
      <c r="D1820" t="s">
        <v>5430</v>
      </c>
      <c r="E1820" t="s">
        <v>5431</v>
      </c>
      <c r="F1820" t="s">
        <v>7845</v>
      </c>
      <c r="G1820" t="s">
        <v>3890</v>
      </c>
      <c r="H1820" t="s">
        <v>109</v>
      </c>
      <c r="I1820" t="s">
        <v>108</v>
      </c>
      <c r="J1820">
        <v>2</v>
      </c>
      <c r="K1820">
        <v>93.265000000000001</v>
      </c>
      <c r="L1820">
        <v>85.225999999999999</v>
      </c>
      <c r="M1820">
        <v>100.645</v>
      </c>
      <c r="N1820">
        <v>132.56200000000001</v>
      </c>
      <c r="O1820">
        <v>132.166</v>
      </c>
      <c r="P1820">
        <v>131.77099999999999</v>
      </c>
      <c r="Q1820">
        <v>131.37799999999999</v>
      </c>
      <c r="R1820">
        <v>130.98500000000001</v>
      </c>
      <c r="S1820">
        <v>130.59399999999999</v>
      </c>
      <c r="T1820">
        <v>130.203</v>
      </c>
      <c r="U1820">
        <v>129.81399999999999</v>
      </c>
      <c r="V1820">
        <v>129.42599999999999</v>
      </c>
      <c r="W1820">
        <v>129.04</v>
      </c>
      <c r="X1820">
        <v>128.654</v>
      </c>
      <c r="Y1820">
        <v>128.27000000000001</v>
      </c>
      <c r="Z1820">
        <v>127.886</v>
      </c>
      <c r="AA1820">
        <v>127.504</v>
      </c>
      <c r="AB1820">
        <v>127.123</v>
      </c>
      <c r="AC1820">
        <v>126.74299999999999</v>
      </c>
      <c r="AD1820">
        <v>126.36499999999999</v>
      </c>
    </row>
    <row r="1821" spans="2:30" x14ac:dyDescent="0.25">
      <c r="B1821" t="s">
        <v>133</v>
      </c>
      <c r="C1821" t="s">
        <v>3261</v>
      </c>
      <c r="D1821" t="s">
        <v>5433</v>
      </c>
      <c r="E1821" t="s">
        <v>5434</v>
      </c>
      <c r="F1821" t="s">
        <v>7846</v>
      </c>
      <c r="G1821" t="s">
        <v>3890</v>
      </c>
      <c r="H1821" t="s">
        <v>109</v>
      </c>
      <c r="I1821" t="s">
        <v>108</v>
      </c>
      <c r="J1821">
        <v>2</v>
      </c>
      <c r="K1821">
        <v>80943.887000000002</v>
      </c>
      <c r="L1821">
        <v>79047.616999999998</v>
      </c>
      <c r="M1821">
        <v>89450.361999999994</v>
      </c>
      <c r="N1821">
        <v>92510.793000000005</v>
      </c>
      <c r="O1821">
        <v>93065.717999999993</v>
      </c>
      <c r="P1821">
        <v>95290.343999999997</v>
      </c>
      <c r="Q1821">
        <v>99127.456999999995</v>
      </c>
      <c r="R1821">
        <v>100591.05100000001</v>
      </c>
      <c r="S1821">
        <v>103530.151</v>
      </c>
      <c r="T1821">
        <v>106779.21400000001</v>
      </c>
      <c r="U1821">
        <v>110723.68399999999</v>
      </c>
      <c r="V1821">
        <v>114978.14</v>
      </c>
      <c r="W1821">
        <v>119677.708</v>
      </c>
      <c r="X1821">
        <v>124788.736</v>
      </c>
      <c r="Y1821">
        <v>130339.50199999999</v>
      </c>
      <c r="Z1821">
        <v>136393.66</v>
      </c>
      <c r="AA1821">
        <v>142993.84299999999</v>
      </c>
      <c r="AB1821">
        <v>150182.71900000001</v>
      </c>
      <c r="AC1821">
        <v>157960.13500000001</v>
      </c>
      <c r="AD1821">
        <v>166078.62700000001</v>
      </c>
    </row>
    <row r="1822" spans="2:30" x14ac:dyDescent="0.25">
      <c r="B1822" t="s">
        <v>133</v>
      </c>
      <c r="C1822" t="s">
        <v>3261</v>
      </c>
      <c r="D1822" t="s">
        <v>5436</v>
      </c>
      <c r="E1822" t="s">
        <v>5176</v>
      </c>
      <c r="F1822" t="s">
        <v>7768</v>
      </c>
      <c r="G1822" t="s">
        <v>3890</v>
      </c>
      <c r="H1822" t="s">
        <v>109</v>
      </c>
      <c r="I1822" t="s">
        <v>108</v>
      </c>
      <c r="J1822">
        <v>2</v>
      </c>
      <c r="K1822">
        <v>1529.27</v>
      </c>
      <c r="L1822">
        <v>1206.73</v>
      </c>
      <c r="M1822">
        <v>1313.405</v>
      </c>
      <c r="N1822">
        <v>1308.827</v>
      </c>
      <c r="O1822">
        <v>1304.2660000000001</v>
      </c>
      <c r="P1822">
        <v>1299.72</v>
      </c>
      <c r="Q1822">
        <v>1295.19</v>
      </c>
      <c r="R1822">
        <v>1290.6759999999999</v>
      </c>
      <c r="S1822">
        <v>1286.1780000000001</v>
      </c>
      <c r="T1822">
        <v>1281.6949999999999</v>
      </c>
      <c r="U1822">
        <v>1277.2280000000001</v>
      </c>
      <c r="V1822">
        <v>1272.777</v>
      </c>
      <c r="W1822">
        <v>1268.3409999999999</v>
      </c>
      <c r="X1822">
        <v>1263.921</v>
      </c>
      <c r="Y1822">
        <v>1259.5160000000001</v>
      </c>
      <c r="Z1822">
        <v>1255.126</v>
      </c>
      <c r="AA1822">
        <v>1250.752</v>
      </c>
      <c r="AB1822">
        <v>1246.393</v>
      </c>
      <c r="AC1822">
        <v>1242.049</v>
      </c>
      <c r="AD1822">
        <v>1237.72</v>
      </c>
    </row>
    <row r="1823" spans="2:30" x14ac:dyDescent="0.25">
      <c r="B1823" t="s">
        <v>133</v>
      </c>
      <c r="C1823" t="s">
        <v>3261</v>
      </c>
      <c r="D1823" t="s">
        <v>5437</v>
      </c>
      <c r="E1823" t="s">
        <v>5438</v>
      </c>
      <c r="F1823" t="s">
        <v>7847</v>
      </c>
      <c r="G1823" t="s">
        <v>3890</v>
      </c>
      <c r="H1823" t="s">
        <v>109</v>
      </c>
      <c r="I1823" t="s">
        <v>108</v>
      </c>
      <c r="J1823">
        <v>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2:30" x14ac:dyDescent="0.25">
      <c r="B1824" t="s">
        <v>133</v>
      </c>
      <c r="C1824" t="s">
        <v>3261</v>
      </c>
      <c r="D1824" t="s">
        <v>5440</v>
      </c>
      <c r="E1824" t="s">
        <v>5441</v>
      </c>
      <c r="F1824" t="s">
        <v>7848</v>
      </c>
      <c r="G1824" t="s">
        <v>3890</v>
      </c>
      <c r="H1824" t="s">
        <v>109</v>
      </c>
      <c r="I1824" t="s">
        <v>108</v>
      </c>
      <c r="J1824">
        <v>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2:30" x14ac:dyDescent="0.25">
      <c r="B1825" t="s">
        <v>133</v>
      </c>
      <c r="C1825" t="s">
        <v>3261</v>
      </c>
      <c r="D1825" t="s">
        <v>5443</v>
      </c>
      <c r="E1825" t="s">
        <v>5444</v>
      </c>
      <c r="F1825" t="s">
        <v>7849</v>
      </c>
      <c r="G1825" t="s">
        <v>3890</v>
      </c>
      <c r="H1825" t="s">
        <v>109</v>
      </c>
      <c r="I1825" t="s">
        <v>108</v>
      </c>
      <c r="J1825">
        <v>2</v>
      </c>
      <c r="K1825">
        <v>1529.27</v>
      </c>
      <c r="L1825">
        <v>1206.73</v>
      </c>
      <c r="M1825">
        <v>1313.405</v>
      </c>
      <c r="N1825">
        <v>1308.827</v>
      </c>
      <c r="O1825">
        <v>1304.2660000000001</v>
      </c>
      <c r="P1825">
        <v>1299.72</v>
      </c>
      <c r="Q1825">
        <v>1295.19</v>
      </c>
      <c r="R1825">
        <v>1290.6759999999999</v>
      </c>
      <c r="S1825">
        <v>1286.1780000000001</v>
      </c>
      <c r="T1825">
        <v>1281.6949999999999</v>
      </c>
      <c r="U1825">
        <v>1277.2280000000001</v>
      </c>
      <c r="V1825">
        <v>1272.777</v>
      </c>
      <c r="W1825">
        <v>1268.3409999999999</v>
      </c>
      <c r="X1825">
        <v>1263.921</v>
      </c>
      <c r="Y1825">
        <v>1259.5160000000001</v>
      </c>
      <c r="Z1825">
        <v>1255.126</v>
      </c>
      <c r="AA1825">
        <v>1250.752</v>
      </c>
      <c r="AB1825">
        <v>1246.393</v>
      </c>
      <c r="AC1825">
        <v>1242.049</v>
      </c>
      <c r="AD1825">
        <v>1237.72</v>
      </c>
    </row>
    <row r="1826" spans="2:30" x14ac:dyDescent="0.25">
      <c r="B1826" t="s">
        <v>133</v>
      </c>
      <c r="C1826" t="s">
        <v>3261</v>
      </c>
      <c r="D1826" t="s">
        <v>5446</v>
      </c>
      <c r="E1826" t="s">
        <v>5447</v>
      </c>
      <c r="F1826" t="s">
        <v>7850</v>
      </c>
      <c r="G1826" t="s">
        <v>3890</v>
      </c>
      <c r="H1826" t="s">
        <v>109</v>
      </c>
      <c r="I1826" t="s">
        <v>108</v>
      </c>
      <c r="J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2:30" x14ac:dyDescent="0.25">
      <c r="B1827" t="s">
        <v>133</v>
      </c>
      <c r="C1827" t="s">
        <v>3261</v>
      </c>
      <c r="D1827" t="s">
        <v>5449</v>
      </c>
      <c r="E1827" t="s">
        <v>5450</v>
      </c>
      <c r="F1827" t="s">
        <v>7851</v>
      </c>
      <c r="G1827" t="s">
        <v>3890</v>
      </c>
      <c r="H1827" t="s">
        <v>109</v>
      </c>
      <c r="I1827" t="s">
        <v>108</v>
      </c>
      <c r="J1827">
        <v>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2:30" x14ac:dyDescent="0.25">
      <c r="B1828" t="s">
        <v>133</v>
      </c>
      <c r="C1828" t="s">
        <v>3261</v>
      </c>
      <c r="D1828" t="s">
        <v>5452</v>
      </c>
      <c r="E1828" t="s">
        <v>5146</v>
      </c>
      <c r="F1828" t="s">
        <v>7758</v>
      </c>
      <c r="G1828" t="s">
        <v>3890</v>
      </c>
      <c r="H1828" t="s">
        <v>109</v>
      </c>
      <c r="I1828" t="s">
        <v>108</v>
      </c>
      <c r="J1828">
        <v>2</v>
      </c>
      <c r="K1828">
        <v>84652.786999999997</v>
      </c>
      <c r="L1828">
        <v>82605.210000000006</v>
      </c>
      <c r="M1828">
        <v>93076.263000000006</v>
      </c>
      <c r="N1828">
        <v>97660.903999999995</v>
      </c>
      <c r="O1828">
        <v>99883.266000000003</v>
      </c>
      <c r="P1828">
        <v>102725.504</v>
      </c>
      <c r="Q1828">
        <v>106869.443</v>
      </c>
      <c r="R1828">
        <v>108766.12</v>
      </c>
      <c r="S1828">
        <v>111691.69</v>
      </c>
      <c r="T1828">
        <v>114980.408</v>
      </c>
      <c r="U1828">
        <v>118955.39</v>
      </c>
      <c r="V1828">
        <v>123327.90399999999</v>
      </c>
      <c r="W1828">
        <v>128195.109</v>
      </c>
      <c r="X1828">
        <v>133540.011</v>
      </c>
      <c r="Y1828">
        <v>139390.41399999999</v>
      </c>
      <c r="Z1828">
        <v>145817.46799999999</v>
      </c>
      <c r="AA1828">
        <v>152873.87899999999</v>
      </c>
      <c r="AB1828">
        <v>160614.446</v>
      </c>
      <c r="AC1828">
        <v>169060.166</v>
      </c>
      <c r="AD1828">
        <v>177973.516</v>
      </c>
    </row>
    <row r="1829" spans="2:30" x14ac:dyDescent="0.25">
      <c r="B1829" t="s">
        <v>133</v>
      </c>
      <c r="C1829" t="s">
        <v>3261</v>
      </c>
      <c r="D1829" t="s">
        <v>5453</v>
      </c>
      <c r="E1829" t="s">
        <v>5149</v>
      </c>
      <c r="F1829" t="s">
        <v>7759</v>
      </c>
      <c r="G1829" t="s">
        <v>3890</v>
      </c>
      <c r="H1829" t="s">
        <v>109</v>
      </c>
      <c r="I1829" t="s">
        <v>108</v>
      </c>
      <c r="J1829">
        <v>2</v>
      </c>
      <c r="K1829">
        <v>1651.0930000000001</v>
      </c>
      <c r="L1829">
        <v>1545.134</v>
      </c>
      <c r="M1829">
        <v>1836.8230000000001</v>
      </c>
      <c r="N1829">
        <v>1975.171</v>
      </c>
      <c r="O1829">
        <v>2006.8579999999999</v>
      </c>
      <c r="P1829">
        <v>2038.454</v>
      </c>
      <c r="Q1829">
        <v>2090.7600000000002</v>
      </c>
      <c r="R1829">
        <v>2141.1260000000002</v>
      </c>
      <c r="S1829">
        <v>2188.5329999999999</v>
      </c>
      <c r="T1829">
        <v>2235.7559999999999</v>
      </c>
      <c r="U1829">
        <v>2277.7240000000002</v>
      </c>
      <c r="V1829">
        <v>2319.6509999999998</v>
      </c>
      <c r="W1829">
        <v>2361.8919999999998</v>
      </c>
      <c r="X1829">
        <v>2404.6570000000002</v>
      </c>
      <c r="Y1829">
        <v>2448.1979999999999</v>
      </c>
      <c r="Z1829">
        <v>2492.8670000000002</v>
      </c>
      <c r="AA1829">
        <v>2538.98</v>
      </c>
      <c r="AB1829">
        <v>2586.692</v>
      </c>
      <c r="AC1829">
        <v>2636.0540000000001</v>
      </c>
      <c r="AD1829">
        <v>2686.86</v>
      </c>
    </row>
    <row r="1830" spans="2:30" x14ac:dyDescent="0.25">
      <c r="B1830" t="s">
        <v>133</v>
      </c>
      <c r="C1830" t="s">
        <v>3261</v>
      </c>
      <c r="D1830" t="s">
        <v>5454</v>
      </c>
      <c r="E1830" t="s">
        <v>5152</v>
      </c>
      <c r="F1830" t="s">
        <v>7760</v>
      </c>
      <c r="G1830" t="s">
        <v>3890</v>
      </c>
      <c r="H1830" t="s">
        <v>109</v>
      </c>
      <c r="I1830" t="s">
        <v>108</v>
      </c>
      <c r="J1830">
        <v>2</v>
      </c>
      <c r="K1830">
        <v>42937.004999999997</v>
      </c>
      <c r="L1830">
        <v>39972.894</v>
      </c>
      <c r="M1830">
        <v>47161.006999999998</v>
      </c>
      <c r="N1830">
        <v>48233.921000000002</v>
      </c>
      <c r="O1830">
        <v>47663.53</v>
      </c>
      <c r="P1830">
        <v>47791.707000000002</v>
      </c>
      <c r="Q1830">
        <v>49275.875999999997</v>
      </c>
      <c r="R1830">
        <v>48256.6</v>
      </c>
      <c r="S1830">
        <v>48406.421000000002</v>
      </c>
      <c r="T1830">
        <v>48436.042000000001</v>
      </c>
      <c r="U1830">
        <v>48921.063000000002</v>
      </c>
      <c r="V1830">
        <v>49477.904999999999</v>
      </c>
      <c r="W1830">
        <v>50261.587</v>
      </c>
      <c r="X1830">
        <v>51232.991999999998</v>
      </c>
      <c r="Y1830">
        <v>52428.18</v>
      </c>
      <c r="Z1830">
        <v>53876.076999999997</v>
      </c>
      <c r="AA1830">
        <v>55611.207999999999</v>
      </c>
      <c r="AB1830">
        <v>57667.065999999999</v>
      </c>
      <c r="AC1830">
        <v>60034.118000000002</v>
      </c>
      <c r="AD1830">
        <v>62508.51</v>
      </c>
    </row>
    <row r="1831" spans="2:30" x14ac:dyDescent="0.25">
      <c r="B1831" t="s">
        <v>133</v>
      </c>
      <c r="C1831" t="s">
        <v>3261</v>
      </c>
      <c r="D1831" t="s">
        <v>5455</v>
      </c>
      <c r="E1831" t="s">
        <v>5155</v>
      </c>
      <c r="F1831" t="s">
        <v>7761</v>
      </c>
      <c r="G1831" t="s">
        <v>3890</v>
      </c>
      <c r="H1831" t="s">
        <v>109</v>
      </c>
      <c r="I1831" t="s">
        <v>108</v>
      </c>
      <c r="J1831">
        <v>2</v>
      </c>
      <c r="K1831">
        <v>7688.0550000000003</v>
      </c>
      <c r="L1831">
        <v>7382.1220000000003</v>
      </c>
      <c r="M1831">
        <v>7820.5169999999998</v>
      </c>
      <c r="N1831">
        <v>9963.2890000000007</v>
      </c>
      <c r="O1831">
        <v>9996.473</v>
      </c>
      <c r="P1831">
        <v>10040.493</v>
      </c>
      <c r="Q1831">
        <v>10104.35</v>
      </c>
      <c r="R1831">
        <v>10170.844999999999</v>
      </c>
      <c r="S1831">
        <v>10210.246999999999</v>
      </c>
      <c r="T1831">
        <v>10257.066000000001</v>
      </c>
      <c r="U1831">
        <v>10309.558000000001</v>
      </c>
      <c r="V1831">
        <v>10371.459000000001</v>
      </c>
      <c r="W1831">
        <v>10442.575999999999</v>
      </c>
      <c r="X1831">
        <v>10524.306</v>
      </c>
      <c r="Y1831">
        <v>10617.615</v>
      </c>
      <c r="Z1831">
        <v>10724.308999999999</v>
      </c>
      <c r="AA1831">
        <v>10846.119000000001</v>
      </c>
      <c r="AB1831">
        <v>10984.284</v>
      </c>
      <c r="AC1831">
        <v>11139.424000000001</v>
      </c>
      <c r="AD1831">
        <v>11311.023999999999</v>
      </c>
    </row>
    <row r="1832" spans="2:30" x14ac:dyDescent="0.25">
      <c r="B1832" t="s">
        <v>133</v>
      </c>
      <c r="C1832" t="s">
        <v>3261</v>
      </c>
      <c r="D1832" t="s">
        <v>5456</v>
      </c>
      <c r="E1832" t="s">
        <v>5158</v>
      </c>
      <c r="F1832" t="s">
        <v>7762</v>
      </c>
      <c r="G1832" t="s">
        <v>3890</v>
      </c>
      <c r="H1832" t="s">
        <v>109</v>
      </c>
      <c r="I1832" t="s">
        <v>108</v>
      </c>
      <c r="J1832">
        <v>2</v>
      </c>
      <c r="K1832">
        <v>7404.3140000000003</v>
      </c>
      <c r="L1832">
        <v>7147.93</v>
      </c>
      <c r="M1832">
        <v>7001.1750000000002</v>
      </c>
      <c r="N1832">
        <v>6753.6639999999998</v>
      </c>
      <c r="O1832">
        <v>6886.5370000000003</v>
      </c>
      <c r="P1832">
        <v>7548.8450000000003</v>
      </c>
      <c r="Q1832">
        <v>8264.5689999999995</v>
      </c>
      <c r="R1832">
        <v>9039.0779999999995</v>
      </c>
      <c r="S1832">
        <v>9963.2430000000004</v>
      </c>
      <c r="T1832">
        <v>11056.718999999999</v>
      </c>
      <c r="U1832">
        <v>12240.299000000001</v>
      </c>
      <c r="V1832">
        <v>13509.203</v>
      </c>
      <c r="W1832">
        <v>14858.413</v>
      </c>
      <c r="X1832">
        <v>16282.18</v>
      </c>
      <c r="Y1832">
        <v>17772.594000000001</v>
      </c>
      <c r="Z1832">
        <v>19343.823</v>
      </c>
      <c r="AA1832">
        <v>20995.041000000001</v>
      </c>
      <c r="AB1832">
        <v>22725.261999999999</v>
      </c>
      <c r="AC1832">
        <v>24534.062000000002</v>
      </c>
      <c r="AD1832">
        <v>26387.567999999999</v>
      </c>
    </row>
    <row r="1833" spans="2:30" x14ac:dyDescent="0.25">
      <c r="B1833" t="s">
        <v>133</v>
      </c>
      <c r="C1833" t="s">
        <v>3261</v>
      </c>
      <c r="D1833" t="s">
        <v>5457</v>
      </c>
      <c r="E1833" t="s">
        <v>5161</v>
      </c>
      <c r="F1833" t="s">
        <v>7763</v>
      </c>
      <c r="G1833" t="s">
        <v>3890</v>
      </c>
      <c r="H1833" t="s">
        <v>109</v>
      </c>
      <c r="I1833" t="s">
        <v>108</v>
      </c>
      <c r="J1833">
        <v>2</v>
      </c>
      <c r="K1833">
        <v>15214.834999999999</v>
      </c>
      <c r="L1833">
        <v>16168.272999999999</v>
      </c>
      <c r="M1833">
        <v>17468.254000000001</v>
      </c>
      <c r="N1833">
        <v>17210.601999999999</v>
      </c>
      <c r="O1833">
        <v>17931.196</v>
      </c>
      <c r="P1833">
        <v>19045.128000000001</v>
      </c>
      <c r="Q1833">
        <v>20275.214</v>
      </c>
      <c r="R1833">
        <v>21586.353999999999</v>
      </c>
      <c r="S1833">
        <v>23101.736000000001</v>
      </c>
      <c r="T1833">
        <v>24868.873</v>
      </c>
      <c r="U1833">
        <v>26782.701000000001</v>
      </c>
      <c r="V1833">
        <v>28837.154999999999</v>
      </c>
      <c r="W1833">
        <v>31014.969000000001</v>
      </c>
      <c r="X1833">
        <v>33324.341999999997</v>
      </c>
      <c r="Y1833">
        <v>35762.463000000003</v>
      </c>
      <c r="Z1833">
        <v>38345.279000000002</v>
      </c>
      <c r="AA1833">
        <v>41077.374000000003</v>
      </c>
      <c r="AB1833">
        <v>43966.169000000002</v>
      </c>
      <c r="AC1833">
        <v>47020.101999999999</v>
      </c>
      <c r="AD1833">
        <v>50231.18</v>
      </c>
    </row>
    <row r="1834" spans="2:30" x14ac:dyDescent="0.25">
      <c r="B1834" t="s">
        <v>133</v>
      </c>
      <c r="C1834" t="s">
        <v>3261</v>
      </c>
      <c r="D1834" t="s">
        <v>5458</v>
      </c>
      <c r="E1834" t="s">
        <v>5164</v>
      </c>
      <c r="F1834" t="s">
        <v>7764</v>
      </c>
      <c r="G1834" t="s">
        <v>3890</v>
      </c>
      <c r="H1834" t="s">
        <v>109</v>
      </c>
      <c r="I1834" t="s">
        <v>108</v>
      </c>
      <c r="J1834">
        <v>2</v>
      </c>
      <c r="K1834">
        <v>5389.2640000000001</v>
      </c>
      <c r="L1834">
        <v>6059.357</v>
      </c>
      <c r="M1834">
        <v>7304.8469999999998</v>
      </c>
      <c r="N1834">
        <v>7485.0290000000005</v>
      </c>
      <c r="O1834">
        <v>7660.826</v>
      </c>
      <c r="P1834">
        <v>7867.7740000000003</v>
      </c>
      <c r="Q1834">
        <v>8112.866</v>
      </c>
      <c r="R1834">
        <v>8348.1219999999994</v>
      </c>
      <c r="S1834">
        <v>8567.9850000000006</v>
      </c>
      <c r="T1834">
        <v>8788.7279999999992</v>
      </c>
      <c r="U1834">
        <v>9011.2659999999996</v>
      </c>
      <c r="V1834">
        <v>9235.6370000000006</v>
      </c>
      <c r="W1834">
        <v>9463.67</v>
      </c>
      <c r="X1834">
        <v>9696.4979999999996</v>
      </c>
      <c r="Y1834">
        <v>9935.5</v>
      </c>
      <c r="Z1834">
        <v>10182.641</v>
      </c>
      <c r="AA1834">
        <v>10439.74</v>
      </c>
      <c r="AB1834">
        <v>10707.822</v>
      </c>
      <c r="AC1834">
        <v>10987.382</v>
      </c>
      <c r="AD1834">
        <v>11277.522000000001</v>
      </c>
    </row>
    <row r="1835" spans="2:30" x14ac:dyDescent="0.25">
      <c r="B1835" t="s">
        <v>133</v>
      </c>
      <c r="C1835" t="s">
        <v>3261</v>
      </c>
      <c r="D1835" t="s">
        <v>5459</v>
      </c>
      <c r="E1835" t="s">
        <v>5167</v>
      </c>
      <c r="F1835" t="s">
        <v>7765</v>
      </c>
      <c r="G1835" t="s">
        <v>3890</v>
      </c>
      <c r="H1835" t="s">
        <v>109</v>
      </c>
      <c r="I1835" t="s">
        <v>108</v>
      </c>
      <c r="J1835">
        <v>2</v>
      </c>
      <c r="K1835">
        <v>659.322</v>
      </c>
      <c r="L1835">
        <v>771.90700000000004</v>
      </c>
      <c r="M1835">
        <v>857.73800000000006</v>
      </c>
      <c r="N1835">
        <v>889.11699999999996</v>
      </c>
      <c r="O1835">
        <v>920.298</v>
      </c>
      <c r="P1835">
        <v>957.94299999999998</v>
      </c>
      <c r="Q1835">
        <v>1003.823</v>
      </c>
      <c r="R1835">
        <v>1048.925</v>
      </c>
      <c r="S1835">
        <v>1091.9870000000001</v>
      </c>
      <c r="T1835">
        <v>1136.029</v>
      </c>
      <c r="U1835">
        <v>1181.0719999999999</v>
      </c>
      <c r="V1835">
        <v>1227.1289999999999</v>
      </c>
      <c r="W1835">
        <v>1274.6010000000001</v>
      </c>
      <c r="X1835">
        <v>1323.761</v>
      </c>
      <c r="Y1835">
        <v>1374.952</v>
      </c>
      <c r="Z1835">
        <v>1428.665</v>
      </c>
      <c r="AA1835">
        <v>1485.3820000000001</v>
      </c>
      <c r="AB1835">
        <v>1545.423</v>
      </c>
      <c r="AC1835">
        <v>1608.9929999999999</v>
      </c>
      <c r="AD1835">
        <v>1675.963</v>
      </c>
    </row>
    <row r="1836" spans="2:30" x14ac:dyDescent="0.25">
      <c r="B1836" t="s">
        <v>133</v>
      </c>
      <c r="C1836" t="s">
        <v>3261</v>
      </c>
      <c r="D1836" t="s">
        <v>5460</v>
      </c>
      <c r="E1836" t="s">
        <v>5176</v>
      </c>
      <c r="F1836" t="s">
        <v>7768</v>
      </c>
      <c r="G1836" t="s">
        <v>3890</v>
      </c>
      <c r="H1836" t="s">
        <v>109</v>
      </c>
      <c r="I1836" t="s">
        <v>108</v>
      </c>
      <c r="J1836">
        <v>2</v>
      </c>
      <c r="K1836">
        <v>1529.27</v>
      </c>
      <c r="L1836">
        <v>1206.73</v>
      </c>
      <c r="M1836">
        <v>1313.405</v>
      </c>
      <c r="N1836">
        <v>1308.827</v>
      </c>
      <c r="O1836">
        <v>1304.2660000000001</v>
      </c>
      <c r="P1836">
        <v>1299.72</v>
      </c>
      <c r="Q1836">
        <v>1295.19</v>
      </c>
      <c r="R1836">
        <v>1290.6759999999999</v>
      </c>
      <c r="S1836">
        <v>1286.1780000000001</v>
      </c>
      <c r="T1836">
        <v>1281.6949999999999</v>
      </c>
      <c r="U1836">
        <v>1277.2280000000001</v>
      </c>
      <c r="V1836">
        <v>1272.777</v>
      </c>
      <c r="W1836">
        <v>1268.3409999999999</v>
      </c>
      <c r="X1836">
        <v>1263.921</v>
      </c>
      <c r="Y1836">
        <v>1259.5160000000001</v>
      </c>
      <c r="Z1836">
        <v>1255.126</v>
      </c>
      <c r="AA1836">
        <v>1250.752</v>
      </c>
      <c r="AB1836">
        <v>1246.393</v>
      </c>
      <c r="AC1836">
        <v>1242.049</v>
      </c>
      <c r="AD1836">
        <v>1237.72</v>
      </c>
    </row>
    <row r="1837" spans="2:30" x14ac:dyDescent="0.25">
      <c r="B1837" t="s">
        <v>133</v>
      </c>
      <c r="C1837" t="s">
        <v>3261</v>
      </c>
      <c r="D1837" t="s">
        <v>5461</v>
      </c>
      <c r="E1837" t="s">
        <v>5462</v>
      </c>
      <c r="F1837" t="s">
        <v>7852</v>
      </c>
      <c r="G1837" t="s">
        <v>3890</v>
      </c>
      <c r="H1837" t="s">
        <v>109</v>
      </c>
      <c r="I1837" t="s">
        <v>108</v>
      </c>
      <c r="J1837">
        <v>2</v>
      </c>
      <c r="K1837">
        <v>2179.63</v>
      </c>
      <c r="L1837">
        <v>2350.8629999999998</v>
      </c>
      <c r="M1837">
        <v>2312.4969999999998</v>
      </c>
      <c r="N1837">
        <v>3841.2840000000001</v>
      </c>
      <c r="O1837">
        <v>5513.2820000000002</v>
      </c>
      <c r="P1837">
        <v>6135.44</v>
      </c>
      <c r="Q1837">
        <v>6446.7960000000003</v>
      </c>
      <c r="R1837">
        <v>6884.393</v>
      </c>
      <c r="S1837">
        <v>6875.3620000000001</v>
      </c>
      <c r="T1837">
        <v>6919.4989999999998</v>
      </c>
      <c r="U1837">
        <v>6954.4780000000001</v>
      </c>
      <c r="V1837">
        <v>7076.9870000000001</v>
      </c>
      <c r="W1837">
        <v>7249.06</v>
      </c>
      <c r="X1837">
        <v>7487.3549999999996</v>
      </c>
      <c r="Y1837">
        <v>7791.3969999999999</v>
      </c>
      <c r="Z1837">
        <v>8168.6819999999998</v>
      </c>
      <c r="AA1837">
        <v>8629.2839999999997</v>
      </c>
      <c r="AB1837">
        <v>9185.3340000000007</v>
      </c>
      <c r="AC1837">
        <v>9857.982</v>
      </c>
      <c r="AD1837">
        <v>10657.169</v>
      </c>
    </row>
    <row r="1838" spans="2:30" x14ac:dyDescent="0.25">
      <c r="B1838" t="s">
        <v>133</v>
      </c>
      <c r="C1838" t="s">
        <v>3261</v>
      </c>
      <c r="D1838" t="s">
        <v>5464</v>
      </c>
      <c r="E1838" t="s">
        <v>5465</v>
      </c>
      <c r="F1838" t="s">
        <v>7853</v>
      </c>
      <c r="G1838" t="s">
        <v>3890</v>
      </c>
      <c r="H1838" t="s">
        <v>5467</v>
      </c>
      <c r="I1838" t="s">
        <v>5468</v>
      </c>
      <c r="J1838">
        <v>1</v>
      </c>
      <c r="K1838">
        <v>208.74</v>
      </c>
      <c r="L1838">
        <v>202.17599999999999</v>
      </c>
      <c r="M1838">
        <v>232.196</v>
      </c>
      <c r="N1838">
        <v>257.23</v>
      </c>
      <c r="O1838">
        <v>270.62900000000002</v>
      </c>
      <c r="P1838">
        <v>275.02</v>
      </c>
      <c r="Q1838">
        <v>282.76900000000001</v>
      </c>
      <c r="R1838">
        <v>292.86900000000003</v>
      </c>
      <c r="S1838">
        <v>303.31799999999998</v>
      </c>
      <c r="T1838">
        <v>314.24099999999999</v>
      </c>
      <c r="U1838">
        <v>325.73700000000002</v>
      </c>
      <c r="V1838">
        <v>338.34100000000001</v>
      </c>
      <c r="W1838">
        <v>352.28399999999999</v>
      </c>
      <c r="X1838">
        <v>367.97300000000001</v>
      </c>
      <c r="Y1838">
        <v>385.64800000000002</v>
      </c>
      <c r="Z1838">
        <v>405.738</v>
      </c>
      <c r="AA1838">
        <v>428.71600000000001</v>
      </c>
      <c r="AB1838">
        <v>455.17599999999999</v>
      </c>
      <c r="AC1838">
        <v>485.61</v>
      </c>
      <c r="AD1838">
        <v>519.1</v>
      </c>
    </row>
    <row r="1839" spans="2:30" x14ac:dyDescent="0.25">
      <c r="B1839" t="s">
        <v>133</v>
      </c>
      <c r="C1839" t="s">
        <v>3261</v>
      </c>
      <c r="D1839" t="s">
        <v>5469</v>
      </c>
      <c r="E1839" t="s">
        <v>5470</v>
      </c>
      <c r="F1839" t="s">
        <v>7854</v>
      </c>
      <c r="G1839" t="s">
        <v>3890</v>
      </c>
      <c r="H1839" t="s">
        <v>5467</v>
      </c>
      <c r="I1839" t="s">
        <v>5468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2:30" x14ac:dyDescent="0.25">
      <c r="B1840" t="s">
        <v>133</v>
      </c>
      <c r="C1840" t="s">
        <v>3261</v>
      </c>
      <c r="D1840" t="s">
        <v>5472</v>
      </c>
      <c r="E1840" t="s">
        <v>5473</v>
      </c>
      <c r="F1840" t="s">
        <v>7855</v>
      </c>
      <c r="G1840" t="s">
        <v>3890</v>
      </c>
      <c r="H1840" t="s">
        <v>5467</v>
      </c>
      <c r="I1840" t="s">
        <v>5468</v>
      </c>
      <c r="J1840">
        <v>1</v>
      </c>
      <c r="K1840">
        <v>165.38399999999999</v>
      </c>
      <c r="L1840">
        <v>157.30799999999999</v>
      </c>
      <c r="M1840">
        <v>188.27600000000001</v>
      </c>
      <c r="N1840">
        <v>191.96899999999999</v>
      </c>
      <c r="O1840">
        <v>186.31800000000001</v>
      </c>
      <c r="P1840">
        <v>183.922</v>
      </c>
      <c r="Q1840">
        <v>188.53800000000001</v>
      </c>
      <c r="R1840">
        <v>194.00299999999999</v>
      </c>
      <c r="S1840">
        <v>198.678</v>
      </c>
      <c r="T1840">
        <v>203.51599999999999</v>
      </c>
      <c r="U1840">
        <v>208.74</v>
      </c>
      <c r="V1840">
        <v>214.828</v>
      </c>
      <c r="W1840">
        <v>221.75700000000001</v>
      </c>
      <c r="X1840">
        <v>229.80699999999999</v>
      </c>
      <c r="Y1840">
        <v>239.01300000000001</v>
      </c>
      <c r="Z1840">
        <v>249.68899999999999</v>
      </c>
      <c r="AA1840">
        <v>262.07400000000001</v>
      </c>
      <c r="AB1840">
        <v>276.524</v>
      </c>
      <c r="AC1840">
        <v>293.45800000000003</v>
      </c>
      <c r="AD1840">
        <v>310.44299999999998</v>
      </c>
    </row>
    <row r="1841" spans="2:30" x14ac:dyDescent="0.25">
      <c r="B1841" t="s">
        <v>133</v>
      </c>
      <c r="C1841" t="s">
        <v>3261</v>
      </c>
      <c r="D1841" t="s">
        <v>5475</v>
      </c>
      <c r="E1841" t="s">
        <v>5476</v>
      </c>
      <c r="F1841" t="s">
        <v>7856</v>
      </c>
      <c r="G1841" t="s">
        <v>3890</v>
      </c>
      <c r="H1841" t="s">
        <v>5467</v>
      </c>
      <c r="I1841" t="s">
        <v>5468</v>
      </c>
      <c r="J1841">
        <v>1</v>
      </c>
      <c r="K1841">
        <v>18.006</v>
      </c>
      <c r="L1841">
        <v>17.527000000000001</v>
      </c>
      <c r="M1841">
        <v>17.026</v>
      </c>
      <c r="N1841">
        <v>20.585999999999999</v>
      </c>
      <c r="O1841">
        <v>20.190999999999999</v>
      </c>
      <c r="P1841">
        <v>19.742999999999999</v>
      </c>
      <c r="Q1841">
        <v>19.254000000000001</v>
      </c>
      <c r="R1841">
        <v>18.8</v>
      </c>
      <c r="S1841">
        <v>18.373000000000001</v>
      </c>
      <c r="T1841">
        <v>17.959</v>
      </c>
      <c r="U1841">
        <v>17.562000000000001</v>
      </c>
      <c r="V1841">
        <v>17.181999999999999</v>
      </c>
      <c r="W1841">
        <v>16.821000000000002</v>
      </c>
      <c r="X1841">
        <v>16.48</v>
      </c>
      <c r="Y1841">
        <v>16.16</v>
      </c>
      <c r="Z1841">
        <v>15.863</v>
      </c>
      <c r="AA1841">
        <v>15.590999999999999</v>
      </c>
      <c r="AB1841">
        <v>15.345000000000001</v>
      </c>
      <c r="AC1841">
        <v>15.127000000000001</v>
      </c>
      <c r="AD1841">
        <v>14.94</v>
      </c>
    </row>
    <row r="1842" spans="2:30" x14ac:dyDescent="0.25">
      <c r="B1842" t="s">
        <v>133</v>
      </c>
      <c r="C1842" t="s">
        <v>3261</v>
      </c>
      <c r="D1842" t="s">
        <v>5478</v>
      </c>
      <c r="E1842" t="s">
        <v>5479</v>
      </c>
      <c r="F1842" t="s">
        <v>7857</v>
      </c>
      <c r="G1842" t="s">
        <v>3890</v>
      </c>
      <c r="H1842" t="s">
        <v>5467</v>
      </c>
      <c r="I1842" t="s">
        <v>5468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2:30" x14ac:dyDescent="0.25">
      <c r="B1843" t="s">
        <v>133</v>
      </c>
      <c r="C1843" t="s">
        <v>3261</v>
      </c>
      <c r="D1843" t="s">
        <v>5481</v>
      </c>
      <c r="E1843" t="s">
        <v>5482</v>
      </c>
      <c r="F1843" t="s">
        <v>7858</v>
      </c>
      <c r="G1843" t="s">
        <v>3890</v>
      </c>
      <c r="H1843" t="s">
        <v>5467</v>
      </c>
      <c r="I1843" t="s">
        <v>5468</v>
      </c>
      <c r="J1843">
        <v>1</v>
      </c>
      <c r="K1843">
        <v>5.8109999999999999</v>
      </c>
      <c r="L1843">
        <v>7.1920000000000002</v>
      </c>
      <c r="M1843">
        <v>6.952</v>
      </c>
      <c r="N1843">
        <v>10.766999999999999</v>
      </c>
      <c r="O1843">
        <v>14.978</v>
      </c>
      <c r="P1843">
        <v>19.523</v>
      </c>
      <c r="Q1843">
        <v>21.742999999999999</v>
      </c>
      <c r="R1843">
        <v>24.707999999999998</v>
      </c>
      <c r="S1843">
        <v>28.148</v>
      </c>
      <c r="T1843">
        <v>31.581</v>
      </c>
      <c r="U1843">
        <v>35.052999999999997</v>
      </c>
      <c r="V1843">
        <v>38.595999999999997</v>
      </c>
      <c r="W1843">
        <v>42.343000000000004</v>
      </c>
      <c r="X1843">
        <v>46.35</v>
      </c>
      <c r="Y1843">
        <v>50.713999999999999</v>
      </c>
      <c r="Z1843">
        <v>55.487000000000002</v>
      </c>
      <c r="AA1843">
        <v>60.774999999999999</v>
      </c>
      <c r="AB1843">
        <v>66.691000000000003</v>
      </c>
      <c r="AC1843">
        <v>72.968000000000004</v>
      </c>
      <c r="AD1843">
        <v>79.566000000000003</v>
      </c>
    </row>
    <row r="1844" spans="2:30" x14ac:dyDescent="0.25">
      <c r="B1844" t="s">
        <v>133</v>
      </c>
      <c r="C1844" t="s">
        <v>3261</v>
      </c>
      <c r="D1844" t="s">
        <v>5484</v>
      </c>
      <c r="E1844" t="s">
        <v>5485</v>
      </c>
      <c r="F1844" t="s">
        <v>7859</v>
      </c>
      <c r="G1844" t="s">
        <v>3890</v>
      </c>
      <c r="H1844" t="s">
        <v>5467</v>
      </c>
      <c r="I1844" t="s">
        <v>5468</v>
      </c>
      <c r="J1844">
        <v>1</v>
      </c>
      <c r="K1844">
        <v>4.8929999999999998</v>
      </c>
      <c r="L1844">
        <v>5.1619999999999999</v>
      </c>
      <c r="M1844">
        <v>4.9550000000000001</v>
      </c>
      <c r="N1844">
        <v>8.8030000000000008</v>
      </c>
      <c r="O1844">
        <v>13.021000000000001</v>
      </c>
      <c r="P1844">
        <v>14.672000000000001</v>
      </c>
      <c r="Q1844">
        <v>15.468</v>
      </c>
      <c r="R1844">
        <v>16.826000000000001</v>
      </c>
      <c r="S1844">
        <v>18.71</v>
      </c>
      <c r="T1844">
        <v>20.882999999999999</v>
      </c>
      <c r="U1844">
        <v>23.148</v>
      </c>
      <c r="V1844">
        <v>25.530999999999999</v>
      </c>
      <c r="W1844">
        <v>28.122</v>
      </c>
      <c r="X1844">
        <v>30.981999999999999</v>
      </c>
      <c r="Y1844">
        <v>34.195999999999998</v>
      </c>
      <c r="Z1844">
        <v>37.816000000000003</v>
      </c>
      <c r="AA1844">
        <v>41.948</v>
      </c>
      <c r="AB1844">
        <v>46.688000000000002</v>
      </c>
      <c r="AC1844">
        <v>52.363</v>
      </c>
      <c r="AD1844">
        <v>59.298000000000002</v>
      </c>
    </row>
    <row r="1845" spans="2:30" x14ac:dyDescent="0.25">
      <c r="B1845" t="s">
        <v>133</v>
      </c>
      <c r="C1845" t="s">
        <v>3261</v>
      </c>
      <c r="D1845" t="s">
        <v>5487</v>
      </c>
      <c r="E1845" t="s">
        <v>5488</v>
      </c>
      <c r="F1845" t="s">
        <v>7860</v>
      </c>
      <c r="G1845" t="s">
        <v>3890</v>
      </c>
      <c r="H1845" t="s">
        <v>5467</v>
      </c>
      <c r="I1845" t="s">
        <v>5468</v>
      </c>
      <c r="J1845">
        <v>1</v>
      </c>
      <c r="K1845">
        <v>14.646000000000001</v>
      </c>
      <c r="L1845">
        <v>14.987</v>
      </c>
      <c r="M1845">
        <v>14.987</v>
      </c>
      <c r="N1845">
        <v>25.103999999999999</v>
      </c>
      <c r="O1845">
        <v>36.119999999999997</v>
      </c>
      <c r="P1845">
        <v>37.161000000000001</v>
      </c>
      <c r="Q1845">
        <v>37.765000000000001</v>
      </c>
      <c r="R1845">
        <v>38.531999999999996</v>
      </c>
      <c r="S1845">
        <v>39.408999999999999</v>
      </c>
      <c r="T1845">
        <v>40.302999999999997</v>
      </c>
      <c r="U1845">
        <v>41.232999999999997</v>
      </c>
      <c r="V1845">
        <v>42.204000000000001</v>
      </c>
      <c r="W1845">
        <v>43.241</v>
      </c>
      <c r="X1845">
        <v>44.354999999999997</v>
      </c>
      <c r="Y1845">
        <v>45.564</v>
      </c>
      <c r="Z1845">
        <v>46.881999999999998</v>
      </c>
      <c r="AA1845">
        <v>48.329000000000001</v>
      </c>
      <c r="AB1845">
        <v>49.927</v>
      </c>
      <c r="AC1845">
        <v>51.694000000000003</v>
      </c>
      <c r="AD1845">
        <v>54.853000000000002</v>
      </c>
    </row>
    <row r="1846" spans="2:30" x14ac:dyDescent="0.25">
      <c r="B1846" t="s">
        <v>133</v>
      </c>
      <c r="C1846" t="s">
        <v>3261</v>
      </c>
      <c r="D1846" t="s">
        <v>5490</v>
      </c>
      <c r="E1846" t="s">
        <v>5491</v>
      </c>
      <c r="F1846" t="s">
        <v>7861</v>
      </c>
      <c r="G1846" t="s">
        <v>3890</v>
      </c>
      <c r="H1846" t="s">
        <v>5467</v>
      </c>
      <c r="I1846" t="s">
        <v>5468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2:30" x14ac:dyDescent="0.25">
      <c r="B1847" t="s">
        <v>133</v>
      </c>
      <c r="C1847" t="s">
        <v>3261</v>
      </c>
      <c r="D1847" t="s">
        <v>5493</v>
      </c>
      <c r="E1847" t="s">
        <v>5494</v>
      </c>
      <c r="F1847" t="s">
        <v>7862</v>
      </c>
      <c r="G1847" t="s">
        <v>3890</v>
      </c>
      <c r="H1847" t="s">
        <v>5467</v>
      </c>
      <c r="I1847" t="s">
        <v>5468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2:30" x14ac:dyDescent="0.25">
      <c r="B1848" t="s">
        <v>133</v>
      </c>
      <c r="C1848" t="s">
        <v>3261</v>
      </c>
      <c r="D1848" t="s">
        <v>5496</v>
      </c>
      <c r="E1848" t="s">
        <v>5497</v>
      </c>
      <c r="F1848" t="s">
        <v>7863</v>
      </c>
      <c r="G1848" t="s">
        <v>3890</v>
      </c>
      <c r="H1848" t="s">
        <v>5467</v>
      </c>
      <c r="I1848" t="s">
        <v>5468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2:30" x14ac:dyDescent="0.25">
      <c r="B1849" t="s">
        <v>133</v>
      </c>
      <c r="C1849" t="s">
        <v>3261</v>
      </c>
      <c r="D1849" t="s">
        <v>5499</v>
      </c>
      <c r="E1849" t="s">
        <v>5500</v>
      </c>
      <c r="F1849" t="s">
        <v>7864</v>
      </c>
      <c r="G1849" t="s">
        <v>3890</v>
      </c>
      <c r="H1849" t="s">
        <v>5467</v>
      </c>
      <c r="I1849" t="s">
        <v>5468</v>
      </c>
      <c r="J1849">
        <v>2</v>
      </c>
      <c r="K1849">
        <v>208.74</v>
      </c>
      <c r="L1849">
        <v>202.17599999999999</v>
      </c>
      <c r="M1849">
        <v>232.196</v>
      </c>
      <c r="N1849">
        <v>257.23</v>
      </c>
      <c r="O1849">
        <v>270.62900000000002</v>
      </c>
      <c r="P1849">
        <v>275.02</v>
      </c>
      <c r="Q1849">
        <v>282.76900000000001</v>
      </c>
      <c r="R1849">
        <v>278.03100000000001</v>
      </c>
      <c r="S1849">
        <v>274.73099999999999</v>
      </c>
      <c r="T1849">
        <v>271.27999999999997</v>
      </c>
      <c r="U1849">
        <v>270.19499999999999</v>
      </c>
      <c r="V1849">
        <v>270.459</v>
      </c>
      <c r="W1849">
        <v>272.46899999999999</v>
      </c>
      <c r="X1849">
        <v>276.185</v>
      </c>
      <c r="Y1849">
        <v>281.78199999999998</v>
      </c>
      <c r="Z1849">
        <v>289.471</v>
      </c>
      <c r="AA1849">
        <v>299.53199999999998</v>
      </c>
      <c r="AB1849">
        <v>312.27300000000002</v>
      </c>
      <c r="AC1849">
        <v>327.875</v>
      </c>
      <c r="AD1849">
        <v>345.33199999999999</v>
      </c>
    </row>
    <row r="1850" spans="2:30" x14ac:dyDescent="0.25">
      <c r="B1850" t="s">
        <v>133</v>
      </c>
      <c r="C1850" t="s">
        <v>3261</v>
      </c>
      <c r="D1850" t="s">
        <v>5502</v>
      </c>
      <c r="E1850" t="s">
        <v>5503</v>
      </c>
      <c r="F1850" t="s">
        <v>7865</v>
      </c>
      <c r="G1850" t="s">
        <v>3890</v>
      </c>
      <c r="H1850" t="s">
        <v>5467</v>
      </c>
      <c r="I1850" t="s">
        <v>5468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2:30" x14ac:dyDescent="0.25">
      <c r="B1851" t="s">
        <v>133</v>
      </c>
      <c r="C1851" t="s">
        <v>3261</v>
      </c>
      <c r="D1851" t="s">
        <v>5505</v>
      </c>
      <c r="E1851" t="s">
        <v>5506</v>
      </c>
      <c r="F1851" t="s">
        <v>7866</v>
      </c>
      <c r="G1851" t="s">
        <v>3890</v>
      </c>
      <c r="H1851" t="s">
        <v>5467</v>
      </c>
      <c r="I1851" t="s">
        <v>5468</v>
      </c>
      <c r="J1851">
        <v>2</v>
      </c>
      <c r="K1851">
        <v>165.38399999999999</v>
      </c>
      <c r="L1851">
        <v>157.30799999999999</v>
      </c>
      <c r="M1851">
        <v>188.27600000000001</v>
      </c>
      <c r="N1851">
        <v>191.96899999999999</v>
      </c>
      <c r="O1851">
        <v>186.31800000000001</v>
      </c>
      <c r="P1851">
        <v>183.922</v>
      </c>
      <c r="Q1851">
        <v>188.53800000000001</v>
      </c>
      <c r="R1851">
        <v>179.166</v>
      </c>
      <c r="S1851">
        <v>176.48699999999999</v>
      </c>
      <c r="T1851">
        <v>173.01900000000001</v>
      </c>
      <c r="U1851">
        <v>172.00899999999999</v>
      </c>
      <c r="V1851">
        <v>171.30500000000001</v>
      </c>
      <c r="W1851">
        <v>171.75</v>
      </c>
      <c r="X1851">
        <v>173.108</v>
      </c>
      <c r="Y1851">
        <v>175.56200000000001</v>
      </c>
      <c r="Z1851">
        <v>179.233</v>
      </c>
      <c r="AA1851">
        <v>184.28399999999999</v>
      </c>
      <c r="AB1851">
        <v>190.88200000000001</v>
      </c>
      <c r="AC1851">
        <v>198.96100000000001</v>
      </c>
      <c r="AD1851">
        <v>207.39599999999999</v>
      </c>
    </row>
    <row r="1852" spans="2:30" x14ac:dyDescent="0.25">
      <c r="B1852" t="s">
        <v>133</v>
      </c>
      <c r="C1852" t="s">
        <v>3261</v>
      </c>
      <c r="D1852" t="s">
        <v>5508</v>
      </c>
      <c r="E1852" t="s">
        <v>5509</v>
      </c>
      <c r="F1852" t="s">
        <v>7867</v>
      </c>
      <c r="G1852" t="s">
        <v>3890</v>
      </c>
      <c r="H1852" t="s">
        <v>5467</v>
      </c>
      <c r="I1852" t="s">
        <v>5468</v>
      </c>
      <c r="J1852">
        <v>2</v>
      </c>
      <c r="K1852">
        <v>18.006</v>
      </c>
      <c r="L1852">
        <v>17.527000000000001</v>
      </c>
      <c r="M1852">
        <v>17.026</v>
      </c>
      <c r="N1852">
        <v>20.585999999999999</v>
      </c>
      <c r="O1852">
        <v>20.190999999999999</v>
      </c>
      <c r="P1852">
        <v>19.742999999999999</v>
      </c>
      <c r="Q1852">
        <v>19.254000000000001</v>
      </c>
      <c r="R1852">
        <v>18.8</v>
      </c>
      <c r="S1852">
        <v>18.283000000000001</v>
      </c>
      <c r="T1852">
        <v>17.788</v>
      </c>
      <c r="U1852">
        <v>17.305</v>
      </c>
      <c r="V1852">
        <v>16.847999999999999</v>
      </c>
      <c r="W1852">
        <v>16.413</v>
      </c>
      <c r="X1852">
        <v>15.999000000000001</v>
      </c>
      <c r="Y1852">
        <v>15.606</v>
      </c>
      <c r="Z1852">
        <v>15.236000000000001</v>
      </c>
      <c r="AA1852">
        <v>14.888999999999999</v>
      </c>
      <c r="AB1852">
        <v>14.565</v>
      </c>
      <c r="AC1852">
        <v>14.266</v>
      </c>
      <c r="AD1852">
        <v>13.992000000000001</v>
      </c>
    </row>
    <row r="1853" spans="2:30" x14ac:dyDescent="0.25">
      <c r="B1853" t="s">
        <v>133</v>
      </c>
      <c r="C1853" t="s">
        <v>3261</v>
      </c>
      <c r="D1853" t="s">
        <v>5511</v>
      </c>
      <c r="E1853" t="s">
        <v>5512</v>
      </c>
      <c r="F1853" t="s">
        <v>7868</v>
      </c>
      <c r="G1853" t="s">
        <v>3890</v>
      </c>
      <c r="H1853" t="s">
        <v>5467</v>
      </c>
      <c r="I1853" t="s">
        <v>5468</v>
      </c>
      <c r="J1853">
        <v>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2:30" x14ac:dyDescent="0.25">
      <c r="B1854" t="s">
        <v>133</v>
      </c>
      <c r="C1854" t="s">
        <v>3261</v>
      </c>
      <c r="D1854" t="s">
        <v>5514</v>
      </c>
      <c r="E1854" t="s">
        <v>5515</v>
      </c>
      <c r="F1854" t="s">
        <v>7869</v>
      </c>
      <c r="G1854" t="s">
        <v>3890</v>
      </c>
      <c r="H1854" t="s">
        <v>5467</v>
      </c>
      <c r="I1854" t="s">
        <v>5468</v>
      </c>
      <c r="J1854">
        <v>2</v>
      </c>
      <c r="K1854">
        <v>5.8109999999999999</v>
      </c>
      <c r="L1854">
        <v>7.1920000000000002</v>
      </c>
      <c r="M1854">
        <v>6.952</v>
      </c>
      <c r="N1854">
        <v>10.766999999999999</v>
      </c>
      <c r="O1854">
        <v>14.978</v>
      </c>
      <c r="P1854">
        <v>19.523</v>
      </c>
      <c r="Q1854">
        <v>21.742999999999999</v>
      </c>
      <c r="R1854">
        <v>24.707999999999998</v>
      </c>
      <c r="S1854">
        <v>24.654</v>
      </c>
      <c r="T1854">
        <v>24.9</v>
      </c>
      <c r="U1854">
        <v>25.08</v>
      </c>
      <c r="V1854">
        <v>25.785</v>
      </c>
      <c r="W1854">
        <v>26.777000000000001</v>
      </c>
      <c r="X1854">
        <v>28.151</v>
      </c>
      <c r="Y1854">
        <v>29.895</v>
      </c>
      <c r="Z1854">
        <v>32.048000000000002</v>
      </c>
      <c r="AA1854">
        <v>34.656999999999996</v>
      </c>
      <c r="AB1854">
        <v>37.789000000000001</v>
      </c>
      <c r="AC1854">
        <v>41.502000000000002</v>
      </c>
      <c r="AD1854">
        <v>45.822000000000003</v>
      </c>
    </row>
    <row r="1855" spans="2:30" x14ac:dyDescent="0.25">
      <c r="B1855" t="s">
        <v>133</v>
      </c>
      <c r="C1855" t="s">
        <v>3261</v>
      </c>
      <c r="D1855" t="s">
        <v>5517</v>
      </c>
      <c r="E1855" t="s">
        <v>5518</v>
      </c>
      <c r="F1855" t="s">
        <v>7870</v>
      </c>
      <c r="G1855" t="s">
        <v>3890</v>
      </c>
      <c r="H1855" t="s">
        <v>5467</v>
      </c>
      <c r="I1855" t="s">
        <v>5468</v>
      </c>
      <c r="J1855">
        <v>2</v>
      </c>
      <c r="K1855">
        <v>4.8929999999999998</v>
      </c>
      <c r="L1855">
        <v>5.1619999999999999</v>
      </c>
      <c r="M1855">
        <v>4.9550000000000001</v>
      </c>
      <c r="N1855">
        <v>8.8030000000000008</v>
      </c>
      <c r="O1855">
        <v>13.021000000000001</v>
      </c>
      <c r="P1855">
        <v>14.672000000000001</v>
      </c>
      <c r="Q1855">
        <v>15.468</v>
      </c>
      <c r="R1855">
        <v>16.826000000000001</v>
      </c>
      <c r="S1855">
        <v>16.614999999999998</v>
      </c>
      <c r="T1855">
        <v>16.664000000000001</v>
      </c>
      <c r="U1855">
        <v>16.689</v>
      </c>
      <c r="V1855">
        <v>17.103999999999999</v>
      </c>
      <c r="W1855">
        <v>17.748999999999999</v>
      </c>
      <c r="X1855">
        <v>18.706</v>
      </c>
      <c r="Y1855">
        <v>19.98</v>
      </c>
      <c r="Z1855">
        <v>21.61</v>
      </c>
      <c r="AA1855">
        <v>23.654</v>
      </c>
      <c r="AB1855">
        <v>26.172999999999998</v>
      </c>
      <c r="AC1855">
        <v>29.347000000000001</v>
      </c>
      <c r="AD1855">
        <v>33.253</v>
      </c>
    </row>
    <row r="1856" spans="2:30" x14ac:dyDescent="0.25">
      <c r="B1856" t="s">
        <v>133</v>
      </c>
      <c r="C1856" t="s">
        <v>3261</v>
      </c>
      <c r="D1856" t="s">
        <v>5520</v>
      </c>
      <c r="E1856" t="s">
        <v>5521</v>
      </c>
      <c r="F1856" t="s">
        <v>7871</v>
      </c>
      <c r="G1856" t="s">
        <v>3890</v>
      </c>
      <c r="H1856" t="s">
        <v>5467</v>
      </c>
      <c r="I1856" t="s">
        <v>5468</v>
      </c>
      <c r="J1856">
        <v>2</v>
      </c>
      <c r="K1856">
        <v>14.646000000000001</v>
      </c>
      <c r="L1856">
        <v>14.987</v>
      </c>
      <c r="M1856">
        <v>14.987</v>
      </c>
      <c r="N1856">
        <v>25.103999999999999</v>
      </c>
      <c r="O1856">
        <v>36.119999999999997</v>
      </c>
      <c r="P1856">
        <v>37.161000000000001</v>
      </c>
      <c r="Q1856">
        <v>37.765000000000001</v>
      </c>
      <c r="R1856">
        <v>38.531999999999996</v>
      </c>
      <c r="S1856">
        <v>38.692</v>
      </c>
      <c r="T1856">
        <v>38.908999999999999</v>
      </c>
      <c r="U1856">
        <v>39.112000000000002</v>
      </c>
      <c r="V1856">
        <v>39.417000000000002</v>
      </c>
      <c r="W1856">
        <v>39.78</v>
      </c>
      <c r="X1856">
        <v>40.220999999999997</v>
      </c>
      <c r="Y1856">
        <v>40.738999999999997</v>
      </c>
      <c r="Z1856">
        <v>41.344000000000001</v>
      </c>
      <c r="AA1856">
        <v>42.046999999999997</v>
      </c>
      <c r="AB1856">
        <v>42.863</v>
      </c>
      <c r="AC1856">
        <v>43.8</v>
      </c>
      <c r="AD1856">
        <v>44.868000000000002</v>
      </c>
    </row>
    <row r="1857" spans="2:30" x14ac:dyDescent="0.25">
      <c r="B1857" t="s">
        <v>133</v>
      </c>
      <c r="C1857" t="s">
        <v>3261</v>
      </c>
      <c r="D1857" t="s">
        <v>5523</v>
      </c>
      <c r="E1857" t="s">
        <v>5524</v>
      </c>
      <c r="F1857" t="s">
        <v>7872</v>
      </c>
      <c r="G1857" t="s">
        <v>3890</v>
      </c>
      <c r="H1857" t="s">
        <v>5467</v>
      </c>
      <c r="I1857" t="s">
        <v>5468</v>
      </c>
      <c r="J1857">
        <v>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2:30" x14ac:dyDescent="0.25">
      <c r="B1858" t="s">
        <v>133</v>
      </c>
      <c r="C1858" t="s">
        <v>3261</v>
      </c>
      <c r="D1858" t="s">
        <v>5526</v>
      </c>
      <c r="E1858" t="s">
        <v>5527</v>
      </c>
      <c r="F1858" t="s">
        <v>7873</v>
      </c>
      <c r="G1858" t="s">
        <v>3890</v>
      </c>
      <c r="H1858" t="s">
        <v>5467</v>
      </c>
      <c r="I1858" t="s">
        <v>5468</v>
      </c>
      <c r="J1858">
        <v>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2:30" x14ac:dyDescent="0.25">
      <c r="B1859" t="s">
        <v>133</v>
      </c>
      <c r="C1859" t="s">
        <v>3261</v>
      </c>
      <c r="D1859" t="s">
        <v>5529</v>
      </c>
      <c r="E1859" t="s">
        <v>5530</v>
      </c>
      <c r="F1859" t="s">
        <v>7874</v>
      </c>
      <c r="G1859" t="s">
        <v>3890</v>
      </c>
      <c r="H1859" t="s">
        <v>5467</v>
      </c>
      <c r="I1859" t="s">
        <v>5468</v>
      </c>
      <c r="J1859">
        <v>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2:30" x14ac:dyDescent="0.25">
      <c r="B1860" t="s">
        <v>133</v>
      </c>
      <c r="C1860" t="s">
        <v>3261</v>
      </c>
      <c r="D1860" t="s">
        <v>5532</v>
      </c>
      <c r="E1860" t="s">
        <v>5533</v>
      </c>
      <c r="F1860" t="s">
        <v>7875</v>
      </c>
      <c r="G1860" t="s">
        <v>3890</v>
      </c>
      <c r="H1860" t="s">
        <v>109</v>
      </c>
      <c r="I1860" t="s">
        <v>108</v>
      </c>
      <c r="J1860">
        <v>2</v>
      </c>
      <c r="K1860">
        <v>0.33900000000000002</v>
      </c>
      <c r="L1860">
        <v>0.32700000000000001</v>
      </c>
      <c r="M1860">
        <v>0.32</v>
      </c>
      <c r="N1860">
        <v>0.309</v>
      </c>
      <c r="O1860">
        <v>0.315</v>
      </c>
      <c r="P1860">
        <v>0.34499999999999997</v>
      </c>
      <c r="Q1860">
        <v>0.378</v>
      </c>
      <c r="R1860">
        <v>0.41399999999999998</v>
      </c>
      <c r="S1860">
        <v>0.45700000000000002</v>
      </c>
      <c r="T1860">
        <v>0.50700000000000001</v>
      </c>
      <c r="U1860">
        <v>0.56200000000000006</v>
      </c>
      <c r="V1860">
        <v>0.62</v>
      </c>
      <c r="W1860">
        <v>0.68200000000000005</v>
      </c>
      <c r="X1860">
        <v>0.747</v>
      </c>
      <c r="Y1860">
        <v>0.81599999999999995</v>
      </c>
      <c r="Z1860">
        <v>0.88700000000000001</v>
      </c>
      <c r="AA1860">
        <v>0.96299999999999997</v>
      </c>
      <c r="AB1860">
        <v>1.042</v>
      </c>
      <c r="AC1860">
        <v>1.1240000000000001</v>
      </c>
      <c r="AD1860">
        <v>1.2090000000000001</v>
      </c>
    </row>
    <row r="1861" spans="2:30" x14ac:dyDescent="0.25">
      <c r="B1861" t="s">
        <v>133</v>
      </c>
      <c r="C1861" t="s">
        <v>3261</v>
      </c>
      <c r="D1861" t="s">
        <v>5535</v>
      </c>
      <c r="E1861" t="s">
        <v>5536</v>
      </c>
      <c r="F1861" t="s">
        <v>7876</v>
      </c>
      <c r="G1861" t="s">
        <v>3890</v>
      </c>
      <c r="H1861" t="s">
        <v>109</v>
      </c>
      <c r="I1861" t="s">
        <v>108</v>
      </c>
      <c r="J1861">
        <v>2</v>
      </c>
      <c r="K1861">
        <v>495.238</v>
      </c>
      <c r="L1861">
        <v>484.52</v>
      </c>
      <c r="M1861">
        <v>472.24900000000002</v>
      </c>
      <c r="N1861">
        <v>454.66399999999999</v>
      </c>
      <c r="O1861">
        <v>463.9</v>
      </c>
      <c r="P1861">
        <v>509.44099999999997</v>
      </c>
      <c r="Q1861">
        <v>559.21799999999996</v>
      </c>
      <c r="R1861">
        <v>613.4</v>
      </c>
      <c r="S1861">
        <v>678.05899999999997</v>
      </c>
      <c r="T1861">
        <v>754.61900000000003</v>
      </c>
      <c r="U1861">
        <v>837.82299999999998</v>
      </c>
      <c r="V1861">
        <v>927.41</v>
      </c>
      <c r="W1861">
        <v>1023.034</v>
      </c>
      <c r="X1861">
        <v>1124.3409999999999</v>
      </c>
      <c r="Y1861">
        <v>1230.8219999999999</v>
      </c>
      <c r="Z1861">
        <v>1343.5229999999999</v>
      </c>
      <c r="AA1861">
        <v>1462.4459999999999</v>
      </c>
      <c r="AB1861">
        <v>1587.586</v>
      </c>
      <c r="AC1861">
        <v>1718.981</v>
      </c>
      <c r="AD1861">
        <v>1854.377</v>
      </c>
    </row>
    <row r="1862" spans="2:30" x14ac:dyDescent="0.25">
      <c r="B1862" t="s">
        <v>133</v>
      </c>
      <c r="C1862" t="s">
        <v>3261</v>
      </c>
      <c r="D1862" t="s">
        <v>5538</v>
      </c>
      <c r="E1862">
        <v>0</v>
      </c>
      <c r="F1862" t="s">
        <v>7877</v>
      </c>
      <c r="G1862" t="s">
        <v>3890</v>
      </c>
      <c r="H1862" t="s">
        <v>109</v>
      </c>
      <c r="I1862" t="s">
        <v>108</v>
      </c>
      <c r="J1862">
        <v>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2:30" x14ac:dyDescent="0.25">
      <c r="B1863" t="s">
        <v>133</v>
      </c>
      <c r="C1863" t="s">
        <v>3261</v>
      </c>
      <c r="D1863" t="s">
        <v>5540</v>
      </c>
      <c r="E1863">
        <v>0</v>
      </c>
      <c r="F1863" t="s">
        <v>7877</v>
      </c>
      <c r="G1863" t="s">
        <v>3890</v>
      </c>
      <c r="H1863" t="s">
        <v>109</v>
      </c>
      <c r="I1863" t="s">
        <v>108</v>
      </c>
      <c r="J1863">
        <v>2</v>
      </c>
      <c r="K1863">
        <v>0.02</v>
      </c>
      <c r="L1863">
        <v>2.5000000000000001E-2</v>
      </c>
      <c r="M1863">
        <v>3.4000000000000002E-2</v>
      </c>
      <c r="N1863">
        <v>4.3999999999999997E-2</v>
      </c>
      <c r="O1863">
        <v>6.9000000000000006E-2</v>
      </c>
      <c r="P1863">
        <v>0.12</v>
      </c>
      <c r="Q1863">
        <v>0.221</v>
      </c>
      <c r="R1863">
        <v>0.40600000000000003</v>
      </c>
      <c r="S1863">
        <v>0.76200000000000001</v>
      </c>
      <c r="T1863">
        <v>1.393</v>
      </c>
      <c r="U1863">
        <v>2.4489999999999998</v>
      </c>
      <c r="V1863">
        <v>4.1219999999999999</v>
      </c>
      <c r="W1863">
        <v>6.5640000000000001</v>
      </c>
      <c r="X1863">
        <v>9.9670000000000005</v>
      </c>
      <c r="Y1863">
        <v>14.45</v>
      </c>
      <c r="Z1863">
        <v>20.215</v>
      </c>
      <c r="AA1863">
        <v>27.495000000000001</v>
      </c>
      <c r="AB1863">
        <v>36.555999999999997</v>
      </c>
      <c r="AC1863">
        <v>47.569000000000003</v>
      </c>
      <c r="AD1863">
        <v>59.773000000000003</v>
      </c>
    </row>
    <row r="1864" spans="2:30" x14ac:dyDescent="0.25">
      <c r="B1864" t="s">
        <v>133</v>
      </c>
      <c r="C1864" t="s">
        <v>3261</v>
      </c>
      <c r="D1864" t="s">
        <v>5541</v>
      </c>
      <c r="E1864" t="s">
        <v>5542</v>
      </c>
      <c r="F1864" t="s">
        <v>7878</v>
      </c>
      <c r="G1864" t="s">
        <v>3890</v>
      </c>
      <c r="H1864" t="s">
        <v>109</v>
      </c>
      <c r="I1864" t="s">
        <v>108</v>
      </c>
      <c r="J1864">
        <v>2</v>
      </c>
      <c r="K1864">
        <v>1.6890000000000001</v>
      </c>
      <c r="L1864">
        <v>2.1659999999999999</v>
      </c>
      <c r="M1864">
        <v>2.9460000000000002</v>
      </c>
      <c r="N1864">
        <v>3.7509999999999999</v>
      </c>
      <c r="O1864">
        <v>5.9260000000000002</v>
      </c>
      <c r="P1864">
        <v>10.311999999999999</v>
      </c>
      <c r="Q1864">
        <v>19.004999999999999</v>
      </c>
      <c r="R1864">
        <v>34.932000000000002</v>
      </c>
      <c r="S1864">
        <v>65.481999999999999</v>
      </c>
      <c r="T1864">
        <v>119.81</v>
      </c>
      <c r="U1864">
        <v>210.60599999999999</v>
      </c>
      <c r="V1864">
        <v>354.46499999999997</v>
      </c>
      <c r="W1864">
        <v>564.399</v>
      </c>
      <c r="X1864">
        <v>856.97900000000004</v>
      </c>
      <c r="Y1864">
        <v>1242.508</v>
      </c>
      <c r="Z1864">
        <v>1738.1510000000001</v>
      </c>
      <c r="AA1864">
        <v>2364.1060000000002</v>
      </c>
      <c r="AB1864">
        <v>3143.248</v>
      </c>
      <c r="AC1864">
        <v>4090.212</v>
      </c>
      <c r="AD1864">
        <v>5139.5410000000002</v>
      </c>
    </row>
    <row r="1865" spans="2:30" x14ac:dyDescent="0.25">
      <c r="B1865" t="s">
        <v>133</v>
      </c>
      <c r="C1865" t="s">
        <v>3261</v>
      </c>
      <c r="D1865" t="s">
        <v>5544</v>
      </c>
      <c r="E1865">
        <v>0</v>
      </c>
      <c r="F1865" t="s">
        <v>7877</v>
      </c>
      <c r="G1865" t="s">
        <v>3890</v>
      </c>
      <c r="H1865" t="s">
        <v>109</v>
      </c>
      <c r="I1865" t="s">
        <v>108</v>
      </c>
      <c r="J1865">
        <v>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2:30" x14ac:dyDescent="0.25">
      <c r="B1866" t="s">
        <v>133</v>
      </c>
      <c r="C1866" t="s">
        <v>3261</v>
      </c>
      <c r="D1866" t="s">
        <v>5545</v>
      </c>
      <c r="E1866" t="s">
        <v>5546</v>
      </c>
      <c r="F1866" t="s">
        <v>7879</v>
      </c>
      <c r="G1866" t="s">
        <v>3890</v>
      </c>
      <c r="H1866" t="s">
        <v>109</v>
      </c>
      <c r="I1866" t="s">
        <v>108</v>
      </c>
      <c r="J1866">
        <v>2</v>
      </c>
      <c r="K1866">
        <v>197.274</v>
      </c>
      <c r="L1866">
        <v>195.66</v>
      </c>
      <c r="M1866">
        <v>189.69</v>
      </c>
      <c r="N1866">
        <v>181.21199999999999</v>
      </c>
      <c r="O1866">
        <v>185.57499999999999</v>
      </c>
      <c r="P1866">
        <v>204.697</v>
      </c>
      <c r="Q1866">
        <v>225.94</v>
      </c>
      <c r="R1866">
        <v>249.56399999999999</v>
      </c>
      <c r="S1866">
        <v>278.41800000000001</v>
      </c>
      <c r="T1866">
        <v>313.58</v>
      </c>
      <c r="U1866">
        <v>353.53800000000001</v>
      </c>
      <c r="V1866">
        <v>398.892</v>
      </c>
      <c r="W1866">
        <v>450.315</v>
      </c>
      <c r="X1866">
        <v>508.59</v>
      </c>
      <c r="Y1866">
        <v>574.06200000000001</v>
      </c>
      <c r="Z1866">
        <v>648.16</v>
      </c>
      <c r="AA1866">
        <v>732.072</v>
      </c>
      <c r="AB1866">
        <v>827.16399999999999</v>
      </c>
      <c r="AC1866">
        <v>934.35900000000004</v>
      </c>
      <c r="AD1866">
        <v>1049.0540000000001</v>
      </c>
    </row>
    <row r="1867" spans="2:30" x14ac:dyDescent="0.25">
      <c r="B1867" t="s">
        <v>133</v>
      </c>
      <c r="C1867" t="s">
        <v>3261</v>
      </c>
      <c r="D1867" t="s">
        <v>5548</v>
      </c>
      <c r="E1867" t="s">
        <v>5549</v>
      </c>
      <c r="F1867" t="s">
        <v>7880</v>
      </c>
      <c r="G1867" t="s">
        <v>3890</v>
      </c>
      <c r="H1867" t="s">
        <v>109</v>
      </c>
      <c r="I1867" t="s">
        <v>108</v>
      </c>
      <c r="J1867">
        <v>2</v>
      </c>
      <c r="K1867">
        <v>11.728</v>
      </c>
      <c r="L1867">
        <v>11.728</v>
      </c>
      <c r="M1867">
        <v>11.37</v>
      </c>
      <c r="N1867">
        <v>10.861000000000001</v>
      </c>
      <c r="O1867">
        <v>11.95</v>
      </c>
      <c r="P1867">
        <v>13.175000000000001</v>
      </c>
      <c r="Q1867">
        <v>14.529</v>
      </c>
      <c r="R1867">
        <v>16.026</v>
      </c>
      <c r="S1867">
        <v>17.84</v>
      </c>
      <c r="T1867">
        <v>20.039000000000001</v>
      </c>
      <c r="U1867">
        <v>22.524999999999999</v>
      </c>
      <c r="V1867">
        <v>25.343</v>
      </c>
      <c r="W1867">
        <v>28.472000000000001</v>
      </c>
      <c r="X1867">
        <v>31.960999999999999</v>
      </c>
      <c r="Y1867">
        <v>35.85</v>
      </c>
      <c r="Z1867">
        <v>40.183999999999997</v>
      </c>
      <c r="AA1867">
        <v>45.008000000000003</v>
      </c>
      <c r="AB1867">
        <v>50.381</v>
      </c>
      <c r="AC1867">
        <v>56.368000000000002</v>
      </c>
      <c r="AD1867">
        <v>62.981000000000002</v>
      </c>
    </row>
    <row r="1868" spans="2:30" x14ac:dyDescent="0.25">
      <c r="B1868" t="s">
        <v>133</v>
      </c>
      <c r="C1868" t="s">
        <v>3261</v>
      </c>
      <c r="D1868" t="s">
        <v>5551</v>
      </c>
      <c r="E1868" t="s">
        <v>5552</v>
      </c>
      <c r="F1868" t="s">
        <v>7881</v>
      </c>
      <c r="G1868" t="s">
        <v>3890</v>
      </c>
      <c r="H1868" t="s">
        <v>109</v>
      </c>
      <c r="I1868" t="s">
        <v>108</v>
      </c>
      <c r="J1868">
        <v>2</v>
      </c>
      <c r="K1868">
        <v>6.758</v>
      </c>
      <c r="L1868">
        <v>7.0880000000000001</v>
      </c>
      <c r="M1868">
        <v>7.0940000000000003</v>
      </c>
      <c r="N1868">
        <v>7.0309999999999997</v>
      </c>
      <c r="O1868">
        <v>7.61</v>
      </c>
      <c r="P1868">
        <v>8.2579999999999991</v>
      </c>
      <c r="Q1868">
        <v>8.5350000000000001</v>
      </c>
      <c r="R1868">
        <v>8.6170000000000009</v>
      </c>
      <c r="S1868">
        <v>8.8030000000000008</v>
      </c>
      <c r="T1868">
        <v>9.1029999999999998</v>
      </c>
      <c r="U1868">
        <v>9.4030000000000005</v>
      </c>
      <c r="V1868">
        <v>9.6980000000000004</v>
      </c>
      <c r="W1868">
        <v>9.9920000000000009</v>
      </c>
      <c r="X1868">
        <v>10.288</v>
      </c>
      <c r="Y1868">
        <v>10.595000000000001</v>
      </c>
      <c r="Z1868">
        <v>10.907</v>
      </c>
      <c r="AA1868">
        <v>11.228999999999999</v>
      </c>
      <c r="AB1868">
        <v>11.566000000000001</v>
      </c>
      <c r="AC1868">
        <v>11.920999999999999</v>
      </c>
      <c r="AD1868">
        <v>12.3</v>
      </c>
    </row>
    <row r="1869" spans="2:30" x14ac:dyDescent="0.25">
      <c r="B1869" t="s">
        <v>133</v>
      </c>
      <c r="C1869" t="s">
        <v>3261</v>
      </c>
      <c r="D1869" t="s">
        <v>5554</v>
      </c>
      <c r="E1869">
        <v>0</v>
      </c>
      <c r="F1869" t="s">
        <v>7877</v>
      </c>
      <c r="G1869" t="s">
        <v>3890</v>
      </c>
      <c r="H1869" t="s">
        <v>109</v>
      </c>
      <c r="I1869" t="s">
        <v>108</v>
      </c>
      <c r="J1869">
        <v>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2:30" x14ac:dyDescent="0.25">
      <c r="B1870" t="s">
        <v>133</v>
      </c>
      <c r="C1870" t="s">
        <v>3261</v>
      </c>
      <c r="D1870" t="s">
        <v>5555</v>
      </c>
      <c r="E1870">
        <v>0</v>
      </c>
      <c r="F1870" t="s">
        <v>7877</v>
      </c>
      <c r="G1870" t="s">
        <v>3890</v>
      </c>
      <c r="H1870" t="s">
        <v>109</v>
      </c>
      <c r="I1870" t="s">
        <v>108</v>
      </c>
      <c r="J1870">
        <v>2</v>
      </c>
      <c r="K1870">
        <v>12.917999999999999</v>
      </c>
      <c r="L1870">
        <v>13.292</v>
      </c>
      <c r="M1870">
        <v>13.16</v>
      </c>
      <c r="N1870">
        <v>13.037000000000001</v>
      </c>
      <c r="O1870">
        <v>13.037000000000001</v>
      </c>
      <c r="P1870">
        <v>13.096</v>
      </c>
      <c r="Q1870">
        <v>13.161</v>
      </c>
      <c r="R1870">
        <v>13.231</v>
      </c>
      <c r="S1870">
        <v>13.305999999999999</v>
      </c>
      <c r="T1870">
        <v>13.387</v>
      </c>
      <c r="U1870">
        <v>13.472</v>
      </c>
      <c r="V1870">
        <v>13.561999999999999</v>
      </c>
      <c r="W1870">
        <v>13.656000000000001</v>
      </c>
      <c r="X1870">
        <v>13.754</v>
      </c>
      <c r="Y1870">
        <v>13.856</v>
      </c>
      <c r="Z1870">
        <v>13.961</v>
      </c>
      <c r="AA1870">
        <v>14.07</v>
      </c>
      <c r="AB1870">
        <v>14.183</v>
      </c>
      <c r="AC1870">
        <v>14.298</v>
      </c>
      <c r="AD1870">
        <v>14.417</v>
      </c>
    </row>
    <row r="1871" spans="2:30" x14ac:dyDescent="0.25">
      <c r="B1871" t="s">
        <v>133</v>
      </c>
      <c r="C1871" t="s">
        <v>3261</v>
      </c>
      <c r="D1871" t="s">
        <v>5556</v>
      </c>
      <c r="E1871">
        <v>0</v>
      </c>
      <c r="F1871" t="s">
        <v>7877</v>
      </c>
      <c r="G1871" t="s">
        <v>3890</v>
      </c>
      <c r="H1871" t="s">
        <v>109</v>
      </c>
      <c r="I1871" t="s">
        <v>108</v>
      </c>
      <c r="J1871">
        <v>2</v>
      </c>
      <c r="K1871">
        <v>1.83</v>
      </c>
      <c r="L1871">
        <v>1.84</v>
      </c>
      <c r="M1871">
        <v>1.85</v>
      </c>
      <c r="N1871">
        <v>1.86</v>
      </c>
      <c r="O1871">
        <v>1.86</v>
      </c>
      <c r="P1871">
        <v>1.871</v>
      </c>
      <c r="Q1871">
        <v>1.883</v>
      </c>
      <c r="R1871">
        <v>1.8959999999999999</v>
      </c>
      <c r="S1871">
        <v>1.91</v>
      </c>
      <c r="T1871">
        <v>1.9239999999999999</v>
      </c>
      <c r="U1871">
        <v>1.9390000000000001</v>
      </c>
      <c r="V1871">
        <v>1.9550000000000001</v>
      </c>
      <c r="W1871">
        <v>1.9710000000000001</v>
      </c>
      <c r="X1871">
        <v>1.9870000000000001</v>
      </c>
      <c r="Y1871">
        <v>2.004</v>
      </c>
      <c r="Z1871">
        <v>2.0219999999999998</v>
      </c>
      <c r="AA1871">
        <v>2.0390000000000001</v>
      </c>
      <c r="AB1871">
        <v>2.0579999999999998</v>
      </c>
      <c r="AC1871">
        <v>2.077</v>
      </c>
      <c r="AD1871">
        <v>2.0960000000000001</v>
      </c>
    </row>
    <row r="1872" spans="2:30" x14ac:dyDescent="0.25">
      <c r="B1872" t="s">
        <v>133</v>
      </c>
      <c r="C1872" t="s">
        <v>3261</v>
      </c>
      <c r="D1872" t="s">
        <v>5557</v>
      </c>
      <c r="E1872" t="s">
        <v>5558</v>
      </c>
      <c r="F1872" t="s">
        <v>7882</v>
      </c>
      <c r="G1872" t="s">
        <v>3890</v>
      </c>
      <c r="H1872" t="s">
        <v>109</v>
      </c>
      <c r="I1872" t="s">
        <v>108</v>
      </c>
      <c r="J1872">
        <v>2</v>
      </c>
      <c r="K1872">
        <v>6.327</v>
      </c>
      <c r="L1872">
        <v>6.3979999999999997</v>
      </c>
      <c r="M1872">
        <v>6.3920000000000003</v>
      </c>
      <c r="N1872">
        <v>6.3879999999999999</v>
      </c>
      <c r="O1872">
        <v>6.1989999999999998</v>
      </c>
      <c r="P1872">
        <v>6.2309999999999999</v>
      </c>
      <c r="Q1872">
        <v>6.266</v>
      </c>
      <c r="R1872">
        <v>6.3019999999999996</v>
      </c>
      <c r="S1872">
        <v>6.3380000000000001</v>
      </c>
      <c r="T1872">
        <v>6.3730000000000002</v>
      </c>
      <c r="U1872">
        <v>6.407</v>
      </c>
      <c r="V1872">
        <v>6.4409999999999998</v>
      </c>
      <c r="W1872">
        <v>6.476</v>
      </c>
      <c r="X1872">
        <v>6.5119999999999996</v>
      </c>
      <c r="Y1872">
        <v>6.5449999999999999</v>
      </c>
      <c r="Z1872">
        <v>6.5789999999999997</v>
      </c>
      <c r="AA1872">
        <v>6.6120000000000001</v>
      </c>
      <c r="AB1872">
        <v>6.6449999999999996</v>
      </c>
      <c r="AC1872">
        <v>6.6769999999999996</v>
      </c>
      <c r="AD1872">
        <v>6.702</v>
      </c>
    </row>
    <row r="1873" spans="2:30" x14ac:dyDescent="0.25">
      <c r="B1873" t="s">
        <v>133</v>
      </c>
      <c r="C1873" t="s">
        <v>3261</v>
      </c>
      <c r="D1873" t="s">
        <v>5560</v>
      </c>
      <c r="E1873">
        <v>0</v>
      </c>
      <c r="F1873" t="s">
        <v>7877</v>
      </c>
      <c r="G1873" t="s">
        <v>3890</v>
      </c>
      <c r="H1873" t="s">
        <v>109</v>
      </c>
      <c r="I1873" t="s">
        <v>108</v>
      </c>
      <c r="J1873">
        <v>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2:30" x14ac:dyDescent="0.25">
      <c r="B1874" t="s">
        <v>133</v>
      </c>
      <c r="C1874" t="s">
        <v>3261</v>
      </c>
      <c r="D1874" t="s">
        <v>5561</v>
      </c>
      <c r="E1874">
        <v>0</v>
      </c>
      <c r="F1874" t="s">
        <v>7877</v>
      </c>
      <c r="G1874" t="s">
        <v>3890</v>
      </c>
      <c r="H1874" t="s">
        <v>109</v>
      </c>
      <c r="I1874" t="s">
        <v>108</v>
      </c>
      <c r="J1874">
        <v>2</v>
      </c>
      <c r="K1874">
        <v>11.183999999999999</v>
      </c>
      <c r="L1874">
        <v>11.509</v>
      </c>
      <c r="M1874">
        <v>11.387</v>
      </c>
      <c r="N1874">
        <v>11.282999999999999</v>
      </c>
      <c r="O1874">
        <v>11.282999999999999</v>
      </c>
      <c r="P1874">
        <v>11.334</v>
      </c>
      <c r="Q1874">
        <v>11.39</v>
      </c>
      <c r="R1874">
        <v>11.451000000000001</v>
      </c>
      <c r="S1874">
        <v>11.516</v>
      </c>
      <c r="T1874">
        <v>11.586</v>
      </c>
      <c r="U1874">
        <v>11.659000000000001</v>
      </c>
      <c r="V1874">
        <v>11.737</v>
      </c>
      <c r="W1874">
        <v>11.818</v>
      </c>
      <c r="X1874">
        <v>11.903</v>
      </c>
      <c r="Y1874">
        <v>11.991</v>
      </c>
      <c r="Z1874">
        <v>12.083</v>
      </c>
      <c r="AA1874">
        <v>12.177</v>
      </c>
      <c r="AB1874">
        <v>12.273999999999999</v>
      </c>
      <c r="AC1874">
        <v>12.374000000000001</v>
      </c>
      <c r="AD1874">
        <v>12.477</v>
      </c>
    </row>
    <row r="1875" spans="2:30" x14ac:dyDescent="0.25">
      <c r="B1875" t="s">
        <v>133</v>
      </c>
      <c r="C1875" t="s">
        <v>3261</v>
      </c>
      <c r="D1875" t="s">
        <v>5562</v>
      </c>
      <c r="E1875">
        <v>0</v>
      </c>
      <c r="F1875" t="s">
        <v>7877</v>
      </c>
      <c r="G1875" t="s">
        <v>3890</v>
      </c>
      <c r="H1875" t="s">
        <v>109</v>
      </c>
      <c r="I1875" t="s">
        <v>108</v>
      </c>
      <c r="J1875">
        <v>2</v>
      </c>
      <c r="K1875">
        <v>1.31</v>
      </c>
      <c r="L1875">
        <v>1.32</v>
      </c>
      <c r="M1875">
        <v>1.32</v>
      </c>
      <c r="N1875">
        <v>1.33</v>
      </c>
      <c r="O1875">
        <v>1.33</v>
      </c>
      <c r="P1875">
        <v>1.3380000000000001</v>
      </c>
      <c r="Q1875">
        <v>1.347</v>
      </c>
      <c r="R1875">
        <v>1.3560000000000001</v>
      </c>
      <c r="S1875">
        <v>1.3660000000000001</v>
      </c>
      <c r="T1875">
        <v>1.3759999999999999</v>
      </c>
      <c r="U1875">
        <v>1.387</v>
      </c>
      <c r="V1875">
        <v>1.3979999999999999</v>
      </c>
      <c r="W1875">
        <v>1.409</v>
      </c>
      <c r="X1875">
        <v>1.421</v>
      </c>
      <c r="Y1875">
        <v>1.4330000000000001</v>
      </c>
      <c r="Z1875">
        <v>1.446</v>
      </c>
      <c r="AA1875">
        <v>1.458</v>
      </c>
      <c r="AB1875">
        <v>1.4710000000000001</v>
      </c>
      <c r="AC1875">
        <v>1.4850000000000001</v>
      </c>
      <c r="AD1875">
        <v>1.498</v>
      </c>
    </row>
    <row r="1876" spans="2:30" x14ac:dyDescent="0.25">
      <c r="B1876" t="s">
        <v>133</v>
      </c>
      <c r="C1876" t="s">
        <v>3261</v>
      </c>
      <c r="D1876" t="s">
        <v>5563</v>
      </c>
      <c r="E1876" t="s">
        <v>5564</v>
      </c>
      <c r="F1876" t="s">
        <v>7883</v>
      </c>
      <c r="G1876" t="s">
        <v>3890</v>
      </c>
      <c r="H1876" t="s">
        <v>109</v>
      </c>
      <c r="I1876" t="s">
        <v>108</v>
      </c>
      <c r="J1876">
        <v>2</v>
      </c>
      <c r="K1876">
        <v>6.2469999999999999</v>
      </c>
      <c r="L1876">
        <v>6.415</v>
      </c>
      <c r="M1876">
        <v>6.3540000000000001</v>
      </c>
      <c r="N1876">
        <v>6.3070000000000004</v>
      </c>
      <c r="O1876">
        <v>6.3070000000000004</v>
      </c>
      <c r="P1876">
        <v>6.3360000000000003</v>
      </c>
      <c r="Q1876">
        <v>6.3680000000000003</v>
      </c>
      <c r="R1876">
        <v>6.4029999999999996</v>
      </c>
      <c r="S1876">
        <v>6.4409999999999998</v>
      </c>
      <c r="T1876">
        <v>6.4809999999999999</v>
      </c>
      <c r="U1876">
        <v>6.5229999999999997</v>
      </c>
      <c r="V1876">
        <v>6.5670000000000002</v>
      </c>
      <c r="W1876">
        <v>6.6139999999999999</v>
      </c>
      <c r="X1876">
        <v>6.6619999999999999</v>
      </c>
      <c r="Y1876">
        <v>6.7119999999999997</v>
      </c>
      <c r="Z1876">
        <v>6.7640000000000002</v>
      </c>
      <c r="AA1876">
        <v>6.8179999999999996</v>
      </c>
      <c r="AB1876">
        <v>6.8730000000000002</v>
      </c>
      <c r="AC1876">
        <v>6.93</v>
      </c>
      <c r="AD1876">
        <v>6.9880000000000004</v>
      </c>
    </row>
    <row r="1877" spans="2:30" x14ac:dyDescent="0.25">
      <c r="B1877" t="s">
        <v>133</v>
      </c>
      <c r="C1877" t="s">
        <v>3261</v>
      </c>
      <c r="D1877" t="s">
        <v>5566</v>
      </c>
      <c r="E1877">
        <v>0</v>
      </c>
      <c r="F1877" t="s">
        <v>7877</v>
      </c>
      <c r="G1877" t="s">
        <v>3890</v>
      </c>
      <c r="H1877" t="s">
        <v>109</v>
      </c>
      <c r="I1877" t="s">
        <v>108</v>
      </c>
      <c r="J1877">
        <v>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2:30" x14ac:dyDescent="0.25">
      <c r="B1878" t="s">
        <v>133</v>
      </c>
      <c r="C1878" t="s">
        <v>3261</v>
      </c>
      <c r="D1878" t="s">
        <v>5567</v>
      </c>
      <c r="E1878">
        <v>0</v>
      </c>
      <c r="F1878" t="s">
        <v>7877</v>
      </c>
      <c r="G1878" t="s">
        <v>3890</v>
      </c>
      <c r="H1878" t="s">
        <v>109</v>
      </c>
      <c r="I1878" t="s">
        <v>108</v>
      </c>
      <c r="J1878">
        <v>2</v>
      </c>
      <c r="K1878">
        <v>12.163</v>
      </c>
      <c r="L1878">
        <v>12.509</v>
      </c>
      <c r="M1878">
        <v>12.385999999999999</v>
      </c>
      <c r="N1878">
        <v>12.263</v>
      </c>
      <c r="O1878">
        <v>12.263</v>
      </c>
      <c r="P1878">
        <v>12.319000000000001</v>
      </c>
      <c r="Q1878">
        <v>12.379</v>
      </c>
      <c r="R1878">
        <v>12.445</v>
      </c>
      <c r="S1878">
        <v>12.516999999999999</v>
      </c>
      <c r="T1878">
        <v>12.592000000000001</v>
      </c>
      <c r="U1878">
        <v>12.672000000000001</v>
      </c>
      <c r="V1878">
        <v>12.757</v>
      </c>
      <c r="W1878">
        <v>12.845000000000001</v>
      </c>
      <c r="X1878">
        <v>12.936999999999999</v>
      </c>
      <c r="Y1878">
        <v>13.032999999999999</v>
      </c>
      <c r="Z1878">
        <v>13.132</v>
      </c>
      <c r="AA1878">
        <v>13.234999999999999</v>
      </c>
      <c r="AB1878">
        <v>13.340999999999999</v>
      </c>
      <c r="AC1878">
        <v>13.45</v>
      </c>
      <c r="AD1878">
        <v>13.561</v>
      </c>
    </row>
    <row r="1879" spans="2:30" x14ac:dyDescent="0.25">
      <c r="B1879" t="s">
        <v>133</v>
      </c>
      <c r="C1879" t="s">
        <v>3261</v>
      </c>
      <c r="D1879" t="s">
        <v>5568</v>
      </c>
      <c r="E1879">
        <v>0</v>
      </c>
      <c r="F1879" t="s">
        <v>7877</v>
      </c>
      <c r="G1879" t="s">
        <v>3890</v>
      </c>
      <c r="H1879" t="s">
        <v>109</v>
      </c>
      <c r="I1879" t="s">
        <v>108</v>
      </c>
      <c r="J1879">
        <v>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2:30" x14ac:dyDescent="0.25">
      <c r="B1880" t="s">
        <v>133</v>
      </c>
      <c r="C1880" t="s">
        <v>3261</v>
      </c>
      <c r="D1880" t="s">
        <v>5569</v>
      </c>
      <c r="E1880">
        <v>0</v>
      </c>
      <c r="F1880" t="s">
        <v>7877</v>
      </c>
      <c r="G1880" t="s">
        <v>3890</v>
      </c>
      <c r="H1880" t="s">
        <v>109</v>
      </c>
      <c r="I1880" t="s">
        <v>108</v>
      </c>
      <c r="J1880">
        <v>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2:30" x14ac:dyDescent="0.25">
      <c r="B1881" t="s">
        <v>133</v>
      </c>
      <c r="C1881" t="s">
        <v>3261</v>
      </c>
      <c r="D1881" t="s">
        <v>5570</v>
      </c>
      <c r="E1881">
        <v>0</v>
      </c>
      <c r="F1881" t="s">
        <v>7877</v>
      </c>
      <c r="G1881" t="s">
        <v>3890</v>
      </c>
      <c r="H1881" t="s">
        <v>109</v>
      </c>
      <c r="I1881" t="s">
        <v>108</v>
      </c>
      <c r="J1881">
        <v>2</v>
      </c>
      <c r="K1881">
        <v>17910.141</v>
      </c>
      <c r="L1881">
        <v>17964.946</v>
      </c>
      <c r="M1881">
        <v>21786.334999999999</v>
      </c>
      <c r="N1881">
        <v>22261.268</v>
      </c>
      <c r="O1881">
        <v>22719.177</v>
      </c>
      <c r="P1881">
        <v>23266.445</v>
      </c>
      <c r="Q1881">
        <v>23922.679</v>
      </c>
      <c r="R1881">
        <v>24544.272000000001</v>
      </c>
      <c r="S1881">
        <v>25115.246999999999</v>
      </c>
      <c r="T1881">
        <v>25684</v>
      </c>
      <c r="U1881">
        <v>26253.186000000002</v>
      </c>
      <c r="V1881">
        <v>26822.87</v>
      </c>
      <c r="W1881">
        <v>27398.296999999999</v>
      </c>
      <c r="X1881">
        <v>27982.611000000001</v>
      </c>
      <c r="Y1881">
        <v>28579.608</v>
      </c>
      <c r="Z1881">
        <v>29194.685000000001</v>
      </c>
      <c r="AA1881">
        <v>29832.720000000001</v>
      </c>
      <c r="AB1881">
        <v>30496.248</v>
      </c>
      <c r="AC1881">
        <v>31186.251</v>
      </c>
      <c r="AD1881">
        <v>31899.784</v>
      </c>
    </row>
    <row r="1882" spans="2:30" x14ac:dyDescent="0.25">
      <c r="B1882" t="s">
        <v>133</v>
      </c>
      <c r="C1882" t="s">
        <v>3261</v>
      </c>
      <c r="D1882" t="s">
        <v>5571</v>
      </c>
      <c r="E1882">
        <v>0</v>
      </c>
      <c r="F1882" t="s">
        <v>7877</v>
      </c>
      <c r="G1882" t="s">
        <v>3890</v>
      </c>
      <c r="H1882" t="s">
        <v>109</v>
      </c>
      <c r="I1882" t="s">
        <v>108</v>
      </c>
      <c r="J1882">
        <v>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2:30" x14ac:dyDescent="0.25">
      <c r="B1883" t="s">
        <v>133</v>
      </c>
      <c r="C1883" t="s">
        <v>3261</v>
      </c>
      <c r="D1883" t="s">
        <v>5572</v>
      </c>
      <c r="E1883" t="s">
        <v>38</v>
      </c>
      <c r="F1883" t="s">
        <v>7884</v>
      </c>
      <c r="G1883" t="s">
        <v>3890</v>
      </c>
      <c r="H1883" t="s">
        <v>109</v>
      </c>
      <c r="I1883" t="s">
        <v>108</v>
      </c>
      <c r="J1883">
        <v>2</v>
      </c>
      <c r="K1883">
        <v>2022</v>
      </c>
      <c r="L1883">
        <v>2023</v>
      </c>
      <c r="M1883">
        <v>2024</v>
      </c>
      <c r="N1883">
        <v>2025</v>
      </c>
      <c r="O1883">
        <v>2026</v>
      </c>
      <c r="P1883">
        <v>2027</v>
      </c>
      <c r="Q1883">
        <v>2028</v>
      </c>
      <c r="R1883">
        <v>2029</v>
      </c>
      <c r="S1883">
        <v>2030</v>
      </c>
      <c r="T1883">
        <v>2031</v>
      </c>
      <c r="U1883">
        <v>2032</v>
      </c>
      <c r="V1883">
        <v>2033</v>
      </c>
      <c r="W1883">
        <v>2034</v>
      </c>
      <c r="X1883">
        <v>2035</v>
      </c>
      <c r="Y1883">
        <v>2036</v>
      </c>
      <c r="Z1883">
        <v>2037</v>
      </c>
      <c r="AA1883">
        <v>2038</v>
      </c>
      <c r="AB1883">
        <v>2039</v>
      </c>
      <c r="AC1883">
        <v>2040</v>
      </c>
      <c r="AD1883">
        <v>2041</v>
      </c>
    </row>
    <row r="1884" spans="2:30" x14ac:dyDescent="0.25">
      <c r="B1884" t="s">
        <v>133</v>
      </c>
      <c r="C1884" t="s">
        <v>3261</v>
      </c>
      <c r="D1884" t="s">
        <v>5574</v>
      </c>
      <c r="E1884">
        <v>0</v>
      </c>
      <c r="F1884" t="s">
        <v>7877</v>
      </c>
      <c r="G1884" t="s">
        <v>3890</v>
      </c>
      <c r="H1884" t="s">
        <v>109</v>
      </c>
      <c r="I1884" t="s">
        <v>108</v>
      </c>
      <c r="J1884">
        <v>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2:30" x14ac:dyDescent="0.25">
      <c r="B1885" t="s">
        <v>133</v>
      </c>
      <c r="C1885" t="s">
        <v>3261</v>
      </c>
      <c r="D1885" t="s">
        <v>5575</v>
      </c>
      <c r="E1885" t="s">
        <v>5576</v>
      </c>
      <c r="F1885" t="s">
        <v>7885</v>
      </c>
      <c r="G1885" t="s">
        <v>3890</v>
      </c>
      <c r="H1885" t="s">
        <v>109</v>
      </c>
      <c r="I1885" t="s">
        <v>108</v>
      </c>
      <c r="J1885">
        <v>2</v>
      </c>
      <c r="K1885">
        <v>23.399000000000001</v>
      </c>
      <c r="L1885">
        <v>15.864000000000001</v>
      </c>
      <c r="M1885">
        <v>14.744</v>
      </c>
      <c r="N1885">
        <v>13.651999999999999</v>
      </c>
      <c r="O1885">
        <v>13.680999999999999</v>
      </c>
      <c r="P1885">
        <v>13.768000000000001</v>
      </c>
      <c r="Q1885">
        <v>13.727</v>
      </c>
      <c r="R1885">
        <v>13.683</v>
      </c>
      <c r="S1885">
        <v>13.635999999999999</v>
      </c>
      <c r="T1885">
        <v>13.59</v>
      </c>
      <c r="U1885">
        <v>13.59</v>
      </c>
      <c r="V1885">
        <v>13.59</v>
      </c>
      <c r="W1885">
        <v>13.59</v>
      </c>
      <c r="X1885">
        <v>13.59</v>
      </c>
      <c r="Y1885">
        <v>13.59</v>
      </c>
      <c r="Z1885">
        <v>13.59</v>
      </c>
      <c r="AA1885">
        <v>13.59</v>
      </c>
      <c r="AB1885">
        <v>13.59</v>
      </c>
      <c r="AC1885">
        <v>13.59</v>
      </c>
      <c r="AD1885">
        <v>13.59</v>
      </c>
    </row>
    <row r="1886" spans="2:30" x14ac:dyDescent="0.25">
      <c r="B1886" t="s">
        <v>133</v>
      </c>
      <c r="C1886" t="s">
        <v>3261</v>
      </c>
      <c r="D1886" t="s">
        <v>5578</v>
      </c>
      <c r="E1886" t="s">
        <v>5579</v>
      </c>
      <c r="F1886" t="s">
        <v>7886</v>
      </c>
      <c r="G1886" t="s">
        <v>3890</v>
      </c>
      <c r="H1886" t="s">
        <v>109</v>
      </c>
      <c r="I1886" t="s">
        <v>108</v>
      </c>
      <c r="J1886">
        <v>2</v>
      </c>
      <c r="K1886">
        <v>4.6340000000000003</v>
      </c>
      <c r="L1886">
        <v>3.2090000000000001</v>
      </c>
      <c r="M1886">
        <v>2.331</v>
      </c>
      <c r="N1886">
        <v>2.331</v>
      </c>
      <c r="O1886">
        <v>2.331</v>
      </c>
      <c r="P1886">
        <v>2.331</v>
      </c>
      <c r="Q1886">
        <v>2.331</v>
      </c>
      <c r="R1886">
        <v>2.331</v>
      </c>
      <c r="S1886">
        <v>2.331</v>
      </c>
      <c r="T1886">
        <v>2.331</v>
      </c>
      <c r="U1886">
        <v>2.331</v>
      </c>
      <c r="V1886">
        <v>2.331</v>
      </c>
      <c r="W1886">
        <v>2.331</v>
      </c>
      <c r="X1886">
        <v>2.331</v>
      </c>
      <c r="Y1886">
        <v>2.331</v>
      </c>
      <c r="Z1886">
        <v>2.331</v>
      </c>
      <c r="AA1886">
        <v>2.331</v>
      </c>
      <c r="AB1886">
        <v>2.331</v>
      </c>
      <c r="AC1886">
        <v>2.331</v>
      </c>
      <c r="AD1886">
        <v>2.331</v>
      </c>
    </row>
    <row r="1887" spans="2:30" x14ac:dyDescent="0.25">
      <c r="B1887" t="s">
        <v>133</v>
      </c>
      <c r="C1887" t="s">
        <v>3261</v>
      </c>
      <c r="D1887" t="s">
        <v>5581</v>
      </c>
      <c r="E1887" t="s">
        <v>5582</v>
      </c>
      <c r="F1887" t="s">
        <v>7887</v>
      </c>
      <c r="G1887" t="s">
        <v>3890</v>
      </c>
      <c r="H1887" t="s">
        <v>109</v>
      </c>
      <c r="I1887" t="s">
        <v>108</v>
      </c>
      <c r="J1887">
        <v>2</v>
      </c>
      <c r="K1887">
        <v>0.6</v>
      </c>
      <c r="L1887">
        <v>0.41099999999999998</v>
      </c>
      <c r="M1887">
        <v>0.33500000000000002</v>
      </c>
      <c r="N1887">
        <v>0.33500000000000002</v>
      </c>
      <c r="O1887">
        <v>0.33500000000000002</v>
      </c>
      <c r="P1887">
        <v>0.33500000000000002</v>
      </c>
      <c r="Q1887">
        <v>0.33500000000000002</v>
      </c>
      <c r="R1887">
        <v>0.33500000000000002</v>
      </c>
      <c r="S1887">
        <v>0.33500000000000002</v>
      </c>
      <c r="T1887">
        <v>0.33500000000000002</v>
      </c>
      <c r="U1887">
        <v>0.33500000000000002</v>
      </c>
      <c r="V1887">
        <v>0.33500000000000002</v>
      </c>
      <c r="W1887">
        <v>0.33500000000000002</v>
      </c>
      <c r="X1887">
        <v>0.33500000000000002</v>
      </c>
      <c r="Y1887">
        <v>0.33500000000000002</v>
      </c>
      <c r="Z1887">
        <v>0.33500000000000002</v>
      </c>
      <c r="AA1887">
        <v>0.33500000000000002</v>
      </c>
      <c r="AB1887">
        <v>0.33500000000000002</v>
      </c>
      <c r="AC1887">
        <v>0.33500000000000002</v>
      </c>
      <c r="AD1887">
        <v>0.33500000000000002</v>
      </c>
    </row>
    <row r="1888" spans="2:30" x14ac:dyDescent="0.25">
      <c r="B1888" t="s">
        <v>133</v>
      </c>
      <c r="C1888" t="s">
        <v>3261</v>
      </c>
      <c r="D1888" t="s">
        <v>5584</v>
      </c>
      <c r="E1888">
        <v>0</v>
      </c>
      <c r="F1888" t="s">
        <v>7877</v>
      </c>
      <c r="G1888" t="s">
        <v>3890</v>
      </c>
      <c r="H1888" t="s">
        <v>109</v>
      </c>
      <c r="I1888" t="s">
        <v>108</v>
      </c>
      <c r="J1888">
        <v>2</v>
      </c>
      <c r="K1888">
        <v>4.6340000000000003</v>
      </c>
      <c r="L1888">
        <v>3.2090000000000001</v>
      </c>
      <c r="M1888">
        <v>2.331</v>
      </c>
      <c r="N1888">
        <v>2.331</v>
      </c>
      <c r="O1888">
        <v>2.331</v>
      </c>
      <c r="P1888">
        <v>2.331</v>
      </c>
      <c r="Q1888">
        <v>2.331</v>
      </c>
      <c r="R1888">
        <v>2.331</v>
      </c>
      <c r="S1888">
        <v>2.331</v>
      </c>
      <c r="T1888">
        <v>2.331</v>
      </c>
      <c r="U1888">
        <v>2.331</v>
      </c>
      <c r="V1888">
        <v>2.331</v>
      </c>
      <c r="W1888">
        <v>2.331</v>
      </c>
      <c r="X1888">
        <v>2.331</v>
      </c>
      <c r="Y1888">
        <v>2.331</v>
      </c>
      <c r="Z1888">
        <v>2.331</v>
      </c>
      <c r="AA1888">
        <v>2.331</v>
      </c>
      <c r="AB1888">
        <v>2.331</v>
      </c>
      <c r="AC1888">
        <v>2.331</v>
      </c>
      <c r="AD1888">
        <v>2.331</v>
      </c>
    </row>
    <row r="1889" spans="2:30" x14ac:dyDescent="0.25">
      <c r="B1889" t="s">
        <v>133</v>
      </c>
      <c r="C1889" t="s">
        <v>3261</v>
      </c>
      <c r="D1889" t="s">
        <v>5585</v>
      </c>
      <c r="E1889">
        <v>0</v>
      </c>
      <c r="F1889" t="s">
        <v>7877</v>
      </c>
      <c r="G1889" t="s">
        <v>3890</v>
      </c>
      <c r="H1889" t="s">
        <v>109</v>
      </c>
      <c r="I1889" t="s">
        <v>108</v>
      </c>
      <c r="J1889">
        <v>2</v>
      </c>
      <c r="K1889">
        <v>0.6</v>
      </c>
      <c r="L1889">
        <v>0.41099999999999998</v>
      </c>
      <c r="M1889">
        <v>0.33500000000000002</v>
      </c>
      <c r="N1889">
        <v>0.33500000000000002</v>
      </c>
      <c r="O1889">
        <v>0.33500000000000002</v>
      </c>
      <c r="P1889">
        <v>0.33500000000000002</v>
      </c>
      <c r="Q1889">
        <v>0.33500000000000002</v>
      </c>
      <c r="R1889">
        <v>0.33500000000000002</v>
      </c>
      <c r="S1889">
        <v>0.33500000000000002</v>
      </c>
      <c r="T1889">
        <v>0.33500000000000002</v>
      </c>
      <c r="U1889">
        <v>0.33500000000000002</v>
      </c>
      <c r="V1889">
        <v>0.33500000000000002</v>
      </c>
      <c r="W1889">
        <v>0.33500000000000002</v>
      </c>
      <c r="X1889">
        <v>0.33500000000000002</v>
      </c>
      <c r="Y1889">
        <v>0.33500000000000002</v>
      </c>
      <c r="Z1889">
        <v>0.33500000000000002</v>
      </c>
      <c r="AA1889">
        <v>0.33500000000000002</v>
      </c>
      <c r="AB1889">
        <v>0.33500000000000002</v>
      </c>
      <c r="AC1889">
        <v>0.33500000000000002</v>
      </c>
      <c r="AD1889">
        <v>0.33500000000000002</v>
      </c>
    </row>
    <row r="1890" spans="2:30" x14ac:dyDescent="0.25">
      <c r="B1890" t="s">
        <v>133</v>
      </c>
      <c r="C1890" t="s">
        <v>3261</v>
      </c>
      <c r="D1890" t="s">
        <v>5586</v>
      </c>
      <c r="E1890">
        <v>0</v>
      </c>
      <c r="F1890" t="s">
        <v>7877</v>
      </c>
      <c r="G1890" t="s">
        <v>3890</v>
      </c>
      <c r="H1890" t="s">
        <v>109</v>
      </c>
      <c r="I1890" t="s">
        <v>108</v>
      </c>
      <c r="J1890">
        <v>2</v>
      </c>
      <c r="K1890">
        <v>0.41399999999999998</v>
      </c>
      <c r="L1890">
        <v>0.28100000000000003</v>
      </c>
      <c r="M1890">
        <v>0.249</v>
      </c>
      <c r="N1890">
        <v>0.249</v>
      </c>
      <c r="O1890">
        <v>0.249</v>
      </c>
      <c r="P1890">
        <v>0.249</v>
      </c>
      <c r="Q1890">
        <v>0.249</v>
      </c>
      <c r="R1890">
        <v>0.249</v>
      </c>
      <c r="S1890">
        <v>0.249</v>
      </c>
      <c r="T1890">
        <v>0.249</v>
      </c>
      <c r="U1890">
        <v>0.249</v>
      </c>
      <c r="V1890">
        <v>0.249</v>
      </c>
      <c r="W1890">
        <v>0.249</v>
      </c>
      <c r="X1890">
        <v>0.249</v>
      </c>
      <c r="Y1890">
        <v>0.249</v>
      </c>
      <c r="Z1890">
        <v>0.249</v>
      </c>
      <c r="AA1890">
        <v>0.249</v>
      </c>
      <c r="AB1890">
        <v>0.249</v>
      </c>
      <c r="AC1890">
        <v>0.249</v>
      </c>
      <c r="AD1890">
        <v>0.249</v>
      </c>
    </row>
    <row r="1891" spans="2:30" x14ac:dyDescent="0.25">
      <c r="B1891" t="s">
        <v>133</v>
      </c>
      <c r="C1891" t="s">
        <v>3261</v>
      </c>
      <c r="D1891" t="s">
        <v>5587</v>
      </c>
      <c r="E1891">
        <v>0</v>
      </c>
      <c r="F1891" t="s">
        <v>7877</v>
      </c>
      <c r="G1891" t="s">
        <v>3890</v>
      </c>
      <c r="H1891" t="s">
        <v>109</v>
      </c>
      <c r="I1891" t="s">
        <v>108</v>
      </c>
      <c r="J1891">
        <v>2</v>
      </c>
      <c r="K1891">
        <v>0.17499999999999999</v>
      </c>
      <c r="L1891">
        <v>0.10199999999999999</v>
      </c>
      <c r="M1891">
        <v>8.7999999999999995E-2</v>
      </c>
      <c r="N1891">
        <v>8.7999999999999995E-2</v>
      </c>
      <c r="O1891">
        <v>8.7999999999999995E-2</v>
      </c>
      <c r="P1891">
        <v>8.7999999999999995E-2</v>
      </c>
      <c r="Q1891">
        <v>8.7999999999999995E-2</v>
      </c>
      <c r="R1891">
        <v>8.7999999999999995E-2</v>
      </c>
      <c r="S1891">
        <v>8.7999999999999995E-2</v>
      </c>
      <c r="T1891">
        <v>8.7999999999999995E-2</v>
      </c>
      <c r="U1891">
        <v>8.7999999999999995E-2</v>
      </c>
      <c r="V1891">
        <v>8.7999999999999995E-2</v>
      </c>
      <c r="W1891">
        <v>8.7999999999999995E-2</v>
      </c>
      <c r="X1891">
        <v>8.7999999999999995E-2</v>
      </c>
      <c r="Y1891">
        <v>8.7999999999999995E-2</v>
      </c>
      <c r="Z1891">
        <v>8.7999999999999995E-2</v>
      </c>
      <c r="AA1891">
        <v>8.7999999999999995E-2</v>
      </c>
      <c r="AB1891">
        <v>8.7999999999999995E-2</v>
      </c>
      <c r="AC1891">
        <v>8.7999999999999995E-2</v>
      </c>
      <c r="AD1891">
        <v>8.7999999999999995E-2</v>
      </c>
    </row>
    <row r="1892" spans="2:30" x14ac:dyDescent="0.25">
      <c r="B1892" t="s">
        <v>133</v>
      </c>
      <c r="C1892" t="s">
        <v>3261</v>
      </c>
      <c r="D1892" t="s">
        <v>5588</v>
      </c>
      <c r="E1892">
        <v>0</v>
      </c>
      <c r="F1892" t="s">
        <v>7877</v>
      </c>
      <c r="G1892" t="s">
        <v>3890</v>
      </c>
      <c r="H1892" t="s">
        <v>109</v>
      </c>
      <c r="I1892" t="s">
        <v>108</v>
      </c>
      <c r="J1892">
        <v>2</v>
      </c>
      <c r="K1892">
        <v>0.41399999999999998</v>
      </c>
      <c r="L1892">
        <v>0.25900000000000001</v>
      </c>
      <c r="M1892">
        <v>0.24399999999999999</v>
      </c>
      <c r="N1892">
        <v>0.24399999999999999</v>
      </c>
      <c r="O1892">
        <v>0.24399999999999999</v>
      </c>
      <c r="P1892">
        <v>0.24399999999999999</v>
      </c>
      <c r="Q1892">
        <v>0.24399999999999999</v>
      </c>
      <c r="R1892">
        <v>0.24399999999999999</v>
      </c>
      <c r="S1892">
        <v>0.24399999999999999</v>
      </c>
      <c r="T1892">
        <v>0.24399999999999999</v>
      </c>
      <c r="U1892">
        <v>0.24399999999999999</v>
      </c>
      <c r="V1892">
        <v>0.24399999999999999</v>
      </c>
      <c r="W1892">
        <v>0.24399999999999999</v>
      </c>
      <c r="X1892">
        <v>0.24399999999999999</v>
      </c>
      <c r="Y1892">
        <v>0.24399999999999999</v>
      </c>
      <c r="Z1892">
        <v>0.24399999999999999</v>
      </c>
      <c r="AA1892">
        <v>0.24399999999999999</v>
      </c>
      <c r="AB1892">
        <v>0.24399999999999999</v>
      </c>
      <c r="AC1892">
        <v>0.24399999999999999</v>
      </c>
      <c r="AD1892">
        <v>0.24399999999999999</v>
      </c>
    </row>
    <row r="1893" spans="2:30" x14ac:dyDescent="0.25">
      <c r="B1893" t="s">
        <v>133</v>
      </c>
      <c r="C1893" t="s">
        <v>3261</v>
      </c>
      <c r="D1893" t="s">
        <v>5589</v>
      </c>
      <c r="E1893">
        <v>0</v>
      </c>
      <c r="F1893" t="s">
        <v>7877</v>
      </c>
      <c r="G1893" t="s">
        <v>3890</v>
      </c>
      <c r="H1893" t="s">
        <v>109</v>
      </c>
      <c r="I1893" t="s">
        <v>108</v>
      </c>
      <c r="J1893">
        <v>2</v>
      </c>
      <c r="K1893">
        <v>33.051000000000002</v>
      </c>
      <c r="L1893">
        <v>26.300999999999998</v>
      </c>
      <c r="M1893">
        <v>23.175999999999998</v>
      </c>
      <c r="N1893">
        <v>15</v>
      </c>
      <c r="O1893">
        <v>15</v>
      </c>
      <c r="P1893">
        <v>15</v>
      </c>
      <c r="Q1893">
        <v>15</v>
      </c>
      <c r="R1893">
        <v>15</v>
      </c>
      <c r="S1893">
        <v>15</v>
      </c>
      <c r="T1893">
        <v>15</v>
      </c>
      <c r="U1893">
        <v>15</v>
      </c>
      <c r="V1893">
        <v>15</v>
      </c>
      <c r="W1893">
        <v>15</v>
      </c>
      <c r="X1893">
        <v>15</v>
      </c>
      <c r="Y1893">
        <v>15</v>
      </c>
      <c r="Z1893">
        <v>15</v>
      </c>
      <c r="AA1893">
        <v>15</v>
      </c>
      <c r="AB1893">
        <v>15</v>
      </c>
      <c r="AC1893">
        <v>15</v>
      </c>
      <c r="AD1893">
        <v>15</v>
      </c>
    </row>
    <row r="1894" spans="2:30" x14ac:dyDescent="0.25">
      <c r="B1894" t="s">
        <v>133</v>
      </c>
      <c r="C1894" t="s">
        <v>3261</v>
      </c>
      <c r="D1894" t="s">
        <v>5590</v>
      </c>
      <c r="E1894">
        <v>0</v>
      </c>
      <c r="F1894" t="s">
        <v>7877</v>
      </c>
      <c r="G1894" t="s">
        <v>3890</v>
      </c>
      <c r="H1894" t="s">
        <v>109</v>
      </c>
      <c r="I1894" t="s">
        <v>108</v>
      </c>
      <c r="J1894">
        <v>2</v>
      </c>
      <c r="K1894">
        <v>14.471</v>
      </c>
      <c r="L1894">
        <v>14.471</v>
      </c>
      <c r="M1894">
        <v>14.476000000000001</v>
      </c>
      <c r="N1894">
        <v>14.476000000000001</v>
      </c>
      <c r="O1894">
        <v>14.476000000000001</v>
      </c>
      <c r="P1894">
        <v>14.476000000000001</v>
      </c>
      <c r="Q1894">
        <v>14.476000000000001</v>
      </c>
      <c r="R1894">
        <v>14.476000000000001</v>
      </c>
      <c r="S1894">
        <v>14.476000000000001</v>
      </c>
      <c r="T1894">
        <v>14.476000000000001</v>
      </c>
      <c r="U1894">
        <v>14.476000000000001</v>
      </c>
      <c r="V1894">
        <v>14.476000000000001</v>
      </c>
      <c r="W1894">
        <v>14.476000000000001</v>
      </c>
      <c r="X1894">
        <v>14.476000000000001</v>
      </c>
      <c r="Y1894">
        <v>14.476000000000001</v>
      </c>
      <c r="Z1894">
        <v>14.476000000000001</v>
      </c>
      <c r="AA1894">
        <v>14.476000000000001</v>
      </c>
      <c r="AB1894">
        <v>14.476000000000001</v>
      </c>
      <c r="AC1894">
        <v>14.476000000000001</v>
      </c>
      <c r="AD1894">
        <v>14.476000000000001</v>
      </c>
    </row>
    <row r="1895" spans="2:30" x14ac:dyDescent="0.25">
      <c r="B1895" t="s">
        <v>133</v>
      </c>
      <c r="C1895" t="s">
        <v>3261</v>
      </c>
      <c r="D1895" t="s">
        <v>5591</v>
      </c>
      <c r="E1895">
        <v>0</v>
      </c>
      <c r="F1895" t="s">
        <v>7877</v>
      </c>
      <c r="G1895" t="s">
        <v>3890</v>
      </c>
      <c r="H1895" t="s">
        <v>109</v>
      </c>
      <c r="I1895" t="s">
        <v>108</v>
      </c>
      <c r="J1895">
        <v>2</v>
      </c>
      <c r="K1895">
        <v>0.6</v>
      </c>
      <c r="L1895">
        <v>0.41099999999999998</v>
      </c>
      <c r="M1895">
        <v>0.33500000000000002</v>
      </c>
      <c r="N1895">
        <v>0.33500000000000002</v>
      </c>
      <c r="O1895">
        <v>0.33500000000000002</v>
      </c>
      <c r="P1895">
        <v>0.33500000000000002</v>
      </c>
      <c r="Q1895">
        <v>0.33500000000000002</v>
      </c>
      <c r="R1895">
        <v>0.33500000000000002</v>
      </c>
      <c r="S1895">
        <v>0.33500000000000002</v>
      </c>
      <c r="T1895">
        <v>0.33500000000000002</v>
      </c>
      <c r="U1895">
        <v>0.33500000000000002</v>
      </c>
      <c r="V1895">
        <v>0.33500000000000002</v>
      </c>
      <c r="W1895">
        <v>0.33500000000000002</v>
      </c>
      <c r="X1895">
        <v>0.33500000000000002</v>
      </c>
      <c r="Y1895">
        <v>0.33500000000000002</v>
      </c>
      <c r="Z1895">
        <v>0.33500000000000002</v>
      </c>
      <c r="AA1895">
        <v>0.33500000000000002</v>
      </c>
      <c r="AB1895">
        <v>0.33500000000000002</v>
      </c>
      <c r="AC1895">
        <v>0.33500000000000002</v>
      </c>
      <c r="AD1895">
        <v>0.33500000000000002</v>
      </c>
    </row>
    <row r="1896" spans="2:30" x14ac:dyDescent="0.25">
      <c r="B1896" t="s">
        <v>133</v>
      </c>
      <c r="C1896" t="s">
        <v>3261</v>
      </c>
      <c r="D1896" t="s">
        <v>5592</v>
      </c>
      <c r="E1896">
        <v>0</v>
      </c>
      <c r="F1896" t="s">
        <v>7877</v>
      </c>
      <c r="G1896" t="s">
        <v>3890</v>
      </c>
      <c r="H1896" t="s">
        <v>109</v>
      </c>
      <c r="I1896" t="s">
        <v>108</v>
      </c>
      <c r="J1896">
        <v>2</v>
      </c>
      <c r="K1896">
        <v>0.41399999999999998</v>
      </c>
      <c r="L1896">
        <v>0.28100000000000003</v>
      </c>
      <c r="M1896">
        <v>0.249</v>
      </c>
      <c r="N1896">
        <v>0.249</v>
      </c>
      <c r="O1896">
        <v>0.249</v>
      </c>
      <c r="P1896">
        <v>0.249</v>
      </c>
      <c r="Q1896">
        <v>0.249</v>
      </c>
      <c r="R1896">
        <v>0.249</v>
      </c>
      <c r="S1896">
        <v>0.249</v>
      </c>
      <c r="T1896">
        <v>0.249</v>
      </c>
      <c r="U1896">
        <v>0.249</v>
      </c>
      <c r="V1896">
        <v>0.249</v>
      </c>
      <c r="W1896">
        <v>0.249</v>
      </c>
      <c r="X1896">
        <v>0.249</v>
      </c>
      <c r="Y1896">
        <v>0.249</v>
      </c>
      <c r="Z1896">
        <v>0.249</v>
      </c>
      <c r="AA1896">
        <v>0.249</v>
      </c>
      <c r="AB1896">
        <v>0.249</v>
      </c>
      <c r="AC1896">
        <v>0.249</v>
      </c>
      <c r="AD1896">
        <v>0.249</v>
      </c>
    </row>
    <row r="1897" spans="2:30" x14ac:dyDescent="0.25">
      <c r="B1897" t="s">
        <v>133</v>
      </c>
      <c r="C1897" t="s">
        <v>3261</v>
      </c>
      <c r="D1897" t="s">
        <v>5593</v>
      </c>
      <c r="E1897">
        <v>0</v>
      </c>
      <c r="F1897" t="s">
        <v>7877</v>
      </c>
      <c r="G1897" t="s">
        <v>3890</v>
      </c>
      <c r="H1897" t="s">
        <v>109</v>
      </c>
      <c r="I1897" t="s">
        <v>108</v>
      </c>
      <c r="J1897">
        <v>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2:30" x14ac:dyDescent="0.25">
      <c r="B1898" t="s">
        <v>133</v>
      </c>
      <c r="C1898" t="s">
        <v>3261</v>
      </c>
      <c r="D1898" t="s">
        <v>5594</v>
      </c>
      <c r="E1898">
        <v>0</v>
      </c>
      <c r="F1898" t="s">
        <v>7877</v>
      </c>
      <c r="G1898" t="s">
        <v>3890</v>
      </c>
      <c r="H1898" t="s">
        <v>109</v>
      </c>
      <c r="I1898" t="s">
        <v>108</v>
      </c>
      <c r="J1898">
        <v>2</v>
      </c>
      <c r="K1898">
        <v>6562.2219999999998</v>
      </c>
      <c r="L1898">
        <v>6617.1670000000004</v>
      </c>
      <c r="M1898">
        <v>8127.7539999999999</v>
      </c>
      <c r="N1898">
        <v>8218.8449999999993</v>
      </c>
      <c r="O1898">
        <v>8305.8330000000005</v>
      </c>
      <c r="P1898">
        <v>8410.3019999999997</v>
      </c>
      <c r="Q1898">
        <v>8535.8169999999991</v>
      </c>
      <c r="R1898">
        <v>8653.4590000000007</v>
      </c>
      <c r="S1898">
        <v>8760.2870000000003</v>
      </c>
      <c r="T1898">
        <v>8865.9889999999996</v>
      </c>
      <c r="U1898">
        <v>8971.1090000000004</v>
      </c>
      <c r="V1898">
        <v>9075.6859999999997</v>
      </c>
      <c r="W1898">
        <v>9180.7479999999996</v>
      </c>
      <c r="X1898">
        <v>9286.8950000000004</v>
      </c>
      <c r="Y1898">
        <v>9394.8340000000007</v>
      </c>
      <c r="Z1898">
        <v>9505.5589999999993</v>
      </c>
      <c r="AA1898">
        <v>9619.9410000000007</v>
      </c>
      <c r="AB1898">
        <v>9738.393</v>
      </c>
      <c r="AC1898">
        <v>9861.0310000000009</v>
      </c>
      <c r="AD1898">
        <v>9987.2489999999998</v>
      </c>
    </row>
    <row r="1899" spans="2:30" x14ac:dyDescent="0.25">
      <c r="B1899" t="s">
        <v>133</v>
      </c>
      <c r="C1899" t="s">
        <v>3261</v>
      </c>
      <c r="D1899" t="s">
        <v>5595</v>
      </c>
      <c r="E1899" t="s">
        <v>5596</v>
      </c>
      <c r="F1899" t="s">
        <v>7888</v>
      </c>
      <c r="G1899" t="s">
        <v>3890</v>
      </c>
      <c r="H1899" t="s">
        <v>109</v>
      </c>
      <c r="I1899" t="s">
        <v>108</v>
      </c>
      <c r="J1899">
        <v>2</v>
      </c>
      <c r="K1899">
        <v>33.051000000000002</v>
      </c>
      <c r="L1899">
        <v>26.300999999999998</v>
      </c>
      <c r="M1899">
        <v>23.175999999999998</v>
      </c>
      <c r="N1899">
        <v>15</v>
      </c>
      <c r="O1899">
        <v>15</v>
      </c>
      <c r="P1899">
        <v>15</v>
      </c>
      <c r="Q1899">
        <v>15</v>
      </c>
      <c r="R1899">
        <v>15</v>
      </c>
      <c r="S1899">
        <v>15</v>
      </c>
      <c r="T1899">
        <v>15</v>
      </c>
      <c r="U1899">
        <v>15</v>
      </c>
      <c r="V1899">
        <v>15</v>
      </c>
      <c r="W1899">
        <v>15</v>
      </c>
      <c r="X1899">
        <v>15</v>
      </c>
      <c r="Y1899">
        <v>15</v>
      </c>
      <c r="Z1899">
        <v>15</v>
      </c>
      <c r="AA1899">
        <v>15</v>
      </c>
      <c r="AB1899">
        <v>15</v>
      </c>
      <c r="AC1899">
        <v>15</v>
      </c>
      <c r="AD1899">
        <v>15</v>
      </c>
    </row>
    <row r="1900" spans="2:30" x14ac:dyDescent="0.25">
      <c r="B1900" t="s">
        <v>133</v>
      </c>
      <c r="C1900" t="s">
        <v>3261</v>
      </c>
      <c r="D1900" t="s">
        <v>5598</v>
      </c>
      <c r="E1900" t="s">
        <v>5599</v>
      </c>
      <c r="F1900" t="s">
        <v>7889</v>
      </c>
      <c r="G1900" t="s">
        <v>3890</v>
      </c>
      <c r="H1900" t="s">
        <v>109</v>
      </c>
      <c r="I1900" t="s">
        <v>108</v>
      </c>
      <c r="J1900">
        <v>2</v>
      </c>
      <c r="K1900">
        <v>14.471</v>
      </c>
      <c r="L1900">
        <v>14.471</v>
      </c>
      <c r="M1900">
        <v>14.476000000000001</v>
      </c>
      <c r="N1900">
        <v>14.476000000000001</v>
      </c>
      <c r="O1900">
        <v>14.476000000000001</v>
      </c>
      <c r="P1900">
        <v>14.476000000000001</v>
      </c>
      <c r="Q1900">
        <v>14.476000000000001</v>
      </c>
      <c r="R1900">
        <v>14.476000000000001</v>
      </c>
      <c r="S1900">
        <v>14.476000000000001</v>
      </c>
      <c r="T1900">
        <v>14.476000000000001</v>
      </c>
      <c r="U1900">
        <v>14.476000000000001</v>
      </c>
      <c r="V1900">
        <v>14.476000000000001</v>
      </c>
      <c r="W1900">
        <v>14.476000000000001</v>
      </c>
      <c r="X1900">
        <v>14.476000000000001</v>
      </c>
      <c r="Y1900">
        <v>14.476000000000001</v>
      </c>
      <c r="Z1900">
        <v>14.476000000000001</v>
      </c>
      <c r="AA1900">
        <v>14.476000000000001</v>
      </c>
      <c r="AB1900">
        <v>14.476000000000001</v>
      </c>
      <c r="AC1900">
        <v>14.476000000000001</v>
      </c>
      <c r="AD1900">
        <v>14.476000000000001</v>
      </c>
    </row>
    <row r="1901" spans="2:30" x14ac:dyDescent="0.25">
      <c r="B1901" t="s">
        <v>133</v>
      </c>
      <c r="C1901" t="s">
        <v>3261</v>
      </c>
      <c r="D1901" t="s">
        <v>5601</v>
      </c>
      <c r="E1901" t="s">
        <v>5602</v>
      </c>
      <c r="F1901" t="s">
        <v>7890</v>
      </c>
      <c r="G1901" t="s">
        <v>3890</v>
      </c>
      <c r="H1901" t="s">
        <v>109</v>
      </c>
      <c r="I1901" t="s">
        <v>108</v>
      </c>
      <c r="J1901">
        <v>2</v>
      </c>
      <c r="K1901">
        <v>0.14399999999999999</v>
      </c>
      <c r="L1901">
        <v>0.14000000000000001</v>
      </c>
      <c r="M1901">
        <v>0.13400000000000001</v>
      </c>
      <c r="N1901">
        <v>0.13200000000000001</v>
      </c>
      <c r="O1901">
        <v>0.129</v>
      </c>
      <c r="P1901">
        <v>0.126</v>
      </c>
      <c r="Q1901">
        <v>0.122</v>
      </c>
      <c r="R1901">
        <v>0.11799999999999999</v>
      </c>
      <c r="S1901">
        <v>0.113</v>
      </c>
      <c r="T1901">
        <v>0.112</v>
      </c>
      <c r="U1901">
        <v>0.111</v>
      </c>
      <c r="V1901">
        <v>0.11</v>
      </c>
      <c r="W1901">
        <v>0.109</v>
      </c>
      <c r="X1901">
        <v>0.107</v>
      </c>
      <c r="Y1901">
        <v>0.107</v>
      </c>
      <c r="Z1901">
        <v>0.105</v>
      </c>
      <c r="AA1901">
        <v>0.105</v>
      </c>
      <c r="AB1901">
        <v>0.10299999999999999</v>
      </c>
      <c r="AC1901">
        <v>0.10100000000000001</v>
      </c>
      <c r="AD1901">
        <v>9.9000000000000005E-2</v>
      </c>
    </row>
    <row r="1902" spans="2:30" x14ac:dyDescent="0.25">
      <c r="B1902" t="s">
        <v>133</v>
      </c>
      <c r="C1902" t="s">
        <v>3261</v>
      </c>
      <c r="D1902" t="s">
        <v>5604</v>
      </c>
      <c r="E1902">
        <v>0</v>
      </c>
      <c r="F1902" t="s">
        <v>7877</v>
      </c>
      <c r="G1902" t="s">
        <v>3890</v>
      </c>
      <c r="H1902" t="s">
        <v>109</v>
      </c>
      <c r="I1902" t="s">
        <v>108</v>
      </c>
      <c r="J1902">
        <v>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2:30" x14ac:dyDescent="0.25">
      <c r="B1903" t="s">
        <v>133</v>
      </c>
      <c r="C1903" t="s">
        <v>3261</v>
      </c>
      <c r="D1903" t="s">
        <v>5605</v>
      </c>
      <c r="E1903">
        <v>0</v>
      </c>
      <c r="F1903" t="s">
        <v>7877</v>
      </c>
      <c r="G1903" t="s">
        <v>3890</v>
      </c>
      <c r="H1903" t="s">
        <v>109</v>
      </c>
      <c r="I1903" t="s">
        <v>108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2:30" x14ac:dyDescent="0.25">
      <c r="B1904" t="s">
        <v>133</v>
      </c>
      <c r="C1904" t="s">
        <v>3261</v>
      </c>
      <c r="D1904" t="s">
        <v>5606</v>
      </c>
      <c r="E1904" t="s">
        <v>5607</v>
      </c>
      <c r="F1904" t="s">
        <v>7891</v>
      </c>
      <c r="G1904" t="s">
        <v>3890</v>
      </c>
      <c r="H1904" t="s">
        <v>109</v>
      </c>
      <c r="I1904" t="s">
        <v>108</v>
      </c>
      <c r="J1904">
        <v>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2:30" x14ac:dyDescent="0.25">
      <c r="B1905" t="s">
        <v>133</v>
      </c>
      <c r="C1905" t="s">
        <v>3261</v>
      </c>
      <c r="D1905" t="s">
        <v>5609</v>
      </c>
      <c r="E1905" t="s">
        <v>5610</v>
      </c>
      <c r="F1905" t="s">
        <v>7892</v>
      </c>
      <c r="G1905" t="s">
        <v>3890</v>
      </c>
      <c r="H1905" t="s">
        <v>109</v>
      </c>
      <c r="I1905" t="s">
        <v>108</v>
      </c>
      <c r="J1905">
        <v>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2:30" x14ac:dyDescent="0.25">
      <c r="B1906" t="s">
        <v>133</v>
      </c>
      <c r="C1906" t="s">
        <v>3261</v>
      </c>
      <c r="D1906" t="s">
        <v>5612</v>
      </c>
      <c r="E1906" t="s">
        <v>5613</v>
      </c>
      <c r="F1906" t="s">
        <v>7893</v>
      </c>
      <c r="G1906" t="s">
        <v>3890</v>
      </c>
      <c r="H1906" t="s">
        <v>109</v>
      </c>
      <c r="I1906" t="s">
        <v>108</v>
      </c>
      <c r="J1906">
        <v>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2:30" x14ac:dyDescent="0.25">
      <c r="B1907" t="s">
        <v>133</v>
      </c>
      <c r="C1907" t="s">
        <v>3261</v>
      </c>
      <c r="D1907" t="s">
        <v>5615</v>
      </c>
      <c r="E1907" t="s">
        <v>5616</v>
      </c>
      <c r="F1907" t="s">
        <v>7894</v>
      </c>
      <c r="G1907" t="s">
        <v>3890</v>
      </c>
      <c r="H1907" t="s">
        <v>109</v>
      </c>
      <c r="I1907" t="s">
        <v>108</v>
      </c>
      <c r="J1907">
        <v>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2:30" x14ac:dyDescent="0.25">
      <c r="B1908" t="s">
        <v>133</v>
      </c>
      <c r="C1908" t="s">
        <v>3261</v>
      </c>
      <c r="D1908" t="s">
        <v>5618</v>
      </c>
      <c r="E1908" t="s">
        <v>5619</v>
      </c>
      <c r="F1908" t="s">
        <v>7895</v>
      </c>
      <c r="G1908" t="s">
        <v>3890</v>
      </c>
      <c r="H1908" t="s">
        <v>109</v>
      </c>
      <c r="I1908" t="s">
        <v>108</v>
      </c>
      <c r="J1908">
        <v>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2:30" x14ac:dyDescent="0.25">
      <c r="B1909" t="s">
        <v>133</v>
      </c>
      <c r="C1909" t="s">
        <v>3261</v>
      </c>
      <c r="D1909" t="s">
        <v>5621</v>
      </c>
      <c r="E1909" t="s">
        <v>5622</v>
      </c>
      <c r="F1909" t="s">
        <v>7896</v>
      </c>
      <c r="G1909" t="s">
        <v>3890</v>
      </c>
      <c r="H1909" t="s">
        <v>109</v>
      </c>
      <c r="I1909" t="s">
        <v>108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2:30" x14ac:dyDescent="0.25">
      <c r="B1910" t="s">
        <v>133</v>
      </c>
      <c r="C1910" t="s">
        <v>3261</v>
      </c>
      <c r="D1910" t="s">
        <v>5624</v>
      </c>
      <c r="E1910" t="s">
        <v>5625</v>
      </c>
      <c r="F1910" t="s">
        <v>7897</v>
      </c>
      <c r="G1910" t="s">
        <v>3890</v>
      </c>
      <c r="H1910" t="s">
        <v>109</v>
      </c>
      <c r="I1910" t="s">
        <v>108</v>
      </c>
      <c r="J1910">
        <v>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2:30" x14ac:dyDescent="0.25">
      <c r="B1911" t="s">
        <v>133</v>
      </c>
      <c r="C1911" t="s">
        <v>3261</v>
      </c>
      <c r="D1911" t="s">
        <v>5627</v>
      </c>
      <c r="E1911" t="s">
        <v>5628</v>
      </c>
      <c r="F1911" t="s">
        <v>7898</v>
      </c>
      <c r="G1911" t="s">
        <v>3890</v>
      </c>
      <c r="H1911" t="s">
        <v>109</v>
      </c>
      <c r="I1911" t="s">
        <v>108</v>
      </c>
      <c r="J1911">
        <v>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2:30" x14ac:dyDescent="0.25">
      <c r="B1912" t="s">
        <v>133</v>
      </c>
      <c r="C1912" t="s">
        <v>3261</v>
      </c>
      <c r="D1912" t="s">
        <v>5630</v>
      </c>
      <c r="E1912" t="s">
        <v>5631</v>
      </c>
      <c r="F1912" t="s">
        <v>7899</v>
      </c>
      <c r="G1912" t="s">
        <v>3890</v>
      </c>
      <c r="H1912" t="s">
        <v>109</v>
      </c>
      <c r="I1912" t="s">
        <v>108</v>
      </c>
      <c r="J1912">
        <v>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2:30" x14ac:dyDescent="0.25">
      <c r="B1913" t="s">
        <v>133</v>
      </c>
      <c r="C1913" t="s">
        <v>3261</v>
      </c>
      <c r="D1913" t="s">
        <v>5633</v>
      </c>
      <c r="E1913" t="s">
        <v>5634</v>
      </c>
      <c r="F1913" t="s">
        <v>7900</v>
      </c>
      <c r="G1913" t="s">
        <v>3890</v>
      </c>
      <c r="H1913" t="s">
        <v>109</v>
      </c>
      <c r="I1913" t="s">
        <v>108</v>
      </c>
      <c r="J1913">
        <v>2</v>
      </c>
      <c r="K1913">
        <v>271.34100000000001</v>
      </c>
      <c r="L1913">
        <v>251.108</v>
      </c>
      <c r="M1913">
        <v>298.85899999999998</v>
      </c>
      <c r="N1913">
        <v>395.57299999999998</v>
      </c>
      <c r="O1913">
        <v>406.19900000000001</v>
      </c>
      <c r="P1913">
        <v>418.90199999999999</v>
      </c>
      <c r="Q1913">
        <v>434.16399999999999</v>
      </c>
      <c r="R1913">
        <v>448.76400000000001</v>
      </c>
      <c r="S1913">
        <v>462.31700000000001</v>
      </c>
      <c r="T1913">
        <v>475.916</v>
      </c>
      <c r="U1913">
        <v>489.62099999999998</v>
      </c>
      <c r="V1913">
        <v>503.43200000000002</v>
      </c>
      <c r="W1913">
        <v>517.47199999999998</v>
      </c>
      <c r="X1913">
        <v>531.81799999999998</v>
      </c>
      <c r="Y1913">
        <v>546.56100000000004</v>
      </c>
      <c r="Z1913">
        <v>561.83500000000004</v>
      </c>
      <c r="AA1913">
        <v>577.76599999999996</v>
      </c>
      <c r="AB1913">
        <v>594.42200000000003</v>
      </c>
      <c r="AC1913">
        <v>611.83900000000006</v>
      </c>
      <c r="AD1913">
        <v>629.95299999999997</v>
      </c>
    </row>
    <row r="1914" spans="2:30" x14ac:dyDescent="0.25">
      <c r="B1914" t="s">
        <v>133</v>
      </c>
      <c r="C1914" t="s">
        <v>3261</v>
      </c>
      <c r="D1914" t="s">
        <v>5636</v>
      </c>
      <c r="E1914" t="s">
        <v>5637</v>
      </c>
      <c r="F1914" t="s">
        <v>7901</v>
      </c>
      <c r="G1914" t="s">
        <v>3890</v>
      </c>
      <c r="H1914" t="s">
        <v>109</v>
      </c>
      <c r="I1914" t="s">
        <v>108</v>
      </c>
      <c r="J1914">
        <v>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2:30" x14ac:dyDescent="0.25">
      <c r="B1915" t="s">
        <v>133</v>
      </c>
      <c r="C1915" t="s">
        <v>3261</v>
      </c>
      <c r="D1915" t="s">
        <v>5639</v>
      </c>
      <c r="E1915" t="s">
        <v>5640</v>
      </c>
      <c r="F1915" t="s">
        <v>7902</v>
      </c>
      <c r="G1915" t="s">
        <v>3890</v>
      </c>
      <c r="H1915" t="s">
        <v>109</v>
      </c>
      <c r="I1915" t="s">
        <v>108</v>
      </c>
      <c r="J1915">
        <v>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2:30" x14ac:dyDescent="0.25">
      <c r="B1916" t="s">
        <v>133</v>
      </c>
      <c r="C1916" t="s">
        <v>3261</v>
      </c>
      <c r="D1916" t="s">
        <v>5642</v>
      </c>
      <c r="E1916" t="s">
        <v>5643</v>
      </c>
      <c r="F1916" t="s">
        <v>7903</v>
      </c>
      <c r="G1916" t="s">
        <v>3890</v>
      </c>
      <c r="H1916" t="s">
        <v>109</v>
      </c>
      <c r="I1916" t="s">
        <v>108</v>
      </c>
      <c r="J1916">
        <v>2</v>
      </c>
      <c r="K1916">
        <v>271.34100000000001</v>
      </c>
      <c r="L1916">
        <v>251.108</v>
      </c>
      <c r="M1916">
        <v>298.85899999999998</v>
      </c>
      <c r="N1916">
        <v>395.57299999999998</v>
      </c>
      <c r="O1916">
        <v>406.19900000000001</v>
      </c>
      <c r="P1916">
        <v>418.90199999999999</v>
      </c>
      <c r="Q1916">
        <v>434.16399999999999</v>
      </c>
      <c r="R1916">
        <v>448.76400000000001</v>
      </c>
      <c r="S1916">
        <v>462.31700000000001</v>
      </c>
      <c r="T1916">
        <v>475.916</v>
      </c>
      <c r="U1916">
        <v>489.62099999999998</v>
      </c>
      <c r="V1916">
        <v>503.43200000000002</v>
      </c>
      <c r="W1916">
        <v>517.47199999999998</v>
      </c>
      <c r="X1916">
        <v>531.81799999999998</v>
      </c>
      <c r="Y1916">
        <v>546.56100000000004</v>
      </c>
      <c r="Z1916">
        <v>561.83500000000004</v>
      </c>
      <c r="AA1916">
        <v>577.76599999999996</v>
      </c>
      <c r="AB1916">
        <v>594.42200000000003</v>
      </c>
      <c r="AC1916">
        <v>611.83900000000006</v>
      </c>
      <c r="AD1916">
        <v>629.95299999999997</v>
      </c>
    </row>
    <row r="1917" spans="2:30" x14ac:dyDescent="0.25">
      <c r="B1917" t="s">
        <v>133</v>
      </c>
      <c r="C1917" t="s">
        <v>3261</v>
      </c>
      <c r="D1917" t="s">
        <v>5645</v>
      </c>
      <c r="E1917" t="s">
        <v>5646</v>
      </c>
      <c r="F1917" t="s">
        <v>7904</v>
      </c>
      <c r="G1917" t="s">
        <v>3890</v>
      </c>
      <c r="H1917" t="s">
        <v>109</v>
      </c>
      <c r="I1917" t="s">
        <v>108</v>
      </c>
      <c r="J1917">
        <v>2</v>
      </c>
      <c r="K1917">
        <v>18833.804</v>
      </c>
      <c r="L1917">
        <v>18487.669999999998</v>
      </c>
      <c r="M1917">
        <v>18167.267</v>
      </c>
      <c r="N1917">
        <v>17610.09</v>
      </c>
      <c r="O1917">
        <v>18357.896000000001</v>
      </c>
      <c r="P1917">
        <v>20049.828000000001</v>
      </c>
      <c r="Q1917">
        <v>21899.559000000001</v>
      </c>
      <c r="R1917">
        <v>23908.847000000002</v>
      </c>
      <c r="S1917">
        <v>26307.962</v>
      </c>
      <c r="T1917">
        <v>29165.085999999999</v>
      </c>
      <c r="U1917">
        <v>32302.697</v>
      </c>
      <c r="V1917">
        <v>35726.258999999998</v>
      </c>
      <c r="W1917">
        <v>39425.199000000001</v>
      </c>
      <c r="X1917">
        <v>43417.646999999997</v>
      </c>
      <c r="Y1917">
        <v>47702.044000000002</v>
      </c>
      <c r="Z1917">
        <v>52325.837</v>
      </c>
      <c r="AA1917">
        <v>57312.243000000002</v>
      </c>
      <c r="AB1917">
        <v>62690.258999999998</v>
      </c>
      <c r="AC1917">
        <v>68482.553</v>
      </c>
      <c r="AD1917">
        <v>74580.187999999995</v>
      </c>
    </row>
    <row r="1918" spans="2:30" x14ac:dyDescent="0.25">
      <c r="B1918" t="s">
        <v>133</v>
      </c>
      <c r="C1918" t="s">
        <v>3261</v>
      </c>
      <c r="D1918" t="s">
        <v>5648</v>
      </c>
      <c r="E1918">
        <v>0</v>
      </c>
      <c r="F1918" t="s">
        <v>7877</v>
      </c>
      <c r="G1918" t="s">
        <v>3890</v>
      </c>
      <c r="H1918" t="s">
        <v>109</v>
      </c>
      <c r="I1918" t="s">
        <v>108</v>
      </c>
      <c r="J1918">
        <v>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2:30" x14ac:dyDescent="0.25">
      <c r="B1919" t="s">
        <v>133</v>
      </c>
      <c r="C1919" t="s">
        <v>3261</v>
      </c>
      <c r="D1919" t="s">
        <v>5649</v>
      </c>
      <c r="E1919">
        <v>0</v>
      </c>
      <c r="F1919" t="s">
        <v>7877</v>
      </c>
      <c r="G1919" t="s">
        <v>3890</v>
      </c>
      <c r="H1919" t="s">
        <v>109</v>
      </c>
      <c r="I1919" t="s">
        <v>108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2:30" x14ac:dyDescent="0.25">
      <c r="B1920" t="s">
        <v>133</v>
      </c>
      <c r="C1920" t="s">
        <v>3261</v>
      </c>
      <c r="D1920" t="s">
        <v>5650</v>
      </c>
      <c r="E1920" t="s">
        <v>5646</v>
      </c>
      <c r="F1920" t="s">
        <v>7904</v>
      </c>
      <c r="G1920" t="s">
        <v>3890</v>
      </c>
      <c r="H1920" t="s">
        <v>109</v>
      </c>
      <c r="I1920" t="s">
        <v>108</v>
      </c>
      <c r="J1920">
        <v>2</v>
      </c>
      <c r="K1920">
        <v>18833.804</v>
      </c>
      <c r="L1920">
        <v>18487.669999999998</v>
      </c>
      <c r="M1920">
        <v>18167.267</v>
      </c>
      <c r="N1920">
        <v>17610.09</v>
      </c>
      <c r="O1920">
        <v>18357.896000000001</v>
      </c>
      <c r="P1920">
        <v>20049.828000000001</v>
      </c>
      <c r="Q1920">
        <v>21899.559000000001</v>
      </c>
      <c r="R1920">
        <v>23908.847000000002</v>
      </c>
      <c r="S1920">
        <v>26307.962</v>
      </c>
      <c r="T1920">
        <v>29165.085999999999</v>
      </c>
      <c r="U1920">
        <v>32302.697</v>
      </c>
      <c r="V1920">
        <v>35726.258999999998</v>
      </c>
      <c r="W1920">
        <v>39425.199000000001</v>
      </c>
      <c r="X1920">
        <v>43417.646999999997</v>
      </c>
      <c r="Y1920">
        <v>47702.044000000002</v>
      </c>
      <c r="Z1920">
        <v>52325.837</v>
      </c>
      <c r="AA1920">
        <v>57312.243000000002</v>
      </c>
      <c r="AB1920">
        <v>62690.258999999998</v>
      </c>
      <c r="AC1920">
        <v>68482.553</v>
      </c>
      <c r="AD1920">
        <v>74580.187999999995</v>
      </c>
    </row>
    <row r="1921" spans="2:30" x14ac:dyDescent="0.25">
      <c r="B1921" t="s">
        <v>133</v>
      </c>
      <c r="C1921" t="s">
        <v>3261</v>
      </c>
      <c r="D1921" t="s">
        <v>5651</v>
      </c>
      <c r="E1921">
        <v>0</v>
      </c>
      <c r="F1921" t="s">
        <v>7877</v>
      </c>
      <c r="G1921" t="s">
        <v>3890</v>
      </c>
      <c r="H1921" t="s">
        <v>109</v>
      </c>
      <c r="I1921" t="s">
        <v>108</v>
      </c>
      <c r="J1921">
        <v>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2:30" x14ac:dyDescent="0.25">
      <c r="B1922" t="s">
        <v>133</v>
      </c>
      <c r="C1922" t="s">
        <v>3261</v>
      </c>
      <c r="D1922" t="s">
        <v>5652</v>
      </c>
      <c r="E1922">
        <v>0</v>
      </c>
      <c r="F1922" t="s">
        <v>7877</v>
      </c>
      <c r="G1922" t="s">
        <v>3890</v>
      </c>
      <c r="H1922" t="s">
        <v>109</v>
      </c>
      <c r="I1922" t="s">
        <v>108</v>
      </c>
      <c r="J1922">
        <v>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2:30" x14ac:dyDescent="0.25">
      <c r="B1923" t="s">
        <v>133</v>
      </c>
      <c r="C1923" t="s">
        <v>3261</v>
      </c>
      <c r="D1923" t="s">
        <v>5653</v>
      </c>
      <c r="E1923" t="s">
        <v>38</v>
      </c>
      <c r="F1923" t="s">
        <v>7884</v>
      </c>
      <c r="G1923" t="s">
        <v>3890</v>
      </c>
      <c r="H1923" t="s">
        <v>109</v>
      </c>
      <c r="I1923" t="s">
        <v>108</v>
      </c>
      <c r="J1923">
        <v>2</v>
      </c>
      <c r="K1923">
        <v>2022</v>
      </c>
      <c r="L1923">
        <v>2023</v>
      </c>
      <c r="M1923">
        <v>2024</v>
      </c>
      <c r="N1923">
        <v>2025</v>
      </c>
      <c r="O1923">
        <v>2026</v>
      </c>
      <c r="P1923">
        <v>2027</v>
      </c>
      <c r="Q1923">
        <v>2028</v>
      </c>
      <c r="R1923">
        <v>2029</v>
      </c>
      <c r="S1923">
        <v>2030</v>
      </c>
      <c r="T1923">
        <v>2031</v>
      </c>
      <c r="U1923">
        <v>2032</v>
      </c>
      <c r="V1923">
        <v>2033</v>
      </c>
      <c r="W1923">
        <v>2034</v>
      </c>
      <c r="X1923">
        <v>2035</v>
      </c>
      <c r="Y1923">
        <v>2036</v>
      </c>
      <c r="Z1923">
        <v>2037</v>
      </c>
      <c r="AA1923">
        <v>2038</v>
      </c>
      <c r="AB1923">
        <v>2039</v>
      </c>
      <c r="AC1923">
        <v>2040</v>
      </c>
      <c r="AD1923">
        <v>2041</v>
      </c>
    </row>
    <row r="1924" spans="2:30" x14ac:dyDescent="0.25">
      <c r="B1924" t="s">
        <v>133</v>
      </c>
      <c r="C1924" t="s">
        <v>3261</v>
      </c>
      <c r="D1924" t="s">
        <v>5654</v>
      </c>
      <c r="E1924">
        <v>0</v>
      </c>
      <c r="F1924" t="s">
        <v>7877</v>
      </c>
      <c r="G1924" t="s">
        <v>3890</v>
      </c>
      <c r="H1924" t="s">
        <v>109</v>
      </c>
      <c r="I1924" t="s">
        <v>108</v>
      </c>
      <c r="J1924">
        <v>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2:30" x14ac:dyDescent="0.25">
      <c r="B1925" t="s">
        <v>133</v>
      </c>
      <c r="C1925" t="s">
        <v>3261</v>
      </c>
      <c r="D1925" t="s">
        <v>5655</v>
      </c>
      <c r="E1925" t="s">
        <v>5656</v>
      </c>
      <c r="F1925" t="s">
        <v>7905</v>
      </c>
      <c r="G1925" t="s">
        <v>3890</v>
      </c>
      <c r="H1925" t="s">
        <v>109</v>
      </c>
      <c r="I1925" t="s">
        <v>108</v>
      </c>
      <c r="J1925">
        <v>2</v>
      </c>
      <c r="K1925">
        <v>23.399000000000001</v>
      </c>
      <c r="L1925">
        <v>15.864000000000001</v>
      </c>
      <c r="M1925">
        <v>14.744</v>
      </c>
      <c r="N1925">
        <v>13.651999999999999</v>
      </c>
      <c r="O1925">
        <v>13.680999999999999</v>
      </c>
      <c r="P1925">
        <v>13.768000000000001</v>
      </c>
      <c r="Q1925">
        <v>13.727</v>
      </c>
      <c r="R1925">
        <v>13.683</v>
      </c>
      <c r="S1925">
        <v>13.635999999999999</v>
      </c>
      <c r="T1925">
        <v>13.59</v>
      </c>
      <c r="U1925">
        <v>13.59</v>
      </c>
      <c r="V1925">
        <v>13.59</v>
      </c>
      <c r="W1925">
        <v>13.59</v>
      </c>
      <c r="X1925">
        <v>13.59</v>
      </c>
      <c r="Y1925">
        <v>13.59</v>
      </c>
      <c r="Z1925">
        <v>13.59</v>
      </c>
      <c r="AA1925">
        <v>13.59</v>
      </c>
      <c r="AB1925">
        <v>13.59</v>
      </c>
      <c r="AC1925">
        <v>13.59</v>
      </c>
      <c r="AD1925">
        <v>13.59</v>
      </c>
    </row>
    <row r="1926" spans="2:30" x14ac:dyDescent="0.25">
      <c r="B1926" t="s">
        <v>133</v>
      </c>
      <c r="C1926" t="s">
        <v>3261</v>
      </c>
      <c r="D1926" t="s">
        <v>5658</v>
      </c>
      <c r="E1926">
        <v>0</v>
      </c>
      <c r="F1926" t="s">
        <v>7877</v>
      </c>
      <c r="G1926" t="s">
        <v>3890</v>
      </c>
      <c r="H1926" t="s">
        <v>109</v>
      </c>
      <c r="I1926" t="s">
        <v>108</v>
      </c>
      <c r="J1926">
        <v>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2:30" x14ac:dyDescent="0.25">
      <c r="B1927" t="s">
        <v>133</v>
      </c>
      <c r="C1927" t="s">
        <v>3261</v>
      </c>
      <c r="D1927" t="s">
        <v>5659</v>
      </c>
      <c r="E1927">
        <v>0</v>
      </c>
      <c r="F1927" t="s">
        <v>7877</v>
      </c>
      <c r="G1927" t="s">
        <v>3890</v>
      </c>
      <c r="H1927" t="s">
        <v>109</v>
      </c>
      <c r="I1927" t="s">
        <v>108</v>
      </c>
      <c r="J1927">
        <v>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2:30" x14ac:dyDescent="0.25">
      <c r="B1928" t="s">
        <v>133</v>
      </c>
      <c r="C1928" t="s">
        <v>3261</v>
      </c>
      <c r="D1928" t="s">
        <v>5660</v>
      </c>
      <c r="E1928">
        <v>0</v>
      </c>
      <c r="F1928" t="s">
        <v>7877</v>
      </c>
      <c r="G1928" t="s">
        <v>3890</v>
      </c>
      <c r="H1928" t="s">
        <v>109</v>
      </c>
      <c r="I1928" t="s">
        <v>108</v>
      </c>
      <c r="J1928">
        <v>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2:30" x14ac:dyDescent="0.25">
      <c r="B1929" t="s">
        <v>133</v>
      </c>
      <c r="C1929" t="s">
        <v>3261</v>
      </c>
      <c r="D1929" t="s">
        <v>5661</v>
      </c>
      <c r="E1929">
        <v>0</v>
      </c>
      <c r="F1929" t="s">
        <v>7877</v>
      </c>
      <c r="G1929" t="s">
        <v>3890</v>
      </c>
      <c r="H1929" t="s">
        <v>109</v>
      </c>
      <c r="I1929" t="s">
        <v>108</v>
      </c>
      <c r="J1929">
        <v>2</v>
      </c>
      <c r="K1929">
        <v>0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</row>
    <row r="1930" spans="2:30" x14ac:dyDescent="0.25">
      <c r="B1930" t="s">
        <v>133</v>
      </c>
      <c r="C1930" t="s">
        <v>3261</v>
      </c>
      <c r="D1930" t="s">
        <v>5662</v>
      </c>
      <c r="E1930">
        <v>0</v>
      </c>
      <c r="F1930" t="s">
        <v>7877</v>
      </c>
      <c r="G1930" t="s">
        <v>3890</v>
      </c>
      <c r="H1930" t="s">
        <v>109</v>
      </c>
      <c r="I1930" t="s">
        <v>108</v>
      </c>
      <c r="J1930">
        <v>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2:30" x14ac:dyDescent="0.25">
      <c r="B1931" t="s">
        <v>133</v>
      </c>
      <c r="C1931" t="s">
        <v>3261</v>
      </c>
      <c r="D1931" t="s">
        <v>5663</v>
      </c>
      <c r="E1931">
        <v>0</v>
      </c>
      <c r="F1931" t="s">
        <v>7877</v>
      </c>
      <c r="G1931" t="s">
        <v>3890</v>
      </c>
      <c r="H1931" t="s">
        <v>109</v>
      </c>
      <c r="I1931" t="s">
        <v>108</v>
      </c>
      <c r="J1931">
        <v>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2:30" x14ac:dyDescent="0.25">
      <c r="B1932" t="s">
        <v>133</v>
      </c>
      <c r="C1932" t="s">
        <v>3261</v>
      </c>
      <c r="D1932" t="s">
        <v>5664</v>
      </c>
      <c r="E1932">
        <v>0</v>
      </c>
      <c r="F1932" t="s">
        <v>7877</v>
      </c>
      <c r="G1932" t="s">
        <v>3890</v>
      </c>
      <c r="H1932" t="s">
        <v>109</v>
      </c>
      <c r="I1932" t="s">
        <v>108</v>
      </c>
      <c r="J1932">
        <v>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2:30" x14ac:dyDescent="0.25">
      <c r="B1933" t="s">
        <v>133</v>
      </c>
      <c r="C1933" t="s">
        <v>3261</v>
      </c>
      <c r="D1933" t="s">
        <v>5665</v>
      </c>
      <c r="E1933">
        <v>0</v>
      </c>
      <c r="F1933" t="s">
        <v>7877</v>
      </c>
      <c r="G1933" t="s">
        <v>3890</v>
      </c>
      <c r="H1933" t="s">
        <v>109</v>
      </c>
      <c r="I1933" t="s">
        <v>108</v>
      </c>
      <c r="J1933">
        <v>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2:30" x14ac:dyDescent="0.25">
      <c r="B1934" t="s">
        <v>133</v>
      </c>
      <c r="C1934" t="s">
        <v>3261</v>
      </c>
      <c r="D1934" t="s">
        <v>5666</v>
      </c>
      <c r="E1934">
        <v>0</v>
      </c>
      <c r="F1934" t="s">
        <v>7877</v>
      </c>
      <c r="G1934" t="s">
        <v>3890</v>
      </c>
      <c r="H1934" t="s">
        <v>109</v>
      </c>
      <c r="I1934" t="s">
        <v>108</v>
      </c>
      <c r="J1934">
        <v>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2:30" x14ac:dyDescent="0.25">
      <c r="B1935" t="s">
        <v>133</v>
      </c>
      <c r="C1935" t="s">
        <v>3261</v>
      </c>
      <c r="D1935" t="s">
        <v>5667</v>
      </c>
      <c r="E1935">
        <v>0</v>
      </c>
      <c r="F1935" t="s">
        <v>7877</v>
      </c>
      <c r="G1935" t="s">
        <v>3890</v>
      </c>
      <c r="H1935" t="s">
        <v>109</v>
      </c>
      <c r="I1935" t="s">
        <v>108</v>
      </c>
      <c r="J1935">
        <v>2</v>
      </c>
      <c r="K1935">
        <v>0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</row>
    <row r="1936" spans="2:30" x14ac:dyDescent="0.25">
      <c r="B1936" t="s">
        <v>133</v>
      </c>
      <c r="C1936" t="s">
        <v>3261</v>
      </c>
      <c r="D1936" t="s">
        <v>5668</v>
      </c>
      <c r="E1936" t="s">
        <v>5669</v>
      </c>
      <c r="F1936" t="s">
        <v>7906</v>
      </c>
      <c r="G1936" t="s">
        <v>3890</v>
      </c>
      <c r="H1936" t="s">
        <v>109</v>
      </c>
      <c r="I1936" t="s">
        <v>108</v>
      </c>
      <c r="J1936">
        <v>2</v>
      </c>
      <c r="K1936">
        <v>33.051000000000002</v>
      </c>
      <c r="L1936">
        <v>26.300999999999998</v>
      </c>
      <c r="M1936">
        <v>23.175999999999998</v>
      </c>
      <c r="N1936">
        <v>15</v>
      </c>
      <c r="O1936">
        <v>15</v>
      </c>
      <c r="P1936">
        <v>15</v>
      </c>
      <c r="Q1936">
        <v>15</v>
      </c>
      <c r="R1936">
        <v>15</v>
      </c>
      <c r="S1936">
        <v>15</v>
      </c>
      <c r="T1936">
        <v>15</v>
      </c>
      <c r="U1936">
        <v>15</v>
      </c>
      <c r="V1936">
        <v>15</v>
      </c>
      <c r="W1936">
        <v>15</v>
      </c>
      <c r="X1936">
        <v>15</v>
      </c>
      <c r="Y1936">
        <v>15</v>
      </c>
      <c r="Z1936">
        <v>15</v>
      </c>
      <c r="AA1936">
        <v>15</v>
      </c>
      <c r="AB1936">
        <v>15</v>
      </c>
      <c r="AC1936">
        <v>15</v>
      </c>
      <c r="AD1936">
        <v>15</v>
      </c>
    </row>
    <row r="1937" spans="2:30" x14ac:dyDescent="0.25">
      <c r="B1937" t="s">
        <v>133</v>
      </c>
      <c r="C1937" t="s">
        <v>3261</v>
      </c>
      <c r="D1937" t="s">
        <v>5671</v>
      </c>
      <c r="E1937" t="s">
        <v>5672</v>
      </c>
      <c r="F1937" t="s">
        <v>7907</v>
      </c>
      <c r="G1937" t="s">
        <v>3890</v>
      </c>
      <c r="H1937" t="s">
        <v>109</v>
      </c>
      <c r="I1937" t="s">
        <v>108</v>
      </c>
      <c r="J1937">
        <v>2</v>
      </c>
      <c r="K1937">
        <v>14.471</v>
      </c>
      <c r="L1937">
        <v>14.471</v>
      </c>
      <c r="M1937">
        <v>14.476000000000001</v>
      </c>
      <c r="N1937">
        <v>14.476000000000001</v>
      </c>
      <c r="O1937">
        <v>14.476000000000001</v>
      </c>
      <c r="P1937">
        <v>14.476000000000001</v>
      </c>
      <c r="Q1937">
        <v>14.476000000000001</v>
      </c>
      <c r="R1937">
        <v>14.476000000000001</v>
      </c>
      <c r="S1937">
        <v>14.476000000000001</v>
      </c>
      <c r="T1937">
        <v>14.476000000000001</v>
      </c>
      <c r="U1937">
        <v>14.476000000000001</v>
      </c>
      <c r="V1937">
        <v>14.476000000000001</v>
      </c>
      <c r="W1937">
        <v>14.476000000000001</v>
      </c>
      <c r="X1937">
        <v>14.476000000000001</v>
      </c>
      <c r="Y1937">
        <v>14.476000000000001</v>
      </c>
      <c r="Z1937">
        <v>14.476000000000001</v>
      </c>
      <c r="AA1937">
        <v>14.476000000000001</v>
      </c>
      <c r="AB1937">
        <v>14.476000000000001</v>
      </c>
      <c r="AC1937">
        <v>14.476000000000001</v>
      </c>
      <c r="AD1937">
        <v>14.476000000000001</v>
      </c>
    </row>
    <row r="1938" spans="2:30" x14ac:dyDescent="0.25">
      <c r="B1938" t="s">
        <v>133</v>
      </c>
      <c r="C1938" t="s">
        <v>3261</v>
      </c>
      <c r="D1938" t="s">
        <v>5674</v>
      </c>
      <c r="E1938" t="s">
        <v>5675</v>
      </c>
      <c r="F1938" t="s">
        <v>7908</v>
      </c>
      <c r="G1938" t="s">
        <v>3890</v>
      </c>
      <c r="H1938" t="s">
        <v>109</v>
      </c>
      <c r="I1938" t="s">
        <v>108</v>
      </c>
      <c r="J1938">
        <v>2</v>
      </c>
      <c r="K1938">
        <v>0.14399999999999999</v>
      </c>
      <c r="L1938">
        <v>0.14000000000000001</v>
      </c>
      <c r="M1938">
        <v>0.13400000000000001</v>
      </c>
      <c r="N1938">
        <v>0.13200000000000001</v>
      </c>
      <c r="O1938">
        <v>0.129</v>
      </c>
      <c r="P1938">
        <v>0.126</v>
      </c>
      <c r="Q1938">
        <v>0.122</v>
      </c>
      <c r="R1938">
        <v>0.11799999999999999</v>
      </c>
      <c r="S1938">
        <v>0.113</v>
      </c>
      <c r="T1938">
        <v>0.112</v>
      </c>
      <c r="U1938">
        <v>0.111</v>
      </c>
      <c r="V1938">
        <v>0.11</v>
      </c>
      <c r="W1938">
        <v>0.109</v>
      </c>
      <c r="X1938">
        <v>0.107</v>
      </c>
      <c r="Y1938">
        <v>0.107</v>
      </c>
      <c r="Z1938">
        <v>0.105</v>
      </c>
      <c r="AA1938">
        <v>0.105</v>
      </c>
      <c r="AB1938">
        <v>0.10299999999999999</v>
      </c>
      <c r="AC1938">
        <v>0.10100000000000001</v>
      </c>
      <c r="AD1938">
        <v>9.9000000000000005E-2</v>
      </c>
    </row>
    <row r="1939" spans="2:30" x14ac:dyDescent="0.25">
      <c r="B1939" t="s">
        <v>133</v>
      </c>
      <c r="C1939" t="s">
        <v>3261</v>
      </c>
      <c r="D1939" t="s">
        <v>5677</v>
      </c>
      <c r="E1939">
        <v>0</v>
      </c>
      <c r="F1939" t="s">
        <v>7877</v>
      </c>
      <c r="G1939" t="s">
        <v>3890</v>
      </c>
      <c r="H1939" t="s">
        <v>109</v>
      </c>
      <c r="I1939" t="s">
        <v>108</v>
      </c>
      <c r="J1939">
        <v>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2:30" x14ac:dyDescent="0.25">
      <c r="B1940" t="s">
        <v>133</v>
      </c>
      <c r="C1940" t="s">
        <v>3261</v>
      </c>
      <c r="D1940" t="s">
        <v>5678</v>
      </c>
      <c r="E1940">
        <v>0</v>
      </c>
      <c r="F1940" t="s">
        <v>7877</v>
      </c>
      <c r="G1940" t="s">
        <v>3890</v>
      </c>
      <c r="H1940" t="s">
        <v>109</v>
      </c>
      <c r="I1940" t="s">
        <v>108</v>
      </c>
      <c r="J1940">
        <v>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2:30" x14ac:dyDescent="0.25">
      <c r="B1941" t="s">
        <v>133</v>
      </c>
      <c r="C1941" t="s">
        <v>3261</v>
      </c>
      <c r="D1941" t="s">
        <v>5679</v>
      </c>
      <c r="E1941" t="s">
        <v>5680</v>
      </c>
      <c r="F1941" t="s">
        <v>7909</v>
      </c>
      <c r="G1941" t="s">
        <v>3890</v>
      </c>
      <c r="H1941" t="s">
        <v>109</v>
      </c>
      <c r="I1941" t="s">
        <v>108</v>
      </c>
      <c r="J1941">
        <v>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2:30" x14ac:dyDescent="0.25">
      <c r="B1942" t="s">
        <v>133</v>
      </c>
      <c r="C1942" t="s">
        <v>3261</v>
      </c>
      <c r="D1942" t="s">
        <v>5682</v>
      </c>
      <c r="E1942" t="s">
        <v>5683</v>
      </c>
      <c r="F1942" t="s">
        <v>7910</v>
      </c>
      <c r="G1942" t="s">
        <v>3890</v>
      </c>
      <c r="H1942" t="s">
        <v>109</v>
      </c>
      <c r="I1942" t="s">
        <v>108</v>
      </c>
      <c r="J1942">
        <v>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2:30" x14ac:dyDescent="0.25">
      <c r="B1943" t="s">
        <v>133</v>
      </c>
      <c r="C1943" t="s">
        <v>3261</v>
      </c>
      <c r="D1943" t="s">
        <v>5685</v>
      </c>
      <c r="E1943" t="s">
        <v>5686</v>
      </c>
      <c r="F1943" t="s">
        <v>7911</v>
      </c>
      <c r="G1943" t="s">
        <v>3890</v>
      </c>
      <c r="H1943" t="s">
        <v>109</v>
      </c>
      <c r="I1943" t="s">
        <v>108</v>
      </c>
      <c r="J1943">
        <v>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2:30" x14ac:dyDescent="0.25">
      <c r="B1944" t="s">
        <v>133</v>
      </c>
      <c r="C1944" t="s">
        <v>3261</v>
      </c>
      <c r="D1944" t="s">
        <v>5688</v>
      </c>
      <c r="E1944" t="s">
        <v>5689</v>
      </c>
      <c r="F1944" t="s">
        <v>7912</v>
      </c>
      <c r="G1944" t="s">
        <v>3890</v>
      </c>
      <c r="H1944" t="s">
        <v>109</v>
      </c>
      <c r="I1944" t="s">
        <v>108</v>
      </c>
      <c r="J1944">
        <v>2</v>
      </c>
      <c r="K1944">
        <v>875.27200000000005</v>
      </c>
      <c r="L1944">
        <v>1064.7159999999999</v>
      </c>
      <c r="M1944">
        <v>1332.902</v>
      </c>
      <c r="N1944">
        <v>1360.3309999999999</v>
      </c>
      <c r="O1944">
        <v>1387.0129999999999</v>
      </c>
      <c r="P1944">
        <v>1418.011</v>
      </c>
      <c r="Q1944">
        <v>1454.232</v>
      </c>
      <c r="R1944">
        <v>1488.854</v>
      </c>
      <c r="S1944">
        <v>1521.1389999999999</v>
      </c>
      <c r="T1944">
        <v>1553.384</v>
      </c>
      <c r="U1944">
        <v>1585.7170000000001</v>
      </c>
      <c r="V1944">
        <v>1618.144</v>
      </c>
      <c r="W1944">
        <v>1650.914</v>
      </c>
      <c r="X1944">
        <v>1684.1759999999999</v>
      </c>
      <c r="Y1944">
        <v>1718.1089999999999</v>
      </c>
      <c r="Z1944">
        <v>1752.9639999999999</v>
      </c>
      <c r="AA1944">
        <v>1788.97</v>
      </c>
      <c r="AB1944">
        <v>1826.242</v>
      </c>
      <c r="AC1944">
        <v>1864.8240000000001</v>
      </c>
      <c r="AD1944">
        <v>1904.576</v>
      </c>
    </row>
    <row r="1945" spans="2:30" x14ac:dyDescent="0.25">
      <c r="B1945" t="s">
        <v>133</v>
      </c>
      <c r="C1945" t="s">
        <v>3261</v>
      </c>
      <c r="D1945" t="s">
        <v>5691</v>
      </c>
      <c r="E1945" t="s">
        <v>5692</v>
      </c>
      <c r="F1945" t="s">
        <v>7913</v>
      </c>
      <c r="G1945" t="s">
        <v>3890</v>
      </c>
      <c r="H1945" t="s">
        <v>109</v>
      </c>
      <c r="I1945" t="s">
        <v>108</v>
      </c>
      <c r="J1945">
        <v>2</v>
      </c>
      <c r="K1945">
        <v>33.051000000000002</v>
      </c>
      <c r="L1945">
        <v>26.300999999999998</v>
      </c>
      <c r="M1945">
        <v>23.175999999999998</v>
      </c>
      <c r="N1945">
        <v>15</v>
      </c>
      <c r="O1945">
        <v>15</v>
      </c>
      <c r="P1945">
        <v>15</v>
      </c>
      <c r="Q1945">
        <v>15</v>
      </c>
      <c r="R1945">
        <v>15</v>
      </c>
      <c r="S1945">
        <v>15</v>
      </c>
      <c r="T1945">
        <v>15</v>
      </c>
      <c r="U1945">
        <v>15</v>
      </c>
      <c r="V1945">
        <v>15</v>
      </c>
      <c r="W1945">
        <v>15</v>
      </c>
      <c r="X1945">
        <v>15</v>
      </c>
      <c r="Y1945">
        <v>15</v>
      </c>
      <c r="Z1945">
        <v>15</v>
      </c>
      <c r="AA1945">
        <v>15</v>
      </c>
      <c r="AB1945">
        <v>15</v>
      </c>
      <c r="AC1945">
        <v>15</v>
      </c>
      <c r="AD1945">
        <v>15</v>
      </c>
    </row>
    <row r="1946" spans="2:30" x14ac:dyDescent="0.25">
      <c r="B1946" t="s">
        <v>133</v>
      </c>
      <c r="C1946" t="s">
        <v>3261</v>
      </c>
      <c r="D1946" t="s">
        <v>5694</v>
      </c>
      <c r="E1946" t="s">
        <v>5695</v>
      </c>
      <c r="F1946" t="s">
        <v>7914</v>
      </c>
      <c r="G1946" t="s">
        <v>3890</v>
      </c>
      <c r="H1946" t="s">
        <v>109</v>
      </c>
      <c r="I1946" t="s">
        <v>108</v>
      </c>
      <c r="J1946">
        <v>2</v>
      </c>
      <c r="K1946">
        <v>14.471</v>
      </c>
      <c r="L1946">
        <v>14.471</v>
      </c>
      <c r="M1946">
        <v>14.476000000000001</v>
      </c>
      <c r="N1946">
        <v>14.476000000000001</v>
      </c>
      <c r="O1946">
        <v>14.476000000000001</v>
      </c>
      <c r="P1946">
        <v>14.476000000000001</v>
      </c>
      <c r="Q1946">
        <v>14.476000000000001</v>
      </c>
      <c r="R1946">
        <v>14.476000000000001</v>
      </c>
      <c r="S1946">
        <v>14.476000000000001</v>
      </c>
      <c r="T1946">
        <v>14.476000000000001</v>
      </c>
      <c r="U1946">
        <v>14.476000000000001</v>
      </c>
      <c r="V1946">
        <v>14.476000000000001</v>
      </c>
      <c r="W1946">
        <v>14.476000000000001</v>
      </c>
      <c r="X1946">
        <v>14.476000000000001</v>
      </c>
      <c r="Y1946">
        <v>14.476000000000001</v>
      </c>
      <c r="Z1946">
        <v>14.476000000000001</v>
      </c>
      <c r="AA1946">
        <v>14.476000000000001</v>
      </c>
      <c r="AB1946">
        <v>14.476000000000001</v>
      </c>
      <c r="AC1946">
        <v>14.476000000000001</v>
      </c>
      <c r="AD1946">
        <v>14.476000000000001</v>
      </c>
    </row>
    <row r="1947" spans="2:30" x14ac:dyDescent="0.25">
      <c r="B1947" t="s">
        <v>133</v>
      </c>
      <c r="C1947" t="s">
        <v>3261</v>
      </c>
      <c r="D1947" t="s">
        <v>5697</v>
      </c>
      <c r="E1947" t="s">
        <v>5698</v>
      </c>
      <c r="F1947" t="s">
        <v>7915</v>
      </c>
      <c r="G1947" t="s">
        <v>3890</v>
      </c>
      <c r="H1947" t="s">
        <v>109</v>
      </c>
      <c r="I1947" t="s">
        <v>108</v>
      </c>
      <c r="J1947">
        <v>2</v>
      </c>
      <c r="K1947">
        <v>0.14399999999999999</v>
      </c>
      <c r="L1947">
        <v>0.14000000000000001</v>
      </c>
      <c r="M1947">
        <v>0.13400000000000001</v>
      </c>
      <c r="N1947">
        <v>0.13200000000000001</v>
      </c>
      <c r="O1947">
        <v>0.129</v>
      </c>
      <c r="P1947">
        <v>0.126</v>
      </c>
      <c r="Q1947">
        <v>0.122</v>
      </c>
      <c r="R1947">
        <v>0.11799999999999999</v>
      </c>
      <c r="S1947">
        <v>0.113</v>
      </c>
      <c r="T1947">
        <v>0.112</v>
      </c>
      <c r="U1947">
        <v>0.111</v>
      </c>
      <c r="V1947">
        <v>0.11</v>
      </c>
      <c r="W1947">
        <v>0.109</v>
      </c>
      <c r="X1947">
        <v>0.107</v>
      </c>
      <c r="Y1947">
        <v>0.107</v>
      </c>
      <c r="Z1947">
        <v>0.105</v>
      </c>
      <c r="AA1947">
        <v>0.105</v>
      </c>
      <c r="AB1947">
        <v>0.10299999999999999</v>
      </c>
      <c r="AC1947">
        <v>0.10100000000000001</v>
      </c>
      <c r="AD1947">
        <v>9.9000000000000005E-2</v>
      </c>
    </row>
    <row r="1948" spans="2:30" x14ac:dyDescent="0.25">
      <c r="B1948" t="s">
        <v>133</v>
      </c>
      <c r="C1948" t="s">
        <v>3261</v>
      </c>
      <c r="D1948" t="s">
        <v>5700</v>
      </c>
      <c r="E1948">
        <v>0</v>
      </c>
      <c r="F1948" t="s">
        <v>7877</v>
      </c>
      <c r="G1948" t="s">
        <v>3890</v>
      </c>
      <c r="H1948" t="s">
        <v>109</v>
      </c>
      <c r="I1948" t="s">
        <v>108</v>
      </c>
      <c r="J1948">
        <v>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2:30" x14ac:dyDescent="0.25">
      <c r="B1949" t="s">
        <v>133</v>
      </c>
      <c r="C1949" t="s">
        <v>3261</v>
      </c>
      <c r="D1949" t="s">
        <v>5701</v>
      </c>
      <c r="E1949">
        <v>0</v>
      </c>
      <c r="F1949" t="s">
        <v>7877</v>
      </c>
      <c r="G1949" t="s">
        <v>3890</v>
      </c>
      <c r="H1949" t="s">
        <v>109</v>
      </c>
      <c r="I1949" t="s">
        <v>108</v>
      </c>
      <c r="J1949">
        <v>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2:30" x14ac:dyDescent="0.25">
      <c r="B1950" t="s">
        <v>133</v>
      </c>
      <c r="C1950" t="s">
        <v>3261</v>
      </c>
      <c r="D1950" t="s">
        <v>5702</v>
      </c>
      <c r="E1950" t="s">
        <v>5703</v>
      </c>
      <c r="F1950" t="s">
        <v>7916</v>
      </c>
      <c r="G1950" t="s">
        <v>3890</v>
      </c>
      <c r="H1950" t="s">
        <v>109</v>
      </c>
      <c r="I1950" t="s">
        <v>108</v>
      </c>
      <c r="J1950">
        <v>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2:30" x14ac:dyDescent="0.25">
      <c r="B1951" t="s">
        <v>133</v>
      </c>
      <c r="C1951" t="s">
        <v>3261</v>
      </c>
      <c r="D1951" t="s">
        <v>5705</v>
      </c>
      <c r="E1951" t="s">
        <v>5706</v>
      </c>
      <c r="F1951" t="s">
        <v>7917</v>
      </c>
      <c r="G1951" t="s">
        <v>3890</v>
      </c>
      <c r="H1951" t="s">
        <v>109</v>
      </c>
      <c r="I1951" t="s">
        <v>108</v>
      </c>
      <c r="J1951">
        <v>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2:30" x14ac:dyDescent="0.25">
      <c r="B1952" t="s">
        <v>133</v>
      </c>
      <c r="C1952" t="s">
        <v>3261</v>
      </c>
      <c r="D1952" t="s">
        <v>5708</v>
      </c>
      <c r="E1952" t="s">
        <v>5709</v>
      </c>
      <c r="F1952" t="s">
        <v>7918</v>
      </c>
      <c r="G1952" t="s">
        <v>3890</v>
      </c>
      <c r="H1952" t="s">
        <v>109</v>
      </c>
      <c r="I1952" t="s">
        <v>108</v>
      </c>
      <c r="J1952">
        <v>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2:30" x14ac:dyDescent="0.25">
      <c r="B1953" t="s">
        <v>133</v>
      </c>
      <c r="C1953" t="s">
        <v>3261</v>
      </c>
      <c r="D1953" t="s">
        <v>5711</v>
      </c>
      <c r="E1953" t="s">
        <v>5712</v>
      </c>
      <c r="F1953" t="s">
        <v>7919</v>
      </c>
      <c r="G1953" t="s">
        <v>3890</v>
      </c>
      <c r="H1953" t="s">
        <v>109</v>
      </c>
      <c r="I1953" t="s">
        <v>108</v>
      </c>
      <c r="J1953">
        <v>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2:30" x14ac:dyDescent="0.25">
      <c r="B1954" t="s">
        <v>133</v>
      </c>
      <c r="C1954" t="s">
        <v>3261</v>
      </c>
      <c r="D1954" t="s">
        <v>5714</v>
      </c>
      <c r="E1954">
        <v>0</v>
      </c>
      <c r="F1954" t="s">
        <v>7877</v>
      </c>
      <c r="G1954" t="s">
        <v>3890</v>
      </c>
      <c r="H1954" t="s">
        <v>109</v>
      </c>
      <c r="I1954" t="s">
        <v>108</v>
      </c>
      <c r="J1954">
        <v>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2:30" x14ac:dyDescent="0.25">
      <c r="B1955" t="s">
        <v>133</v>
      </c>
      <c r="C1955" t="s">
        <v>3261</v>
      </c>
      <c r="D1955" t="s">
        <v>5715</v>
      </c>
      <c r="E1955">
        <v>0</v>
      </c>
      <c r="F1955" t="s">
        <v>7877</v>
      </c>
      <c r="G1955" t="s">
        <v>3890</v>
      </c>
      <c r="H1955" t="s">
        <v>109</v>
      </c>
      <c r="I1955" t="s">
        <v>108</v>
      </c>
      <c r="J1955">
        <v>2</v>
      </c>
      <c r="K1955">
        <v>7437.8159999999998</v>
      </c>
      <c r="L1955">
        <v>7682.2370000000001</v>
      </c>
      <c r="M1955">
        <v>9461.0640000000003</v>
      </c>
      <c r="N1955">
        <v>9579.5969999999998</v>
      </c>
      <c r="O1955">
        <v>9693.2800000000007</v>
      </c>
      <c r="P1955">
        <v>9828.7630000000008</v>
      </c>
      <c r="Q1955">
        <v>9990.5159999999996</v>
      </c>
      <c r="R1955">
        <v>10142.798000000001</v>
      </c>
      <c r="S1955">
        <v>10281.928</v>
      </c>
      <c r="T1955">
        <v>10419.891</v>
      </c>
      <c r="U1955">
        <v>10557.361000000001</v>
      </c>
      <c r="V1955">
        <v>10694.383</v>
      </c>
      <c r="W1955">
        <v>10832.233</v>
      </c>
      <c r="X1955">
        <v>10971.659</v>
      </c>
      <c r="Y1955">
        <v>11113.55</v>
      </c>
      <c r="Z1955">
        <v>11259.151</v>
      </c>
      <c r="AA1955">
        <v>11409.558000000001</v>
      </c>
      <c r="AB1955">
        <v>11565.303</v>
      </c>
      <c r="AC1955">
        <v>11726.546</v>
      </c>
      <c r="AD1955">
        <v>11892.539000000001</v>
      </c>
    </row>
    <row r="1956" spans="2:30" x14ac:dyDescent="0.25">
      <c r="B1956" t="s">
        <v>133</v>
      </c>
      <c r="C1956" t="s">
        <v>3261</v>
      </c>
      <c r="D1956" t="s">
        <v>5716</v>
      </c>
      <c r="E1956">
        <v>0</v>
      </c>
      <c r="F1956" t="s">
        <v>7877</v>
      </c>
      <c r="G1956" t="s">
        <v>3890</v>
      </c>
      <c r="H1956" t="s">
        <v>109</v>
      </c>
      <c r="I1956" t="s">
        <v>108</v>
      </c>
      <c r="J1956">
        <v>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2:30" x14ac:dyDescent="0.25">
      <c r="B1957" t="s">
        <v>133</v>
      </c>
      <c r="C1957" t="s">
        <v>3261</v>
      </c>
      <c r="D1957" t="s">
        <v>5717</v>
      </c>
      <c r="E1957">
        <v>0</v>
      </c>
      <c r="F1957" t="s">
        <v>7877</v>
      </c>
      <c r="G1957" t="s">
        <v>3890</v>
      </c>
      <c r="H1957" t="s">
        <v>109</v>
      </c>
      <c r="I1957" t="s">
        <v>108</v>
      </c>
      <c r="J1957">
        <v>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2:30" x14ac:dyDescent="0.25">
      <c r="B1958" t="s">
        <v>133</v>
      </c>
      <c r="C1958" t="s">
        <v>3261</v>
      </c>
      <c r="D1958" t="s">
        <v>5718</v>
      </c>
      <c r="E1958">
        <v>0</v>
      </c>
      <c r="F1958" t="s">
        <v>7877</v>
      </c>
      <c r="G1958" t="s">
        <v>3890</v>
      </c>
      <c r="H1958" t="s">
        <v>109</v>
      </c>
      <c r="I1958" t="s">
        <v>108</v>
      </c>
      <c r="J1958">
        <v>2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2:30" x14ac:dyDescent="0.25">
      <c r="B1959" t="s">
        <v>133</v>
      </c>
      <c r="C1959" t="s">
        <v>3261</v>
      </c>
      <c r="D1959" t="s">
        <v>5719</v>
      </c>
      <c r="E1959" t="s">
        <v>5720</v>
      </c>
      <c r="F1959" t="s">
        <v>7920</v>
      </c>
      <c r="G1959" t="s">
        <v>3890</v>
      </c>
      <c r="H1959" t="s">
        <v>109</v>
      </c>
      <c r="I1959" t="s">
        <v>108</v>
      </c>
      <c r="J1959">
        <v>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2:30" x14ac:dyDescent="0.25">
      <c r="B1960" t="s">
        <v>133</v>
      </c>
      <c r="C1960" t="s">
        <v>3261</v>
      </c>
      <c r="D1960" t="s">
        <v>5722</v>
      </c>
      <c r="E1960" t="s">
        <v>5723</v>
      </c>
      <c r="F1960" t="s">
        <v>7921</v>
      </c>
      <c r="G1960" t="s">
        <v>3890</v>
      </c>
      <c r="H1960" t="s">
        <v>109</v>
      </c>
      <c r="I1960" t="s">
        <v>108</v>
      </c>
      <c r="J1960">
        <v>2</v>
      </c>
      <c r="K1960">
        <v>6562.2219999999998</v>
      </c>
      <c r="L1960">
        <v>6617.1670000000004</v>
      </c>
      <c r="M1960">
        <v>8127.7539999999999</v>
      </c>
      <c r="N1960">
        <v>8218.8449999999993</v>
      </c>
      <c r="O1960">
        <v>8305.8330000000005</v>
      </c>
      <c r="P1960">
        <v>8410.3019999999997</v>
      </c>
      <c r="Q1960">
        <v>8535.8169999999991</v>
      </c>
      <c r="R1960">
        <v>8653.4590000000007</v>
      </c>
      <c r="S1960">
        <v>8760.2870000000003</v>
      </c>
      <c r="T1960">
        <v>8865.9889999999996</v>
      </c>
      <c r="U1960">
        <v>8971.1090000000004</v>
      </c>
      <c r="V1960">
        <v>9075.6859999999997</v>
      </c>
      <c r="W1960">
        <v>9180.7479999999996</v>
      </c>
      <c r="X1960">
        <v>9286.8950000000004</v>
      </c>
      <c r="Y1960">
        <v>9394.8340000000007</v>
      </c>
      <c r="Z1960">
        <v>9505.5589999999993</v>
      </c>
      <c r="AA1960">
        <v>9619.9410000000007</v>
      </c>
      <c r="AB1960">
        <v>9738.393</v>
      </c>
      <c r="AC1960">
        <v>9861.0310000000009</v>
      </c>
      <c r="AD1960">
        <v>9987.2489999999998</v>
      </c>
    </row>
    <row r="1961" spans="2:30" x14ac:dyDescent="0.25">
      <c r="B1961" t="s">
        <v>133</v>
      </c>
      <c r="C1961" t="s">
        <v>3261</v>
      </c>
      <c r="D1961" t="s">
        <v>5725</v>
      </c>
      <c r="E1961">
        <v>0</v>
      </c>
      <c r="F1961" t="s">
        <v>7877</v>
      </c>
      <c r="G1961" t="s">
        <v>3890</v>
      </c>
      <c r="H1961" t="s">
        <v>109</v>
      </c>
      <c r="I1961" t="s">
        <v>108</v>
      </c>
      <c r="J1961">
        <v>2</v>
      </c>
      <c r="K1961">
        <v>7437.8159999999998</v>
      </c>
      <c r="L1961">
        <v>7682.2370000000001</v>
      </c>
      <c r="M1961">
        <v>9461.0640000000003</v>
      </c>
      <c r="N1961">
        <v>9579.5969999999998</v>
      </c>
      <c r="O1961">
        <v>9693.2800000000007</v>
      </c>
      <c r="P1961">
        <v>9828.7630000000008</v>
      </c>
      <c r="Q1961">
        <v>9990.5159999999996</v>
      </c>
      <c r="R1961">
        <v>10142.798000000001</v>
      </c>
      <c r="S1961">
        <v>10281.928</v>
      </c>
      <c r="T1961">
        <v>10419.891</v>
      </c>
      <c r="U1961">
        <v>10557.361000000001</v>
      </c>
      <c r="V1961">
        <v>10694.383</v>
      </c>
      <c r="W1961">
        <v>10832.233</v>
      </c>
      <c r="X1961">
        <v>10971.659</v>
      </c>
      <c r="Y1961">
        <v>11113.55</v>
      </c>
      <c r="Z1961">
        <v>11259.151</v>
      </c>
      <c r="AA1961">
        <v>11409.558000000001</v>
      </c>
      <c r="AB1961">
        <v>11565.303</v>
      </c>
      <c r="AC1961">
        <v>11726.546</v>
      </c>
      <c r="AD1961">
        <v>11892.539000000001</v>
      </c>
    </row>
    <row r="1962" spans="2:30" x14ac:dyDescent="0.25">
      <c r="B1962" t="s">
        <v>133</v>
      </c>
      <c r="C1962" t="s">
        <v>3261</v>
      </c>
      <c r="D1962" t="s">
        <v>5726</v>
      </c>
      <c r="E1962">
        <v>0</v>
      </c>
      <c r="F1962" t="s">
        <v>7877</v>
      </c>
      <c r="G1962" t="s">
        <v>3890</v>
      </c>
      <c r="H1962" t="s">
        <v>109</v>
      </c>
      <c r="I1962" t="s">
        <v>108</v>
      </c>
      <c r="J1962">
        <v>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2:30" x14ac:dyDescent="0.25">
      <c r="B1963" t="s">
        <v>133</v>
      </c>
      <c r="C1963" t="s">
        <v>3261</v>
      </c>
      <c r="D1963" t="s">
        <v>5727</v>
      </c>
      <c r="E1963" t="s">
        <v>1224</v>
      </c>
      <c r="F1963" t="s">
        <v>7922</v>
      </c>
      <c r="G1963" t="s">
        <v>3890</v>
      </c>
      <c r="H1963" t="s">
        <v>109</v>
      </c>
      <c r="I1963" t="s">
        <v>108</v>
      </c>
      <c r="J1963">
        <v>2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2:30" x14ac:dyDescent="0.25">
      <c r="B1964" t="s">
        <v>133</v>
      </c>
      <c r="C1964" t="s">
        <v>3261</v>
      </c>
      <c r="D1964" t="s">
        <v>5729</v>
      </c>
      <c r="E1964" t="s">
        <v>1225</v>
      </c>
      <c r="F1964" t="s">
        <v>7923</v>
      </c>
      <c r="G1964" t="s">
        <v>3890</v>
      </c>
      <c r="H1964" t="s">
        <v>109</v>
      </c>
      <c r="I1964" t="s">
        <v>108</v>
      </c>
      <c r="J1964">
        <v>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2:30" x14ac:dyDescent="0.25">
      <c r="B1965" t="s">
        <v>133</v>
      </c>
      <c r="C1965" t="s">
        <v>3261</v>
      </c>
      <c r="D1965" t="s">
        <v>5731</v>
      </c>
      <c r="E1965" t="s">
        <v>1226</v>
      </c>
      <c r="F1965" t="s">
        <v>7924</v>
      </c>
      <c r="G1965" t="s">
        <v>3890</v>
      </c>
      <c r="H1965" t="s">
        <v>109</v>
      </c>
      <c r="I1965" t="s">
        <v>108</v>
      </c>
      <c r="J1965">
        <v>2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2:30" x14ac:dyDescent="0.25">
      <c r="B1966" t="s">
        <v>133</v>
      </c>
      <c r="C1966" t="s">
        <v>3261</v>
      </c>
      <c r="D1966" t="s">
        <v>5733</v>
      </c>
      <c r="E1966" t="s">
        <v>1227</v>
      </c>
      <c r="F1966" t="s">
        <v>7925</v>
      </c>
      <c r="G1966" t="s">
        <v>3890</v>
      </c>
      <c r="H1966" t="s">
        <v>109</v>
      </c>
      <c r="I1966" t="s">
        <v>108</v>
      </c>
      <c r="J1966">
        <v>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2:30" x14ac:dyDescent="0.25">
      <c r="B1967" t="s">
        <v>133</v>
      </c>
      <c r="C1967" t="s">
        <v>3261</v>
      </c>
      <c r="D1967" t="s">
        <v>5735</v>
      </c>
      <c r="E1967" t="s">
        <v>1228</v>
      </c>
      <c r="F1967" t="s">
        <v>7926</v>
      </c>
      <c r="G1967" t="s">
        <v>3890</v>
      </c>
      <c r="H1967" t="s">
        <v>109</v>
      </c>
      <c r="I1967" t="s">
        <v>108</v>
      </c>
      <c r="J1967">
        <v>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2:30" x14ac:dyDescent="0.25">
      <c r="B1968" t="s">
        <v>133</v>
      </c>
      <c r="C1968" t="s">
        <v>3261</v>
      </c>
      <c r="D1968" t="s">
        <v>5737</v>
      </c>
      <c r="E1968" t="s">
        <v>1229</v>
      </c>
      <c r="F1968" t="s">
        <v>7927</v>
      </c>
      <c r="G1968" t="s">
        <v>3890</v>
      </c>
      <c r="H1968" t="s">
        <v>109</v>
      </c>
      <c r="I1968" t="s">
        <v>108</v>
      </c>
      <c r="J1968">
        <v>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2:30" x14ac:dyDescent="0.25">
      <c r="B1969" t="s">
        <v>133</v>
      </c>
      <c r="C1969" t="s">
        <v>3261</v>
      </c>
      <c r="D1969" t="s">
        <v>5739</v>
      </c>
      <c r="E1969" t="s">
        <v>1230</v>
      </c>
      <c r="F1969" t="s">
        <v>7928</v>
      </c>
      <c r="G1969" t="s">
        <v>3890</v>
      </c>
      <c r="H1969" t="s">
        <v>109</v>
      </c>
      <c r="I1969" t="s">
        <v>108</v>
      </c>
      <c r="J1969">
        <v>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2:30" x14ac:dyDescent="0.25">
      <c r="B1970" t="s">
        <v>133</v>
      </c>
      <c r="C1970" t="s">
        <v>3261</v>
      </c>
      <c r="D1970" t="s">
        <v>5741</v>
      </c>
      <c r="E1970" t="s">
        <v>1231</v>
      </c>
      <c r="F1970" t="s">
        <v>7929</v>
      </c>
      <c r="G1970" t="s">
        <v>3890</v>
      </c>
      <c r="H1970" t="s">
        <v>109</v>
      </c>
      <c r="I1970" t="s">
        <v>108</v>
      </c>
      <c r="J1970">
        <v>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2:30" x14ac:dyDescent="0.25">
      <c r="B1971" t="s">
        <v>133</v>
      </c>
      <c r="C1971" t="s">
        <v>3261</v>
      </c>
      <c r="D1971" t="s">
        <v>5743</v>
      </c>
      <c r="E1971" t="s">
        <v>1232</v>
      </c>
      <c r="F1971" t="s">
        <v>7930</v>
      </c>
      <c r="G1971" t="s">
        <v>3890</v>
      </c>
      <c r="H1971" t="s">
        <v>109</v>
      </c>
      <c r="I1971" t="s">
        <v>108</v>
      </c>
      <c r="J1971">
        <v>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2:30" x14ac:dyDescent="0.25">
      <c r="B1972" t="s">
        <v>133</v>
      </c>
      <c r="C1972" t="s">
        <v>3261</v>
      </c>
      <c r="D1972" t="s">
        <v>5745</v>
      </c>
      <c r="E1972" t="s">
        <v>1197</v>
      </c>
      <c r="F1972" t="s">
        <v>7931</v>
      </c>
      <c r="G1972" t="s">
        <v>3890</v>
      </c>
      <c r="H1972" t="s">
        <v>109</v>
      </c>
      <c r="I1972" t="s">
        <v>108</v>
      </c>
      <c r="J1972">
        <v>2</v>
      </c>
      <c r="K1972">
        <v>227.214</v>
      </c>
      <c r="L1972">
        <v>212.61799999999999</v>
      </c>
      <c r="M1972">
        <v>252.76599999999999</v>
      </c>
      <c r="N1972">
        <v>271.80900000000003</v>
      </c>
      <c r="O1972">
        <v>276.17200000000003</v>
      </c>
      <c r="P1972">
        <v>280.52199999999999</v>
      </c>
      <c r="Q1972">
        <v>287.72300000000001</v>
      </c>
      <c r="R1972">
        <v>294.65800000000002</v>
      </c>
      <c r="S1972">
        <v>301.185</v>
      </c>
      <c r="T1972">
        <v>307.68599999999998</v>
      </c>
      <c r="U1972">
        <v>313.464</v>
      </c>
      <c r="V1972">
        <v>319.23700000000002</v>
      </c>
      <c r="W1972">
        <v>325.053</v>
      </c>
      <c r="X1972">
        <v>330.94099999999997</v>
      </c>
      <c r="Y1972">
        <v>336.93599999999998</v>
      </c>
      <c r="Z1972">
        <v>343.08600000000001</v>
      </c>
      <c r="AA1972">
        <v>349.435</v>
      </c>
      <c r="AB1972">
        <v>356.005</v>
      </c>
      <c r="AC1972">
        <v>362.80099999999999</v>
      </c>
      <c r="AD1972">
        <v>369.79700000000003</v>
      </c>
    </row>
    <row r="1973" spans="2:30" x14ac:dyDescent="0.25">
      <c r="B1973" t="s">
        <v>133</v>
      </c>
      <c r="C1973" t="s">
        <v>3261</v>
      </c>
      <c r="D1973" t="s">
        <v>5747</v>
      </c>
      <c r="E1973" t="s">
        <v>1198</v>
      </c>
      <c r="F1973" t="s">
        <v>7932</v>
      </c>
      <c r="G1973" t="s">
        <v>3890</v>
      </c>
      <c r="H1973" t="s">
        <v>109</v>
      </c>
      <c r="I1973" t="s">
        <v>108</v>
      </c>
      <c r="J1973">
        <v>2</v>
      </c>
      <c r="K1973">
        <v>1528.7239999999999</v>
      </c>
      <c r="L1973">
        <v>1311.681</v>
      </c>
      <c r="M1973">
        <v>1444.05</v>
      </c>
      <c r="N1973">
        <v>1501.115</v>
      </c>
      <c r="O1973">
        <v>1557.4880000000001</v>
      </c>
      <c r="P1973">
        <v>1624.6569999999999</v>
      </c>
      <c r="Q1973">
        <v>1705.3320000000001</v>
      </c>
      <c r="R1973">
        <v>1783.9580000000001</v>
      </c>
      <c r="S1973">
        <v>1858.4780000000001</v>
      </c>
      <c r="T1973">
        <v>1934.2650000000001</v>
      </c>
      <c r="U1973">
        <v>2011.6320000000001</v>
      </c>
      <c r="V1973">
        <v>2090.598</v>
      </c>
      <c r="W1973">
        <v>2171.8209999999999</v>
      </c>
      <c r="X1973">
        <v>2255.7399999999998</v>
      </c>
      <c r="Y1973">
        <v>2342.902</v>
      </c>
      <c r="Z1973">
        <v>2434.098</v>
      </c>
      <c r="AA1973">
        <v>2530.0949999999998</v>
      </c>
      <c r="AB1973">
        <v>2631.3969999999999</v>
      </c>
      <c r="AC1973">
        <v>2738.32</v>
      </c>
      <c r="AD1973">
        <v>2850.6529999999998</v>
      </c>
    </row>
    <row r="1974" spans="2:30" x14ac:dyDescent="0.25">
      <c r="B1974" t="s">
        <v>133</v>
      </c>
      <c r="C1974" t="s">
        <v>3261</v>
      </c>
      <c r="D1974" t="s">
        <v>5749</v>
      </c>
      <c r="E1974" t="s">
        <v>1199</v>
      </c>
      <c r="F1974" t="s">
        <v>7933</v>
      </c>
      <c r="G1974" t="s">
        <v>3890</v>
      </c>
      <c r="H1974" t="s">
        <v>109</v>
      </c>
      <c r="I1974" t="s">
        <v>108</v>
      </c>
      <c r="J1974">
        <v>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2:30" x14ac:dyDescent="0.25">
      <c r="B1975" t="s">
        <v>133</v>
      </c>
      <c r="C1975" t="s">
        <v>3261</v>
      </c>
      <c r="D1975" t="s">
        <v>5751</v>
      </c>
      <c r="E1975" t="s">
        <v>1200</v>
      </c>
      <c r="F1975" t="s">
        <v>7934</v>
      </c>
      <c r="G1975" t="s">
        <v>3890</v>
      </c>
      <c r="H1975" t="s">
        <v>109</v>
      </c>
      <c r="I1975" t="s">
        <v>108</v>
      </c>
      <c r="J1975">
        <v>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2:30" x14ac:dyDescent="0.25">
      <c r="B1976" t="s">
        <v>133</v>
      </c>
      <c r="C1976" t="s">
        <v>3261</v>
      </c>
      <c r="D1976" t="s">
        <v>5753</v>
      </c>
      <c r="E1976" t="s">
        <v>1201</v>
      </c>
      <c r="F1976" t="s">
        <v>7935</v>
      </c>
      <c r="G1976" t="s">
        <v>3890</v>
      </c>
      <c r="H1976" t="s">
        <v>109</v>
      </c>
      <c r="I1976" t="s">
        <v>108</v>
      </c>
      <c r="J1976">
        <v>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2:30" x14ac:dyDescent="0.25">
      <c r="B1977" t="s">
        <v>133</v>
      </c>
      <c r="C1977" t="s">
        <v>3261</v>
      </c>
      <c r="D1977" t="s">
        <v>5755</v>
      </c>
      <c r="E1977" t="s">
        <v>1202</v>
      </c>
      <c r="F1977" t="s">
        <v>7936</v>
      </c>
      <c r="G1977" t="s">
        <v>3890</v>
      </c>
      <c r="H1977" t="s">
        <v>109</v>
      </c>
      <c r="I1977" t="s">
        <v>108</v>
      </c>
      <c r="J1977">
        <v>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2:30" x14ac:dyDescent="0.25">
      <c r="B1978" t="s">
        <v>133</v>
      </c>
      <c r="C1978" t="s">
        <v>3261</v>
      </c>
      <c r="D1978" t="s">
        <v>5757</v>
      </c>
      <c r="E1978" t="s">
        <v>1203</v>
      </c>
      <c r="F1978" t="s">
        <v>7937</v>
      </c>
      <c r="G1978" t="s">
        <v>3890</v>
      </c>
      <c r="H1978" t="s">
        <v>109</v>
      </c>
      <c r="I1978" t="s">
        <v>108</v>
      </c>
      <c r="J1978">
        <v>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2:30" x14ac:dyDescent="0.25">
      <c r="B1979" t="s">
        <v>133</v>
      </c>
      <c r="C1979" t="s">
        <v>3261</v>
      </c>
      <c r="D1979" t="s">
        <v>5759</v>
      </c>
      <c r="E1979" t="s">
        <v>1204</v>
      </c>
      <c r="F1979" t="s">
        <v>7938</v>
      </c>
      <c r="G1979" t="s">
        <v>3890</v>
      </c>
      <c r="H1979" t="s">
        <v>109</v>
      </c>
      <c r="I1979" t="s">
        <v>108</v>
      </c>
      <c r="J1979">
        <v>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2:30" x14ac:dyDescent="0.25">
      <c r="B1980" t="s">
        <v>133</v>
      </c>
      <c r="C1980" t="s">
        <v>3261</v>
      </c>
      <c r="D1980" t="s">
        <v>5761</v>
      </c>
      <c r="E1980" t="s">
        <v>1205</v>
      </c>
      <c r="F1980" t="s">
        <v>7939</v>
      </c>
      <c r="G1980" t="s">
        <v>3890</v>
      </c>
      <c r="H1980" t="s">
        <v>109</v>
      </c>
      <c r="I1980" t="s">
        <v>108</v>
      </c>
      <c r="J1980">
        <v>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2:30" x14ac:dyDescent="0.25">
      <c r="B1981" t="s">
        <v>133</v>
      </c>
      <c r="C1981" t="s">
        <v>3261</v>
      </c>
      <c r="D1981" t="s">
        <v>5763</v>
      </c>
      <c r="E1981" t="s">
        <v>1215</v>
      </c>
      <c r="F1981" t="s">
        <v>7940</v>
      </c>
      <c r="G1981" t="s">
        <v>3890</v>
      </c>
      <c r="H1981" t="s">
        <v>109</v>
      </c>
      <c r="I1981" t="s">
        <v>108</v>
      </c>
      <c r="J1981">
        <v>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2:30" x14ac:dyDescent="0.25">
      <c r="B1982" t="s">
        <v>133</v>
      </c>
      <c r="C1982" t="s">
        <v>3261</v>
      </c>
      <c r="D1982" t="s">
        <v>5765</v>
      </c>
      <c r="E1982" t="s">
        <v>1216</v>
      </c>
      <c r="F1982" t="s">
        <v>7941</v>
      </c>
      <c r="G1982" t="s">
        <v>3890</v>
      </c>
      <c r="H1982" t="s">
        <v>109</v>
      </c>
      <c r="I1982" t="s">
        <v>108</v>
      </c>
      <c r="J1982">
        <v>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2:30" x14ac:dyDescent="0.25">
      <c r="B1983" t="s">
        <v>133</v>
      </c>
      <c r="C1983" t="s">
        <v>3261</v>
      </c>
      <c r="D1983" t="s">
        <v>5767</v>
      </c>
      <c r="E1983" t="s">
        <v>1217</v>
      </c>
      <c r="F1983" t="s">
        <v>7942</v>
      </c>
      <c r="G1983" t="s">
        <v>3890</v>
      </c>
      <c r="H1983" t="s">
        <v>109</v>
      </c>
      <c r="I1983" t="s">
        <v>108</v>
      </c>
      <c r="J1983">
        <v>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2:30" x14ac:dyDescent="0.25">
      <c r="B1984" t="s">
        <v>133</v>
      </c>
      <c r="C1984" t="s">
        <v>3261</v>
      </c>
      <c r="D1984" t="s">
        <v>5769</v>
      </c>
      <c r="E1984" t="s">
        <v>1218</v>
      </c>
      <c r="F1984" t="s">
        <v>7943</v>
      </c>
      <c r="G1984" t="s">
        <v>3890</v>
      </c>
      <c r="H1984" t="s">
        <v>109</v>
      </c>
      <c r="I1984" t="s">
        <v>108</v>
      </c>
      <c r="J1984">
        <v>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2:30" x14ac:dyDescent="0.25">
      <c r="B1985" t="s">
        <v>133</v>
      </c>
      <c r="C1985" t="s">
        <v>3261</v>
      </c>
      <c r="D1985" t="s">
        <v>5771</v>
      </c>
      <c r="E1985" t="s">
        <v>1219</v>
      </c>
      <c r="F1985" t="s">
        <v>7944</v>
      </c>
      <c r="G1985" t="s">
        <v>3890</v>
      </c>
      <c r="H1985" t="s">
        <v>109</v>
      </c>
      <c r="I1985" t="s">
        <v>108</v>
      </c>
      <c r="J1985">
        <v>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2:30" x14ac:dyDescent="0.25">
      <c r="B1986" t="s">
        <v>133</v>
      </c>
      <c r="C1986" t="s">
        <v>3261</v>
      </c>
      <c r="D1986" t="s">
        <v>5773</v>
      </c>
      <c r="E1986" t="s">
        <v>1220</v>
      </c>
      <c r="F1986" t="s">
        <v>7945</v>
      </c>
      <c r="G1986" t="s">
        <v>3890</v>
      </c>
      <c r="H1986" t="s">
        <v>109</v>
      </c>
      <c r="I1986" t="s">
        <v>108</v>
      </c>
      <c r="J1986">
        <v>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2:30" x14ac:dyDescent="0.25">
      <c r="B1987" t="s">
        <v>133</v>
      </c>
      <c r="C1987" t="s">
        <v>3261</v>
      </c>
      <c r="D1987" t="s">
        <v>5775</v>
      </c>
      <c r="E1987" t="s">
        <v>1221</v>
      </c>
      <c r="F1987" t="s">
        <v>7946</v>
      </c>
      <c r="G1987" t="s">
        <v>3890</v>
      </c>
      <c r="H1987" t="s">
        <v>109</v>
      </c>
      <c r="I1987" t="s">
        <v>108</v>
      </c>
      <c r="J1987">
        <v>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2:30" x14ac:dyDescent="0.25">
      <c r="B1988" t="s">
        <v>133</v>
      </c>
      <c r="C1988" t="s">
        <v>3261</v>
      </c>
      <c r="D1988" t="s">
        <v>5777</v>
      </c>
      <c r="E1988" t="s">
        <v>1222</v>
      </c>
      <c r="F1988" t="s">
        <v>7947</v>
      </c>
      <c r="G1988" t="s">
        <v>3890</v>
      </c>
      <c r="H1988" t="s">
        <v>109</v>
      </c>
      <c r="I1988" t="s">
        <v>108</v>
      </c>
      <c r="J1988">
        <v>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2:30" x14ac:dyDescent="0.25">
      <c r="B1989" t="s">
        <v>133</v>
      </c>
      <c r="C1989" t="s">
        <v>3261</v>
      </c>
      <c r="D1989" t="s">
        <v>5779</v>
      </c>
      <c r="E1989" t="s">
        <v>1223</v>
      </c>
      <c r="F1989" t="s">
        <v>7948</v>
      </c>
      <c r="G1989" t="s">
        <v>3890</v>
      </c>
      <c r="H1989" t="s">
        <v>109</v>
      </c>
      <c r="I1989" t="s">
        <v>108</v>
      </c>
      <c r="J1989">
        <v>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2:30" x14ac:dyDescent="0.25">
      <c r="B1990" t="s">
        <v>133</v>
      </c>
      <c r="C1990" t="s">
        <v>3261</v>
      </c>
      <c r="D1990" t="s">
        <v>5781</v>
      </c>
      <c r="E1990" t="s">
        <v>5782</v>
      </c>
      <c r="F1990" t="s">
        <v>7949</v>
      </c>
      <c r="G1990" t="s">
        <v>3890</v>
      </c>
      <c r="H1990" t="s">
        <v>109</v>
      </c>
      <c r="I1990" t="s">
        <v>108</v>
      </c>
      <c r="J1990">
        <v>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2:30" x14ac:dyDescent="0.25">
      <c r="B1991" t="s">
        <v>133</v>
      </c>
      <c r="C1991" t="s">
        <v>3261</v>
      </c>
      <c r="D1991" t="s">
        <v>5784</v>
      </c>
      <c r="E1991" t="s">
        <v>5785</v>
      </c>
      <c r="F1991" t="s">
        <v>7950</v>
      </c>
      <c r="G1991" t="s">
        <v>3890</v>
      </c>
      <c r="H1991" t="s">
        <v>109</v>
      </c>
      <c r="I1991" t="s">
        <v>108</v>
      </c>
      <c r="J1991">
        <v>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2:30" x14ac:dyDescent="0.25">
      <c r="B1992" t="s">
        <v>133</v>
      </c>
      <c r="C1992" t="s">
        <v>3261</v>
      </c>
      <c r="D1992" t="s">
        <v>5787</v>
      </c>
      <c r="E1992" t="s">
        <v>5788</v>
      </c>
      <c r="F1992" t="s">
        <v>7951</v>
      </c>
      <c r="G1992" t="s">
        <v>3890</v>
      </c>
      <c r="H1992" t="s">
        <v>109</v>
      </c>
      <c r="I1992" t="s">
        <v>108</v>
      </c>
      <c r="J1992">
        <v>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2:30" x14ac:dyDescent="0.25">
      <c r="B1993" t="s">
        <v>133</v>
      </c>
      <c r="C1993" t="s">
        <v>3261</v>
      </c>
      <c r="D1993" t="s">
        <v>5790</v>
      </c>
      <c r="E1993" t="s">
        <v>5791</v>
      </c>
      <c r="F1993" t="s">
        <v>7952</v>
      </c>
      <c r="G1993" t="s">
        <v>3890</v>
      </c>
      <c r="H1993" t="s">
        <v>109</v>
      </c>
      <c r="I1993" t="s">
        <v>108</v>
      </c>
      <c r="J1993">
        <v>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2:30" x14ac:dyDescent="0.25">
      <c r="B1994" t="s">
        <v>133</v>
      </c>
      <c r="C1994" t="s">
        <v>3261</v>
      </c>
      <c r="D1994" t="s">
        <v>5793</v>
      </c>
      <c r="E1994" t="s">
        <v>5794</v>
      </c>
      <c r="F1994" t="s">
        <v>7953</v>
      </c>
      <c r="G1994" t="s">
        <v>3890</v>
      </c>
      <c r="H1994" t="s">
        <v>109</v>
      </c>
      <c r="I1994" t="s">
        <v>108</v>
      </c>
      <c r="J1994">
        <v>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</row>
    <row r="1995" spans="2:30" x14ac:dyDescent="0.25">
      <c r="B1995" t="s">
        <v>133</v>
      </c>
      <c r="C1995" t="s">
        <v>3261</v>
      </c>
      <c r="D1995" t="s">
        <v>5796</v>
      </c>
      <c r="E1995" t="s">
        <v>5797</v>
      </c>
      <c r="F1995" t="s">
        <v>7954</v>
      </c>
      <c r="G1995" t="s">
        <v>3890</v>
      </c>
      <c r="H1995" t="s">
        <v>109</v>
      </c>
      <c r="I1995" t="s">
        <v>108</v>
      </c>
      <c r="J1995">
        <v>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2:30" x14ac:dyDescent="0.25">
      <c r="B1996" t="s">
        <v>133</v>
      </c>
      <c r="C1996" t="s">
        <v>3261</v>
      </c>
      <c r="D1996" t="s">
        <v>5799</v>
      </c>
      <c r="E1996" t="s">
        <v>5800</v>
      </c>
      <c r="F1996" t="s">
        <v>7955</v>
      </c>
      <c r="G1996" t="s">
        <v>3890</v>
      </c>
      <c r="H1996" t="s">
        <v>109</v>
      </c>
      <c r="I1996" t="s">
        <v>108</v>
      </c>
      <c r="J1996">
        <v>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2:30" x14ac:dyDescent="0.25">
      <c r="B1997" t="s">
        <v>133</v>
      </c>
      <c r="C1997" t="s">
        <v>3261</v>
      </c>
      <c r="D1997" t="s">
        <v>5802</v>
      </c>
      <c r="E1997" t="s">
        <v>5803</v>
      </c>
      <c r="F1997" t="s">
        <v>7956</v>
      </c>
      <c r="G1997" t="s">
        <v>3890</v>
      </c>
      <c r="H1997" t="s">
        <v>109</v>
      </c>
      <c r="I1997" t="s">
        <v>108</v>
      </c>
      <c r="J1997">
        <v>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2:30" x14ac:dyDescent="0.25">
      <c r="B1998" t="s">
        <v>133</v>
      </c>
      <c r="C1998" t="s">
        <v>3261</v>
      </c>
      <c r="D1998" t="s">
        <v>5805</v>
      </c>
      <c r="E1998" t="s">
        <v>5806</v>
      </c>
      <c r="F1998" t="s">
        <v>7957</v>
      </c>
      <c r="G1998" t="s">
        <v>3890</v>
      </c>
      <c r="H1998" t="s">
        <v>109</v>
      </c>
      <c r="I1998" t="s">
        <v>108</v>
      </c>
      <c r="J1998">
        <v>2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2:30" x14ac:dyDescent="0.25">
      <c r="B1999" t="s">
        <v>133</v>
      </c>
      <c r="C1999" t="s">
        <v>3261</v>
      </c>
      <c r="D1999" t="s">
        <v>5808</v>
      </c>
      <c r="E1999" t="s">
        <v>5809</v>
      </c>
      <c r="F1999" t="s">
        <v>7958</v>
      </c>
      <c r="G1999" t="s">
        <v>3890</v>
      </c>
      <c r="H1999" t="s">
        <v>109</v>
      </c>
      <c r="I1999" t="s">
        <v>108</v>
      </c>
      <c r="J1999">
        <v>2</v>
      </c>
      <c r="K1999">
        <v>1223.682</v>
      </c>
      <c r="L1999">
        <v>1135.251</v>
      </c>
      <c r="M1999">
        <v>1271.8219999999999</v>
      </c>
      <c r="N1999">
        <v>1419.712</v>
      </c>
      <c r="O1999">
        <v>1492.8889999999999</v>
      </c>
      <c r="P1999">
        <v>1517.154</v>
      </c>
      <c r="Q1999">
        <v>1559.721</v>
      </c>
      <c r="R1999">
        <v>1536.2850000000001</v>
      </c>
      <c r="S1999">
        <v>1518.5609999999999</v>
      </c>
      <c r="T1999">
        <v>1497.7909999999999</v>
      </c>
      <c r="U1999">
        <v>1486.529</v>
      </c>
      <c r="V1999">
        <v>1478.1980000000001</v>
      </c>
      <c r="W1999">
        <v>1474.0039999999999</v>
      </c>
      <c r="X1999">
        <v>1472.4970000000001</v>
      </c>
      <c r="Y1999">
        <v>1473.8689999999999</v>
      </c>
      <c r="Z1999">
        <v>1477.96</v>
      </c>
      <c r="AA1999">
        <v>1484.788</v>
      </c>
      <c r="AB1999">
        <v>1494.2260000000001</v>
      </c>
      <c r="AC1999">
        <v>1506.115</v>
      </c>
      <c r="AD1999">
        <v>1520.0940000000001</v>
      </c>
    </row>
    <row r="2000" spans="2:30" x14ac:dyDescent="0.25">
      <c r="B2000" t="s">
        <v>133</v>
      </c>
      <c r="C2000" t="s">
        <v>3261</v>
      </c>
      <c r="D2000" t="s">
        <v>5811</v>
      </c>
      <c r="E2000">
        <v>0</v>
      </c>
      <c r="F2000" t="s">
        <v>7877</v>
      </c>
      <c r="G2000" t="s">
        <v>3890</v>
      </c>
      <c r="H2000" t="s">
        <v>109</v>
      </c>
      <c r="I2000" t="s">
        <v>108</v>
      </c>
      <c r="J2000">
        <v>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2:30" x14ac:dyDescent="0.25">
      <c r="B2001" t="s">
        <v>133</v>
      </c>
      <c r="C2001" t="s">
        <v>3261</v>
      </c>
      <c r="D2001" t="s">
        <v>5812</v>
      </c>
      <c r="E2001">
        <v>0</v>
      </c>
      <c r="F2001" t="s">
        <v>7877</v>
      </c>
      <c r="G2001" t="s">
        <v>3890</v>
      </c>
      <c r="H2001" t="s">
        <v>109</v>
      </c>
      <c r="I2001" t="s">
        <v>108</v>
      </c>
      <c r="J2001">
        <v>2</v>
      </c>
      <c r="K2001">
        <v>0</v>
      </c>
      <c r="L2001">
        <v>0.96899999999999997</v>
      </c>
      <c r="M2001">
        <v>1.1479999999999999</v>
      </c>
      <c r="N2001">
        <v>1.1080000000000001</v>
      </c>
      <c r="O2001">
        <v>1.052</v>
      </c>
      <c r="P2001">
        <v>1.016</v>
      </c>
      <c r="Q2001">
        <v>1.028</v>
      </c>
      <c r="R2001">
        <v>0.98299999999999998</v>
      </c>
      <c r="S2001">
        <v>0.98799999999999999</v>
      </c>
      <c r="T2001">
        <v>0.98699999999999999</v>
      </c>
      <c r="U2001">
        <v>0.996</v>
      </c>
      <c r="V2001">
        <v>1.0009999999999999</v>
      </c>
      <c r="W2001">
        <v>1.0069999999999999</v>
      </c>
      <c r="X2001">
        <v>1.014</v>
      </c>
      <c r="Y2001">
        <v>1.02</v>
      </c>
      <c r="Z2001">
        <v>1.0269999999999999</v>
      </c>
      <c r="AA2001">
        <v>1.0349999999999999</v>
      </c>
      <c r="AB2001">
        <v>1.0429999999999999</v>
      </c>
      <c r="AC2001">
        <v>1.05</v>
      </c>
      <c r="AD2001">
        <v>1.0529999999999999</v>
      </c>
    </row>
    <row r="2002" spans="2:30" x14ac:dyDescent="0.25">
      <c r="B2002" t="s">
        <v>133</v>
      </c>
      <c r="C2002" t="s">
        <v>3261</v>
      </c>
      <c r="D2002" t="s">
        <v>5813</v>
      </c>
      <c r="E2002">
        <v>0</v>
      </c>
      <c r="F2002" t="s">
        <v>7877</v>
      </c>
      <c r="G2002" t="s">
        <v>3890</v>
      </c>
      <c r="H2002" t="s">
        <v>109</v>
      </c>
      <c r="I2002" t="s">
        <v>108</v>
      </c>
      <c r="J2002">
        <v>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2:30" x14ac:dyDescent="0.25">
      <c r="B2003" t="s">
        <v>133</v>
      </c>
      <c r="C2003" t="s">
        <v>3261</v>
      </c>
      <c r="D2003" t="s">
        <v>5814</v>
      </c>
      <c r="E2003">
        <v>0</v>
      </c>
      <c r="F2003" t="s">
        <v>7877</v>
      </c>
      <c r="G2003" t="s">
        <v>3890</v>
      </c>
      <c r="H2003" t="s">
        <v>109</v>
      </c>
      <c r="I2003" t="s">
        <v>108</v>
      </c>
      <c r="J2003">
        <v>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2:30" x14ac:dyDescent="0.25">
      <c r="B2004" t="s">
        <v>133</v>
      </c>
      <c r="C2004" t="s">
        <v>3261</v>
      </c>
      <c r="D2004" t="s">
        <v>5815</v>
      </c>
      <c r="E2004">
        <v>0</v>
      </c>
      <c r="F2004" t="s">
        <v>7877</v>
      </c>
      <c r="G2004" t="s">
        <v>3890</v>
      </c>
      <c r="H2004" t="s">
        <v>109</v>
      </c>
      <c r="I2004" t="s">
        <v>108</v>
      </c>
      <c r="J2004">
        <v>2</v>
      </c>
      <c r="K2004" t="e">
        <v>#VALUE!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2:30" x14ac:dyDescent="0.25">
      <c r="B2005" t="s">
        <v>133</v>
      </c>
      <c r="C2005" t="s">
        <v>3261</v>
      </c>
      <c r="D2005" t="s">
        <v>5816</v>
      </c>
      <c r="E2005" t="s">
        <v>5817</v>
      </c>
      <c r="F2005" t="s">
        <v>7959</v>
      </c>
      <c r="G2005" t="s">
        <v>3890</v>
      </c>
      <c r="H2005" t="s">
        <v>109</v>
      </c>
      <c r="I2005" t="s">
        <v>108</v>
      </c>
      <c r="J2005">
        <v>2</v>
      </c>
      <c r="K2005" t="e">
        <v>#VALUE!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2:30" x14ac:dyDescent="0.25">
      <c r="B2006" t="s">
        <v>133</v>
      </c>
      <c r="C2006" t="s">
        <v>3261</v>
      </c>
      <c r="D2006" t="s">
        <v>5819</v>
      </c>
      <c r="E2006" t="s">
        <v>5820</v>
      </c>
      <c r="F2006" t="s">
        <v>7960</v>
      </c>
      <c r="G2006" t="s">
        <v>3890</v>
      </c>
      <c r="H2006" t="s">
        <v>109</v>
      </c>
      <c r="I2006" t="s">
        <v>108</v>
      </c>
      <c r="J2006">
        <v>2</v>
      </c>
      <c r="K2006" t="e">
        <v>#VALUE!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2:30" x14ac:dyDescent="0.25">
      <c r="B2007" t="s">
        <v>133</v>
      </c>
      <c r="C2007" t="s">
        <v>3261</v>
      </c>
      <c r="D2007" t="s">
        <v>5822</v>
      </c>
      <c r="E2007" t="s">
        <v>5823</v>
      </c>
      <c r="F2007" t="s">
        <v>7961</v>
      </c>
      <c r="G2007" t="s">
        <v>3890</v>
      </c>
      <c r="H2007" t="s">
        <v>109</v>
      </c>
      <c r="I2007" t="s">
        <v>108</v>
      </c>
      <c r="J2007">
        <v>2</v>
      </c>
      <c r="K2007" t="e">
        <v>#VALUE!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2:30" x14ac:dyDescent="0.25">
      <c r="B2008" t="s">
        <v>133</v>
      </c>
      <c r="C2008" t="s">
        <v>3261</v>
      </c>
      <c r="D2008" t="s">
        <v>5825</v>
      </c>
      <c r="E2008">
        <v>0</v>
      </c>
      <c r="F2008" t="s">
        <v>7877</v>
      </c>
      <c r="G2008" t="s">
        <v>3890</v>
      </c>
      <c r="H2008" t="s">
        <v>109</v>
      </c>
      <c r="I2008" t="s">
        <v>108</v>
      </c>
      <c r="J2008">
        <v>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2:30" x14ac:dyDescent="0.25">
      <c r="B2009" t="s">
        <v>133</v>
      </c>
      <c r="C2009" t="s">
        <v>3261</v>
      </c>
      <c r="D2009" t="s">
        <v>5826</v>
      </c>
      <c r="E2009">
        <v>0</v>
      </c>
      <c r="F2009" t="s">
        <v>7877</v>
      </c>
      <c r="G2009" t="s">
        <v>3890</v>
      </c>
      <c r="H2009" t="s">
        <v>109</v>
      </c>
      <c r="I2009" t="s">
        <v>108</v>
      </c>
      <c r="J2009">
        <v>2</v>
      </c>
      <c r="K2009">
        <v>0</v>
      </c>
      <c r="L2009">
        <v>1</v>
      </c>
      <c r="M2009">
        <v>2</v>
      </c>
      <c r="N2009">
        <v>3</v>
      </c>
      <c r="O2009">
        <v>4</v>
      </c>
      <c r="P2009">
        <v>5</v>
      </c>
      <c r="Q2009">
        <v>6</v>
      </c>
      <c r="R2009">
        <v>7</v>
      </c>
      <c r="S2009">
        <v>8</v>
      </c>
      <c r="T2009">
        <v>9</v>
      </c>
      <c r="U2009">
        <v>10</v>
      </c>
      <c r="V2009">
        <v>11</v>
      </c>
      <c r="W2009">
        <v>12</v>
      </c>
      <c r="X2009">
        <v>13</v>
      </c>
      <c r="Y2009">
        <v>14</v>
      </c>
      <c r="Z2009">
        <v>15</v>
      </c>
      <c r="AA2009">
        <v>16</v>
      </c>
      <c r="AB2009">
        <v>17</v>
      </c>
      <c r="AC2009">
        <v>18</v>
      </c>
      <c r="AD2009">
        <v>19</v>
      </c>
    </row>
    <row r="2010" spans="2:30" x14ac:dyDescent="0.25">
      <c r="B2010" t="s">
        <v>133</v>
      </c>
      <c r="C2010" t="s">
        <v>3261</v>
      </c>
      <c r="D2010" t="s">
        <v>5827</v>
      </c>
      <c r="E2010" t="s">
        <v>5828</v>
      </c>
      <c r="F2010" t="s">
        <v>7962</v>
      </c>
      <c r="G2010" t="s">
        <v>3890</v>
      </c>
      <c r="H2010" t="s">
        <v>109</v>
      </c>
      <c r="I2010" t="s">
        <v>108</v>
      </c>
      <c r="J2010">
        <v>2</v>
      </c>
      <c r="K2010">
        <v>2022</v>
      </c>
      <c r="L2010">
        <v>2023</v>
      </c>
      <c r="M2010">
        <v>2024</v>
      </c>
      <c r="N2010">
        <v>2025</v>
      </c>
      <c r="O2010">
        <v>2026</v>
      </c>
      <c r="P2010">
        <v>2027</v>
      </c>
      <c r="Q2010">
        <v>2028</v>
      </c>
      <c r="R2010">
        <v>2029</v>
      </c>
      <c r="S2010">
        <v>2030</v>
      </c>
      <c r="T2010">
        <v>2031</v>
      </c>
      <c r="U2010">
        <v>2032</v>
      </c>
      <c r="V2010">
        <v>2033</v>
      </c>
      <c r="W2010">
        <v>2034</v>
      </c>
      <c r="X2010">
        <v>2035</v>
      </c>
      <c r="Y2010">
        <v>2036</v>
      </c>
      <c r="Z2010">
        <v>2037</v>
      </c>
      <c r="AA2010">
        <v>2038</v>
      </c>
      <c r="AB2010">
        <v>2039</v>
      </c>
      <c r="AC2010">
        <v>2040</v>
      </c>
      <c r="AD2010">
        <v>2041</v>
      </c>
    </row>
    <row r="2011" spans="2:30" x14ac:dyDescent="0.25">
      <c r="B2011" t="s">
        <v>133</v>
      </c>
      <c r="C2011" t="s">
        <v>3261</v>
      </c>
      <c r="D2011" t="s">
        <v>5830</v>
      </c>
      <c r="E2011" t="s">
        <v>5831</v>
      </c>
      <c r="F2011" t="s">
        <v>7963</v>
      </c>
      <c r="G2011" t="s">
        <v>3890</v>
      </c>
      <c r="H2011" t="s">
        <v>109</v>
      </c>
      <c r="I2011" t="s">
        <v>108</v>
      </c>
      <c r="J2011">
        <v>2</v>
      </c>
      <c r="K2011">
        <v>0</v>
      </c>
      <c r="L2011">
        <v>2.1659999999999999</v>
      </c>
      <c r="M2011">
        <v>2.9460000000000002</v>
      </c>
      <c r="N2011">
        <v>3.7509999999999999</v>
      </c>
      <c r="O2011">
        <v>5.9260000000000002</v>
      </c>
      <c r="P2011">
        <v>10.311999999999999</v>
      </c>
      <c r="Q2011">
        <v>19.004999999999999</v>
      </c>
      <c r="R2011">
        <v>34.932000000000002</v>
      </c>
      <c r="S2011">
        <v>65.481999999999999</v>
      </c>
      <c r="T2011">
        <v>119.81</v>
      </c>
      <c r="U2011">
        <v>210.60599999999999</v>
      </c>
      <c r="V2011">
        <v>354.46499999999997</v>
      </c>
      <c r="W2011">
        <v>564.399</v>
      </c>
      <c r="X2011">
        <v>856.97900000000004</v>
      </c>
      <c r="Y2011">
        <v>1242.508</v>
      </c>
      <c r="Z2011">
        <v>1738.1510000000001</v>
      </c>
      <c r="AA2011">
        <v>2364.1060000000002</v>
      </c>
      <c r="AB2011">
        <v>3143.248</v>
      </c>
      <c r="AC2011">
        <v>4090.212</v>
      </c>
      <c r="AD2011">
        <v>5139.5410000000002</v>
      </c>
    </row>
    <row r="2012" spans="2:30" x14ac:dyDescent="0.25">
      <c r="B2012" t="s">
        <v>133</v>
      </c>
      <c r="C2012" t="s">
        <v>3261</v>
      </c>
      <c r="D2012" t="s">
        <v>5833</v>
      </c>
      <c r="E2012" t="s">
        <v>5834</v>
      </c>
      <c r="F2012" t="s">
        <v>7964</v>
      </c>
      <c r="G2012" t="s">
        <v>3890</v>
      </c>
      <c r="H2012" t="s">
        <v>109</v>
      </c>
      <c r="I2012" t="s">
        <v>108</v>
      </c>
      <c r="J2012">
        <v>2</v>
      </c>
      <c r="K2012">
        <v>44.354999999999997</v>
      </c>
      <c r="L2012">
        <v>41.411000000000001</v>
      </c>
      <c r="M2012">
        <v>47.658999999999999</v>
      </c>
      <c r="N2012">
        <v>52.780999999999999</v>
      </c>
      <c r="O2012">
        <v>55.997999999999998</v>
      </c>
      <c r="P2012">
        <v>57.893999999999998</v>
      </c>
      <c r="Q2012">
        <v>60.604999999999997</v>
      </c>
      <c r="R2012">
        <v>61.002000000000002</v>
      </c>
      <c r="S2012">
        <v>61.465000000000003</v>
      </c>
      <c r="T2012">
        <v>61.792000000000002</v>
      </c>
      <c r="U2012">
        <v>62.435000000000002</v>
      </c>
      <c r="V2012">
        <v>63.170999999999999</v>
      </c>
      <c r="W2012">
        <v>64.055999999999997</v>
      </c>
      <c r="X2012">
        <v>65.049000000000007</v>
      </c>
      <c r="Y2012">
        <v>66.167000000000002</v>
      </c>
      <c r="Z2012">
        <v>67.417000000000002</v>
      </c>
      <c r="AA2012">
        <v>68.811999999999998</v>
      </c>
      <c r="AB2012">
        <v>70.355999999999995</v>
      </c>
      <c r="AC2012">
        <v>72.05</v>
      </c>
      <c r="AD2012">
        <v>73.878</v>
      </c>
    </row>
    <row r="2013" spans="2:30" x14ac:dyDescent="0.25">
      <c r="B2013" t="s">
        <v>133</v>
      </c>
      <c r="C2013" t="s">
        <v>3261</v>
      </c>
      <c r="D2013" t="s">
        <v>5836</v>
      </c>
      <c r="E2013" t="s">
        <v>5837</v>
      </c>
      <c r="F2013" t="s">
        <v>7965</v>
      </c>
      <c r="G2013" t="s">
        <v>3890</v>
      </c>
      <c r="H2013" t="s">
        <v>109</v>
      </c>
      <c r="I2013" t="s">
        <v>108</v>
      </c>
      <c r="J2013">
        <v>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2:30" x14ac:dyDescent="0.25">
      <c r="B2014" t="s">
        <v>133</v>
      </c>
      <c r="C2014" t="s">
        <v>3261</v>
      </c>
      <c r="D2014" t="s">
        <v>5839</v>
      </c>
      <c r="E2014">
        <v>0</v>
      </c>
      <c r="F2014" t="s">
        <v>7877</v>
      </c>
      <c r="G2014" t="s">
        <v>3890</v>
      </c>
      <c r="H2014" t="s">
        <v>109</v>
      </c>
      <c r="I2014" t="s">
        <v>108</v>
      </c>
      <c r="J2014">
        <v>2</v>
      </c>
      <c r="K2014">
        <v>563.20899999999995</v>
      </c>
      <c r="L2014">
        <v>545.49800000000005</v>
      </c>
      <c r="M2014">
        <v>626.49800000000005</v>
      </c>
      <c r="N2014">
        <v>694.04200000000003</v>
      </c>
      <c r="O2014">
        <v>730.19299999999998</v>
      </c>
      <c r="P2014">
        <v>742.04200000000003</v>
      </c>
      <c r="Q2014">
        <v>762.94899999999996</v>
      </c>
      <c r="R2014">
        <v>750.16700000000003</v>
      </c>
      <c r="S2014">
        <v>741.26199999999994</v>
      </c>
      <c r="T2014">
        <v>731.952</v>
      </c>
      <c r="U2014">
        <v>729.02300000000002</v>
      </c>
      <c r="V2014">
        <v>729.73599999999999</v>
      </c>
      <c r="W2014">
        <v>735.16</v>
      </c>
      <c r="X2014">
        <v>745.18600000000004</v>
      </c>
      <c r="Y2014">
        <v>760.28700000000003</v>
      </c>
      <c r="Z2014">
        <v>781.03300000000002</v>
      </c>
      <c r="AA2014">
        <v>808.178</v>
      </c>
      <c r="AB2014">
        <v>842.55600000000004</v>
      </c>
      <c r="AC2014">
        <v>884.65300000000002</v>
      </c>
      <c r="AD2014">
        <v>931.75199999999995</v>
      </c>
    </row>
    <row r="2015" spans="2:30" x14ac:dyDescent="0.25">
      <c r="B2015" t="s">
        <v>133</v>
      </c>
      <c r="C2015" t="s">
        <v>3261</v>
      </c>
      <c r="D2015" t="s">
        <v>5840</v>
      </c>
      <c r="E2015" t="s">
        <v>5841</v>
      </c>
      <c r="F2015" t="s">
        <v>7966</v>
      </c>
      <c r="G2015" t="s">
        <v>3890</v>
      </c>
      <c r="H2015" t="s">
        <v>109</v>
      </c>
      <c r="I2015" t="s">
        <v>108</v>
      </c>
      <c r="J2015">
        <v>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2:30" x14ac:dyDescent="0.25">
      <c r="B2016" t="s">
        <v>133</v>
      </c>
      <c r="C2016" t="s">
        <v>3261</v>
      </c>
      <c r="D2016" t="s">
        <v>5843</v>
      </c>
      <c r="E2016" t="s">
        <v>5844</v>
      </c>
      <c r="F2016" t="s">
        <v>7967</v>
      </c>
      <c r="G2016" t="s">
        <v>3890</v>
      </c>
      <c r="H2016" t="s">
        <v>109</v>
      </c>
      <c r="I2016" t="s">
        <v>108</v>
      </c>
      <c r="J2016">
        <v>2</v>
      </c>
      <c r="K2016">
        <v>3770.7730000000001</v>
      </c>
      <c r="L2016">
        <v>3829.1619999999998</v>
      </c>
      <c r="M2016">
        <v>4289.8119999999999</v>
      </c>
      <c r="N2016">
        <v>4788.6419999999998</v>
      </c>
      <c r="O2016">
        <v>5035.4639999999999</v>
      </c>
      <c r="P2016">
        <v>5117.3090000000002</v>
      </c>
      <c r="Q2016">
        <v>5260.8869999999997</v>
      </c>
      <c r="R2016">
        <v>5181.8379999999997</v>
      </c>
      <c r="S2016">
        <v>5122.0550000000003</v>
      </c>
      <c r="T2016">
        <v>5051.9979999999996</v>
      </c>
      <c r="U2016">
        <v>5014.0119999999997</v>
      </c>
      <c r="V2016">
        <v>4985.9120000000003</v>
      </c>
      <c r="W2016">
        <v>4971.7650000000003</v>
      </c>
      <c r="X2016">
        <v>4966.683</v>
      </c>
      <c r="Y2016">
        <v>4971.3090000000002</v>
      </c>
      <c r="Z2016">
        <v>4985.1080000000002</v>
      </c>
      <c r="AA2016">
        <v>5008.1379999999999</v>
      </c>
      <c r="AB2016">
        <v>5039.9740000000002</v>
      </c>
      <c r="AC2016">
        <v>5080.0749999999998</v>
      </c>
      <c r="AD2016">
        <v>5127.2259999999997</v>
      </c>
    </row>
    <row r="2017" spans="2:30" x14ac:dyDescent="0.25">
      <c r="B2017" t="s">
        <v>133</v>
      </c>
      <c r="C2017" t="s">
        <v>3261</v>
      </c>
      <c r="D2017" t="s">
        <v>5846</v>
      </c>
      <c r="E2017">
        <v>0</v>
      </c>
      <c r="F2017" t="s">
        <v>7877</v>
      </c>
      <c r="G2017" t="s">
        <v>3890</v>
      </c>
      <c r="H2017" t="s">
        <v>109</v>
      </c>
      <c r="I2017" t="s">
        <v>108</v>
      </c>
      <c r="J2017">
        <v>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2:30" x14ac:dyDescent="0.25">
      <c r="B2018" t="s">
        <v>133</v>
      </c>
      <c r="C2018" t="s">
        <v>3261</v>
      </c>
      <c r="D2018" t="s">
        <v>5847</v>
      </c>
      <c r="E2018">
        <v>0</v>
      </c>
      <c r="F2018" t="s">
        <v>7877</v>
      </c>
      <c r="G2018" t="s">
        <v>3890</v>
      </c>
      <c r="H2018" t="s">
        <v>109</v>
      </c>
      <c r="I2018" t="s">
        <v>108</v>
      </c>
      <c r="J2018">
        <v>2</v>
      </c>
      <c r="K2018">
        <v>2.8000000000000001E-2</v>
      </c>
      <c r="L2018">
        <v>3.5999999999999997E-2</v>
      </c>
      <c r="M2018">
        <v>0.03</v>
      </c>
      <c r="N2018">
        <v>4.2000000000000003E-2</v>
      </c>
      <c r="O2018">
        <v>5.5E-2</v>
      </c>
      <c r="P2018">
        <v>7.0999999999999994E-2</v>
      </c>
      <c r="Q2018">
        <v>7.6999999999999999E-2</v>
      </c>
      <c r="R2018">
        <v>8.8999999999999996E-2</v>
      </c>
      <c r="S2018">
        <v>0.09</v>
      </c>
      <c r="T2018">
        <v>9.1999999999999998E-2</v>
      </c>
      <c r="U2018">
        <v>9.2999999999999999E-2</v>
      </c>
      <c r="V2018">
        <v>9.5000000000000001E-2</v>
      </c>
      <c r="W2018">
        <v>9.8000000000000004E-2</v>
      </c>
      <c r="X2018">
        <v>0.10199999999999999</v>
      </c>
      <c r="Y2018">
        <v>0.106</v>
      </c>
      <c r="Z2018">
        <v>0.111</v>
      </c>
      <c r="AA2018">
        <v>0.11600000000000001</v>
      </c>
      <c r="AB2018">
        <v>0.121</v>
      </c>
      <c r="AC2018">
        <v>0.127</v>
      </c>
      <c r="AD2018">
        <v>0.13300000000000001</v>
      </c>
    </row>
    <row r="2019" spans="2:30" x14ac:dyDescent="0.25">
      <c r="B2019" t="s">
        <v>133</v>
      </c>
      <c r="C2019" t="s">
        <v>3261</v>
      </c>
      <c r="D2019" t="s">
        <v>5848</v>
      </c>
      <c r="E2019">
        <v>0</v>
      </c>
      <c r="F2019" t="s">
        <v>7877</v>
      </c>
      <c r="G2019" t="s">
        <v>3890</v>
      </c>
      <c r="H2019" t="s">
        <v>109</v>
      </c>
      <c r="I2019" t="s">
        <v>108</v>
      </c>
      <c r="J2019">
        <v>2</v>
      </c>
      <c r="K2019">
        <v>2.3E-2</v>
      </c>
      <c r="L2019">
        <v>2.5999999999999999E-2</v>
      </c>
      <c r="M2019">
        <v>2.1000000000000001E-2</v>
      </c>
      <c r="N2019">
        <v>3.4000000000000002E-2</v>
      </c>
      <c r="O2019">
        <v>4.8000000000000001E-2</v>
      </c>
      <c r="P2019">
        <v>5.2999999999999999E-2</v>
      </c>
      <c r="Q2019">
        <v>5.5E-2</v>
      </c>
      <c r="R2019">
        <v>6.0999999999999999E-2</v>
      </c>
      <c r="S2019">
        <v>0.06</v>
      </c>
      <c r="T2019">
        <v>6.0999999999999999E-2</v>
      </c>
      <c r="U2019">
        <v>6.2E-2</v>
      </c>
      <c r="V2019">
        <v>6.3E-2</v>
      </c>
      <c r="W2019">
        <v>6.5000000000000002E-2</v>
      </c>
      <c r="X2019">
        <v>6.8000000000000005E-2</v>
      </c>
      <c r="Y2019">
        <v>7.0999999999999994E-2</v>
      </c>
      <c r="Z2019">
        <v>7.4999999999999997E-2</v>
      </c>
      <c r="AA2019">
        <v>7.9000000000000001E-2</v>
      </c>
      <c r="AB2019">
        <v>8.4000000000000005E-2</v>
      </c>
      <c r="AC2019">
        <v>0.09</v>
      </c>
      <c r="AD2019">
        <v>9.6000000000000002E-2</v>
      </c>
    </row>
    <row r="2020" spans="2:30" x14ac:dyDescent="0.25">
      <c r="B2020" t="s">
        <v>133</v>
      </c>
      <c r="C2020" t="s">
        <v>3261</v>
      </c>
      <c r="D2020" t="s">
        <v>5849</v>
      </c>
      <c r="E2020">
        <v>0</v>
      </c>
      <c r="F2020" t="s">
        <v>7877</v>
      </c>
      <c r="G2020" t="s">
        <v>3890</v>
      </c>
      <c r="H2020" t="s">
        <v>109</v>
      </c>
      <c r="I2020" t="s">
        <v>108</v>
      </c>
      <c r="J2020">
        <v>2</v>
      </c>
      <c r="K2020">
        <v>7.0000000000000007E-2</v>
      </c>
      <c r="L2020">
        <v>7.3999999999999996E-2</v>
      </c>
      <c r="M2020">
        <v>6.5000000000000002E-2</v>
      </c>
      <c r="N2020">
        <v>9.8000000000000004E-2</v>
      </c>
      <c r="O2020">
        <v>0.13300000000000001</v>
      </c>
      <c r="P2020">
        <v>0.13500000000000001</v>
      </c>
      <c r="Q2020">
        <v>0.13400000000000001</v>
      </c>
      <c r="R2020">
        <v>0.13900000000000001</v>
      </c>
      <c r="S2020">
        <v>0.14099999999999999</v>
      </c>
      <c r="T2020">
        <v>0.14299999999999999</v>
      </c>
      <c r="U2020">
        <v>0.14499999999999999</v>
      </c>
      <c r="V2020">
        <v>0.14599999999999999</v>
      </c>
      <c r="W2020">
        <v>0.14599999999999999</v>
      </c>
      <c r="X2020">
        <v>0.14599999999999999</v>
      </c>
      <c r="Y2020">
        <v>0.14499999999999999</v>
      </c>
      <c r="Z2020">
        <v>0.14299999999999999</v>
      </c>
      <c r="AA2020">
        <v>0.14000000000000001</v>
      </c>
      <c r="AB2020">
        <v>0.13700000000000001</v>
      </c>
      <c r="AC2020">
        <v>0.13400000000000001</v>
      </c>
      <c r="AD2020">
        <v>0.13</v>
      </c>
    </row>
    <row r="2021" spans="2:30" x14ac:dyDescent="0.25">
      <c r="B2021" t="s">
        <v>133</v>
      </c>
      <c r="C2021" t="s">
        <v>3261</v>
      </c>
      <c r="D2021" t="s">
        <v>5850</v>
      </c>
      <c r="E2021">
        <v>0</v>
      </c>
      <c r="F2021" t="s">
        <v>7877</v>
      </c>
      <c r="G2021" t="s">
        <v>3890</v>
      </c>
      <c r="H2021" t="s">
        <v>109</v>
      </c>
      <c r="I2021" t="s">
        <v>108</v>
      </c>
      <c r="J2021">
        <v>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2:30" x14ac:dyDescent="0.25">
      <c r="B2022" t="s">
        <v>133</v>
      </c>
      <c r="C2022" t="s">
        <v>3261</v>
      </c>
      <c r="D2022" t="s">
        <v>5851</v>
      </c>
      <c r="E2022">
        <v>0</v>
      </c>
      <c r="F2022" t="s">
        <v>7877</v>
      </c>
      <c r="G2022" t="s">
        <v>3890</v>
      </c>
      <c r="H2022" t="s">
        <v>109</v>
      </c>
      <c r="I2022" t="s">
        <v>108</v>
      </c>
      <c r="J2022">
        <v>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2:30" x14ac:dyDescent="0.25">
      <c r="B2023" t="s">
        <v>133</v>
      </c>
      <c r="C2023" t="s">
        <v>3261</v>
      </c>
      <c r="D2023" t="s">
        <v>5852</v>
      </c>
      <c r="E2023">
        <v>0</v>
      </c>
      <c r="F2023" t="s">
        <v>7877</v>
      </c>
      <c r="G2023" t="s">
        <v>3890</v>
      </c>
      <c r="H2023" t="s">
        <v>109</v>
      </c>
      <c r="I2023" t="s">
        <v>108</v>
      </c>
      <c r="J2023">
        <v>2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</row>
    <row r="2024" spans="2:30" x14ac:dyDescent="0.25">
      <c r="B2024" t="s">
        <v>133</v>
      </c>
      <c r="C2024" t="s">
        <v>3261</v>
      </c>
      <c r="D2024" t="s">
        <v>5853</v>
      </c>
      <c r="E2024">
        <v>0</v>
      </c>
      <c r="F2024" t="s">
        <v>7877</v>
      </c>
      <c r="G2024" t="s">
        <v>3890</v>
      </c>
      <c r="H2024" t="s">
        <v>109</v>
      </c>
      <c r="I2024" t="s">
        <v>108</v>
      </c>
      <c r="J2024">
        <v>2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2:30" x14ac:dyDescent="0.25">
      <c r="B2025" t="s">
        <v>133</v>
      </c>
      <c r="C2025" t="s">
        <v>3261</v>
      </c>
      <c r="D2025" t="s">
        <v>5854</v>
      </c>
      <c r="E2025">
        <v>0</v>
      </c>
      <c r="F2025" t="s">
        <v>7877</v>
      </c>
      <c r="G2025" t="s">
        <v>3890</v>
      </c>
      <c r="H2025" t="s">
        <v>109</v>
      </c>
      <c r="I2025" t="s">
        <v>108</v>
      </c>
      <c r="J2025">
        <v>2</v>
      </c>
      <c r="K2025">
        <v>5.0999999999999997E-2</v>
      </c>
      <c r="L2025">
        <v>6.0999999999999999E-2</v>
      </c>
      <c r="M2025">
        <v>5.0999999999999997E-2</v>
      </c>
      <c r="N2025">
        <v>7.5999999999999998E-2</v>
      </c>
      <c r="O2025">
        <v>0.10299999999999999</v>
      </c>
      <c r="P2025">
        <v>0.124</v>
      </c>
      <c r="Q2025">
        <v>0.13200000000000001</v>
      </c>
      <c r="R2025">
        <v>0.14899999999999999</v>
      </c>
      <c r="S2025">
        <v>0.15</v>
      </c>
      <c r="T2025">
        <v>0.153</v>
      </c>
      <c r="U2025">
        <v>0.155</v>
      </c>
      <c r="V2025">
        <v>0.159</v>
      </c>
      <c r="W2025">
        <v>0.16300000000000001</v>
      </c>
      <c r="X2025">
        <v>0.17</v>
      </c>
      <c r="Y2025">
        <v>0.17699999999999999</v>
      </c>
      <c r="Z2025">
        <v>0.185</v>
      </c>
      <c r="AA2025">
        <v>0.19500000000000001</v>
      </c>
      <c r="AB2025">
        <v>0.20499999999999999</v>
      </c>
      <c r="AC2025">
        <v>0.216</v>
      </c>
      <c r="AD2025">
        <v>0.22900000000000001</v>
      </c>
    </row>
    <row r="2026" spans="2:30" x14ac:dyDescent="0.25">
      <c r="B2026" t="s">
        <v>133</v>
      </c>
      <c r="C2026" t="s">
        <v>3261</v>
      </c>
      <c r="D2026" t="s">
        <v>5855</v>
      </c>
      <c r="E2026">
        <v>0</v>
      </c>
      <c r="F2026" t="s">
        <v>7877</v>
      </c>
      <c r="G2026" t="s">
        <v>3890</v>
      </c>
      <c r="H2026" t="s">
        <v>109</v>
      </c>
      <c r="I2026" t="s">
        <v>108</v>
      </c>
      <c r="J2026">
        <v>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2:30" x14ac:dyDescent="0.25">
      <c r="B2027" t="s">
        <v>133</v>
      </c>
      <c r="C2027" t="s">
        <v>3261</v>
      </c>
      <c r="D2027" t="s">
        <v>5856</v>
      </c>
      <c r="E2027">
        <v>0</v>
      </c>
      <c r="F2027" t="s">
        <v>7877</v>
      </c>
      <c r="G2027" t="s">
        <v>3890</v>
      </c>
      <c r="H2027" t="s">
        <v>109</v>
      </c>
      <c r="I2027" t="s">
        <v>108</v>
      </c>
      <c r="J2027">
        <v>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2:30" x14ac:dyDescent="0.25">
      <c r="B2028" t="s">
        <v>133</v>
      </c>
      <c r="C2028" t="s">
        <v>3261</v>
      </c>
      <c r="D2028" t="s">
        <v>5847</v>
      </c>
      <c r="E2028">
        <v>0</v>
      </c>
      <c r="F2028" t="s">
        <v>7877</v>
      </c>
      <c r="G2028" t="s">
        <v>3890</v>
      </c>
      <c r="H2028" t="s">
        <v>109</v>
      </c>
      <c r="I2028" t="s">
        <v>108</v>
      </c>
      <c r="J2028">
        <v>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2:30" x14ac:dyDescent="0.25">
      <c r="B2029" t="s">
        <v>133</v>
      </c>
      <c r="C2029" t="s">
        <v>3261</v>
      </c>
      <c r="D2029" t="s">
        <v>5848</v>
      </c>
      <c r="E2029">
        <v>0</v>
      </c>
      <c r="F2029" t="s">
        <v>7877</v>
      </c>
      <c r="G2029" t="s">
        <v>3890</v>
      </c>
      <c r="H2029" t="s">
        <v>109</v>
      </c>
      <c r="I2029" t="s">
        <v>108</v>
      </c>
      <c r="J2029">
        <v>2</v>
      </c>
      <c r="K2029">
        <v>5.3999999999999999E-2</v>
      </c>
      <c r="L2029">
        <v>5.3999999999999999E-2</v>
      </c>
      <c r="M2029">
        <v>5.5E-2</v>
      </c>
      <c r="N2029">
        <v>5.5E-2</v>
      </c>
      <c r="O2029">
        <v>5.5E-2</v>
      </c>
      <c r="P2029">
        <v>5.5E-2</v>
      </c>
      <c r="Q2029">
        <v>5.5E-2</v>
      </c>
      <c r="R2029">
        <v>5.5E-2</v>
      </c>
      <c r="S2029">
        <v>5.5E-2</v>
      </c>
      <c r="T2029">
        <v>5.5E-2</v>
      </c>
      <c r="U2029">
        <v>5.5E-2</v>
      </c>
      <c r="V2029">
        <v>5.5E-2</v>
      </c>
      <c r="W2029">
        <v>5.3999999999999999E-2</v>
      </c>
      <c r="X2029">
        <v>5.3999999999999999E-2</v>
      </c>
      <c r="Y2029">
        <v>5.3999999999999999E-2</v>
      </c>
      <c r="Z2029">
        <v>5.2999999999999999E-2</v>
      </c>
      <c r="AA2029">
        <v>5.2999999999999999E-2</v>
      </c>
      <c r="AB2029">
        <v>5.1999999999999998E-2</v>
      </c>
      <c r="AC2029">
        <v>5.1999999999999998E-2</v>
      </c>
      <c r="AD2029">
        <v>5.1999999999999998E-2</v>
      </c>
    </row>
    <row r="2030" spans="2:30" x14ac:dyDescent="0.25">
      <c r="B2030" t="s">
        <v>133</v>
      </c>
      <c r="C2030" t="s">
        <v>3261</v>
      </c>
      <c r="D2030" t="s">
        <v>5849</v>
      </c>
      <c r="E2030">
        <v>0</v>
      </c>
      <c r="F2030" t="s">
        <v>7877</v>
      </c>
      <c r="G2030" t="s">
        <v>3890</v>
      </c>
      <c r="H2030" t="s">
        <v>109</v>
      </c>
      <c r="I2030" t="s">
        <v>108</v>
      </c>
      <c r="J2030">
        <v>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2:30" x14ac:dyDescent="0.25">
      <c r="B2031" t="s">
        <v>133</v>
      </c>
      <c r="C2031" t="s">
        <v>3261</v>
      </c>
      <c r="D2031" t="s">
        <v>5850</v>
      </c>
      <c r="E2031" t="s">
        <v>5857</v>
      </c>
      <c r="F2031" t="s">
        <v>7968</v>
      </c>
      <c r="G2031" t="s">
        <v>3890</v>
      </c>
      <c r="H2031" t="s">
        <v>109</v>
      </c>
      <c r="I2031" t="s">
        <v>108</v>
      </c>
      <c r="J2031">
        <v>2</v>
      </c>
      <c r="K2031">
        <v>5.3999999999999999E-2</v>
      </c>
      <c r="L2031">
        <v>5.3999999999999999E-2</v>
      </c>
      <c r="M2031">
        <v>5.5E-2</v>
      </c>
      <c r="N2031">
        <v>5.5E-2</v>
      </c>
      <c r="O2031">
        <v>5.5E-2</v>
      </c>
      <c r="P2031">
        <v>5.5E-2</v>
      </c>
      <c r="Q2031">
        <v>5.5E-2</v>
      </c>
      <c r="R2031">
        <v>5.5E-2</v>
      </c>
      <c r="S2031">
        <v>5.5E-2</v>
      </c>
      <c r="T2031">
        <v>5.5E-2</v>
      </c>
      <c r="U2031">
        <v>5.5E-2</v>
      </c>
      <c r="V2031">
        <v>5.5E-2</v>
      </c>
      <c r="W2031">
        <v>5.3999999999999999E-2</v>
      </c>
      <c r="X2031">
        <v>5.3999999999999999E-2</v>
      </c>
      <c r="Y2031">
        <v>5.3999999999999999E-2</v>
      </c>
      <c r="Z2031">
        <v>5.2999999999999999E-2</v>
      </c>
      <c r="AA2031">
        <v>5.2999999999999999E-2</v>
      </c>
      <c r="AB2031">
        <v>5.1999999999999998E-2</v>
      </c>
      <c r="AC2031">
        <v>5.1999999999999998E-2</v>
      </c>
      <c r="AD2031">
        <v>5.1999999999999998E-2</v>
      </c>
    </row>
    <row r="2032" spans="2:30" x14ac:dyDescent="0.25">
      <c r="B2032" t="s">
        <v>133</v>
      </c>
      <c r="C2032" t="s">
        <v>3261</v>
      </c>
      <c r="D2032" t="s">
        <v>5851</v>
      </c>
      <c r="E2032">
        <v>0</v>
      </c>
      <c r="F2032" t="s">
        <v>7877</v>
      </c>
      <c r="G2032" t="s">
        <v>3890</v>
      </c>
      <c r="H2032" t="s">
        <v>109</v>
      </c>
      <c r="I2032" t="s">
        <v>108</v>
      </c>
      <c r="J2032">
        <v>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2:30" x14ac:dyDescent="0.25">
      <c r="B2033" t="s">
        <v>133</v>
      </c>
      <c r="C2033" t="s">
        <v>3261</v>
      </c>
      <c r="D2033" t="s">
        <v>5852</v>
      </c>
      <c r="E2033">
        <v>0</v>
      </c>
      <c r="F2033" t="s">
        <v>7877</v>
      </c>
      <c r="G2033" t="s">
        <v>3890</v>
      </c>
      <c r="H2033" t="s">
        <v>109</v>
      </c>
      <c r="I2033" t="s">
        <v>108</v>
      </c>
      <c r="J2033">
        <v>2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2:30" x14ac:dyDescent="0.25">
      <c r="B2034" t="s">
        <v>133</v>
      </c>
      <c r="C2034" t="s">
        <v>3261</v>
      </c>
      <c r="D2034" t="s">
        <v>5853</v>
      </c>
      <c r="E2034" t="s">
        <v>5859</v>
      </c>
      <c r="F2034" t="s">
        <v>7969</v>
      </c>
      <c r="G2034" t="s">
        <v>3890</v>
      </c>
      <c r="H2034" t="s">
        <v>109</v>
      </c>
      <c r="I2034" t="s">
        <v>108</v>
      </c>
      <c r="J2034">
        <v>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2:30" x14ac:dyDescent="0.25">
      <c r="B2035" t="s">
        <v>133</v>
      </c>
      <c r="C2035" t="s">
        <v>3261</v>
      </c>
      <c r="D2035" t="s">
        <v>5854</v>
      </c>
      <c r="E2035">
        <v>0</v>
      </c>
      <c r="F2035" t="s">
        <v>7877</v>
      </c>
      <c r="G2035" t="s">
        <v>3890</v>
      </c>
      <c r="H2035" t="s">
        <v>109</v>
      </c>
      <c r="I2035" t="s">
        <v>108</v>
      </c>
      <c r="J2035">
        <v>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2:30" x14ac:dyDescent="0.25">
      <c r="B2036" t="s">
        <v>133</v>
      </c>
      <c r="C2036" t="s">
        <v>3261</v>
      </c>
      <c r="D2036" t="s">
        <v>5855</v>
      </c>
      <c r="E2036">
        <v>0</v>
      </c>
      <c r="F2036" t="s">
        <v>7877</v>
      </c>
      <c r="G2036" t="s">
        <v>3890</v>
      </c>
      <c r="H2036" t="s">
        <v>109</v>
      </c>
      <c r="I2036" t="s">
        <v>108</v>
      </c>
      <c r="J2036">
        <v>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2:30" x14ac:dyDescent="0.25">
      <c r="B2037" t="s">
        <v>133</v>
      </c>
      <c r="C2037" t="s">
        <v>3261</v>
      </c>
      <c r="D2037" t="s">
        <v>5861</v>
      </c>
      <c r="E2037" t="e">
        <v>#REF!</v>
      </c>
      <c r="F2037" t="e">
        <v>#REF!</v>
      </c>
      <c r="G2037" t="s">
        <v>3890</v>
      </c>
      <c r="H2037" t="s">
        <v>109</v>
      </c>
      <c r="I2037" t="s">
        <v>108</v>
      </c>
      <c r="J2037">
        <v>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2:30" x14ac:dyDescent="0.25">
      <c r="B2038" t="s">
        <v>133</v>
      </c>
      <c r="C2038" t="s">
        <v>3261</v>
      </c>
      <c r="D2038" t="s">
        <v>5847</v>
      </c>
      <c r="E2038" t="e">
        <v>#REF!</v>
      </c>
      <c r="F2038" t="e">
        <v>#REF!</v>
      </c>
      <c r="G2038" t="s">
        <v>3890</v>
      </c>
      <c r="H2038" t="s">
        <v>109</v>
      </c>
      <c r="I2038" t="s">
        <v>108</v>
      </c>
      <c r="J2038">
        <v>2</v>
      </c>
      <c r="K2038">
        <v>1.4E-2</v>
      </c>
      <c r="L2038">
        <v>1.7999999999999999E-2</v>
      </c>
      <c r="M2038">
        <v>1.4999999999999999E-2</v>
      </c>
      <c r="N2038">
        <v>2.1000000000000001E-2</v>
      </c>
      <c r="O2038">
        <v>2.75E-2</v>
      </c>
      <c r="P2038">
        <v>3.5499999999999997E-2</v>
      </c>
      <c r="Q2038">
        <v>3.85E-2</v>
      </c>
      <c r="R2038">
        <v>4.4499999999999998E-2</v>
      </c>
      <c r="S2038">
        <v>4.4999999999999998E-2</v>
      </c>
      <c r="T2038">
        <v>4.5999999999999999E-2</v>
      </c>
      <c r="U2038">
        <v>4.65E-2</v>
      </c>
      <c r="V2038">
        <v>4.7500000000000001E-2</v>
      </c>
      <c r="W2038">
        <v>4.9000000000000002E-2</v>
      </c>
      <c r="X2038">
        <v>5.0999999999999997E-2</v>
      </c>
      <c r="Y2038">
        <v>5.2999999999999999E-2</v>
      </c>
      <c r="Z2038">
        <v>5.5500000000000001E-2</v>
      </c>
      <c r="AA2038">
        <v>5.8000000000000003E-2</v>
      </c>
      <c r="AB2038">
        <v>6.0499999999999998E-2</v>
      </c>
      <c r="AC2038">
        <v>6.3500000000000001E-2</v>
      </c>
      <c r="AD2038">
        <v>6.6500000000000004E-2</v>
      </c>
    </row>
    <row r="2039" spans="2:30" x14ac:dyDescent="0.25">
      <c r="B2039" t="s">
        <v>133</v>
      </c>
      <c r="C2039" t="s">
        <v>3261</v>
      </c>
      <c r="D2039" t="s">
        <v>5848</v>
      </c>
      <c r="E2039" t="e">
        <v>#REF!</v>
      </c>
      <c r="F2039" t="e">
        <v>#REF!</v>
      </c>
      <c r="G2039" t="s">
        <v>3890</v>
      </c>
      <c r="H2039" t="s">
        <v>109</v>
      </c>
      <c r="I2039" t="s">
        <v>108</v>
      </c>
      <c r="J2039">
        <v>2</v>
      </c>
      <c r="K2039">
        <v>3.85E-2</v>
      </c>
      <c r="L2039">
        <v>0.04</v>
      </c>
      <c r="M2039">
        <v>3.7999999999999999E-2</v>
      </c>
      <c r="N2039">
        <v>4.4499999999999998E-2</v>
      </c>
      <c r="O2039">
        <v>5.1500000000000004E-2</v>
      </c>
      <c r="P2039">
        <v>5.3999999999999999E-2</v>
      </c>
      <c r="Q2039">
        <v>5.5E-2</v>
      </c>
      <c r="R2039">
        <v>5.7999999999999996E-2</v>
      </c>
      <c r="S2039">
        <v>5.7499999999999996E-2</v>
      </c>
      <c r="T2039">
        <v>5.7999999999999996E-2</v>
      </c>
      <c r="U2039">
        <v>5.8499999999999996E-2</v>
      </c>
      <c r="V2039">
        <v>5.8999999999999997E-2</v>
      </c>
      <c r="W2039">
        <v>5.9499999999999997E-2</v>
      </c>
      <c r="X2039">
        <v>6.0999999999999999E-2</v>
      </c>
      <c r="Y2039">
        <v>6.25E-2</v>
      </c>
      <c r="Z2039">
        <v>6.4000000000000001E-2</v>
      </c>
      <c r="AA2039">
        <v>6.6000000000000003E-2</v>
      </c>
      <c r="AB2039">
        <v>6.8000000000000005E-2</v>
      </c>
      <c r="AC2039">
        <v>7.0999999999999994E-2</v>
      </c>
      <c r="AD2039">
        <v>7.3999999999999996E-2</v>
      </c>
    </row>
    <row r="2040" spans="2:30" x14ac:dyDescent="0.25">
      <c r="B2040" t="s">
        <v>133</v>
      </c>
      <c r="C2040" t="s">
        <v>3261</v>
      </c>
      <c r="D2040" t="s">
        <v>5849</v>
      </c>
      <c r="E2040" t="e">
        <v>#REF!</v>
      </c>
      <c r="F2040" t="e">
        <v>#REF!</v>
      </c>
      <c r="G2040" t="s">
        <v>3890</v>
      </c>
      <c r="H2040" t="s">
        <v>109</v>
      </c>
      <c r="I2040" t="s">
        <v>108</v>
      </c>
      <c r="J2040">
        <v>2</v>
      </c>
      <c r="K2040">
        <v>3.5000000000000003E-2</v>
      </c>
      <c r="L2040">
        <v>3.6999999999999998E-2</v>
      </c>
      <c r="M2040">
        <v>3.2500000000000001E-2</v>
      </c>
      <c r="N2040">
        <v>4.9000000000000002E-2</v>
      </c>
      <c r="O2040">
        <v>6.6500000000000004E-2</v>
      </c>
      <c r="P2040">
        <v>6.7500000000000004E-2</v>
      </c>
      <c r="Q2040">
        <v>6.7000000000000004E-2</v>
      </c>
      <c r="R2040">
        <v>6.9500000000000006E-2</v>
      </c>
      <c r="S2040">
        <v>7.0499999999999993E-2</v>
      </c>
      <c r="T2040">
        <v>7.1499999999999994E-2</v>
      </c>
      <c r="U2040">
        <v>7.2499999999999995E-2</v>
      </c>
      <c r="V2040">
        <v>7.2999999999999995E-2</v>
      </c>
      <c r="W2040">
        <v>7.2999999999999995E-2</v>
      </c>
      <c r="X2040">
        <v>7.2999999999999995E-2</v>
      </c>
      <c r="Y2040">
        <v>7.2499999999999995E-2</v>
      </c>
      <c r="Z2040">
        <v>7.1499999999999994E-2</v>
      </c>
      <c r="AA2040">
        <v>7.0000000000000007E-2</v>
      </c>
      <c r="AB2040">
        <v>6.8500000000000005E-2</v>
      </c>
      <c r="AC2040">
        <v>6.7000000000000004E-2</v>
      </c>
      <c r="AD2040">
        <v>6.5000000000000002E-2</v>
      </c>
    </row>
    <row r="2041" spans="2:30" x14ac:dyDescent="0.25">
      <c r="B2041" t="s">
        <v>133</v>
      </c>
      <c r="C2041" t="s">
        <v>3261</v>
      </c>
      <c r="D2041" t="s">
        <v>5850</v>
      </c>
      <c r="E2041" t="e">
        <v>#REF!</v>
      </c>
      <c r="F2041" t="e">
        <v>#REF!</v>
      </c>
      <c r="G2041" t="s">
        <v>3890</v>
      </c>
      <c r="H2041" t="s">
        <v>109</v>
      </c>
      <c r="I2041" t="s">
        <v>108</v>
      </c>
      <c r="J2041">
        <v>2</v>
      </c>
      <c r="K2041">
        <v>2.7E-2</v>
      </c>
      <c r="L2041">
        <v>2.7E-2</v>
      </c>
      <c r="M2041">
        <v>2.75E-2</v>
      </c>
      <c r="N2041">
        <v>2.75E-2</v>
      </c>
      <c r="O2041">
        <v>2.75E-2</v>
      </c>
      <c r="P2041">
        <v>2.75E-2</v>
      </c>
      <c r="Q2041">
        <v>2.75E-2</v>
      </c>
      <c r="R2041">
        <v>2.75E-2</v>
      </c>
      <c r="S2041">
        <v>2.75E-2</v>
      </c>
      <c r="T2041">
        <v>2.75E-2</v>
      </c>
      <c r="U2041">
        <v>2.75E-2</v>
      </c>
      <c r="V2041">
        <v>2.75E-2</v>
      </c>
      <c r="W2041">
        <v>2.7E-2</v>
      </c>
      <c r="X2041">
        <v>2.7E-2</v>
      </c>
      <c r="Y2041">
        <v>2.7E-2</v>
      </c>
      <c r="Z2041">
        <v>2.6499999999999999E-2</v>
      </c>
      <c r="AA2041">
        <v>2.6499999999999999E-2</v>
      </c>
      <c r="AB2041">
        <v>2.5999999999999999E-2</v>
      </c>
      <c r="AC2041">
        <v>2.5999999999999999E-2</v>
      </c>
      <c r="AD2041">
        <v>2.5999999999999999E-2</v>
      </c>
    </row>
    <row r="2042" spans="2:30" x14ac:dyDescent="0.25">
      <c r="B2042" t="s">
        <v>133</v>
      </c>
      <c r="C2042" t="s">
        <v>3261</v>
      </c>
      <c r="D2042" t="s">
        <v>5851</v>
      </c>
      <c r="E2042" t="e">
        <v>#REF!</v>
      </c>
      <c r="F2042" t="e">
        <v>#REF!</v>
      </c>
      <c r="G2042" t="s">
        <v>3890</v>
      </c>
      <c r="H2042" t="s">
        <v>109</v>
      </c>
      <c r="I2042" t="s">
        <v>108</v>
      </c>
      <c r="J2042">
        <v>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2:30" x14ac:dyDescent="0.25">
      <c r="B2043" t="s">
        <v>133</v>
      </c>
      <c r="C2043" t="s">
        <v>3261</v>
      </c>
      <c r="D2043" t="s">
        <v>5852</v>
      </c>
      <c r="E2043" t="e">
        <v>#REF!</v>
      </c>
      <c r="F2043" t="e">
        <v>#REF!</v>
      </c>
      <c r="G2043" t="s">
        <v>3890</v>
      </c>
      <c r="H2043" t="s">
        <v>109</v>
      </c>
      <c r="I2043" t="s">
        <v>108</v>
      </c>
      <c r="J2043">
        <v>2</v>
      </c>
      <c r="K2043">
        <v>0.5</v>
      </c>
      <c r="L2043">
        <v>0.5</v>
      </c>
      <c r="M2043">
        <v>0.5</v>
      </c>
      <c r="N2043">
        <v>0.5</v>
      </c>
      <c r="O2043">
        <v>0.5</v>
      </c>
      <c r="P2043">
        <v>0.5</v>
      </c>
      <c r="Q2043">
        <v>0.5</v>
      </c>
      <c r="R2043">
        <v>0.5</v>
      </c>
      <c r="S2043">
        <v>0.5</v>
      </c>
      <c r="T2043">
        <v>0.5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</row>
    <row r="2044" spans="2:30" x14ac:dyDescent="0.25">
      <c r="B2044" t="s">
        <v>133</v>
      </c>
      <c r="C2044" t="s">
        <v>3261</v>
      </c>
      <c r="D2044" t="s">
        <v>5853</v>
      </c>
      <c r="E2044" t="e">
        <v>#REF!</v>
      </c>
      <c r="F2044" t="e">
        <v>#REF!</v>
      </c>
      <c r="G2044" t="s">
        <v>3890</v>
      </c>
      <c r="H2044" t="s">
        <v>109</v>
      </c>
      <c r="I2044" t="s">
        <v>108</v>
      </c>
      <c r="J2044">
        <v>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2:30" x14ac:dyDescent="0.25">
      <c r="B2045" t="s">
        <v>133</v>
      </c>
      <c r="C2045" t="s">
        <v>3261</v>
      </c>
      <c r="D2045" t="s">
        <v>5854</v>
      </c>
      <c r="E2045" t="e">
        <v>#REF!</v>
      </c>
      <c r="F2045" t="e">
        <v>#REF!</v>
      </c>
      <c r="G2045" t="s">
        <v>3890</v>
      </c>
      <c r="H2045" t="s">
        <v>109</v>
      </c>
      <c r="I2045" t="s">
        <v>108</v>
      </c>
      <c r="J2045">
        <v>2</v>
      </c>
      <c r="K2045">
        <v>2.5499999999999998E-2</v>
      </c>
      <c r="L2045">
        <v>3.0499999999999999E-2</v>
      </c>
      <c r="M2045">
        <v>2.5499999999999998E-2</v>
      </c>
      <c r="N2045">
        <v>3.7999999999999999E-2</v>
      </c>
      <c r="O2045">
        <v>5.1499999999999997E-2</v>
      </c>
      <c r="P2045">
        <v>6.2E-2</v>
      </c>
      <c r="Q2045">
        <v>6.6000000000000003E-2</v>
      </c>
      <c r="R2045">
        <v>7.4499999999999997E-2</v>
      </c>
      <c r="S2045">
        <v>7.4999999999999997E-2</v>
      </c>
      <c r="T2045">
        <v>7.6499999999999999E-2</v>
      </c>
      <c r="U2045">
        <v>7.7499999999999999E-2</v>
      </c>
      <c r="V2045">
        <v>7.9500000000000001E-2</v>
      </c>
      <c r="W2045">
        <v>8.1500000000000003E-2</v>
      </c>
      <c r="X2045">
        <v>8.5000000000000006E-2</v>
      </c>
      <c r="Y2045">
        <v>8.8499999999999995E-2</v>
      </c>
      <c r="Z2045">
        <v>9.2499999999999999E-2</v>
      </c>
      <c r="AA2045">
        <v>9.7500000000000003E-2</v>
      </c>
      <c r="AB2045">
        <v>0.10249999999999999</v>
      </c>
      <c r="AC2045">
        <v>0.108</v>
      </c>
      <c r="AD2045">
        <v>0.1145</v>
      </c>
    </row>
    <row r="2046" spans="2:30" x14ac:dyDescent="0.25">
      <c r="B2046" t="s">
        <v>133</v>
      </c>
      <c r="C2046" t="s">
        <v>3261</v>
      </c>
      <c r="D2046" t="s">
        <v>5855</v>
      </c>
      <c r="E2046" t="e">
        <v>#REF!</v>
      </c>
      <c r="F2046" t="e">
        <v>#REF!</v>
      </c>
      <c r="G2046" t="s">
        <v>3890</v>
      </c>
      <c r="H2046" t="s">
        <v>109</v>
      </c>
      <c r="I2046" t="s">
        <v>108</v>
      </c>
      <c r="J2046">
        <v>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2:30" x14ac:dyDescent="0.25">
      <c r="B2047" t="s">
        <v>133</v>
      </c>
      <c r="C2047" t="s">
        <v>3261</v>
      </c>
      <c r="D2047" t="s">
        <v>3436</v>
      </c>
      <c r="E2047" t="s">
        <v>3437</v>
      </c>
      <c r="F2047" t="s">
        <v>7374</v>
      </c>
      <c r="G2047" t="s">
        <v>3890</v>
      </c>
      <c r="H2047" t="s">
        <v>2308</v>
      </c>
      <c r="I2047" t="s">
        <v>5862</v>
      </c>
      <c r="J2047">
        <v>1</v>
      </c>
      <c r="K2047">
        <v>-31.97</v>
      </c>
      <c r="L2047">
        <v>-26.57</v>
      </c>
      <c r="M2047">
        <v>-38.700000000000003</v>
      </c>
      <c r="N2047">
        <v>-37.520000000000003</v>
      </c>
      <c r="O2047">
        <v>-39.340000000000003</v>
      </c>
      <c r="P2047">
        <v>-38.21</v>
      </c>
      <c r="Q2047">
        <v>-38.520000000000003</v>
      </c>
      <c r="R2047">
        <v>-39.229999999999997</v>
      </c>
      <c r="S2047">
        <v>-39.94</v>
      </c>
      <c r="T2047">
        <v>-40.520000000000003</v>
      </c>
      <c r="U2047">
        <v>-41.25</v>
      </c>
      <c r="V2047">
        <v>-41.92</v>
      </c>
      <c r="W2047">
        <v>-42.48</v>
      </c>
      <c r="X2047">
        <v>-42.9</v>
      </c>
      <c r="Y2047">
        <v>-43.07</v>
      </c>
      <c r="Z2047">
        <v>-43.04</v>
      </c>
      <c r="AA2047">
        <v>-42.79</v>
      </c>
      <c r="AB2047">
        <v>-42.3</v>
      </c>
      <c r="AC2047">
        <v>-41.94</v>
      </c>
      <c r="AD2047">
        <v>-43.65</v>
      </c>
    </row>
    <row r="2048" spans="2:30" x14ac:dyDescent="0.25">
      <c r="B2048" t="s">
        <v>133</v>
      </c>
      <c r="C2048" t="s">
        <v>3261</v>
      </c>
      <c r="D2048" t="s">
        <v>5863</v>
      </c>
      <c r="E2048">
        <v>0</v>
      </c>
      <c r="F2048" t="s">
        <v>7877</v>
      </c>
      <c r="G2048" t="s">
        <v>3890</v>
      </c>
      <c r="H2048" t="s">
        <v>2308</v>
      </c>
      <c r="I2048" t="s">
        <v>5862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2:30" x14ac:dyDescent="0.25">
      <c r="B2049" t="s">
        <v>133</v>
      </c>
      <c r="C2049" t="s">
        <v>3261</v>
      </c>
      <c r="D2049" t="s">
        <v>5864</v>
      </c>
      <c r="E2049">
        <v>0</v>
      </c>
      <c r="F2049" t="s">
        <v>7877</v>
      </c>
      <c r="G2049" t="s">
        <v>3890</v>
      </c>
      <c r="H2049" t="s">
        <v>2308</v>
      </c>
      <c r="I2049" t="s">
        <v>5862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2:30" x14ac:dyDescent="0.25">
      <c r="B2050" t="s">
        <v>133</v>
      </c>
      <c r="C2050" t="s">
        <v>3261</v>
      </c>
      <c r="D2050" t="s">
        <v>5865</v>
      </c>
      <c r="E2050">
        <v>0</v>
      </c>
      <c r="F2050" t="s">
        <v>7877</v>
      </c>
      <c r="G2050" t="s">
        <v>3890</v>
      </c>
      <c r="H2050" t="s">
        <v>2308</v>
      </c>
      <c r="I2050" t="s">
        <v>5862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2:30" x14ac:dyDescent="0.25">
      <c r="B2051" t="s">
        <v>133</v>
      </c>
      <c r="C2051" t="s">
        <v>3261</v>
      </c>
      <c r="D2051" t="s">
        <v>5866</v>
      </c>
      <c r="E2051">
        <v>0</v>
      </c>
      <c r="F2051" t="s">
        <v>7877</v>
      </c>
      <c r="G2051" t="s">
        <v>3890</v>
      </c>
      <c r="H2051" t="s">
        <v>2308</v>
      </c>
      <c r="I2051" t="s">
        <v>5862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 s="130">
        <v>0</v>
      </c>
      <c r="X2051" s="130">
        <v>0</v>
      </c>
      <c r="Y2051" s="130">
        <v>0</v>
      </c>
      <c r="Z2051" s="130">
        <v>0</v>
      </c>
      <c r="AA2051" s="130">
        <v>0</v>
      </c>
      <c r="AB2051" s="130">
        <v>0</v>
      </c>
      <c r="AC2051" s="130">
        <v>0</v>
      </c>
      <c r="AD2051" s="130">
        <v>0</v>
      </c>
    </row>
    <row r="2052" spans="2:30" x14ac:dyDescent="0.25">
      <c r="B2052" t="s">
        <v>133</v>
      </c>
      <c r="C2052" t="s">
        <v>3261</v>
      </c>
      <c r="D2052" t="s">
        <v>5867</v>
      </c>
      <c r="E2052">
        <v>0</v>
      </c>
      <c r="F2052" t="s">
        <v>7877</v>
      </c>
      <c r="G2052" t="s">
        <v>3890</v>
      </c>
      <c r="H2052" t="s">
        <v>2308</v>
      </c>
      <c r="I2052" t="s">
        <v>5862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 s="130">
        <v>0</v>
      </c>
      <c r="X2052" s="130">
        <v>0</v>
      </c>
      <c r="Y2052" s="130">
        <v>0</v>
      </c>
      <c r="Z2052" s="130">
        <v>0</v>
      </c>
      <c r="AA2052" s="130">
        <v>0</v>
      </c>
      <c r="AB2052" s="130">
        <v>0</v>
      </c>
      <c r="AC2052" s="130">
        <v>0</v>
      </c>
      <c r="AD2052" s="130">
        <v>0</v>
      </c>
    </row>
    <row r="2053" spans="2:30" x14ac:dyDescent="0.25">
      <c r="B2053" t="s">
        <v>133</v>
      </c>
      <c r="C2053" t="s">
        <v>3261</v>
      </c>
      <c r="D2053" t="s">
        <v>5868</v>
      </c>
      <c r="E2053">
        <v>0</v>
      </c>
      <c r="F2053" t="s">
        <v>7877</v>
      </c>
      <c r="G2053" t="s">
        <v>3890</v>
      </c>
      <c r="H2053" t="s">
        <v>2308</v>
      </c>
      <c r="I2053" t="s">
        <v>5862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2:30" x14ac:dyDescent="0.25">
      <c r="B2054" t="s">
        <v>133</v>
      </c>
      <c r="C2054" t="s">
        <v>3261</v>
      </c>
      <c r="D2054" t="s">
        <v>3442</v>
      </c>
      <c r="E2054" t="s">
        <v>3443</v>
      </c>
      <c r="F2054" t="s">
        <v>7375</v>
      </c>
      <c r="G2054" t="s">
        <v>3890</v>
      </c>
      <c r="H2054" t="s">
        <v>2308</v>
      </c>
      <c r="I2054" t="s">
        <v>5862</v>
      </c>
      <c r="J2054">
        <v>2</v>
      </c>
      <c r="K2054">
        <v>-31.97</v>
      </c>
      <c r="L2054">
        <v>-26.57</v>
      </c>
      <c r="M2054">
        <v>-38.700000000000003</v>
      </c>
      <c r="N2054">
        <v>-37.520000000000003</v>
      </c>
      <c r="O2054">
        <v>-39.340000000000003</v>
      </c>
      <c r="P2054">
        <v>-38.21</v>
      </c>
      <c r="Q2054">
        <v>-37.08</v>
      </c>
      <c r="R2054">
        <v>-35.1</v>
      </c>
      <c r="S2054">
        <v>-33.51</v>
      </c>
      <c r="T2054">
        <v>-31.76</v>
      </c>
      <c r="U2054">
        <v>-30.31</v>
      </c>
      <c r="V2054">
        <v>-28.77</v>
      </c>
      <c r="W2054">
        <v>-27.1</v>
      </c>
      <c r="X2054">
        <v>-25.22</v>
      </c>
      <c r="Y2054">
        <v>-23</v>
      </c>
      <c r="Z2054">
        <v>-20.440000000000001</v>
      </c>
      <c r="AA2054">
        <v>-17.46</v>
      </c>
      <c r="AB2054">
        <v>-13.99</v>
      </c>
      <c r="AC2054">
        <v>-10.33</v>
      </c>
      <c r="AD2054">
        <v>-8.5299999999999994</v>
      </c>
    </row>
    <row r="2055" spans="2:30" x14ac:dyDescent="0.25">
      <c r="B2055" t="s">
        <v>133</v>
      </c>
      <c r="C2055" t="s">
        <v>3261</v>
      </c>
      <c r="D2055" t="s">
        <v>3399</v>
      </c>
      <c r="E2055" t="s">
        <v>3401</v>
      </c>
      <c r="F2055" t="s">
        <v>7970</v>
      </c>
      <c r="G2055" t="s">
        <v>3890</v>
      </c>
      <c r="H2055" t="s">
        <v>2308</v>
      </c>
      <c r="I2055" t="s">
        <v>5862</v>
      </c>
      <c r="J2055">
        <v>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2:30" x14ac:dyDescent="0.25">
      <c r="B2056" t="s">
        <v>133</v>
      </c>
      <c r="C2056" t="s">
        <v>3261</v>
      </c>
      <c r="D2056" t="s">
        <v>3424</v>
      </c>
      <c r="E2056" t="s">
        <v>3425</v>
      </c>
      <c r="F2056" t="s">
        <v>7971</v>
      </c>
      <c r="G2056" t="s">
        <v>3890</v>
      </c>
      <c r="H2056" t="s">
        <v>2308</v>
      </c>
      <c r="I2056" t="s">
        <v>5862</v>
      </c>
      <c r="J2056">
        <v>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2:30" x14ac:dyDescent="0.25">
      <c r="B2057" t="s">
        <v>133</v>
      </c>
      <c r="C2057" t="s">
        <v>3261</v>
      </c>
      <c r="D2057" t="s">
        <v>3430</v>
      </c>
      <c r="E2057" t="s">
        <v>3431</v>
      </c>
      <c r="F2057" t="s">
        <v>7972</v>
      </c>
      <c r="G2057" t="s">
        <v>3890</v>
      </c>
      <c r="H2057" t="s">
        <v>2308</v>
      </c>
      <c r="I2057" t="s">
        <v>5862</v>
      </c>
      <c r="J2057">
        <v>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2:30" x14ac:dyDescent="0.25">
      <c r="B2058" t="s">
        <v>133</v>
      </c>
      <c r="C2058" t="s">
        <v>3261</v>
      </c>
      <c r="D2058" t="s">
        <v>3412</v>
      </c>
      <c r="E2058" t="s">
        <v>3413</v>
      </c>
      <c r="F2058" t="s">
        <v>7973</v>
      </c>
      <c r="G2058" t="s">
        <v>3890</v>
      </c>
      <c r="H2058" t="s">
        <v>2308</v>
      </c>
      <c r="I2058" t="s">
        <v>5862</v>
      </c>
      <c r="J2058">
        <v>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2:30" x14ac:dyDescent="0.25">
      <c r="B2059" t="s">
        <v>133</v>
      </c>
      <c r="C2059" t="s">
        <v>3261</v>
      </c>
      <c r="D2059" t="s">
        <v>3406</v>
      </c>
      <c r="E2059" t="s">
        <v>3407</v>
      </c>
      <c r="F2059" t="s">
        <v>7974</v>
      </c>
      <c r="G2059" t="s">
        <v>3890</v>
      </c>
      <c r="H2059" t="s">
        <v>2308</v>
      </c>
      <c r="I2059" t="s">
        <v>5862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2:30" x14ac:dyDescent="0.25">
      <c r="B2060" t="s">
        <v>133</v>
      </c>
      <c r="C2060" t="s">
        <v>3261</v>
      </c>
      <c r="D2060" t="s">
        <v>3418</v>
      </c>
      <c r="E2060" t="s">
        <v>3419</v>
      </c>
      <c r="F2060" t="s">
        <v>7975</v>
      </c>
      <c r="G2060" t="s">
        <v>3890</v>
      </c>
      <c r="H2060" t="s">
        <v>2308</v>
      </c>
      <c r="I2060" t="s">
        <v>5862</v>
      </c>
      <c r="J2060">
        <v>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2:30" x14ac:dyDescent="0.25">
      <c r="B2061" t="s">
        <v>133</v>
      </c>
      <c r="C2061" t="s">
        <v>3261</v>
      </c>
      <c r="D2061" t="s">
        <v>5875</v>
      </c>
      <c r="E2061" t="s">
        <v>5876</v>
      </c>
      <c r="F2061" t="s">
        <v>7976</v>
      </c>
      <c r="G2061" t="s">
        <v>3890</v>
      </c>
      <c r="H2061" t="s">
        <v>2308</v>
      </c>
      <c r="I2061" t="s">
        <v>5862</v>
      </c>
      <c r="J2061">
        <v>1</v>
      </c>
      <c r="K2061">
        <v>-31.97</v>
      </c>
      <c r="L2061">
        <v>-26.57</v>
      </c>
      <c r="M2061">
        <v>-38.700000000000003</v>
      </c>
      <c r="N2061">
        <v>-37.520000000000003</v>
      </c>
      <c r="O2061">
        <v>-39.340000000000003</v>
      </c>
      <c r="P2061">
        <v>-38.21</v>
      </c>
      <c r="Q2061">
        <v>-38.520000000000003</v>
      </c>
      <c r="R2061">
        <v>-39.229999999999997</v>
      </c>
      <c r="S2061">
        <v>-39.94</v>
      </c>
      <c r="T2061">
        <v>-40.520000000000003</v>
      </c>
      <c r="U2061">
        <v>-41.25</v>
      </c>
      <c r="V2061">
        <v>-41.92</v>
      </c>
      <c r="W2061">
        <v>-42.48</v>
      </c>
      <c r="X2061">
        <v>-42.9</v>
      </c>
      <c r="Y2061">
        <v>-43.07</v>
      </c>
      <c r="Z2061">
        <v>-43.04</v>
      </c>
      <c r="AA2061">
        <v>-42.79</v>
      </c>
      <c r="AB2061">
        <v>-42.3</v>
      </c>
      <c r="AC2061">
        <v>-41.94</v>
      </c>
      <c r="AD2061">
        <v>-43.65</v>
      </c>
    </row>
    <row r="2062" spans="2:30" x14ac:dyDescent="0.25">
      <c r="B2062" t="s">
        <v>133</v>
      </c>
      <c r="C2062" t="s">
        <v>3261</v>
      </c>
      <c r="D2062" t="s">
        <v>5878</v>
      </c>
      <c r="E2062" t="s">
        <v>5879</v>
      </c>
      <c r="F2062" t="s">
        <v>7977</v>
      </c>
      <c r="G2062" t="s">
        <v>3890</v>
      </c>
      <c r="H2062" t="s">
        <v>2308</v>
      </c>
      <c r="I2062" t="s">
        <v>5862</v>
      </c>
      <c r="J2062">
        <v>1</v>
      </c>
      <c r="K2062">
        <v>0.02</v>
      </c>
      <c r="L2062">
        <v>0.01</v>
      </c>
      <c r="M2062">
        <v>0.01</v>
      </c>
      <c r="N2062">
        <v>0.01</v>
      </c>
      <c r="O2062">
        <v>0.01</v>
      </c>
      <c r="P2062">
        <v>0.01</v>
      </c>
      <c r="Q2062">
        <v>0.01</v>
      </c>
      <c r="R2062">
        <v>0.02</v>
      </c>
      <c r="S2062">
        <v>0.02</v>
      </c>
      <c r="T2062">
        <v>0.02</v>
      </c>
      <c r="U2062">
        <v>0.02</v>
      </c>
      <c r="V2062">
        <v>0.02</v>
      </c>
      <c r="W2062">
        <v>0.02</v>
      </c>
      <c r="X2062">
        <v>0.02</v>
      </c>
      <c r="Y2062">
        <v>0.02</v>
      </c>
      <c r="Z2062">
        <v>0.02</v>
      </c>
      <c r="AA2062">
        <v>0.02</v>
      </c>
      <c r="AB2062">
        <v>0.02</v>
      </c>
      <c r="AC2062">
        <v>0.02</v>
      </c>
      <c r="AD2062">
        <v>0.02</v>
      </c>
    </row>
    <row r="2063" spans="2:30" x14ac:dyDescent="0.25">
      <c r="B2063" t="s">
        <v>133</v>
      </c>
      <c r="C2063" t="s">
        <v>3261</v>
      </c>
      <c r="D2063" t="s">
        <v>5881</v>
      </c>
      <c r="E2063" t="s">
        <v>5882</v>
      </c>
      <c r="F2063" t="s">
        <v>7978</v>
      </c>
      <c r="G2063" t="s">
        <v>3890</v>
      </c>
      <c r="H2063" t="s">
        <v>2308</v>
      </c>
      <c r="I2063" t="s">
        <v>5862</v>
      </c>
      <c r="J2063">
        <v>1</v>
      </c>
      <c r="K2063">
        <v>-15.07</v>
      </c>
      <c r="L2063">
        <v>-11.09</v>
      </c>
      <c r="M2063">
        <v>-12</v>
      </c>
      <c r="N2063">
        <v>-12.4</v>
      </c>
      <c r="O2063">
        <v>-12.32</v>
      </c>
      <c r="P2063">
        <v>-12.09</v>
      </c>
      <c r="Q2063">
        <v>-12.16</v>
      </c>
      <c r="R2063">
        <v>-12.42</v>
      </c>
      <c r="S2063">
        <v>-12.72</v>
      </c>
      <c r="T2063">
        <v>-13.04</v>
      </c>
      <c r="U2063">
        <v>-13.4</v>
      </c>
      <c r="V2063">
        <v>-13.8</v>
      </c>
      <c r="W2063">
        <v>-14.24</v>
      </c>
      <c r="X2063">
        <v>-14.73</v>
      </c>
      <c r="Y2063">
        <v>-15.27</v>
      </c>
      <c r="Z2063">
        <v>-15.89</v>
      </c>
      <c r="AA2063">
        <v>-16.579999999999998</v>
      </c>
      <c r="AB2063">
        <v>-17.36</v>
      </c>
      <c r="AC2063">
        <v>-18.260000000000002</v>
      </c>
      <c r="AD2063">
        <v>-19.170000000000002</v>
      </c>
    </row>
    <row r="2064" spans="2:30" x14ac:dyDescent="0.25">
      <c r="B2064" t="s">
        <v>133</v>
      </c>
      <c r="C2064" t="s">
        <v>3261</v>
      </c>
      <c r="D2064" t="s">
        <v>5884</v>
      </c>
      <c r="E2064" t="s">
        <v>5885</v>
      </c>
      <c r="F2064" t="s">
        <v>7979</v>
      </c>
      <c r="G2064" t="s">
        <v>3890</v>
      </c>
      <c r="H2064" t="s">
        <v>2308</v>
      </c>
      <c r="I2064" t="s">
        <v>5862</v>
      </c>
      <c r="J2064">
        <v>1</v>
      </c>
      <c r="K2064">
        <v>-4.13</v>
      </c>
      <c r="L2064">
        <v>-3.27</v>
      </c>
      <c r="M2064">
        <v>-3.44</v>
      </c>
      <c r="N2064">
        <v>-4.3899999999999997</v>
      </c>
      <c r="O2064">
        <v>-4.4000000000000004</v>
      </c>
      <c r="P2064">
        <v>-4.42</v>
      </c>
      <c r="Q2064">
        <v>-4.45</v>
      </c>
      <c r="R2064">
        <v>-4.4800000000000004</v>
      </c>
      <c r="S2064">
        <v>-4.51</v>
      </c>
      <c r="T2064">
        <v>-4.54</v>
      </c>
      <c r="U2064">
        <v>-4.57</v>
      </c>
      <c r="V2064">
        <v>-4.6100000000000003</v>
      </c>
      <c r="W2064">
        <v>-4.6500000000000004</v>
      </c>
      <c r="X2064">
        <v>-4.6900000000000004</v>
      </c>
      <c r="Y2064">
        <v>-4.74</v>
      </c>
      <c r="Z2064">
        <v>-4.8</v>
      </c>
      <c r="AA2064">
        <v>-4.8499999999999996</v>
      </c>
      <c r="AB2064">
        <v>-4.91</v>
      </c>
      <c r="AC2064">
        <v>-4.9800000000000004</v>
      </c>
      <c r="AD2064">
        <v>-5.05</v>
      </c>
    </row>
    <row r="2065" spans="2:30" x14ac:dyDescent="0.25">
      <c r="B2065" t="s">
        <v>133</v>
      </c>
      <c r="C2065" t="s">
        <v>3261</v>
      </c>
      <c r="D2065" t="s">
        <v>5887</v>
      </c>
      <c r="E2065" t="s">
        <v>5888</v>
      </c>
      <c r="F2065" t="s">
        <v>7980</v>
      </c>
      <c r="G2065" t="s">
        <v>3890</v>
      </c>
      <c r="H2065" t="s">
        <v>2308</v>
      </c>
      <c r="I2065" t="s">
        <v>5862</v>
      </c>
      <c r="J2065">
        <v>1</v>
      </c>
      <c r="K2065">
        <v>-3.22</v>
      </c>
      <c r="L2065">
        <v>-3.49</v>
      </c>
      <c r="M2065">
        <v>-3.59</v>
      </c>
      <c r="N2065">
        <v>-2.72</v>
      </c>
      <c r="O2065">
        <v>-2.98</v>
      </c>
      <c r="P2065">
        <v>-2.92</v>
      </c>
      <c r="Q2065">
        <v>-3.09</v>
      </c>
      <c r="R2065">
        <v>-3.32</v>
      </c>
      <c r="S2065">
        <v>-3.61</v>
      </c>
      <c r="T2065">
        <v>-3.94</v>
      </c>
      <c r="U2065">
        <v>-4.3600000000000003</v>
      </c>
      <c r="V2065">
        <v>-4.8</v>
      </c>
      <c r="W2065">
        <v>-5.28</v>
      </c>
      <c r="X2065">
        <v>-5.78</v>
      </c>
      <c r="Y2065">
        <v>-6.3</v>
      </c>
      <c r="Z2065">
        <v>-6.85</v>
      </c>
      <c r="AA2065">
        <v>-7.42</v>
      </c>
      <c r="AB2065">
        <v>-8.01</v>
      </c>
      <c r="AC2065">
        <v>-8.6300000000000008</v>
      </c>
      <c r="AD2065">
        <v>-9.26</v>
      </c>
    </row>
    <row r="2066" spans="2:30" x14ac:dyDescent="0.25">
      <c r="B2066" t="s">
        <v>133</v>
      </c>
      <c r="C2066" t="s">
        <v>3261</v>
      </c>
      <c r="D2066" t="s">
        <v>5890</v>
      </c>
      <c r="E2066" t="s">
        <v>5891</v>
      </c>
      <c r="F2066" t="s">
        <v>7981</v>
      </c>
      <c r="G2066" t="s">
        <v>3890</v>
      </c>
      <c r="H2066" t="s">
        <v>2308</v>
      </c>
      <c r="I2066" t="s">
        <v>5862</v>
      </c>
      <c r="J2066">
        <v>1</v>
      </c>
      <c r="K2066">
        <v>-11.33</v>
      </c>
      <c r="L2066">
        <v>-10.43</v>
      </c>
      <c r="M2066">
        <v>-10.38</v>
      </c>
      <c r="N2066">
        <v>-8.4</v>
      </c>
      <c r="O2066">
        <v>-9.2799999999999994</v>
      </c>
      <c r="P2066">
        <v>-9.01</v>
      </c>
      <c r="Q2066">
        <v>-9.35</v>
      </c>
      <c r="R2066">
        <v>-9.82</v>
      </c>
      <c r="S2066">
        <v>-10.38</v>
      </c>
      <c r="T2066">
        <v>-11.03</v>
      </c>
      <c r="U2066">
        <v>-11.88</v>
      </c>
      <c r="V2066">
        <v>-12.78</v>
      </c>
      <c r="W2066">
        <v>-13.74</v>
      </c>
      <c r="X2066">
        <v>-14.75</v>
      </c>
      <c r="Y2066">
        <v>-15.8</v>
      </c>
      <c r="Z2066">
        <v>-16.899999999999999</v>
      </c>
      <c r="AA2066">
        <v>-18.05</v>
      </c>
      <c r="AB2066">
        <v>-19.260000000000002</v>
      </c>
      <c r="AC2066">
        <v>-20.52</v>
      </c>
      <c r="AD2066">
        <v>-21.84</v>
      </c>
    </row>
    <row r="2067" spans="2:30" x14ac:dyDescent="0.25">
      <c r="B2067" t="s">
        <v>133</v>
      </c>
      <c r="C2067" t="s">
        <v>3261</v>
      </c>
      <c r="D2067" t="s">
        <v>5893</v>
      </c>
      <c r="E2067" t="s">
        <v>5894</v>
      </c>
      <c r="F2067" t="s">
        <v>7982</v>
      </c>
      <c r="G2067" t="s">
        <v>3890</v>
      </c>
      <c r="H2067" t="s">
        <v>2308</v>
      </c>
      <c r="I2067" t="s">
        <v>5862</v>
      </c>
      <c r="J2067">
        <v>1</v>
      </c>
      <c r="K2067">
        <v>-4.34</v>
      </c>
      <c r="L2067">
        <v>-4.6900000000000004</v>
      </c>
      <c r="M2067">
        <v>-5.41</v>
      </c>
      <c r="N2067">
        <v>-4.8</v>
      </c>
      <c r="O2067">
        <v>-5.12</v>
      </c>
      <c r="P2067">
        <v>-4.9400000000000004</v>
      </c>
      <c r="Q2067">
        <v>-5</v>
      </c>
      <c r="R2067">
        <v>-5.0999999999999996</v>
      </c>
      <c r="S2067">
        <v>-5.19</v>
      </c>
      <c r="T2067">
        <v>-5.27</v>
      </c>
      <c r="U2067">
        <v>-5.41</v>
      </c>
      <c r="V2067">
        <v>-5.54</v>
      </c>
      <c r="W2067">
        <v>-5.68</v>
      </c>
      <c r="X2067" s="169">
        <v>-5.82</v>
      </c>
      <c r="Y2067" s="169">
        <v>-5.96</v>
      </c>
      <c r="Z2067" s="169">
        <v>-6.1</v>
      </c>
      <c r="AA2067" s="169">
        <v>-6.25</v>
      </c>
      <c r="AB2067" s="169">
        <v>-6.39</v>
      </c>
      <c r="AC2067" s="169">
        <v>-6.54</v>
      </c>
      <c r="AD2067" s="169">
        <v>-6.69</v>
      </c>
    </row>
    <row r="2068" spans="2:30" x14ac:dyDescent="0.25">
      <c r="B2068" t="s">
        <v>133</v>
      </c>
      <c r="C2068" t="s">
        <v>3261</v>
      </c>
      <c r="D2068" t="s">
        <v>5896</v>
      </c>
      <c r="E2068" t="s">
        <v>5897</v>
      </c>
      <c r="F2068" t="s">
        <v>7983</v>
      </c>
      <c r="G2068" t="s">
        <v>3890</v>
      </c>
      <c r="H2068" t="s">
        <v>5899</v>
      </c>
      <c r="I2068" t="s">
        <v>5862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 s="169">
        <v>0</v>
      </c>
      <c r="Y2068" s="169">
        <v>0</v>
      </c>
      <c r="Z2068" s="169">
        <v>0</v>
      </c>
      <c r="AA2068" s="169">
        <v>0</v>
      </c>
      <c r="AB2068" s="169">
        <v>0</v>
      </c>
      <c r="AC2068" s="169">
        <v>0</v>
      </c>
      <c r="AD2068" s="169">
        <v>0</v>
      </c>
    </row>
    <row r="2069" spans="2:30" x14ac:dyDescent="0.25">
      <c r="B2069" t="s">
        <v>133</v>
      </c>
      <c r="C2069" t="s">
        <v>3261</v>
      </c>
      <c r="D2069" t="s">
        <v>5900</v>
      </c>
      <c r="E2069" t="s">
        <v>5901</v>
      </c>
      <c r="F2069" t="s">
        <v>7984</v>
      </c>
      <c r="G2069" t="s">
        <v>3890</v>
      </c>
      <c r="H2069" t="s">
        <v>2308</v>
      </c>
      <c r="I2069" t="s">
        <v>5862</v>
      </c>
      <c r="J2069">
        <v>1</v>
      </c>
      <c r="K2069">
        <v>0.14000000000000001</v>
      </c>
      <c r="L2069">
        <v>0.08</v>
      </c>
      <c r="M2069">
        <v>-10.34</v>
      </c>
      <c r="N2069">
        <v>-11.45</v>
      </c>
      <c r="O2069">
        <v>-12.05</v>
      </c>
      <c r="P2069">
        <v>-12.24</v>
      </c>
      <c r="Q2069">
        <v>-12.58</v>
      </c>
      <c r="R2069">
        <v>-13.02</v>
      </c>
      <c r="S2069">
        <v>-13.46</v>
      </c>
      <c r="T2069">
        <v>-13.91</v>
      </c>
      <c r="U2069">
        <v>-14.35</v>
      </c>
      <c r="V2069">
        <v>-14.8</v>
      </c>
      <c r="W2069">
        <v>-15.26</v>
      </c>
      <c r="X2069">
        <v>-15.72</v>
      </c>
      <c r="Y2069">
        <v>-16.2</v>
      </c>
      <c r="Z2069">
        <v>-16.68</v>
      </c>
      <c r="AA2069">
        <v>-17.170000000000002</v>
      </c>
      <c r="AB2069">
        <v>-17.670000000000002</v>
      </c>
      <c r="AC2069">
        <v>-18.170000000000002</v>
      </c>
      <c r="AD2069">
        <v>-18.690000000000001</v>
      </c>
    </row>
    <row r="2070" spans="2:30" x14ac:dyDescent="0.25">
      <c r="B2070" t="s">
        <v>133</v>
      </c>
      <c r="C2070" t="s">
        <v>3261</v>
      </c>
      <c r="D2070" t="s">
        <v>5903</v>
      </c>
      <c r="E2070" t="s">
        <v>5904</v>
      </c>
      <c r="F2070" t="s">
        <v>7985</v>
      </c>
      <c r="G2070" t="s">
        <v>3890</v>
      </c>
      <c r="H2070" t="s">
        <v>2308</v>
      </c>
      <c r="I2070" t="s">
        <v>5862</v>
      </c>
      <c r="J2070">
        <v>2</v>
      </c>
      <c r="K2070">
        <v>-31.97</v>
      </c>
      <c r="L2070">
        <v>-26.57</v>
      </c>
      <c r="M2070">
        <v>-38.700000000000003</v>
      </c>
      <c r="N2070">
        <v>-37.520000000000003</v>
      </c>
      <c r="O2070">
        <v>-39.340000000000003</v>
      </c>
      <c r="P2070">
        <v>-38.21</v>
      </c>
      <c r="Q2070">
        <v>-37.08</v>
      </c>
      <c r="R2070">
        <v>-35.1</v>
      </c>
      <c r="S2070">
        <v>-33.51</v>
      </c>
      <c r="T2070">
        <v>-31.76</v>
      </c>
      <c r="U2070">
        <v>-30.31</v>
      </c>
      <c r="V2070">
        <v>-28.77</v>
      </c>
      <c r="W2070">
        <v>-27.1</v>
      </c>
      <c r="X2070">
        <v>-25.22</v>
      </c>
      <c r="Y2070">
        <v>-23</v>
      </c>
      <c r="Z2070">
        <v>-20.440000000000001</v>
      </c>
      <c r="AA2070">
        <v>-17.46</v>
      </c>
      <c r="AB2070">
        <v>-13.99</v>
      </c>
      <c r="AC2070">
        <v>-10.33</v>
      </c>
      <c r="AD2070">
        <v>-8.5299999999999994</v>
      </c>
    </row>
    <row r="2071" spans="2:30" x14ac:dyDescent="0.25">
      <c r="B2071" t="s">
        <v>133</v>
      </c>
      <c r="C2071" t="s">
        <v>3261</v>
      </c>
      <c r="D2071" t="s">
        <v>5906</v>
      </c>
      <c r="E2071" t="s">
        <v>5907</v>
      </c>
      <c r="F2071" t="s">
        <v>7986</v>
      </c>
      <c r="G2071" t="s">
        <v>3890</v>
      </c>
      <c r="H2071" t="s">
        <v>2308</v>
      </c>
      <c r="I2071" t="s">
        <v>5862</v>
      </c>
      <c r="J2071">
        <v>2</v>
      </c>
      <c r="K2071">
        <v>0.02</v>
      </c>
      <c r="L2071">
        <v>0.01</v>
      </c>
      <c r="M2071">
        <v>0.01</v>
      </c>
      <c r="N2071">
        <v>0.01</v>
      </c>
      <c r="O2071">
        <v>0.01</v>
      </c>
      <c r="P2071">
        <v>0.01</v>
      </c>
      <c r="Q2071">
        <v>0.01</v>
      </c>
      <c r="R2071">
        <v>0.02</v>
      </c>
      <c r="S2071">
        <v>0.02</v>
      </c>
      <c r="T2071">
        <v>0.02</v>
      </c>
      <c r="U2071">
        <v>0.02</v>
      </c>
      <c r="V2071">
        <v>0.02</v>
      </c>
      <c r="W2071">
        <v>0.02</v>
      </c>
      <c r="X2071">
        <v>0.02</v>
      </c>
      <c r="Y2071">
        <v>0.02</v>
      </c>
      <c r="Z2071">
        <v>0.02</v>
      </c>
      <c r="AA2071">
        <v>0.02</v>
      </c>
      <c r="AB2071">
        <v>0.02</v>
      </c>
      <c r="AC2071">
        <v>0.02</v>
      </c>
      <c r="AD2071">
        <v>0.02</v>
      </c>
    </row>
    <row r="2072" spans="2:30" x14ac:dyDescent="0.25">
      <c r="B2072" t="s">
        <v>133</v>
      </c>
      <c r="C2072" t="s">
        <v>3261</v>
      </c>
      <c r="D2072" t="s">
        <v>5909</v>
      </c>
      <c r="E2072" t="s">
        <v>5910</v>
      </c>
      <c r="F2072" t="s">
        <v>7987</v>
      </c>
      <c r="G2072" t="s">
        <v>3890</v>
      </c>
      <c r="H2072" t="s">
        <v>2308</v>
      </c>
      <c r="I2072" t="s">
        <v>5862</v>
      </c>
      <c r="J2072">
        <v>2</v>
      </c>
      <c r="K2072">
        <v>-15.07</v>
      </c>
      <c r="L2072">
        <v>-11.09</v>
      </c>
      <c r="M2072">
        <v>-12</v>
      </c>
      <c r="N2072">
        <v>-12.4</v>
      </c>
      <c r="O2072">
        <v>-12.32</v>
      </c>
      <c r="P2072">
        <v>-12.09</v>
      </c>
      <c r="Q2072">
        <v>-12.16</v>
      </c>
      <c r="R2072">
        <v>-11.77</v>
      </c>
      <c r="S2072">
        <v>-11.74</v>
      </c>
      <c r="T2072">
        <v>-11.7</v>
      </c>
      <c r="U2072">
        <v>-11.78</v>
      </c>
      <c r="V2072">
        <v>-11.88</v>
      </c>
      <c r="W2072">
        <v>-12.03</v>
      </c>
      <c r="X2072">
        <v>-12.23</v>
      </c>
      <c r="Y2072">
        <v>-12.48</v>
      </c>
      <c r="Z2072">
        <v>-12.79</v>
      </c>
      <c r="AA2072">
        <v>-13.17</v>
      </c>
      <c r="AB2072">
        <v>-13.63</v>
      </c>
      <c r="AC2072">
        <v>-14.16</v>
      </c>
      <c r="AD2072">
        <v>-14.71</v>
      </c>
    </row>
    <row r="2073" spans="2:30" x14ac:dyDescent="0.25">
      <c r="B2073" t="s">
        <v>133</v>
      </c>
      <c r="C2073" t="s">
        <v>3261</v>
      </c>
      <c r="D2073" t="s">
        <v>5912</v>
      </c>
      <c r="E2073" t="s">
        <v>5913</v>
      </c>
      <c r="F2073" t="s">
        <v>7988</v>
      </c>
      <c r="G2073" t="s">
        <v>3890</v>
      </c>
      <c r="H2073" t="s">
        <v>2308</v>
      </c>
      <c r="I2073" t="s">
        <v>5862</v>
      </c>
      <c r="J2073">
        <v>2</v>
      </c>
      <c r="K2073">
        <v>-4.13</v>
      </c>
      <c r="L2073">
        <v>-3.27</v>
      </c>
      <c r="M2073">
        <v>-3.44</v>
      </c>
      <c r="N2073">
        <v>-4.3899999999999997</v>
      </c>
      <c r="O2073">
        <v>-4.4000000000000004</v>
      </c>
      <c r="P2073">
        <v>-4.42</v>
      </c>
      <c r="Q2073">
        <v>-4.45</v>
      </c>
      <c r="R2073">
        <v>-4.4800000000000004</v>
      </c>
      <c r="S2073">
        <v>-4.5</v>
      </c>
      <c r="T2073">
        <v>-4.5199999999999996</v>
      </c>
      <c r="U2073">
        <v>-4.54</v>
      </c>
      <c r="V2073">
        <v>-4.57</v>
      </c>
      <c r="W2073">
        <v>-4.5999999999999996</v>
      </c>
      <c r="X2073">
        <v>-4.6399999999999997</v>
      </c>
      <c r="Y2073">
        <v>-4.68</v>
      </c>
      <c r="Z2073">
        <v>-4.7300000000000004</v>
      </c>
      <c r="AA2073">
        <v>-4.78</v>
      </c>
      <c r="AB2073">
        <v>-4.84</v>
      </c>
      <c r="AC2073">
        <v>-4.91</v>
      </c>
      <c r="AD2073">
        <v>-4.99</v>
      </c>
    </row>
    <row r="2074" spans="2:30" x14ac:dyDescent="0.25">
      <c r="B2074" t="s">
        <v>133</v>
      </c>
      <c r="C2074" t="s">
        <v>3261</v>
      </c>
      <c r="D2074" t="s">
        <v>5915</v>
      </c>
      <c r="E2074" t="s">
        <v>5916</v>
      </c>
      <c r="F2074" t="s">
        <v>7989</v>
      </c>
      <c r="G2074" t="s">
        <v>3890</v>
      </c>
      <c r="H2074" t="s">
        <v>2308</v>
      </c>
      <c r="I2074" t="s">
        <v>5862</v>
      </c>
      <c r="J2074">
        <v>2</v>
      </c>
      <c r="K2074">
        <v>-3.22</v>
      </c>
      <c r="L2074">
        <v>-3.49</v>
      </c>
      <c r="M2074">
        <v>-3.59</v>
      </c>
      <c r="N2074">
        <v>-2.72</v>
      </c>
      <c r="O2074">
        <v>-2.98</v>
      </c>
      <c r="P2074">
        <v>-2.92</v>
      </c>
      <c r="Q2074">
        <v>-3.09</v>
      </c>
      <c r="R2074">
        <v>-3.32</v>
      </c>
      <c r="S2074">
        <v>-3.61</v>
      </c>
      <c r="T2074">
        <v>-3.94</v>
      </c>
      <c r="U2074">
        <v>-4.3600000000000003</v>
      </c>
      <c r="V2074">
        <v>-4.8099999999999996</v>
      </c>
      <c r="W2074">
        <v>-5.29</v>
      </c>
      <c r="X2074">
        <v>-5.8</v>
      </c>
      <c r="Y2074">
        <v>-6.33</v>
      </c>
      <c r="Z2074">
        <v>-6.89</v>
      </c>
      <c r="AA2074">
        <v>-7.47</v>
      </c>
      <c r="AB2074">
        <v>-8.09</v>
      </c>
      <c r="AC2074">
        <v>-8.73</v>
      </c>
      <c r="AD2074">
        <v>-9.39</v>
      </c>
    </row>
    <row r="2075" spans="2:30" x14ac:dyDescent="0.25">
      <c r="B2075" t="s">
        <v>133</v>
      </c>
      <c r="C2075" t="s">
        <v>3261</v>
      </c>
      <c r="D2075" t="s">
        <v>5918</v>
      </c>
      <c r="E2075" t="s">
        <v>5919</v>
      </c>
      <c r="F2075" t="s">
        <v>7990</v>
      </c>
      <c r="G2075" t="s">
        <v>3890</v>
      </c>
      <c r="H2075" t="s">
        <v>2308</v>
      </c>
      <c r="I2075" t="s">
        <v>5862</v>
      </c>
      <c r="J2075">
        <v>2</v>
      </c>
      <c r="K2075">
        <v>-11.33</v>
      </c>
      <c r="L2075">
        <v>-10.43</v>
      </c>
      <c r="M2075">
        <v>-10.38</v>
      </c>
      <c r="N2075">
        <v>-8.4</v>
      </c>
      <c r="O2075">
        <v>-9.2799999999999994</v>
      </c>
      <c r="P2075">
        <v>-9.01</v>
      </c>
      <c r="Q2075">
        <v>-9.35</v>
      </c>
      <c r="R2075">
        <v>-9.82</v>
      </c>
      <c r="S2075">
        <v>-10.38</v>
      </c>
      <c r="T2075">
        <v>-11.03</v>
      </c>
      <c r="U2075">
        <v>-11.88</v>
      </c>
      <c r="V2075">
        <v>-12.79</v>
      </c>
      <c r="W2075">
        <v>-13.76</v>
      </c>
      <c r="X2075">
        <v>-14.78</v>
      </c>
      <c r="Y2075">
        <v>-15.86</v>
      </c>
      <c r="Z2075">
        <v>-17.010000000000002</v>
      </c>
      <c r="AA2075">
        <v>-18.22</v>
      </c>
      <c r="AB2075">
        <v>-19.5</v>
      </c>
      <c r="AC2075">
        <v>-20.86</v>
      </c>
      <c r="AD2075">
        <v>-22.28</v>
      </c>
    </row>
    <row r="2076" spans="2:30" x14ac:dyDescent="0.25">
      <c r="B2076" t="s">
        <v>133</v>
      </c>
      <c r="C2076" t="s">
        <v>3261</v>
      </c>
      <c r="D2076" t="s">
        <v>5921</v>
      </c>
      <c r="E2076" t="s">
        <v>5922</v>
      </c>
      <c r="F2076" t="s">
        <v>7991</v>
      </c>
      <c r="G2076" t="s">
        <v>3890</v>
      </c>
      <c r="H2076" t="s">
        <v>2308</v>
      </c>
      <c r="I2076" t="s">
        <v>5862</v>
      </c>
      <c r="J2076">
        <v>2</v>
      </c>
      <c r="K2076">
        <v>-4.34</v>
      </c>
      <c r="L2076">
        <v>-4.6900000000000004</v>
      </c>
      <c r="M2076">
        <v>-5.41</v>
      </c>
      <c r="N2076">
        <v>-4.8</v>
      </c>
      <c r="O2076">
        <v>-5.12</v>
      </c>
      <c r="P2076">
        <v>-4.9400000000000004</v>
      </c>
      <c r="Q2076">
        <v>-5</v>
      </c>
      <c r="R2076">
        <v>-5.0999999999999996</v>
      </c>
      <c r="S2076">
        <v>-5.19</v>
      </c>
      <c r="T2076">
        <v>-5.27</v>
      </c>
      <c r="U2076">
        <v>-5.41</v>
      </c>
      <c r="V2076">
        <v>-5.54</v>
      </c>
      <c r="W2076">
        <v>-5.68</v>
      </c>
      <c r="X2076">
        <v>-5.82</v>
      </c>
      <c r="Y2076">
        <v>-5.96</v>
      </c>
      <c r="Z2076">
        <v>-6.11</v>
      </c>
      <c r="AA2076">
        <v>-6.26</v>
      </c>
      <c r="AB2076">
        <v>-6.42</v>
      </c>
      <c r="AC2076">
        <v>-6.59</v>
      </c>
      <c r="AD2076">
        <v>-6.77</v>
      </c>
    </row>
    <row r="2077" spans="2:30" x14ac:dyDescent="0.25">
      <c r="B2077" t="s">
        <v>133</v>
      </c>
      <c r="C2077" t="s">
        <v>3261</v>
      </c>
      <c r="D2077" t="s">
        <v>5924</v>
      </c>
      <c r="E2077" t="s">
        <v>5925</v>
      </c>
      <c r="F2077" t="s">
        <v>7992</v>
      </c>
      <c r="G2077" t="s">
        <v>3890</v>
      </c>
      <c r="H2077" t="s">
        <v>5899</v>
      </c>
      <c r="I2077" t="s">
        <v>5862</v>
      </c>
      <c r="J2077">
        <v>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2:30" x14ac:dyDescent="0.25">
      <c r="B2078" t="s">
        <v>133</v>
      </c>
      <c r="C2078" t="s">
        <v>3261</v>
      </c>
      <c r="D2078" t="s">
        <v>5927</v>
      </c>
      <c r="E2078" t="s">
        <v>5928</v>
      </c>
      <c r="F2078" t="s">
        <v>7993</v>
      </c>
      <c r="G2078" t="s">
        <v>3890</v>
      </c>
      <c r="H2078" t="s">
        <v>2308</v>
      </c>
      <c r="I2078" t="s">
        <v>5862</v>
      </c>
      <c r="J2078">
        <v>2</v>
      </c>
      <c r="K2078">
        <v>0.14000000000000001</v>
      </c>
      <c r="L2078">
        <v>0.08</v>
      </c>
      <c r="M2078">
        <v>-10.34</v>
      </c>
      <c r="N2078">
        <v>-11.45</v>
      </c>
      <c r="O2078">
        <v>-12.05</v>
      </c>
      <c r="P2078">
        <v>-12.24</v>
      </c>
      <c r="Q2078">
        <v>-11.15</v>
      </c>
      <c r="R2078">
        <v>-9.5399999999999991</v>
      </c>
      <c r="S2078">
        <v>-8.02</v>
      </c>
      <c r="T2078">
        <v>-6.51</v>
      </c>
      <c r="U2078">
        <v>-5.05</v>
      </c>
      <c r="V2078">
        <v>-3.6</v>
      </c>
      <c r="W2078">
        <v>-2.11</v>
      </c>
      <c r="X2078">
        <v>-0.56000000000000005</v>
      </c>
      <c r="Y2078">
        <v>1.0900000000000001</v>
      </c>
      <c r="Z2078">
        <v>2.88</v>
      </c>
      <c r="AA2078">
        <v>4.8600000000000003</v>
      </c>
      <c r="AB2078">
        <v>7.08</v>
      </c>
      <c r="AC2078">
        <v>9.6</v>
      </c>
      <c r="AD2078">
        <v>12.39</v>
      </c>
    </row>
    <row r="2079" spans="2:30" x14ac:dyDescent="0.25">
      <c r="B2079" t="s">
        <v>133</v>
      </c>
      <c r="C2079" t="s">
        <v>3261</v>
      </c>
      <c r="D2079" t="s">
        <v>5930</v>
      </c>
      <c r="E2079" t="s">
        <v>5931</v>
      </c>
      <c r="F2079" t="s">
        <v>7994</v>
      </c>
      <c r="G2079" t="s">
        <v>5933</v>
      </c>
      <c r="H2079" t="s">
        <v>5934</v>
      </c>
      <c r="J2079">
        <v>1</v>
      </c>
      <c r="K2079">
        <v>55.675159999999998</v>
      </c>
      <c r="L2079">
        <v>55.377510000000001</v>
      </c>
      <c r="M2079">
        <v>56.988480000000003</v>
      </c>
      <c r="N2079">
        <v>59.04712</v>
      </c>
      <c r="O2079">
        <v>59.183799999999998</v>
      </c>
      <c r="P2079">
        <v>59.514490000000002</v>
      </c>
      <c r="Q2079">
        <v>59.95505</v>
      </c>
      <c r="R2079">
        <v>60.429819999999999</v>
      </c>
      <c r="S2079">
        <v>60.96405</v>
      </c>
      <c r="T2079">
        <v>61.59111</v>
      </c>
      <c r="U2079">
        <v>62.275260000000003</v>
      </c>
      <c r="V2079">
        <v>63.016210000000001</v>
      </c>
      <c r="W2079">
        <v>63.806130000000003</v>
      </c>
      <c r="X2079">
        <v>64.647210000000001</v>
      </c>
      <c r="Y2079">
        <v>65.536709999999999</v>
      </c>
      <c r="Z2079">
        <v>66.480680000000007</v>
      </c>
      <c r="AA2079">
        <v>67.480549999999994</v>
      </c>
      <c r="AB2079">
        <v>68.539810000000003</v>
      </c>
      <c r="AC2079">
        <v>69.662480000000002</v>
      </c>
      <c r="AD2079">
        <v>0</v>
      </c>
    </row>
    <row r="2080" spans="2:30" x14ac:dyDescent="0.25">
      <c r="B2080" t="s">
        <v>133</v>
      </c>
      <c r="C2080" t="s">
        <v>3261</v>
      </c>
      <c r="D2080" t="s">
        <v>5935</v>
      </c>
      <c r="E2080" t="s">
        <v>5936</v>
      </c>
      <c r="F2080" t="s">
        <v>7995</v>
      </c>
      <c r="G2080" t="s">
        <v>5933</v>
      </c>
      <c r="H2080" t="s">
        <v>5934</v>
      </c>
      <c r="J2080">
        <v>1</v>
      </c>
      <c r="K2080">
        <v>40.588149999999999</v>
      </c>
      <c r="L2080">
        <v>40.290489999999998</v>
      </c>
      <c r="M2080">
        <v>41.901470000000003</v>
      </c>
      <c r="N2080">
        <v>43.96011</v>
      </c>
      <c r="O2080">
        <v>44.096780000000003</v>
      </c>
      <c r="P2080">
        <v>44.427480000000003</v>
      </c>
      <c r="Q2080">
        <v>44.868029999999997</v>
      </c>
      <c r="R2080">
        <v>45.34281</v>
      </c>
      <c r="S2080">
        <v>45.877040000000001</v>
      </c>
      <c r="T2080">
        <v>46.504100000000001</v>
      </c>
      <c r="U2080">
        <v>47.188249999999996</v>
      </c>
      <c r="V2080">
        <v>47.929200000000002</v>
      </c>
      <c r="W2080">
        <v>48.719119999999997</v>
      </c>
      <c r="X2080">
        <v>49.560200000000002</v>
      </c>
      <c r="Y2080">
        <v>50.4497</v>
      </c>
      <c r="Z2080">
        <v>51.39367</v>
      </c>
      <c r="AA2080">
        <v>52.393540000000002</v>
      </c>
      <c r="AB2080">
        <v>53.452800000000003</v>
      </c>
      <c r="AC2080">
        <v>54.57546</v>
      </c>
      <c r="AD2080">
        <v>0</v>
      </c>
    </row>
    <row r="2081" spans="2:30" x14ac:dyDescent="0.25">
      <c r="B2081" t="s">
        <v>133</v>
      </c>
      <c r="C2081" t="s">
        <v>3261</v>
      </c>
      <c r="D2081" t="s">
        <v>5938</v>
      </c>
      <c r="E2081" t="s">
        <v>5939</v>
      </c>
      <c r="F2081" t="s">
        <v>7996</v>
      </c>
      <c r="G2081" t="s">
        <v>5933</v>
      </c>
      <c r="H2081" t="s">
        <v>5934</v>
      </c>
      <c r="J2081">
        <v>2</v>
      </c>
      <c r="K2081">
        <v>55.675159999999998</v>
      </c>
      <c r="L2081">
        <v>55.377510000000001</v>
      </c>
      <c r="M2081">
        <v>56.988480000000003</v>
      </c>
      <c r="N2081">
        <v>59.04712</v>
      </c>
      <c r="O2081">
        <v>59.183799999999998</v>
      </c>
      <c r="P2081">
        <v>59.514490000000002</v>
      </c>
      <c r="Q2081">
        <v>59.95505</v>
      </c>
      <c r="R2081">
        <v>60.332689999999999</v>
      </c>
      <c r="S2081">
        <v>60.790970000000002</v>
      </c>
      <c r="T2081">
        <v>61.337989999999998</v>
      </c>
      <c r="U2081">
        <v>61.955030000000001</v>
      </c>
      <c r="V2081">
        <v>62.630270000000003</v>
      </c>
      <c r="W2081">
        <v>63.363140000000001</v>
      </c>
      <c r="X2081">
        <v>64.155249999999995</v>
      </c>
      <c r="Y2081">
        <v>65.00703</v>
      </c>
      <c r="Z2081">
        <v>65.926580000000001</v>
      </c>
      <c r="AA2081">
        <v>66.917659999999998</v>
      </c>
      <c r="AB2081">
        <v>67.984219999999993</v>
      </c>
      <c r="AC2081">
        <v>69.128280000000004</v>
      </c>
      <c r="AD2081">
        <v>0</v>
      </c>
    </row>
    <row r="2082" spans="2:30" x14ac:dyDescent="0.25">
      <c r="B2082" t="s">
        <v>133</v>
      </c>
      <c r="C2082" t="s">
        <v>3261</v>
      </c>
      <c r="D2082" t="s">
        <v>5941</v>
      </c>
      <c r="E2082" t="s">
        <v>5942</v>
      </c>
      <c r="F2082" t="s">
        <v>7997</v>
      </c>
      <c r="G2082" t="s">
        <v>5933</v>
      </c>
      <c r="H2082" t="s">
        <v>5934</v>
      </c>
      <c r="J2082">
        <v>2</v>
      </c>
      <c r="K2082">
        <v>40.588149999999999</v>
      </c>
      <c r="L2082">
        <v>40.290489999999998</v>
      </c>
      <c r="M2082">
        <v>41.901470000000003</v>
      </c>
      <c r="N2082">
        <v>43.96011</v>
      </c>
      <c r="O2082">
        <v>44.096780000000003</v>
      </c>
      <c r="P2082">
        <v>44.427480000000003</v>
      </c>
      <c r="Q2082">
        <v>44.868029999999997</v>
      </c>
      <c r="R2082">
        <v>45.24568</v>
      </c>
      <c r="S2082">
        <v>45.703960000000002</v>
      </c>
      <c r="T2082">
        <v>46.250979999999998</v>
      </c>
      <c r="U2082">
        <v>46.868020000000001</v>
      </c>
      <c r="V2082">
        <v>47.54325</v>
      </c>
      <c r="W2082">
        <v>48.276130000000002</v>
      </c>
      <c r="X2082">
        <v>49.068240000000003</v>
      </c>
      <c r="Y2082">
        <v>49.920020000000001</v>
      </c>
      <c r="Z2082">
        <v>50.839570000000002</v>
      </c>
      <c r="AA2082">
        <v>51.830649999999999</v>
      </c>
      <c r="AB2082">
        <v>52.897210000000001</v>
      </c>
      <c r="AC2082">
        <v>54.041269999999997</v>
      </c>
      <c r="AD2082">
        <v>0</v>
      </c>
    </row>
    <row r="2083" spans="2:30" x14ac:dyDescent="0.25">
      <c r="B2083" t="s">
        <v>133</v>
      </c>
      <c r="C2083" t="s">
        <v>3261</v>
      </c>
      <c r="D2083" t="s">
        <v>5944</v>
      </c>
      <c r="E2083" t="s">
        <v>5945</v>
      </c>
      <c r="F2083" t="s">
        <v>7998</v>
      </c>
      <c r="G2083" t="s">
        <v>5933</v>
      </c>
      <c r="H2083" t="s">
        <v>5947</v>
      </c>
      <c r="J2083">
        <v>1</v>
      </c>
      <c r="K2083">
        <v>19.333559917072691</v>
      </c>
      <c r="L2083">
        <v>19.035908162986296</v>
      </c>
      <c r="M2083">
        <v>20.64688325424239</v>
      </c>
      <c r="N2083">
        <v>22.705522340023506</v>
      </c>
      <c r="O2083">
        <v>22.842196744002308</v>
      </c>
      <c r="P2083">
        <v>23.172890167193536</v>
      </c>
      <c r="Q2083">
        <v>23.613447984677876</v>
      </c>
      <c r="R2083">
        <v>24.088218814612986</v>
      </c>
      <c r="S2083">
        <v>24.622452293537222</v>
      </c>
      <c r="T2083">
        <v>25.249511498462113</v>
      </c>
      <c r="U2083">
        <v>25.933661137275138</v>
      </c>
      <c r="V2083">
        <v>26.674609558698691</v>
      </c>
      <c r="W2083">
        <v>27.464533908745196</v>
      </c>
      <c r="X2083">
        <v>28.305609070078532</v>
      </c>
      <c r="Y2083">
        <v>29.195110120869714</v>
      </c>
      <c r="Z2083">
        <v>30.139084343684203</v>
      </c>
      <c r="AA2083">
        <v>31.13895369613823</v>
      </c>
      <c r="AB2083">
        <v>32.198214068528657</v>
      </c>
      <c r="AC2083">
        <v>33.320877493426366</v>
      </c>
      <c r="AD2083">
        <v>0</v>
      </c>
    </row>
    <row r="2084" spans="2:30" x14ac:dyDescent="0.25">
      <c r="B2084" t="s">
        <v>133</v>
      </c>
      <c r="C2084" t="s">
        <v>3261</v>
      </c>
      <c r="D2084" t="s">
        <v>5948</v>
      </c>
      <c r="E2084" t="s">
        <v>5949</v>
      </c>
      <c r="F2084" t="s">
        <v>7999</v>
      </c>
      <c r="G2084" t="s">
        <v>5933</v>
      </c>
      <c r="H2084" t="s">
        <v>5951</v>
      </c>
      <c r="J2084">
        <v>1</v>
      </c>
      <c r="K2084">
        <v>54.858705649999997</v>
      </c>
    </row>
    <row r="2085" spans="2:30" x14ac:dyDescent="0.25">
      <c r="B2085" t="s">
        <v>133</v>
      </c>
      <c r="C2085" t="s">
        <v>3261</v>
      </c>
      <c r="D2085" t="s">
        <v>5952</v>
      </c>
      <c r="E2085" t="s">
        <v>5953</v>
      </c>
      <c r="F2085" t="s">
        <v>8000</v>
      </c>
      <c r="G2085" t="s">
        <v>5955</v>
      </c>
      <c r="H2085" t="s">
        <v>5956</v>
      </c>
      <c r="K2085">
        <v>5</v>
      </c>
      <c r="L2085">
        <v>5</v>
      </c>
      <c r="M2085">
        <v>5</v>
      </c>
      <c r="N2085">
        <v>5</v>
      </c>
      <c r="O2085">
        <v>5</v>
      </c>
      <c r="P2085">
        <v>5</v>
      </c>
      <c r="Q2085">
        <v>5</v>
      </c>
      <c r="R2085">
        <v>5</v>
      </c>
      <c r="S2085">
        <v>5</v>
      </c>
      <c r="T2085">
        <v>5</v>
      </c>
      <c r="U2085">
        <v>5</v>
      </c>
      <c r="V2085">
        <v>5</v>
      </c>
      <c r="W2085">
        <v>5</v>
      </c>
      <c r="X2085">
        <v>5</v>
      </c>
      <c r="Y2085">
        <v>5</v>
      </c>
      <c r="Z2085">
        <v>5</v>
      </c>
      <c r="AA2085">
        <v>5</v>
      </c>
      <c r="AB2085">
        <v>5</v>
      </c>
      <c r="AC2085">
        <v>5</v>
      </c>
      <c r="AD2085">
        <v>0</v>
      </c>
    </row>
    <row r="2086" spans="2:30" x14ac:dyDescent="0.25">
      <c r="B2086" t="s">
        <v>133</v>
      </c>
      <c r="C2086" t="s">
        <v>3261</v>
      </c>
      <c r="D2086" t="s">
        <v>5957</v>
      </c>
      <c r="E2086" t="s">
        <v>5958</v>
      </c>
      <c r="F2086" t="s">
        <v>8001</v>
      </c>
      <c r="G2086" t="s">
        <v>5933</v>
      </c>
      <c r="H2086" t="s">
        <v>5960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5</v>
      </c>
      <c r="S2086">
        <v>12</v>
      </c>
      <c r="T2086">
        <v>22</v>
      </c>
      <c r="U2086">
        <v>34</v>
      </c>
      <c r="V2086">
        <v>49</v>
      </c>
      <c r="W2086">
        <v>65</v>
      </c>
      <c r="X2086">
        <v>82</v>
      </c>
      <c r="Y2086">
        <v>100</v>
      </c>
      <c r="Z2086">
        <v>118</v>
      </c>
      <c r="AA2086">
        <v>134</v>
      </c>
      <c r="AB2086">
        <v>149</v>
      </c>
      <c r="AC2086">
        <v>161</v>
      </c>
      <c r="AD2086">
        <v>0</v>
      </c>
    </row>
    <row r="2087" spans="2:30" x14ac:dyDescent="0.25">
      <c r="B2087" t="s">
        <v>133</v>
      </c>
      <c r="C2087" t="s">
        <v>3261</v>
      </c>
      <c r="D2087" t="s">
        <v>5961</v>
      </c>
      <c r="E2087" t="s">
        <v>5962</v>
      </c>
      <c r="F2087" t="s">
        <v>8002</v>
      </c>
      <c r="G2087" t="s">
        <v>5933</v>
      </c>
      <c r="H2087" t="s">
        <v>5960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81</v>
      </c>
      <c r="S2087">
        <v>228</v>
      </c>
      <c r="T2087">
        <v>445</v>
      </c>
      <c r="U2087">
        <v>723</v>
      </c>
      <c r="V2087">
        <v>1063</v>
      </c>
      <c r="W2087">
        <v>1458</v>
      </c>
      <c r="X2087">
        <v>1901</v>
      </c>
      <c r="Y2087">
        <v>2384</v>
      </c>
      <c r="Z2087">
        <v>2895</v>
      </c>
      <c r="AA2087">
        <v>3420</v>
      </c>
      <c r="AB2087">
        <v>3944</v>
      </c>
      <c r="AC2087">
        <v>4454</v>
      </c>
      <c r="AD2087">
        <v>0</v>
      </c>
    </row>
    <row r="2088" spans="2:30" x14ac:dyDescent="0.25">
      <c r="B2088" t="s">
        <v>133</v>
      </c>
      <c r="C2088" t="s">
        <v>3261</v>
      </c>
      <c r="D2088" t="s">
        <v>5964</v>
      </c>
      <c r="E2088" t="s">
        <v>5965</v>
      </c>
      <c r="F2088" t="s">
        <v>8003</v>
      </c>
      <c r="G2088" t="s">
        <v>5933</v>
      </c>
      <c r="H2088" t="s">
        <v>5960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-1</v>
      </c>
      <c r="W2088">
        <v>-1</v>
      </c>
      <c r="X2088">
        <v>-1</v>
      </c>
      <c r="Y2088">
        <v>-1</v>
      </c>
      <c r="Z2088">
        <v>-2</v>
      </c>
      <c r="AA2088">
        <v>-2</v>
      </c>
      <c r="AB2088">
        <v>-2</v>
      </c>
      <c r="AC2088">
        <v>-3</v>
      </c>
      <c r="AD2088">
        <v>0</v>
      </c>
    </row>
    <row r="2089" spans="2:30" x14ac:dyDescent="0.25">
      <c r="B2089" t="s">
        <v>133</v>
      </c>
      <c r="C2089" t="s">
        <v>3261</v>
      </c>
      <c r="D2089" t="s">
        <v>3279</v>
      </c>
      <c r="E2089" t="s">
        <v>3281</v>
      </c>
      <c r="F2089" t="s">
        <v>8004</v>
      </c>
      <c r="G2089" t="s">
        <v>5933</v>
      </c>
      <c r="H2089" t="s">
        <v>5960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86</v>
      </c>
      <c r="S2089">
        <v>240</v>
      </c>
      <c r="T2089">
        <v>467</v>
      </c>
      <c r="U2089">
        <v>757</v>
      </c>
      <c r="V2089">
        <v>1111</v>
      </c>
      <c r="W2089">
        <v>1521</v>
      </c>
      <c r="X2089">
        <v>1982</v>
      </c>
      <c r="Y2089">
        <v>2482</v>
      </c>
      <c r="Z2089">
        <v>3011</v>
      </c>
      <c r="AA2089">
        <v>3553</v>
      </c>
      <c r="AB2089">
        <v>4091</v>
      </c>
      <c r="AC2089">
        <v>4612</v>
      </c>
      <c r="AD2089">
        <v>0</v>
      </c>
    </row>
    <row r="2090" spans="2:30" x14ac:dyDescent="0.25">
      <c r="B2090" t="s">
        <v>133</v>
      </c>
      <c r="C2090" t="s">
        <v>3261</v>
      </c>
      <c r="D2090" t="s">
        <v>3257</v>
      </c>
      <c r="E2090" t="s">
        <v>3259</v>
      </c>
      <c r="F2090" t="s">
        <v>8005</v>
      </c>
      <c r="G2090" t="s">
        <v>5933</v>
      </c>
      <c r="H2090" t="s">
        <v>5969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29</v>
      </c>
      <c r="S2090">
        <v>52</v>
      </c>
      <c r="T2090">
        <v>76</v>
      </c>
      <c r="U2090">
        <v>97</v>
      </c>
      <c r="V2090">
        <v>119</v>
      </c>
      <c r="W2090">
        <v>138</v>
      </c>
      <c r="X2090">
        <v>155</v>
      </c>
      <c r="Y2090">
        <v>168</v>
      </c>
      <c r="Z2090">
        <v>177</v>
      </c>
      <c r="AA2090">
        <v>182</v>
      </c>
      <c r="AB2090">
        <v>181</v>
      </c>
      <c r="AC2090">
        <v>175</v>
      </c>
      <c r="AD2090">
        <v>0</v>
      </c>
    </row>
    <row r="2091" spans="2:30" x14ac:dyDescent="0.25">
      <c r="B2091" t="s">
        <v>133</v>
      </c>
      <c r="C2091" t="s">
        <v>3261</v>
      </c>
      <c r="D2091" t="s">
        <v>3267</v>
      </c>
      <c r="E2091" t="s">
        <v>3268</v>
      </c>
      <c r="F2091" t="s">
        <v>8006</v>
      </c>
      <c r="G2091" t="s">
        <v>5933</v>
      </c>
      <c r="H2091" t="s">
        <v>5969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53</v>
      </c>
      <c r="S2091">
        <v>95</v>
      </c>
      <c r="T2091">
        <v>140</v>
      </c>
      <c r="U2091">
        <v>178</v>
      </c>
      <c r="V2091">
        <v>217</v>
      </c>
      <c r="W2091">
        <v>252</v>
      </c>
      <c r="X2091">
        <v>283</v>
      </c>
      <c r="Y2091">
        <v>307</v>
      </c>
      <c r="Z2091">
        <v>324</v>
      </c>
      <c r="AA2091">
        <v>332</v>
      </c>
      <c r="AB2091">
        <v>330</v>
      </c>
      <c r="AC2091">
        <v>319</v>
      </c>
      <c r="AD2091">
        <v>0</v>
      </c>
    </row>
    <row r="2092" spans="2:30" x14ac:dyDescent="0.25">
      <c r="B2092" t="s">
        <v>133</v>
      </c>
      <c r="C2092" t="s">
        <v>3261</v>
      </c>
      <c r="D2092" t="s">
        <v>3273</v>
      </c>
      <c r="E2092" t="s">
        <v>3274</v>
      </c>
      <c r="F2092" t="s">
        <v>8007</v>
      </c>
      <c r="G2092" t="s">
        <v>5933</v>
      </c>
      <c r="H2092" t="s">
        <v>5969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4</v>
      </c>
      <c r="S2092">
        <v>8</v>
      </c>
      <c r="T2092">
        <v>11</v>
      </c>
      <c r="U2092">
        <v>15</v>
      </c>
      <c r="V2092">
        <v>18</v>
      </c>
      <c r="W2092">
        <v>21</v>
      </c>
      <c r="X2092">
        <v>23</v>
      </c>
      <c r="Y2092">
        <v>25</v>
      </c>
      <c r="Z2092">
        <v>27</v>
      </c>
      <c r="AA2092">
        <v>28</v>
      </c>
      <c r="AB2092">
        <v>28</v>
      </c>
      <c r="AC2092">
        <v>27</v>
      </c>
      <c r="AD2092">
        <v>0</v>
      </c>
    </row>
    <row r="2093" spans="2:30" x14ac:dyDescent="0.25">
      <c r="B2093" t="s">
        <v>133</v>
      </c>
      <c r="C2093" t="s">
        <v>3261</v>
      </c>
      <c r="D2093" t="s">
        <v>5972</v>
      </c>
      <c r="E2093" t="s">
        <v>5973</v>
      </c>
      <c r="F2093" t="s">
        <v>8008</v>
      </c>
      <c r="G2093" t="s">
        <v>5933</v>
      </c>
      <c r="H2093" t="s">
        <v>5975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2353</v>
      </c>
      <c r="S2093">
        <v>4219</v>
      </c>
      <c r="T2093">
        <v>6235</v>
      </c>
      <c r="U2093">
        <v>7972</v>
      </c>
      <c r="V2093">
        <v>9715</v>
      </c>
      <c r="W2093">
        <v>11273</v>
      </c>
      <c r="X2093">
        <v>12652</v>
      </c>
      <c r="Y2093">
        <v>13761</v>
      </c>
      <c r="Z2093">
        <v>14536</v>
      </c>
      <c r="AA2093">
        <v>14899</v>
      </c>
      <c r="AB2093">
        <v>14823</v>
      </c>
      <c r="AC2093">
        <v>14348</v>
      </c>
      <c r="AD2093">
        <v>0</v>
      </c>
    </row>
    <row r="2094" spans="2:30" x14ac:dyDescent="0.25">
      <c r="B2094" t="s">
        <v>133</v>
      </c>
      <c r="C2094" t="s">
        <v>3261</v>
      </c>
      <c r="D2094" t="s">
        <v>5976</v>
      </c>
      <c r="E2094" t="s">
        <v>5977</v>
      </c>
      <c r="F2094" t="s">
        <v>8009</v>
      </c>
      <c r="G2094" t="s">
        <v>5933</v>
      </c>
      <c r="H2094" t="s">
        <v>5979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147</v>
      </c>
      <c r="S2094">
        <v>254</v>
      </c>
      <c r="T2094">
        <v>370</v>
      </c>
      <c r="U2094">
        <v>469</v>
      </c>
      <c r="V2094">
        <v>569</v>
      </c>
      <c r="W2094">
        <v>656</v>
      </c>
      <c r="X2094">
        <v>732</v>
      </c>
      <c r="Y2094">
        <v>790</v>
      </c>
      <c r="Z2094">
        <v>826</v>
      </c>
      <c r="AA2094">
        <v>837</v>
      </c>
      <c r="AB2094">
        <v>819</v>
      </c>
      <c r="AC2094">
        <v>776</v>
      </c>
      <c r="AD2094">
        <v>0</v>
      </c>
    </row>
    <row r="2095" spans="2:30" x14ac:dyDescent="0.25">
      <c r="B2095" t="s">
        <v>133</v>
      </c>
      <c r="C2095" t="s">
        <v>3261</v>
      </c>
      <c r="D2095" t="s">
        <v>3286</v>
      </c>
      <c r="E2095" t="s">
        <v>3287</v>
      </c>
      <c r="F2095" t="s">
        <v>8010</v>
      </c>
      <c r="G2095" t="s">
        <v>5933</v>
      </c>
      <c r="H2095" t="s">
        <v>5981</v>
      </c>
      <c r="K2095">
        <v>64271.06</v>
      </c>
      <c r="L2095">
        <v>64979.96</v>
      </c>
      <c r="M2095">
        <v>68421.149999999994</v>
      </c>
      <c r="N2095">
        <v>71670.740000000005</v>
      </c>
      <c r="O2095">
        <v>72909.149999999994</v>
      </c>
      <c r="P2095">
        <v>74388.63</v>
      </c>
      <c r="Q2095">
        <v>76016.42</v>
      </c>
      <c r="R2095">
        <v>77603.44</v>
      </c>
      <c r="S2095">
        <v>79239.92</v>
      </c>
      <c r="T2095">
        <v>80986.69</v>
      </c>
      <c r="U2095">
        <v>82813.039999999994</v>
      </c>
      <c r="V2095">
        <v>84720.65</v>
      </c>
      <c r="W2095">
        <v>86706.47</v>
      </c>
      <c r="X2095">
        <v>88769.93</v>
      </c>
      <c r="Y2095">
        <v>90911.14</v>
      </c>
      <c r="Z2095">
        <v>93138.28</v>
      </c>
      <c r="AA2095">
        <v>95450.880000000005</v>
      </c>
      <c r="AB2095">
        <v>97853.2</v>
      </c>
      <c r="AC2095">
        <v>100344.64</v>
      </c>
      <c r="AD2095">
        <v>0</v>
      </c>
    </row>
    <row r="2096" spans="2:30" x14ac:dyDescent="0.25">
      <c r="B2096" t="s">
        <v>133</v>
      </c>
      <c r="C2096" t="s">
        <v>3261</v>
      </c>
      <c r="D2096" t="s">
        <v>5982</v>
      </c>
      <c r="E2096" t="s">
        <v>5983</v>
      </c>
      <c r="F2096" t="s">
        <v>8011</v>
      </c>
      <c r="G2096" t="s">
        <v>5933</v>
      </c>
      <c r="H2096" t="s">
        <v>5985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  <c r="W2096" t="e">
        <v>#N/A</v>
      </c>
      <c r="X2096" t="e">
        <v>#N/A</v>
      </c>
      <c r="Y2096" t="e">
        <v>#N/A</v>
      </c>
      <c r="Z2096" t="e">
        <v>#N/A</v>
      </c>
      <c r="AA2096" t="e">
        <v>#N/A</v>
      </c>
      <c r="AB2096" t="e">
        <v>#N/A</v>
      </c>
      <c r="AC2096" t="e">
        <v>#N/A</v>
      </c>
      <c r="AD2096">
        <v>0</v>
      </c>
    </row>
    <row r="2097" spans="2:30" x14ac:dyDescent="0.25">
      <c r="B2097" t="s">
        <v>133</v>
      </c>
      <c r="C2097" t="s">
        <v>3261</v>
      </c>
      <c r="D2097" t="s">
        <v>5986</v>
      </c>
      <c r="E2097" t="s">
        <v>5987</v>
      </c>
      <c r="F2097" t="s">
        <v>8012</v>
      </c>
      <c r="G2097" t="s">
        <v>5933</v>
      </c>
      <c r="H2097" t="s">
        <v>5985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  <c r="W2097" t="e">
        <v>#N/A</v>
      </c>
      <c r="X2097" t="e">
        <v>#N/A</v>
      </c>
      <c r="Y2097" t="e">
        <v>#N/A</v>
      </c>
      <c r="Z2097" t="e">
        <v>#N/A</v>
      </c>
      <c r="AA2097" t="e">
        <v>#N/A</v>
      </c>
      <c r="AB2097" t="e">
        <v>#N/A</v>
      </c>
      <c r="AC2097" t="e">
        <v>#N/A</v>
      </c>
      <c r="AD2097">
        <v>0</v>
      </c>
    </row>
    <row r="2098" spans="2:30" x14ac:dyDescent="0.25">
      <c r="B2098" t="s">
        <v>133</v>
      </c>
      <c r="C2098" t="s">
        <v>3261</v>
      </c>
      <c r="D2098" t="s">
        <v>5989</v>
      </c>
      <c r="E2098" t="s">
        <v>5990</v>
      </c>
      <c r="F2098" t="s">
        <v>8013</v>
      </c>
      <c r="G2098" t="s">
        <v>5933</v>
      </c>
      <c r="H2098" t="s">
        <v>5985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  <c r="W2098" t="e">
        <v>#N/A</v>
      </c>
      <c r="X2098" t="e">
        <v>#N/A</v>
      </c>
      <c r="Y2098" t="e">
        <v>#N/A</v>
      </c>
      <c r="Z2098" t="e">
        <v>#N/A</v>
      </c>
      <c r="AA2098" t="e">
        <v>#N/A</v>
      </c>
      <c r="AB2098" t="e">
        <v>#N/A</v>
      </c>
      <c r="AC2098" t="e">
        <v>#N/A</v>
      </c>
      <c r="AD2098">
        <v>0</v>
      </c>
    </row>
    <row r="2099" spans="2:30" x14ac:dyDescent="0.25">
      <c r="B2099" t="s">
        <v>133</v>
      </c>
      <c r="C2099" t="s">
        <v>3261</v>
      </c>
      <c r="D2099" t="s">
        <v>5992</v>
      </c>
      <c r="E2099" t="s">
        <v>5993</v>
      </c>
      <c r="F2099" t="s">
        <v>8014</v>
      </c>
      <c r="G2099" t="s">
        <v>5933</v>
      </c>
      <c r="H2099" t="s">
        <v>5985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  <c r="W2099" t="e">
        <v>#N/A</v>
      </c>
      <c r="X2099" t="e">
        <v>#N/A</v>
      </c>
      <c r="Y2099" t="e">
        <v>#N/A</v>
      </c>
      <c r="Z2099" t="e">
        <v>#N/A</v>
      </c>
      <c r="AA2099" t="e">
        <v>#N/A</v>
      </c>
      <c r="AB2099" t="e">
        <v>#N/A</v>
      </c>
      <c r="AC2099" t="e">
        <v>#N/A</v>
      </c>
      <c r="AD2099">
        <v>0</v>
      </c>
    </row>
    <row r="2100" spans="2:30" x14ac:dyDescent="0.25">
      <c r="B2100" t="s">
        <v>133</v>
      </c>
      <c r="C2100" t="s">
        <v>3261</v>
      </c>
      <c r="D2100" t="s">
        <v>5995</v>
      </c>
      <c r="E2100" t="s">
        <v>5996</v>
      </c>
      <c r="F2100" t="s">
        <v>8015</v>
      </c>
      <c r="G2100" t="s">
        <v>5933</v>
      </c>
      <c r="H2100" t="s">
        <v>5985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  <c r="W2100" t="e">
        <v>#N/A</v>
      </c>
      <c r="X2100" t="e">
        <v>#N/A</v>
      </c>
      <c r="Y2100" t="e">
        <v>#N/A</v>
      </c>
      <c r="Z2100" t="e">
        <v>#N/A</v>
      </c>
      <c r="AA2100" t="e">
        <v>#N/A</v>
      </c>
      <c r="AB2100" t="e">
        <v>#N/A</v>
      </c>
      <c r="AC2100" t="e">
        <v>#N/A</v>
      </c>
      <c r="AD2100">
        <v>0</v>
      </c>
    </row>
    <row r="2101" spans="2:30" x14ac:dyDescent="0.25">
      <c r="B2101" t="s">
        <v>133</v>
      </c>
      <c r="C2101" t="s">
        <v>3261</v>
      </c>
      <c r="D2101" t="s">
        <v>5998</v>
      </c>
      <c r="E2101" t="s">
        <v>5999</v>
      </c>
      <c r="F2101" t="s">
        <v>8016</v>
      </c>
      <c r="G2101" t="s">
        <v>5933</v>
      </c>
      <c r="H2101" t="s">
        <v>5985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  <c r="W2101" t="e">
        <v>#N/A</v>
      </c>
      <c r="X2101" t="e">
        <v>#N/A</v>
      </c>
      <c r="Y2101" t="e">
        <v>#N/A</v>
      </c>
      <c r="Z2101" t="e">
        <v>#N/A</v>
      </c>
      <c r="AA2101" t="e">
        <v>#N/A</v>
      </c>
      <c r="AB2101" t="e">
        <v>#N/A</v>
      </c>
      <c r="AC2101" t="e">
        <v>#N/A</v>
      </c>
      <c r="AD2101">
        <v>0</v>
      </c>
    </row>
    <row r="2102" spans="2:30" x14ac:dyDescent="0.25">
      <c r="B2102" t="s">
        <v>133</v>
      </c>
      <c r="C2102" t="s">
        <v>3261</v>
      </c>
      <c r="D2102" t="s">
        <v>6001</v>
      </c>
      <c r="E2102" t="s">
        <v>6002</v>
      </c>
      <c r="F2102" t="s">
        <v>8017</v>
      </c>
      <c r="G2102" t="s">
        <v>5933</v>
      </c>
      <c r="H2102" t="s">
        <v>5985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  <c r="W2102" t="e">
        <v>#N/A</v>
      </c>
      <c r="X2102" t="e">
        <v>#N/A</v>
      </c>
      <c r="Y2102" t="e">
        <v>#N/A</v>
      </c>
      <c r="Z2102" t="e">
        <v>#N/A</v>
      </c>
      <c r="AA2102" t="e">
        <v>#N/A</v>
      </c>
      <c r="AB2102" t="e">
        <v>#N/A</v>
      </c>
      <c r="AC2102" t="e">
        <v>#N/A</v>
      </c>
      <c r="AD2102">
        <v>0</v>
      </c>
    </row>
    <row r="2103" spans="2:30" x14ac:dyDescent="0.25">
      <c r="B2103" t="s">
        <v>133</v>
      </c>
      <c r="C2103" t="s">
        <v>3261</v>
      </c>
      <c r="D2103" t="s">
        <v>6004</v>
      </c>
      <c r="E2103" t="s">
        <v>6005</v>
      </c>
      <c r="F2103" t="s">
        <v>8018</v>
      </c>
      <c r="G2103" t="s">
        <v>5933</v>
      </c>
      <c r="H2103" t="s">
        <v>5985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  <c r="W2103" t="e">
        <v>#N/A</v>
      </c>
      <c r="X2103" t="e">
        <v>#N/A</v>
      </c>
      <c r="Y2103" t="e">
        <v>#N/A</v>
      </c>
      <c r="Z2103" t="e">
        <v>#N/A</v>
      </c>
      <c r="AA2103" t="e">
        <v>#N/A</v>
      </c>
      <c r="AB2103" t="e">
        <v>#N/A</v>
      </c>
      <c r="AC2103" t="e">
        <v>#N/A</v>
      </c>
      <c r="AD2103">
        <v>0</v>
      </c>
    </row>
    <row r="2104" spans="2:30" x14ac:dyDescent="0.25">
      <c r="B2104" t="s">
        <v>133</v>
      </c>
      <c r="C2104" t="s">
        <v>3261</v>
      </c>
      <c r="D2104" t="s">
        <v>6007</v>
      </c>
      <c r="E2104" t="s">
        <v>6008</v>
      </c>
      <c r="F2104" t="s">
        <v>8019</v>
      </c>
      <c r="G2104" t="s">
        <v>5933</v>
      </c>
      <c r="H2104" t="s">
        <v>6010</v>
      </c>
      <c r="I2104" t="s">
        <v>6011</v>
      </c>
      <c r="K2104">
        <v>1.01</v>
      </c>
      <c r="L2104">
        <v>1.05</v>
      </c>
      <c r="M2104">
        <v>1.1000000000000001</v>
      </c>
      <c r="N2104">
        <v>1.18</v>
      </c>
      <c r="O2104">
        <v>1.24</v>
      </c>
      <c r="P2104">
        <v>1.3</v>
      </c>
      <c r="Q2104">
        <v>1.38</v>
      </c>
      <c r="R2104">
        <v>1.46</v>
      </c>
      <c r="S2104">
        <v>1.54</v>
      </c>
      <c r="T2104">
        <v>1.63</v>
      </c>
      <c r="U2104">
        <v>1.72</v>
      </c>
      <c r="V2104">
        <v>1.81</v>
      </c>
      <c r="W2104">
        <v>1.91</v>
      </c>
      <c r="X2104">
        <v>2.0099999999999998</v>
      </c>
      <c r="Y2104">
        <v>2.12</v>
      </c>
      <c r="Z2104">
        <v>2.2400000000000002</v>
      </c>
      <c r="AA2104">
        <v>2.36</v>
      </c>
      <c r="AB2104">
        <v>2.4900000000000002</v>
      </c>
      <c r="AC2104">
        <v>2.63</v>
      </c>
      <c r="AD2104">
        <v>0</v>
      </c>
    </row>
    <row r="2105" spans="2:30" x14ac:dyDescent="0.25">
      <c r="B2105" t="s">
        <v>133</v>
      </c>
      <c r="C2105" t="s">
        <v>3261</v>
      </c>
      <c r="D2105" t="s">
        <v>6012</v>
      </c>
      <c r="E2105" t="s">
        <v>6013</v>
      </c>
      <c r="F2105" t="s">
        <v>8020</v>
      </c>
      <c r="G2105" t="s">
        <v>5933</v>
      </c>
      <c r="H2105" t="s">
        <v>6010</v>
      </c>
      <c r="I2105" t="s">
        <v>6011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2:30" x14ac:dyDescent="0.25">
      <c r="B2106" t="s">
        <v>133</v>
      </c>
      <c r="C2106" t="s">
        <v>3261</v>
      </c>
      <c r="D2106" t="s">
        <v>6015</v>
      </c>
      <c r="E2106" t="s">
        <v>6016</v>
      </c>
      <c r="F2106" t="s">
        <v>8021</v>
      </c>
      <c r="G2106" t="s">
        <v>3890</v>
      </c>
      <c r="H2106" t="s">
        <v>6018</v>
      </c>
      <c r="I2106" t="s">
        <v>4267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2:30" x14ac:dyDescent="0.25">
      <c r="B2107" t="s">
        <v>133</v>
      </c>
      <c r="C2107" t="s">
        <v>3261</v>
      </c>
      <c r="D2107" t="s">
        <v>6019</v>
      </c>
      <c r="E2107" t="s">
        <v>6020</v>
      </c>
      <c r="F2107" t="s">
        <v>8022</v>
      </c>
      <c r="G2107" t="s">
        <v>3890</v>
      </c>
      <c r="H2107" t="s">
        <v>6018</v>
      </c>
      <c r="I2107" t="s">
        <v>4267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2:30" x14ac:dyDescent="0.25">
      <c r="B2108" t="s">
        <v>133</v>
      </c>
      <c r="C2108" t="s">
        <v>3261</v>
      </c>
      <c r="D2108" t="s">
        <v>6022</v>
      </c>
      <c r="E2108" t="s">
        <v>6023</v>
      </c>
      <c r="F2108" t="s">
        <v>8023</v>
      </c>
      <c r="G2108" t="s">
        <v>3890</v>
      </c>
      <c r="H2108" t="s">
        <v>6018</v>
      </c>
      <c r="I2108" t="s">
        <v>4267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  <c r="W2108" t="e">
        <v>#N/A</v>
      </c>
      <c r="X2108" t="e">
        <v>#N/A</v>
      </c>
      <c r="Y2108" t="e">
        <v>#N/A</v>
      </c>
      <c r="Z2108" t="e">
        <v>#N/A</v>
      </c>
      <c r="AA2108" t="e">
        <v>#N/A</v>
      </c>
      <c r="AB2108" t="e">
        <v>#N/A</v>
      </c>
      <c r="AC2108" t="e">
        <v>#N/A</v>
      </c>
      <c r="AD2108" t="e">
        <v>#N/A</v>
      </c>
    </row>
    <row r="2109" spans="2:30" x14ac:dyDescent="0.25">
      <c r="B2109" t="s">
        <v>133</v>
      </c>
      <c r="C2109" t="s">
        <v>3261</v>
      </c>
      <c r="D2109" t="s">
        <v>6025</v>
      </c>
      <c r="E2109" t="s">
        <v>6026</v>
      </c>
      <c r="F2109" t="s">
        <v>8024</v>
      </c>
      <c r="G2109" t="s">
        <v>3890</v>
      </c>
      <c r="H2109" t="s">
        <v>6018</v>
      </c>
      <c r="I2109" t="s">
        <v>4267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  <c r="W2109" t="e">
        <v>#N/A</v>
      </c>
      <c r="X2109" t="e">
        <v>#N/A</v>
      </c>
      <c r="Y2109" t="e">
        <v>#N/A</v>
      </c>
      <c r="Z2109" t="e">
        <v>#N/A</v>
      </c>
      <c r="AA2109" t="e">
        <v>#N/A</v>
      </c>
      <c r="AB2109" t="e">
        <v>#N/A</v>
      </c>
      <c r="AC2109" t="e">
        <v>#N/A</v>
      </c>
      <c r="AD2109" t="e">
        <v>#N/A</v>
      </c>
    </row>
    <row r="2110" spans="2:30" x14ac:dyDescent="0.25">
      <c r="B2110" t="s">
        <v>133</v>
      </c>
      <c r="C2110" t="s">
        <v>3261</v>
      </c>
      <c r="D2110" t="s">
        <v>6028</v>
      </c>
      <c r="E2110" t="s">
        <v>6029</v>
      </c>
      <c r="F2110" t="s">
        <v>8025</v>
      </c>
      <c r="G2110" t="s">
        <v>3890</v>
      </c>
      <c r="H2110" t="s">
        <v>6018</v>
      </c>
      <c r="I2110" t="s">
        <v>4267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2:30" x14ac:dyDescent="0.25">
      <c r="B2111" t="s">
        <v>133</v>
      </c>
      <c r="C2111" t="s">
        <v>3261</v>
      </c>
      <c r="D2111" t="s">
        <v>6031</v>
      </c>
      <c r="E2111" t="s">
        <v>6032</v>
      </c>
      <c r="F2111" t="s">
        <v>8026</v>
      </c>
      <c r="G2111" t="s">
        <v>3890</v>
      </c>
      <c r="H2111" t="s">
        <v>6018</v>
      </c>
      <c r="I2111" t="s">
        <v>4267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  <c r="W2111" t="e">
        <v>#N/A</v>
      </c>
      <c r="X2111" t="e">
        <v>#N/A</v>
      </c>
      <c r="Y2111" t="e">
        <v>#N/A</v>
      </c>
      <c r="Z2111" t="e">
        <v>#N/A</v>
      </c>
      <c r="AA2111" t="e">
        <v>#N/A</v>
      </c>
      <c r="AB2111" t="e">
        <v>#N/A</v>
      </c>
      <c r="AC2111" t="e">
        <v>#N/A</v>
      </c>
      <c r="AD2111" t="e">
        <v>#N/A</v>
      </c>
    </row>
    <row r="2112" spans="2:30" x14ac:dyDescent="0.25">
      <c r="B2112" t="s">
        <v>133</v>
      </c>
      <c r="C2112" t="s">
        <v>3261</v>
      </c>
      <c r="D2112" t="s">
        <v>6034</v>
      </c>
      <c r="E2112" t="s">
        <v>6035</v>
      </c>
      <c r="F2112" t="s">
        <v>8027</v>
      </c>
      <c r="G2112" t="s">
        <v>3890</v>
      </c>
      <c r="H2112" t="s">
        <v>6018</v>
      </c>
      <c r="I2112" t="s">
        <v>6037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  <c r="W2112" t="e">
        <v>#N/A</v>
      </c>
      <c r="X2112" t="e">
        <v>#N/A</v>
      </c>
      <c r="Y2112" t="e">
        <v>#N/A</v>
      </c>
      <c r="Z2112" t="e">
        <v>#N/A</v>
      </c>
      <c r="AA2112" t="e">
        <v>#N/A</v>
      </c>
      <c r="AB2112" t="e">
        <v>#N/A</v>
      </c>
      <c r="AC2112" t="e">
        <v>#N/A</v>
      </c>
      <c r="AD2112" t="e">
        <v>#N/A</v>
      </c>
    </row>
    <row r="2113" spans="2:30" x14ac:dyDescent="0.25">
      <c r="B2113" t="s">
        <v>133</v>
      </c>
      <c r="C2113" t="s">
        <v>3261</v>
      </c>
      <c r="D2113" t="s">
        <v>6038</v>
      </c>
      <c r="E2113" t="s">
        <v>6039</v>
      </c>
      <c r="F2113" t="s">
        <v>8028</v>
      </c>
      <c r="G2113" t="s">
        <v>3890</v>
      </c>
      <c r="H2113" t="s">
        <v>6018</v>
      </c>
      <c r="I2113" t="s">
        <v>6037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  <c r="W2113" t="e">
        <v>#N/A</v>
      </c>
      <c r="X2113" t="e">
        <v>#N/A</v>
      </c>
      <c r="Y2113" t="e">
        <v>#N/A</v>
      </c>
      <c r="Z2113" t="e">
        <v>#N/A</v>
      </c>
      <c r="AA2113" t="e">
        <v>#N/A</v>
      </c>
      <c r="AB2113" t="e">
        <v>#N/A</v>
      </c>
      <c r="AC2113" t="e">
        <v>#N/A</v>
      </c>
      <c r="AD2113" t="e">
        <v>#N/A</v>
      </c>
    </row>
    <row r="2114" spans="2:30" x14ac:dyDescent="0.25">
      <c r="B2114" t="s">
        <v>133</v>
      </c>
      <c r="C2114" t="s">
        <v>3261</v>
      </c>
      <c r="D2114" t="s">
        <v>6041</v>
      </c>
      <c r="E2114" t="s">
        <v>6042</v>
      </c>
      <c r="F2114" t="s">
        <v>8029</v>
      </c>
      <c r="G2114" t="s">
        <v>3890</v>
      </c>
      <c r="H2114" t="s">
        <v>6018</v>
      </c>
      <c r="I2114" t="s">
        <v>6037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  <c r="W2114" t="e">
        <v>#N/A</v>
      </c>
      <c r="X2114" t="e">
        <v>#N/A</v>
      </c>
      <c r="Y2114" t="e">
        <v>#N/A</v>
      </c>
      <c r="Z2114" t="e">
        <v>#N/A</v>
      </c>
      <c r="AA2114" t="e">
        <v>#N/A</v>
      </c>
      <c r="AB2114" t="e">
        <v>#N/A</v>
      </c>
      <c r="AC2114" t="e">
        <v>#N/A</v>
      </c>
      <c r="AD2114" t="e">
        <v>#N/A</v>
      </c>
    </row>
    <row r="2115" spans="2:30" x14ac:dyDescent="0.25">
      <c r="B2115" t="s">
        <v>133</v>
      </c>
      <c r="C2115" t="s">
        <v>3261</v>
      </c>
      <c r="D2115" t="s">
        <v>6044</v>
      </c>
      <c r="E2115" t="s">
        <v>6045</v>
      </c>
      <c r="F2115" t="s">
        <v>8030</v>
      </c>
      <c r="G2115" t="s">
        <v>3890</v>
      </c>
      <c r="H2115" t="s">
        <v>6018</v>
      </c>
      <c r="I2115" t="s">
        <v>6037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  <c r="W2115" t="e">
        <v>#N/A</v>
      </c>
      <c r="X2115" t="e">
        <v>#N/A</v>
      </c>
      <c r="Y2115" t="e">
        <v>#N/A</v>
      </c>
      <c r="Z2115" t="e">
        <v>#N/A</v>
      </c>
      <c r="AA2115" t="e">
        <v>#N/A</v>
      </c>
      <c r="AB2115" t="e">
        <v>#N/A</v>
      </c>
      <c r="AC2115" t="e">
        <v>#N/A</v>
      </c>
      <c r="AD2115" t="e">
        <v>#N/A</v>
      </c>
    </row>
    <row r="2116" spans="2:30" x14ac:dyDescent="0.25">
      <c r="B2116" t="s">
        <v>133</v>
      </c>
      <c r="C2116" t="s">
        <v>3261</v>
      </c>
      <c r="D2116" t="s">
        <v>6047</v>
      </c>
      <c r="E2116" t="s">
        <v>6048</v>
      </c>
      <c r="F2116" t="s">
        <v>8031</v>
      </c>
      <c r="G2116" t="s">
        <v>5933</v>
      </c>
      <c r="H2116" t="s">
        <v>6050</v>
      </c>
      <c r="I2116" t="s">
        <v>6051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0.76200000000000001</v>
      </c>
      <c r="S2116">
        <v>1.4</v>
      </c>
      <c r="T2116">
        <v>2.1070000000000002</v>
      </c>
      <c r="U2116">
        <v>2.7490000000000001</v>
      </c>
      <c r="V2116">
        <v>3.419</v>
      </c>
      <c r="W2116">
        <v>4.05</v>
      </c>
      <c r="X2116">
        <v>4.6369999999999996</v>
      </c>
      <c r="Y2116">
        <v>5.1429999999999998</v>
      </c>
      <c r="Z2116">
        <v>5.5380000000000003</v>
      </c>
      <c r="AA2116">
        <v>5.7930000000000001</v>
      </c>
      <c r="AB2116">
        <v>5.8789999999999996</v>
      </c>
      <c r="AC2116">
        <v>5.8070000000000004</v>
      </c>
      <c r="AD2116">
        <v>0</v>
      </c>
    </row>
    <row r="2117" spans="2:30" x14ac:dyDescent="0.25">
      <c r="B2117" t="s">
        <v>133</v>
      </c>
      <c r="C2117" t="s">
        <v>3261</v>
      </c>
      <c r="D2117" t="s">
        <v>6052</v>
      </c>
      <c r="E2117" t="s">
        <v>6053</v>
      </c>
      <c r="F2117" t="s">
        <v>8032</v>
      </c>
      <c r="G2117" t="s">
        <v>5933</v>
      </c>
      <c r="H2117" t="s">
        <v>6050</v>
      </c>
      <c r="I2117" t="s">
        <v>6051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0.123</v>
      </c>
      <c r="S2117">
        <v>0.22600000000000001</v>
      </c>
      <c r="T2117">
        <v>0.33900000000000002</v>
      </c>
      <c r="U2117">
        <v>0.443</v>
      </c>
      <c r="V2117">
        <v>0.55100000000000005</v>
      </c>
      <c r="W2117">
        <v>0.65200000000000002</v>
      </c>
      <c r="X2117">
        <v>0.747</v>
      </c>
      <c r="Y2117">
        <v>0.82899999999999996</v>
      </c>
      <c r="Z2117">
        <v>0.89200000000000002</v>
      </c>
      <c r="AA2117">
        <v>0.93300000000000005</v>
      </c>
      <c r="AB2117">
        <v>0.94699999999999995</v>
      </c>
      <c r="AC2117">
        <v>0.93600000000000005</v>
      </c>
      <c r="AD2117">
        <v>0</v>
      </c>
    </row>
    <row r="2118" spans="2:30" x14ac:dyDescent="0.25">
      <c r="B2118" t="s">
        <v>133</v>
      </c>
      <c r="C2118" t="s">
        <v>3261</v>
      </c>
      <c r="D2118" t="s">
        <v>6055</v>
      </c>
      <c r="E2118" t="s">
        <v>6056</v>
      </c>
      <c r="F2118" t="s">
        <v>8033</v>
      </c>
      <c r="G2118" t="s">
        <v>5933</v>
      </c>
      <c r="H2118" t="s">
        <v>6050</v>
      </c>
      <c r="I2118" t="s">
        <v>6051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1.119</v>
      </c>
      <c r="S2118">
        <v>2.0539999999999998</v>
      </c>
      <c r="T2118">
        <v>3.0910000000000002</v>
      </c>
      <c r="U2118">
        <v>4.032</v>
      </c>
      <c r="V2118">
        <v>5.016</v>
      </c>
      <c r="W2118">
        <v>5.9409999999999998</v>
      </c>
      <c r="X2118">
        <v>6.8029999999999999</v>
      </c>
      <c r="Y2118">
        <v>7.5449999999999999</v>
      </c>
      <c r="Z2118">
        <v>8.125</v>
      </c>
      <c r="AA2118">
        <v>8.4979999999999993</v>
      </c>
      <c r="AB2118">
        <v>8.625</v>
      </c>
      <c r="AC2118">
        <v>8.52</v>
      </c>
      <c r="AD2118">
        <v>0</v>
      </c>
    </row>
    <row r="2119" spans="2:30" x14ac:dyDescent="0.25">
      <c r="B2119" t="s">
        <v>133</v>
      </c>
      <c r="C2119" t="s">
        <v>3261</v>
      </c>
      <c r="D2119" t="s">
        <v>6058</v>
      </c>
      <c r="E2119" t="s">
        <v>6059</v>
      </c>
      <c r="F2119" t="s">
        <v>8034</v>
      </c>
      <c r="G2119" t="s">
        <v>5933</v>
      </c>
      <c r="H2119" t="s">
        <v>6050</v>
      </c>
      <c r="I2119" t="s">
        <v>6051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4.2999999999999997E-2</v>
      </c>
      <c r="S2119">
        <v>0.08</v>
      </c>
      <c r="T2119">
        <v>0.12</v>
      </c>
      <c r="U2119">
        <v>0.157</v>
      </c>
      <c r="V2119">
        <v>0.19500000000000001</v>
      </c>
      <c r="W2119">
        <v>0.23100000000000001</v>
      </c>
      <c r="X2119">
        <v>0.26400000000000001</v>
      </c>
      <c r="Y2119">
        <v>0.29299999999999998</v>
      </c>
      <c r="Z2119">
        <v>0.316</v>
      </c>
      <c r="AA2119">
        <v>0.33</v>
      </c>
      <c r="AB2119">
        <v>0.33500000000000002</v>
      </c>
      <c r="AC2119">
        <v>0.33100000000000002</v>
      </c>
      <c r="AD2119">
        <v>0</v>
      </c>
    </row>
    <row r="2120" spans="2:30" x14ac:dyDescent="0.25">
      <c r="B2120" t="s">
        <v>133</v>
      </c>
      <c r="C2120" t="s">
        <v>3261</v>
      </c>
      <c r="D2120" t="s">
        <v>6061</v>
      </c>
      <c r="E2120" t="s">
        <v>6062</v>
      </c>
      <c r="F2120" t="s">
        <v>8035</v>
      </c>
      <c r="G2120" t="s">
        <v>5933</v>
      </c>
      <c r="H2120" t="s">
        <v>6064</v>
      </c>
      <c r="I2120" t="s">
        <v>6065</v>
      </c>
      <c r="J2120">
        <v>1</v>
      </c>
      <c r="K2120">
        <v>4.2999999999999997E-2</v>
      </c>
      <c r="L2120">
        <v>4.36E-2</v>
      </c>
      <c r="M2120">
        <v>4.4400000000000002E-2</v>
      </c>
      <c r="N2120">
        <v>4.48E-2</v>
      </c>
      <c r="O2120">
        <v>4.53E-2</v>
      </c>
      <c r="P2120">
        <v>4.58E-2</v>
      </c>
      <c r="Q2120">
        <v>4.6199999999999998E-2</v>
      </c>
      <c r="R2120">
        <v>4.6699999999999998E-2</v>
      </c>
      <c r="S2120">
        <v>4.7E-2</v>
      </c>
      <c r="T2120">
        <v>4.7399999999999998E-2</v>
      </c>
      <c r="U2120">
        <v>4.7699999999999999E-2</v>
      </c>
      <c r="V2120">
        <v>4.8099999999999997E-2</v>
      </c>
      <c r="W2120">
        <v>4.8399999999999999E-2</v>
      </c>
      <c r="X2120">
        <v>4.87E-2</v>
      </c>
      <c r="Y2120">
        <v>4.9000000000000002E-2</v>
      </c>
      <c r="Z2120">
        <v>4.9200000000000001E-2</v>
      </c>
      <c r="AA2120">
        <v>4.9500000000000002E-2</v>
      </c>
      <c r="AB2120">
        <v>4.9700000000000001E-2</v>
      </c>
      <c r="AC2120">
        <v>0.05</v>
      </c>
      <c r="AD2120">
        <v>0</v>
      </c>
    </row>
    <row r="2121" spans="2:30" x14ac:dyDescent="0.25">
      <c r="B2121" t="s">
        <v>133</v>
      </c>
      <c r="C2121" t="s">
        <v>3261</v>
      </c>
      <c r="D2121" t="s">
        <v>6066</v>
      </c>
      <c r="E2121" t="s">
        <v>6067</v>
      </c>
      <c r="F2121" t="s">
        <v>8036</v>
      </c>
      <c r="G2121" t="s">
        <v>5933</v>
      </c>
      <c r="H2121" t="s">
        <v>6064</v>
      </c>
      <c r="I2121" t="s">
        <v>6065</v>
      </c>
      <c r="J2121">
        <v>1</v>
      </c>
      <c r="K2121">
        <v>2.7099999999999999E-2</v>
      </c>
      <c r="L2121">
        <v>2.75E-2</v>
      </c>
      <c r="M2121">
        <v>2.81E-2</v>
      </c>
      <c r="N2121">
        <v>2.8299999999999999E-2</v>
      </c>
      <c r="O2121">
        <v>2.87E-2</v>
      </c>
      <c r="P2121">
        <v>2.9000000000000001E-2</v>
      </c>
      <c r="Q2121">
        <v>2.93E-2</v>
      </c>
      <c r="R2121">
        <v>2.9600000000000001E-2</v>
      </c>
      <c r="S2121">
        <v>2.9899999999999999E-2</v>
      </c>
      <c r="T2121">
        <v>3.0200000000000001E-2</v>
      </c>
      <c r="U2121">
        <v>3.04E-2</v>
      </c>
      <c r="V2121">
        <v>3.0700000000000002E-2</v>
      </c>
      <c r="W2121">
        <v>3.09E-2</v>
      </c>
      <c r="X2121">
        <v>3.1099999999999999E-2</v>
      </c>
      <c r="Y2121">
        <v>3.1300000000000001E-2</v>
      </c>
      <c r="Z2121">
        <v>3.1600000000000003E-2</v>
      </c>
      <c r="AA2121">
        <v>3.1800000000000002E-2</v>
      </c>
      <c r="AB2121">
        <v>3.2000000000000001E-2</v>
      </c>
      <c r="AC2121">
        <v>3.2000000000000001E-2</v>
      </c>
      <c r="AD2121">
        <v>0</v>
      </c>
    </row>
    <row r="2122" spans="2:30" x14ac:dyDescent="0.25">
      <c r="B2122" t="s">
        <v>133</v>
      </c>
      <c r="C2122" t="s">
        <v>3261</v>
      </c>
      <c r="D2122" t="s">
        <v>6069</v>
      </c>
      <c r="E2122" t="s">
        <v>6070</v>
      </c>
      <c r="F2122" t="s">
        <v>8037</v>
      </c>
      <c r="G2122" t="s">
        <v>5933</v>
      </c>
      <c r="H2122" t="s">
        <v>6064</v>
      </c>
      <c r="I2122" t="s">
        <v>6065</v>
      </c>
      <c r="J2122">
        <v>1</v>
      </c>
      <c r="K2122">
        <v>0.78849999999999998</v>
      </c>
      <c r="L2122">
        <v>0.79659999999999997</v>
      </c>
      <c r="M2122">
        <v>0.80979999999999996</v>
      </c>
      <c r="N2122">
        <v>0.8135</v>
      </c>
      <c r="O2122">
        <v>0.82020000000000004</v>
      </c>
      <c r="P2122">
        <v>0.82640000000000002</v>
      </c>
      <c r="Q2122">
        <v>0.83250000000000002</v>
      </c>
      <c r="R2122">
        <v>0.83720000000000006</v>
      </c>
      <c r="S2122">
        <v>0.84119999999999995</v>
      </c>
      <c r="T2122">
        <v>0.8448</v>
      </c>
      <c r="U2122">
        <v>0.84799999999999998</v>
      </c>
      <c r="V2122">
        <v>0.85089999999999999</v>
      </c>
      <c r="W2122">
        <v>0.85350000000000004</v>
      </c>
      <c r="X2122">
        <v>0.85580000000000001</v>
      </c>
      <c r="Y2122">
        <v>0.8579</v>
      </c>
      <c r="Z2122">
        <v>0.85970000000000002</v>
      </c>
      <c r="AA2122">
        <v>0.86119999999999997</v>
      </c>
      <c r="AB2122">
        <v>0.86229999999999996</v>
      </c>
      <c r="AC2122">
        <v>0.86319999999999997</v>
      </c>
      <c r="AD2122">
        <v>0</v>
      </c>
    </row>
    <row r="2123" spans="2:30" x14ac:dyDescent="0.25">
      <c r="B2123" t="s">
        <v>133</v>
      </c>
      <c r="C2123" t="s">
        <v>3261</v>
      </c>
      <c r="D2123" t="s">
        <v>6072</v>
      </c>
      <c r="E2123" t="s">
        <v>6073</v>
      </c>
      <c r="F2123" t="s">
        <v>8038</v>
      </c>
      <c r="G2123" t="s">
        <v>5933</v>
      </c>
      <c r="H2123" t="s">
        <v>6064</v>
      </c>
      <c r="I2123" t="s">
        <v>6065</v>
      </c>
      <c r="J2123">
        <v>1</v>
      </c>
      <c r="K2123">
        <v>7.6799999999999993E-2</v>
      </c>
      <c r="L2123">
        <v>7.7299999999999994E-2</v>
      </c>
      <c r="M2123">
        <v>7.8299999999999995E-2</v>
      </c>
      <c r="N2123">
        <v>7.8299999999999995E-2</v>
      </c>
      <c r="O2123">
        <v>7.8600000000000003E-2</v>
      </c>
      <c r="P2123">
        <v>7.8899999999999998E-2</v>
      </c>
      <c r="Q2123">
        <v>7.9100000000000004E-2</v>
      </c>
      <c r="R2123">
        <v>7.9200000000000007E-2</v>
      </c>
      <c r="S2123">
        <v>7.9200000000000007E-2</v>
      </c>
      <c r="T2123">
        <v>7.9200000000000007E-2</v>
      </c>
      <c r="U2123">
        <v>7.9100000000000004E-2</v>
      </c>
      <c r="V2123">
        <v>7.9000000000000001E-2</v>
      </c>
      <c r="W2123">
        <v>7.8799999999999995E-2</v>
      </c>
      <c r="X2123">
        <v>7.8700000000000006E-2</v>
      </c>
      <c r="Y2123">
        <v>7.85E-2</v>
      </c>
      <c r="Z2123">
        <v>7.8200000000000006E-2</v>
      </c>
      <c r="AA2123">
        <v>7.7899999999999997E-2</v>
      </c>
      <c r="AB2123">
        <v>7.7600000000000002E-2</v>
      </c>
      <c r="AC2123">
        <v>7.7700000000000005E-2</v>
      </c>
      <c r="AD2123">
        <v>0</v>
      </c>
    </row>
    <row r="2124" spans="2:30" x14ac:dyDescent="0.25">
      <c r="B2124" t="s">
        <v>133</v>
      </c>
      <c r="C2124" t="s">
        <v>3261</v>
      </c>
      <c r="D2124" t="s">
        <v>6075</v>
      </c>
      <c r="E2124" t="s">
        <v>6076</v>
      </c>
      <c r="F2124" t="s">
        <v>8039</v>
      </c>
      <c r="G2124" t="s">
        <v>5933</v>
      </c>
      <c r="H2124" t="s">
        <v>6064</v>
      </c>
      <c r="I2124" t="s">
        <v>6065</v>
      </c>
      <c r="J2124">
        <v>1</v>
      </c>
      <c r="K2124">
        <v>0.25600000000000001</v>
      </c>
      <c r="L2124">
        <v>0.26019999999999999</v>
      </c>
      <c r="M2124">
        <v>0.26619999999999999</v>
      </c>
      <c r="N2124">
        <v>0.26910000000000001</v>
      </c>
      <c r="O2124">
        <v>0.27300000000000002</v>
      </c>
      <c r="P2124">
        <v>0.27679999999999999</v>
      </c>
      <c r="Q2124">
        <v>0.28060000000000002</v>
      </c>
      <c r="R2124">
        <v>0.28399999999999997</v>
      </c>
      <c r="S2124">
        <v>0.28720000000000001</v>
      </c>
      <c r="T2124">
        <v>0.2903</v>
      </c>
      <c r="U2124">
        <v>0.29330000000000001</v>
      </c>
      <c r="V2124">
        <v>0.29620000000000002</v>
      </c>
      <c r="W2124">
        <v>0.29909999999999998</v>
      </c>
      <c r="X2124">
        <v>0.3019</v>
      </c>
      <c r="Y2124">
        <v>0.30470000000000003</v>
      </c>
      <c r="Z2124">
        <v>0.30740000000000001</v>
      </c>
      <c r="AA2124">
        <v>0.31</v>
      </c>
      <c r="AB2124">
        <v>0.31259999999999999</v>
      </c>
      <c r="AC2124">
        <v>0.31630000000000003</v>
      </c>
      <c r="AD2124">
        <v>0</v>
      </c>
    </row>
    <row r="2125" spans="2:30" x14ac:dyDescent="0.25">
      <c r="B2125" t="s">
        <v>133</v>
      </c>
      <c r="C2125" t="s">
        <v>3261</v>
      </c>
      <c r="D2125" t="s">
        <v>6078</v>
      </c>
      <c r="E2125" t="s">
        <v>6079</v>
      </c>
      <c r="F2125" t="s">
        <v>8040</v>
      </c>
      <c r="G2125" t="s">
        <v>5933</v>
      </c>
      <c r="H2125" t="s">
        <v>6064</v>
      </c>
      <c r="I2125" t="s">
        <v>6065</v>
      </c>
      <c r="J2125">
        <v>1</v>
      </c>
      <c r="K2125">
        <v>5.3699999999999998E-2</v>
      </c>
      <c r="L2125">
        <v>5.4300000000000001E-2</v>
      </c>
      <c r="M2125">
        <v>5.5300000000000002E-2</v>
      </c>
      <c r="N2125">
        <v>5.5599999999999997E-2</v>
      </c>
      <c r="O2125">
        <v>5.62E-2</v>
      </c>
      <c r="P2125">
        <v>5.67E-2</v>
      </c>
      <c r="Q2125">
        <v>5.7200000000000001E-2</v>
      </c>
      <c r="R2125">
        <v>5.7599999999999998E-2</v>
      </c>
      <c r="S2125">
        <v>5.8000000000000003E-2</v>
      </c>
      <c r="T2125">
        <v>5.8400000000000001E-2</v>
      </c>
      <c r="U2125">
        <v>5.8700000000000002E-2</v>
      </c>
      <c r="V2125">
        <v>5.8999999999999997E-2</v>
      </c>
      <c r="W2125">
        <v>5.9299999999999999E-2</v>
      </c>
      <c r="X2125">
        <v>5.96E-2</v>
      </c>
      <c r="Y2125">
        <v>5.9799999999999999E-2</v>
      </c>
      <c r="Z2125">
        <v>6.0100000000000001E-2</v>
      </c>
      <c r="AA2125">
        <v>6.0299999999999999E-2</v>
      </c>
      <c r="AB2125">
        <v>6.0499999999999998E-2</v>
      </c>
      <c r="AC2125">
        <v>6.0699999999999997E-2</v>
      </c>
      <c r="AD2125">
        <v>0</v>
      </c>
    </row>
    <row r="2126" spans="2:30" x14ac:dyDescent="0.25">
      <c r="B2126" t="s">
        <v>133</v>
      </c>
      <c r="C2126" t="s">
        <v>3261</v>
      </c>
      <c r="D2126" t="s">
        <v>6081</v>
      </c>
      <c r="E2126" t="s">
        <v>6082</v>
      </c>
      <c r="F2126" t="s">
        <v>8041</v>
      </c>
      <c r="G2126" t="s">
        <v>5933</v>
      </c>
      <c r="H2126" t="s">
        <v>6064</v>
      </c>
      <c r="I2126" t="s">
        <v>6065</v>
      </c>
      <c r="J2126">
        <v>1</v>
      </c>
      <c r="K2126">
        <v>0.53769999999999996</v>
      </c>
      <c r="L2126">
        <v>0.54359999999999997</v>
      </c>
      <c r="M2126">
        <v>0.55289999999999995</v>
      </c>
      <c r="N2126">
        <v>0.55579999999999996</v>
      </c>
      <c r="O2126">
        <v>0.56069999999999998</v>
      </c>
      <c r="P2126">
        <v>0.56540000000000001</v>
      </c>
      <c r="Q2126">
        <v>0.56979999999999997</v>
      </c>
      <c r="R2126">
        <v>0.57340000000000002</v>
      </c>
      <c r="S2126">
        <v>0.5766</v>
      </c>
      <c r="T2126">
        <v>0.57940000000000003</v>
      </c>
      <c r="U2126">
        <v>0.58199999999999996</v>
      </c>
      <c r="V2126">
        <v>0.58440000000000003</v>
      </c>
      <c r="W2126">
        <v>0.58660000000000001</v>
      </c>
      <c r="X2126">
        <v>0.58860000000000001</v>
      </c>
      <c r="Y2126">
        <v>0.59050000000000002</v>
      </c>
      <c r="Z2126">
        <v>0.59209999999999996</v>
      </c>
      <c r="AA2126">
        <v>0.59360000000000002</v>
      </c>
      <c r="AB2126">
        <v>0.5948</v>
      </c>
      <c r="AC2126">
        <v>0.5958</v>
      </c>
      <c r="AD2126">
        <v>0</v>
      </c>
    </row>
    <row r="2127" spans="2:30" x14ac:dyDescent="0.25">
      <c r="B2127" t="s">
        <v>133</v>
      </c>
      <c r="C2127" t="s">
        <v>3261</v>
      </c>
      <c r="D2127" t="s">
        <v>6084</v>
      </c>
      <c r="E2127" t="s">
        <v>6085</v>
      </c>
      <c r="F2127" t="s">
        <v>8042</v>
      </c>
      <c r="G2127" t="s">
        <v>5933</v>
      </c>
      <c r="H2127" t="s">
        <v>6064</v>
      </c>
      <c r="I2127" t="s">
        <v>6065</v>
      </c>
      <c r="J2127">
        <v>1</v>
      </c>
      <c r="K2127">
        <v>6.4999999999999997E-3</v>
      </c>
      <c r="L2127">
        <v>6.6E-3</v>
      </c>
      <c r="M2127">
        <v>6.7999999999999996E-3</v>
      </c>
      <c r="N2127">
        <v>6.7999999999999996E-3</v>
      </c>
      <c r="O2127">
        <v>6.8999999999999999E-3</v>
      </c>
      <c r="P2127">
        <v>7.0000000000000001E-3</v>
      </c>
      <c r="Q2127">
        <v>7.1000000000000004E-3</v>
      </c>
      <c r="R2127">
        <v>7.1999999999999998E-3</v>
      </c>
      <c r="S2127">
        <v>7.3000000000000001E-3</v>
      </c>
      <c r="T2127">
        <v>7.4000000000000003E-3</v>
      </c>
      <c r="U2127">
        <v>7.4999999999999997E-3</v>
      </c>
      <c r="V2127">
        <v>7.4999999999999997E-3</v>
      </c>
      <c r="W2127">
        <v>7.6E-3</v>
      </c>
      <c r="X2127">
        <v>7.7000000000000002E-3</v>
      </c>
      <c r="Y2127">
        <v>7.7999999999999996E-3</v>
      </c>
      <c r="Z2127">
        <v>7.7999999999999996E-3</v>
      </c>
      <c r="AA2127">
        <v>7.9000000000000008E-3</v>
      </c>
      <c r="AB2127">
        <v>8.0000000000000002E-3</v>
      </c>
      <c r="AC2127">
        <v>8.0000000000000002E-3</v>
      </c>
      <c r="AD2127">
        <v>0</v>
      </c>
    </row>
    <row r="2128" spans="2:30" x14ac:dyDescent="0.25">
      <c r="B2128" t="s">
        <v>133</v>
      </c>
      <c r="C2128" t="s">
        <v>3261</v>
      </c>
      <c r="D2128" t="s">
        <v>6087</v>
      </c>
      <c r="E2128" t="s">
        <v>6088</v>
      </c>
      <c r="F2128" t="s">
        <v>8043</v>
      </c>
      <c r="G2128" t="s">
        <v>5933</v>
      </c>
      <c r="H2128" t="s">
        <v>6064</v>
      </c>
      <c r="I2128" t="s">
        <v>6065</v>
      </c>
      <c r="J2128">
        <v>1</v>
      </c>
      <c r="K2128">
        <v>1.1000000000000001E-3</v>
      </c>
      <c r="L2128">
        <v>1.1000000000000001E-3</v>
      </c>
      <c r="M2128">
        <v>1.1999999999999999E-3</v>
      </c>
      <c r="N2128">
        <v>1.1999999999999999E-3</v>
      </c>
      <c r="O2128">
        <v>1.1999999999999999E-3</v>
      </c>
      <c r="P2128">
        <v>1.1999999999999999E-3</v>
      </c>
      <c r="Q2128">
        <v>1.1999999999999999E-3</v>
      </c>
      <c r="R2128">
        <v>1.1999999999999999E-3</v>
      </c>
      <c r="S2128">
        <v>1.2999999999999999E-3</v>
      </c>
      <c r="T2128">
        <v>1.2999999999999999E-3</v>
      </c>
      <c r="U2128">
        <v>1.2999999999999999E-3</v>
      </c>
      <c r="V2128">
        <v>1.2999999999999999E-3</v>
      </c>
      <c r="W2128">
        <v>1.2999999999999999E-3</v>
      </c>
      <c r="X2128">
        <v>1.2999999999999999E-3</v>
      </c>
      <c r="Y2128">
        <v>1.2999999999999999E-3</v>
      </c>
      <c r="Z2128">
        <v>1.2999999999999999E-3</v>
      </c>
      <c r="AA2128">
        <v>1.4E-3</v>
      </c>
      <c r="AB2128">
        <v>1.4E-3</v>
      </c>
      <c r="AC2128">
        <v>1.4E-3</v>
      </c>
      <c r="AD2128">
        <v>0</v>
      </c>
    </row>
    <row r="2129" spans="2:30" x14ac:dyDescent="0.25">
      <c r="B2129" t="s">
        <v>133</v>
      </c>
      <c r="C2129" t="s">
        <v>3261</v>
      </c>
      <c r="D2129" t="s">
        <v>6090</v>
      </c>
      <c r="E2129" t="s">
        <v>6091</v>
      </c>
      <c r="F2129" t="s">
        <v>8044</v>
      </c>
      <c r="G2129" t="s">
        <v>5933</v>
      </c>
      <c r="H2129" t="s">
        <v>6093</v>
      </c>
      <c r="I2129" t="s">
        <v>6094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2:30" x14ac:dyDescent="0.25">
      <c r="B2130" t="s">
        <v>133</v>
      </c>
      <c r="C2130" t="s">
        <v>3261</v>
      </c>
      <c r="D2130" t="s">
        <v>6095</v>
      </c>
      <c r="E2130" t="s">
        <v>6096</v>
      </c>
      <c r="F2130" t="s">
        <v>8045</v>
      </c>
      <c r="G2130" t="s">
        <v>5933</v>
      </c>
      <c r="H2130" t="s">
        <v>6093</v>
      </c>
      <c r="I2130" t="s">
        <v>6094</v>
      </c>
      <c r="J2130">
        <v>1</v>
      </c>
      <c r="K2130">
        <v>1.105</v>
      </c>
      <c r="L2130">
        <v>1.0489999999999999</v>
      </c>
      <c r="M2130">
        <v>1.2529999999999999</v>
      </c>
      <c r="N2130">
        <v>1.2749999999999999</v>
      </c>
      <c r="O2130">
        <v>1.234</v>
      </c>
      <c r="P2130">
        <v>1.216</v>
      </c>
      <c r="Q2130">
        <v>1.244</v>
      </c>
      <c r="R2130">
        <v>1.2769999999999999</v>
      </c>
      <c r="S2130">
        <v>1.3049999999999999</v>
      </c>
      <c r="T2130">
        <v>1.3340000000000001</v>
      </c>
      <c r="U2130">
        <v>1.3660000000000001</v>
      </c>
      <c r="V2130">
        <v>1.403</v>
      </c>
      <c r="W2130">
        <v>1.4450000000000001</v>
      </c>
      <c r="X2130">
        <v>1.494</v>
      </c>
      <c r="Y2130">
        <v>1.5509999999999999</v>
      </c>
      <c r="Z2130">
        <v>1.6160000000000001</v>
      </c>
      <c r="AA2130">
        <v>1.6930000000000001</v>
      </c>
      <c r="AB2130">
        <v>1.782</v>
      </c>
      <c r="AC2130">
        <v>1.8879999999999999</v>
      </c>
      <c r="AD2130">
        <v>0</v>
      </c>
    </row>
    <row r="2131" spans="2:30" x14ac:dyDescent="0.25">
      <c r="B2131" t="s">
        <v>133</v>
      </c>
      <c r="C2131" t="s">
        <v>3261</v>
      </c>
      <c r="D2131" t="s">
        <v>6098</v>
      </c>
      <c r="E2131" t="s">
        <v>6099</v>
      </c>
      <c r="F2131" t="s">
        <v>8046</v>
      </c>
      <c r="G2131" t="s">
        <v>5933</v>
      </c>
      <c r="H2131" t="s">
        <v>6093</v>
      </c>
      <c r="I2131" t="s">
        <v>6094</v>
      </c>
      <c r="J2131">
        <v>1</v>
      </c>
      <c r="K2131">
        <v>5.9459999999999997</v>
      </c>
      <c r="L2131">
        <v>5.7510000000000003</v>
      </c>
      <c r="M2131">
        <v>5.5510000000000002</v>
      </c>
      <c r="N2131">
        <v>6.6689999999999996</v>
      </c>
      <c r="O2131">
        <v>6.4989999999999997</v>
      </c>
      <c r="P2131">
        <v>6.3129999999999997</v>
      </c>
      <c r="Q2131">
        <v>6.117</v>
      </c>
      <c r="R2131">
        <v>5.9340000000000002</v>
      </c>
      <c r="S2131">
        <v>5.76</v>
      </c>
      <c r="T2131">
        <v>5.593</v>
      </c>
      <c r="U2131">
        <v>5.4329999999999998</v>
      </c>
      <c r="V2131">
        <v>5.28</v>
      </c>
      <c r="W2131">
        <v>5.133</v>
      </c>
      <c r="X2131">
        <v>4.9950000000000001</v>
      </c>
      <c r="Y2131">
        <v>4.8639999999999999</v>
      </c>
      <c r="Z2131">
        <v>4.742</v>
      </c>
      <c r="AA2131">
        <v>4.6280000000000001</v>
      </c>
      <c r="AB2131">
        <v>4.5229999999999997</v>
      </c>
      <c r="AC2131">
        <v>4.4269999999999996</v>
      </c>
      <c r="AD2131">
        <v>0</v>
      </c>
    </row>
    <row r="2132" spans="2:30" x14ac:dyDescent="0.25">
      <c r="B2132" t="s">
        <v>133</v>
      </c>
      <c r="C2132" t="s">
        <v>3261</v>
      </c>
      <c r="D2132" t="s">
        <v>6101</v>
      </c>
      <c r="E2132" t="s">
        <v>6102</v>
      </c>
      <c r="F2132" t="s">
        <v>8047</v>
      </c>
      <c r="G2132" t="s">
        <v>5933</v>
      </c>
      <c r="H2132" t="s">
        <v>6093</v>
      </c>
      <c r="I2132" t="s">
        <v>6094</v>
      </c>
      <c r="J2132">
        <v>1</v>
      </c>
      <c r="K2132">
        <v>3.573</v>
      </c>
      <c r="L2132">
        <v>3.4929999999999999</v>
      </c>
      <c r="M2132">
        <v>3.387</v>
      </c>
      <c r="N2132">
        <v>3.2360000000000002</v>
      </c>
      <c r="O2132">
        <v>3.4049999999999998</v>
      </c>
      <c r="P2132">
        <v>3.7240000000000002</v>
      </c>
      <c r="Q2132">
        <v>4.0709999999999997</v>
      </c>
      <c r="R2132">
        <v>4.4480000000000004</v>
      </c>
      <c r="S2132">
        <v>4.899</v>
      </c>
      <c r="T2132">
        <v>5.4349999999999996</v>
      </c>
      <c r="U2132">
        <v>6.0170000000000003</v>
      </c>
      <c r="V2132">
        <v>6.6420000000000003</v>
      </c>
      <c r="W2132">
        <v>7.3010000000000002</v>
      </c>
      <c r="X2132">
        <v>7.9950000000000001</v>
      </c>
      <c r="Y2132">
        <v>8.7210000000000001</v>
      </c>
      <c r="Z2132">
        <v>9.4830000000000005</v>
      </c>
      <c r="AA2132">
        <v>10.279</v>
      </c>
      <c r="AB2132">
        <v>11.112</v>
      </c>
      <c r="AC2132">
        <v>11.981999999999999</v>
      </c>
      <c r="AD2132">
        <v>0</v>
      </c>
    </row>
    <row r="2133" spans="2:30" x14ac:dyDescent="0.25">
      <c r="B2133" t="s">
        <v>133</v>
      </c>
      <c r="C2133" t="s">
        <v>3261</v>
      </c>
      <c r="D2133" t="s">
        <v>6104</v>
      </c>
      <c r="E2133" t="s">
        <v>6105</v>
      </c>
      <c r="F2133" t="s">
        <v>8048</v>
      </c>
      <c r="G2133" t="s">
        <v>5933</v>
      </c>
      <c r="H2133" t="s">
        <v>6093</v>
      </c>
      <c r="I2133" t="s">
        <v>6094</v>
      </c>
      <c r="J2133">
        <v>1</v>
      </c>
      <c r="K2133">
        <v>2.496</v>
      </c>
      <c r="L2133">
        <v>1.958</v>
      </c>
      <c r="M2133">
        <v>2.1160000000000001</v>
      </c>
      <c r="N2133">
        <v>2.093</v>
      </c>
      <c r="O2133">
        <v>2.069</v>
      </c>
      <c r="P2133">
        <v>2.0459999999999998</v>
      </c>
      <c r="Q2133">
        <v>2.0230000000000001</v>
      </c>
      <c r="R2133">
        <v>2</v>
      </c>
      <c r="S2133">
        <v>1.978</v>
      </c>
      <c r="T2133">
        <v>1.9550000000000001</v>
      </c>
      <c r="U2133">
        <v>1.9330000000000001</v>
      </c>
      <c r="V2133">
        <v>1.91</v>
      </c>
      <c r="W2133">
        <v>1.8879999999999999</v>
      </c>
      <c r="X2133">
        <v>1.8660000000000001</v>
      </c>
      <c r="Y2133">
        <v>1.8440000000000001</v>
      </c>
      <c r="Z2133">
        <v>1.823</v>
      </c>
      <c r="AA2133">
        <v>1.8009999999999999</v>
      </c>
      <c r="AB2133">
        <v>1.7789999999999999</v>
      </c>
      <c r="AC2133">
        <v>1.758</v>
      </c>
      <c r="AD2133">
        <v>0</v>
      </c>
    </row>
    <row r="2134" spans="2:30" x14ac:dyDescent="0.25">
      <c r="B2134" t="s">
        <v>133</v>
      </c>
      <c r="C2134" t="s">
        <v>3261</v>
      </c>
      <c r="D2134" t="s">
        <v>6107</v>
      </c>
      <c r="E2134" t="s">
        <v>6108</v>
      </c>
      <c r="F2134" t="s">
        <v>8049</v>
      </c>
      <c r="G2134" t="s">
        <v>5933</v>
      </c>
      <c r="H2134" t="s">
        <v>6093</v>
      </c>
      <c r="I2134" t="s">
        <v>6094</v>
      </c>
      <c r="J2134">
        <v>1</v>
      </c>
      <c r="K2134">
        <v>3.1419999999999999</v>
      </c>
      <c r="L2134">
        <v>3.0489999999999999</v>
      </c>
      <c r="M2134">
        <v>3.6619999999999999</v>
      </c>
      <c r="N2134">
        <v>4.6589999999999998</v>
      </c>
      <c r="O2134">
        <v>4.7670000000000003</v>
      </c>
      <c r="P2134">
        <v>4.8959999999999999</v>
      </c>
      <c r="Q2134">
        <v>5.0540000000000003</v>
      </c>
      <c r="R2134">
        <v>5.2030000000000003</v>
      </c>
      <c r="S2134">
        <v>5.3410000000000002</v>
      </c>
      <c r="T2134">
        <v>5.4790000000000001</v>
      </c>
      <c r="U2134">
        <v>5.6189999999999998</v>
      </c>
      <c r="V2134">
        <v>5.7590000000000003</v>
      </c>
      <c r="W2134">
        <v>5.9</v>
      </c>
      <c r="X2134">
        <v>6.0410000000000004</v>
      </c>
      <c r="Y2134">
        <v>6.1840000000000002</v>
      </c>
      <c r="Z2134">
        <v>6.3280000000000003</v>
      </c>
      <c r="AA2134">
        <v>6.4720000000000004</v>
      </c>
      <c r="AB2134">
        <v>6.6159999999999997</v>
      </c>
      <c r="AC2134">
        <v>6.7619999999999996</v>
      </c>
      <c r="AD2134">
        <v>0</v>
      </c>
    </row>
    <row r="2135" spans="2:30" x14ac:dyDescent="0.25">
      <c r="B2135" t="s">
        <v>133</v>
      </c>
      <c r="C2135" t="s">
        <v>3261</v>
      </c>
      <c r="D2135" t="s">
        <v>6110</v>
      </c>
      <c r="E2135" t="s">
        <v>6111</v>
      </c>
      <c r="F2135" t="s">
        <v>8050</v>
      </c>
      <c r="G2135" t="s">
        <v>5933</v>
      </c>
      <c r="H2135" t="s">
        <v>6093</v>
      </c>
      <c r="I2135" t="s">
        <v>6094</v>
      </c>
      <c r="J2135">
        <v>1</v>
      </c>
      <c r="K2135">
        <v>3.0720000000000001</v>
      </c>
      <c r="L2135">
        <v>3.7370000000000001</v>
      </c>
      <c r="M2135">
        <v>4.6779999999999999</v>
      </c>
      <c r="N2135">
        <v>4.774</v>
      </c>
      <c r="O2135">
        <v>4.8680000000000003</v>
      </c>
      <c r="P2135">
        <v>4.9770000000000003</v>
      </c>
      <c r="Q2135">
        <v>5.1040000000000001</v>
      </c>
      <c r="R2135">
        <v>5.2249999999999996</v>
      </c>
      <c r="S2135">
        <v>5.3390000000000004</v>
      </c>
      <c r="T2135">
        <v>5.452</v>
      </c>
      <c r="U2135">
        <v>5.5670000000000002</v>
      </c>
      <c r="V2135">
        <v>5.6820000000000004</v>
      </c>
      <c r="W2135">
        <v>5.7969999999999997</v>
      </c>
      <c r="X2135">
        <v>5.9139999999999997</v>
      </c>
      <c r="Y2135">
        <v>6.0309999999999997</v>
      </c>
      <c r="Z2135">
        <v>6.1479999999999997</v>
      </c>
      <c r="AA2135">
        <v>6.266</v>
      </c>
      <c r="AB2135">
        <v>6.3849999999999998</v>
      </c>
      <c r="AC2135">
        <v>6.5039999999999996</v>
      </c>
      <c r="AD2135">
        <v>0</v>
      </c>
    </row>
    <row r="2136" spans="2:30" x14ac:dyDescent="0.25">
      <c r="B2136" t="s">
        <v>133</v>
      </c>
      <c r="C2136" t="s">
        <v>3261</v>
      </c>
      <c r="D2136" t="s">
        <v>6113</v>
      </c>
      <c r="E2136" t="s">
        <v>6114</v>
      </c>
      <c r="F2136" t="s">
        <v>8051</v>
      </c>
      <c r="G2136" t="s">
        <v>5933</v>
      </c>
      <c r="H2136" t="s">
        <v>6093</v>
      </c>
      <c r="I2136" t="s">
        <v>6094</v>
      </c>
      <c r="J2136">
        <v>1</v>
      </c>
      <c r="K2136">
        <v>54.859000000000002</v>
      </c>
      <c r="L2136">
        <v>54.561</v>
      </c>
      <c r="M2136">
        <v>56.171999999999997</v>
      </c>
      <c r="N2136">
        <v>58.231000000000002</v>
      </c>
      <c r="O2136">
        <v>58.366999999999997</v>
      </c>
      <c r="P2136">
        <v>58.698</v>
      </c>
      <c r="Q2136">
        <v>59.139000000000003</v>
      </c>
      <c r="R2136">
        <v>59.613</v>
      </c>
      <c r="S2136">
        <v>60.148000000000003</v>
      </c>
      <c r="T2136">
        <v>60.774999999999999</v>
      </c>
      <c r="U2136">
        <v>61.459000000000003</v>
      </c>
      <c r="V2136">
        <v>62.2</v>
      </c>
      <c r="W2136">
        <v>62.99</v>
      </c>
      <c r="X2136">
        <v>63.831000000000003</v>
      </c>
      <c r="Y2136">
        <v>64.72</v>
      </c>
      <c r="Z2136">
        <v>65.664000000000001</v>
      </c>
      <c r="AA2136">
        <v>66.664000000000001</v>
      </c>
      <c r="AB2136">
        <v>67.722999999999999</v>
      </c>
      <c r="AC2136">
        <v>68.846000000000004</v>
      </c>
      <c r="AD2136">
        <v>0</v>
      </c>
    </row>
    <row r="2137" spans="2:30" x14ac:dyDescent="0.25">
      <c r="B2137" t="s">
        <v>133</v>
      </c>
      <c r="C2137" t="s">
        <v>3261</v>
      </c>
      <c r="D2137" t="s">
        <v>6116</v>
      </c>
      <c r="E2137" t="s">
        <v>6117</v>
      </c>
      <c r="F2137" t="s">
        <v>8052</v>
      </c>
      <c r="G2137" t="s">
        <v>5933</v>
      </c>
      <c r="H2137" t="s">
        <v>6093</v>
      </c>
      <c r="I2137" t="s">
        <v>6094</v>
      </c>
      <c r="J2137">
        <v>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2:30" x14ac:dyDescent="0.25">
      <c r="B2138" t="s">
        <v>133</v>
      </c>
      <c r="C2138" t="s">
        <v>3261</v>
      </c>
      <c r="D2138" t="s">
        <v>6119</v>
      </c>
      <c r="E2138" t="s">
        <v>6120</v>
      </c>
      <c r="F2138" t="s">
        <v>8053</v>
      </c>
      <c r="G2138" t="s">
        <v>5933</v>
      </c>
      <c r="H2138" t="s">
        <v>6093</v>
      </c>
      <c r="I2138" t="s">
        <v>6094</v>
      </c>
      <c r="J2138">
        <v>2</v>
      </c>
      <c r="K2138">
        <v>1.105</v>
      </c>
      <c r="L2138">
        <v>1.0489999999999999</v>
      </c>
      <c r="M2138">
        <v>1.2529999999999999</v>
      </c>
      <c r="N2138">
        <v>1.2749999999999999</v>
      </c>
      <c r="O2138">
        <v>1.234</v>
      </c>
      <c r="P2138">
        <v>1.216</v>
      </c>
      <c r="Q2138">
        <v>1.244</v>
      </c>
      <c r="R2138">
        <v>1.18</v>
      </c>
      <c r="S2138">
        <v>1.1599999999999999</v>
      </c>
      <c r="T2138">
        <v>1.1339999999999999</v>
      </c>
      <c r="U2138">
        <v>1.125</v>
      </c>
      <c r="V2138">
        <v>1.1180000000000001</v>
      </c>
      <c r="W2138">
        <v>1.119</v>
      </c>
      <c r="X2138">
        <v>1.125</v>
      </c>
      <c r="Y2138">
        <v>1.139</v>
      </c>
      <c r="Z2138">
        <v>1.1599999999999999</v>
      </c>
      <c r="AA2138">
        <v>1.19</v>
      </c>
      <c r="AB2138">
        <v>1.23</v>
      </c>
      <c r="AC2138">
        <v>1.28</v>
      </c>
      <c r="AD2138">
        <v>0</v>
      </c>
    </row>
    <row r="2139" spans="2:30" x14ac:dyDescent="0.25">
      <c r="B2139" t="s">
        <v>133</v>
      </c>
      <c r="C2139" t="s">
        <v>3261</v>
      </c>
      <c r="D2139" t="s">
        <v>6122</v>
      </c>
      <c r="E2139" t="s">
        <v>6123</v>
      </c>
      <c r="F2139" t="s">
        <v>8054</v>
      </c>
      <c r="G2139" t="s">
        <v>5933</v>
      </c>
      <c r="H2139" t="s">
        <v>6093</v>
      </c>
      <c r="I2139" t="s">
        <v>6094</v>
      </c>
      <c r="J2139">
        <v>2</v>
      </c>
      <c r="K2139">
        <v>5.9459999999999997</v>
      </c>
      <c r="L2139">
        <v>5.7510000000000003</v>
      </c>
      <c r="M2139">
        <v>5.5510000000000002</v>
      </c>
      <c r="N2139">
        <v>6.6689999999999996</v>
      </c>
      <c r="O2139">
        <v>6.4989999999999997</v>
      </c>
      <c r="P2139">
        <v>6.3129999999999997</v>
      </c>
      <c r="Q2139">
        <v>6.117</v>
      </c>
      <c r="R2139">
        <v>5.9340000000000002</v>
      </c>
      <c r="S2139">
        <v>5.7320000000000002</v>
      </c>
      <c r="T2139">
        <v>5.54</v>
      </c>
      <c r="U2139">
        <v>5.3529999999999998</v>
      </c>
      <c r="V2139">
        <v>5.1769999999999996</v>
      </c>
      <c r="W2139">
        <v>5.0090000000000003</v>
      </c>
      <c r="X2139">
        <v>4.8490000000000002</v>
      </c>
      <c r="Y2139">
        <v>4.6980000000000004</v>
      </c>
      <c r="Z2139">
        <v>4.5549999999999997</v>
      </c>
      <c r="AA2139">
        <v>4.42</v>
      </c>
      <c r="AB2139">
        <v>4.2930000000000001</v>
      </c>
      <c r="AC2139">
        <v>4.1749999999999998</v>
      </c>
      <c r="AD2139">
        <v>0</v>
      </c>
    </row>
    <row r="2140" spans="2:30" x14ac:dyDescent="0.25">
      <c r="B2140" t="s">
        <v>133</v>
      </c>
      <c r="C2140" t="s">
        <v>3261</v>
      </c>
      <c r="D2140" t="s">
        <v>6125</v>
      </c>
      <c r="E2140" t="s">
        <v>6126</v>
      </c>
      <c r="F2140" t="s">
        <v>8055</v>
      </c>
      <c r="G2140" t="s">
        <v>5933</v>
      </c>
      <c r="H2140" t="s">
        <v>6093</v>
      </c>
      <c r="I2140" t="s">
        <v>6094</v>
      </c>
      <c r="J2140">
        <v>2</v>
      </c>
      <c r="K2140">
        <v>3.573</v>
      </c>
      <c r="L2140">
        <v>3.4929999999999999</v>
      </c>
      <c r="M2140">
        <v>3.387</v>
      </c>
      <c r="N2140">
        <v>3.2360000000000002</v>
      </c>
      <c r="O2140">
        <v>3.4049999999999998</v>
      </c>
      <c r="P2140">
        <v>3.7240000000000002</v>
      </c>
      <c r="Q2140">
        <v>4.0709999999999997</v>
      </c>
      <c r="R2140">
        <v>4.4480000000000004</v>
      </c>
      <c r="S2140">
        <v>4.9000000000000004</v>
      </c>
      <c r="T2140">
        <v>5.4359999999999999</v>
      </c>
      <c r="U2140">
        <v>6.0190000000000001</v>
      </c>
      <c r="V2140">
        <v>6.6479999999999997</v>
      </c>
      <c r="W2140">
        <v>7.3159999999999998</v>
      </c>
      <c r="X2140">
        <v>8.0239999999999991</v>
      </c>
      <c r="Y2140">
        <v>8.77</v>
      </c>
      <c r="Z2140">
        <v>9.56</v>
      </c>
      <c r="AA2140">
        <v>10.394</v>
      </c>
      <c r="AB2140">
        <v>11.273999999999999</v>
      </c>
      <c r="AC2140">
        <v>12.202</v>
      </c>
      <c r="AD2140">
        <v>0</v>
      </c>
    </row>
    <row r="2141" spans="2:30" x14ac:dyDescent="0.25">
      <c r="B2141" t="s">
        <v>133</v>
      </c>
      <c r="C2141" t="s">
        <v>3261</v>
      </c>
      <c r="D2141" t="s">
        <v>6128</v>
      </c>
      <c r="E2141" t="s">
        <v>6129</v>
      </c>
      <c r="F2141" t="s">
        <v>8056</v>
      </c>
      <c r="G2141" t="s">
        <v>5933</v>
      </c>
      <c r="H2141" t="s">
        <v>6093</v>
      </c>
      <c r="I2141" t="s">
        <v>6094</v>
      </c>
      <c r="J2141">
        <v>2</v>
      </c>
      <c r="K2141">
        <v>2.496</v>
      </c>
      <c r="L2141">
        <v>1.958</v>
      </c>
      <c r="M2141">
        <v>2.1160000000000001</v>
      </c>
      <c r="N2141">
        <v>2.093</v>
      </c>
      <c r="O2141">
        <v>2.069</v>
      </c>
      <c r="P2141">
        <v>2.0459999999999998</v>
      </c>
      <c r="Q2141">
        <v>2.0230000000000001</v>
      </c>
      <c r="R2141">
        <v>2</v>
      </c>
      <c r="S2141">
        <v>1.978</v>
      </c>
      <c r="T2141">
        <v>1.9550000000000001</v>
      </c>
      <c r="U2141">
        <v>1.9330000000000001</v>
      </c>
      <c r="V2141">
        <v>1.91</v>
      </c>
      <c r="W2141">
        <v>1.8879999999999999</v>
      </c>
      <c r="X2141">
        <v>1.8660000000000001</v>
      </c>
      <c r="Y2141">
        <v>1.8440000000000001</v>
      </c>
      <c r="Z2141">
        <v>1.823</v>
      </c>
      <c r="AA2141">
        <v>1.8009999999999999</v>
      </c>
      <c r="AB2141">
        <v>1.7789999999999999</v>
      </c>
      <c r="AC2141">
        <v>1.758</v>
      </c>
      <c r="AD2141">
        <v>0</v>
      </c>
    </row>
    <row r="2142" spans="2:30" x14ac:dyDescent="0.25">
      <c r="B2142" t="s">
        <v>133</v>
      </c>
      <c r="C2142" t="s">
        <v>3261</v>
      </c>
      <c r="D2142" t="s">
        <v>6131</v>
      </c>
      <c r="E2142" t="s">
        <v>6132</v>
      </c>
      <c r="F2142" t="s">
        <v>8057</v>
      </c>
      <c r="G2142" t="s">
        <v>5933</v>
      </c>
      <c r="H2142" t="s">
        <v>6093</v>
      </c>
      <c r="I2142" t="s">
        <v>6094</v>
      </c>
      <c r="J2142">
        <v>2</v>
      </c>
      <c r="K2142">
        <v>3.1419999999999999</v>
      </c>
      <c r="L2142">
        <v>3.0489999999999999</v>
      </c>
      <c r="M2142">
        <v>3.6619999999999999</v>
      </c>
      <c r="N2142">
        <v>4.6589999999999998</v>
      </c>
      <c r="O2142">
        <v>4.7670000000000003</v>
      </c>
      <c r="P2142">
        <v>4.8959999999999999</v>
      </c>
      <c r="Q2142">
        <v>5.0540000000000003</v>
      </c>
      <c r="R2142">
        <v>5.2039999999999997</v>
      </c>
      <c r="S2142">
        <v>5.3419999999999996</v>
      </c>
      <c r="T2142">
        <v>5.4790000000000001</v>
      </c>
      <c r="U2142">
        <v>5.617</v>
      </c>
      <c r="V2142">
        <v>5.7549999999999999</v>
      </c>
      <c r="W2142">
        <v>5.8949999999999996</v>
      </c>
      <c r="X2142">
        <v>6.0380000000000003</v>
      </c>
      <c r="Y2142">
        <v>6.1840000000000002</v>
      </c>
      <c r="Z2142">
        <v>6.335</v>
      </c>
      <c r="AA2142">
        <v>6.492</v>
      </c>
      <c r="AB2142">
        <v>6.6550000000000002</v>
      </c>
      <c r="AC2142">
        <v>6.8259999999999996</v>
      </c>
      <c r="AD2142">
        <v>0</v>
      </c>
    </row>
    <row r="2143" spans="2:30" x14ac:dyDescent="0.25">
      <c r="B2143" t="s">
        <v>133</v>
      </c>
      <c r="C2143" t="s">
        <v>3261</v>
      </c>
      <c r="D2143" t="s">
        <v>6134</v>
      </c>
      <c r="E2143" t="s">
        <v>6135</v>
      </c>
      <c r="F2143" t="s">
        <v>8058</v>
      </c>
      <c r="G2143" t="s">
        <v>5933</v>
      </c>
      <c r="H2143" t="s">
        <v>6093</v>
      </c>
      <c r="I2143" t="s">
        <v>6094</v>
      </c>
      <c r="J2143">
        <v>2</v>
      </c>
      <c r="K2143">
        <v>3.0720000000000001</v>
      </c>
      <c r="L2143">
        <v>3.7370000000000001</v>
      </c>
      <c r="M2143">
        <v>4.6779999999999999</v>
      </c>
      <c r="N2143">
        <v>4.774</v>
      </c>
      <c r="O2143">
        <v>4.8680000000000003</v>
      </c>
      <c r="P2143">
        <v>4.9770000000000003</v>
      </c>
      <c r="Q2143">
        <v>5.1040000000000001</v>
      </c>
      <c r="R2143">
        <v>5.226</v>
      </c>
      <c r="S2143">
        <v>5.3390000000000004</v>
      </c>
      <c r="T2143">
        <v>5.452</v>
      </c>
      <c r="U2143">
        <v>5.5659999999999998</v>
      </c>
      <c r="V2143">
        <v>5.6790000000000003</v>
      </c>
      <c r="W2143">
        <v>5.7939999999999996</v>
      </c>
      <c r="X2143">
        <v>5.9109999999999996</v>
      </c>
      <c r="Y2143">
        <v>6.03</v>
      </c>
      <c r="Z2143">
        <v>6.1529999999999996</v>
      </c>
      <c r="AA2143">
        <v>6.2789999999999999</v>
      </c>
      <c r="AB2143">
        <v>6.41</v>
      </c>
      <c r="AC2143">
        <v>6.5449999999999999</v>
      </c>
      <c r="AD2143">
        <v>0</v>
      </c>
    </row>
    <row r="2144" spans="2:30" x14ac:dyDescent="0.25">
      <c r="B2144" t="s">
        <v>133</v>
      </c>
      <c r="C2144" t="s">
        <v>3261</v>
      </c>
      <c r="D2144" t="s">
        <v>6137</v>
      </c>
      <c r="E2144" t="s">
        <v>6138</v>
      </c>
      <c r="F2144" t="s">
        <v>8059</v>
      </c>
      <c r="G2144" t="s">
        <v>5933</v>
      </c>
      <c r="H2144" t="s">
        <v>6093</v>
      </c>
      <c r="I2144" t="s">
        <v>6094</v>
      </c>
      <c r="J2144">
        <v>2</v>
      </c>
      <c r="K2144">
        <v>54.859000000000002</v>
      </c>
      <c r="L2144">
        <v>54.561</v>
      </c>
      <c r="M2144">
        <v>56.171999999999997</v>
      </c>
      <c r="N2144">
        <v>58.231000000000002</v>
      </c>
      <c r="O2144">
        <v>58.366999999999997</v>
      </c>
      <c r="P2144">
        <v>58.698</v>
      </c>
      <c r="Q2144">
        <v>59.139000000000003</v>
      </c>
      <c r="R2144">
        <v>59.515999999999998</v>
      </c>
      <c r="S2144">
        <v>59.975000000000001</v>
      </c>
      <c r="T2144">
        <v>60.521999999999998</v>
      </c>
      <c r="U2144">
        <v>61.139000000000003</v>
      </c>
      <c r="V2144">
        <v>61.814</v>
      </c>
      <c r="W2144">
        <v>62.546999999999997</v>
      </c>
      <c r="X2144">
        <v>63.338999999999999</v>
      </c>
      <c r="Y2144">
        <v>64.191000000000003</v>
      </c>
      <c r="Z2144">
        <v>65.11</v>
      </c>
      <c r="AA2144">
        <v>66.100999999999999</v>
      </c>
      <c r="AB2144">
        <v>67.168000000000006</v>
      </c>
      <c r="AC2144">
        <v>68.311999999999998</v>
      </c>
      <c r="AD2144">
        <v>0</v>
      </c>
    </row>
    <row r="2145" spans="2:30" x14ac:dyDescent="0.25">
      <c r="B2145" t="s">
        <v>133</v>
      </c>
      <c r="C2145" t="s">
        <v>3261</v>
      </c>
      <c r="D2145" t="s">
        <v>6140</v>
      </c>
      <c r="E2145" t="s">
        <v>6141</v>
      </c>
      <c r="F2145" t="s">
        <v>8060</v>
      </c>
      <c r="G2145" t="s">
        <v>3890</v>
      </c>
      <c r="H2145" t="s">
        <v>6143</v>
      </c>
      <c r="I2145" t="s">
        <v>4267</v>
      </c>
      <c r="J2145">
        <v>1</v>
      </c>
      <c r="K2145">
        <v>5.2720000000000002</v>
      </c>
      <c r="L2145">
        <v>5.4829999999999997</v>
      </c>
      <c r="M2145">
        <v>5.702</v>
      </c>
      <c r="N2145">
        <v>5.93</v>
      </c>
      <c r="O2145">
        <v>6.1680000000000001</v>
      </c>
      <c r="P2145">
        <v>6.4139999999999997</v>
      </c>
      <c r="Q2145">
        <v>6.6710000000000003</v>
      </c>
      <c r="R2145">
        <v>6.9379999999999997</v>
      </c>
      <c r="S2145">
        <v>7.2149999999999999</v>
      </c>
      <c r="T2145">
        <v>7.5039999999999996</v>
      </c>
      <c r="U2145">
        <v>7.8040000000000003</v>
      </c>
      <c r="V2145">
        <v>8.1159999999999997</v>
      </c>
      <c r="W2145">
        <v>8.4410000000000007</v>
      </c>
      <c r="X2145">
        <v>8.7780000000000005</v>
      </c>
      <c r="Y2145">
        <v>9.1300000000000008</v>
      </c>
      <c r="Z2145">
        <v>9.4949999999999992</v>
      </c>
      <c r="AA2145">
        <v>9.8740000000000006</v>
      </c>
      <c r="AB2145">
        <v>10.269</v>
      </c>
      <c r="AC2145">
        <v>10.68</v>
      </c>
      <c r="AD2145">
        <v>11.106999999999999</v>
      </c>
    </row>
    <row r="2146" spans="2:30" x14ac:dyDescent="0.25">
      <c r="B2146" t="s">
        <v>133</v>
      </c>
      <c r="C2146" t="s">
        <v>3261</v>
      </c>
      <c r="D2146" t="s">
        <v>6144</v>
      </c>
      <c r="E2146" t="s">
        <v>6145</v>
      </c>
      <c r="F2146" t="s">
        <v>8061</v>
      </c>
      <c r="G2146" t="s">
        <v>3890</v>
      </c>
      <c r="H2146" t="s">
        <v>6143</v>
      </c>
      <c r="I2146" t="s">
        <v>4267</v>
      </c>
      <c r="J2146">
        <v>1</v>
      </c>
      <c r="K2146">
        <v>3.0579999999999998</v>
      </c>
      <c r="L2146">
        <v>3.18</v>
      </c>
      <c r="M2146">
        <v>3.3069999999999999</v>
      </c>
      <c r="N2146">
        <v>3.44</v>
      </c>
      <c r="O2146">
        <v>3.577</v>
      </c>
      <c r="P2146">
        <v>3.72</v>
      </c>
      <c r="Q2146">
        <v>3.8690000000000002</v>
      </c>
      <c r="R2146">
        <v>4.024</v>
      </c>
      <c r="S2146">
        <v>4.1849999999999996</v>
      </c>
      <c r="T2146">
        <v>4.3520000000000003</v>
      </c>
      <c r="U2146">
        <v>4.5259999999999998</v>
      </c>
      <c r="V2146">
        <v>4.7080000000000002</v>
      </c>
      <c r="W2146">
        <v>4.8959999999999999</v>
      </c>
      <c r="X2146">
        <v>5.0919999999999996</v>
      </c>
      <c r="Y2146">
        <v>5.2949999999999999</v>
      </c>
      <c r="Z2146">
        <v>5.5069999999999997</v>
      </c>
      <c r="AA2146">
        <v>5.7270000000000003</v>
      </c>
      <c r="AB2146">
        <v>5.9569999999999999</v>
      </c>
      <c r="AC2146">
        <v>6.1950000000000003</v>
      </c>
      <c r="AD2146">
        <v>6.4429999999999996</v>
      </c>
    </row>
    <row r="2147" spans="2:30" x14ac:dyDescent="0.25">
      <c r="B2147" t="s">
        <v>133</v>
      </c>
      <c r="C2147" t="s">
        <v>3261</v>
      </c>
      <c r="D2147" t="s">
        <v>6147</v>
      </c>
      <c r="E2147" t="s">
        <v>6148</v>
      </c>
      <c r="F2147" t="s">
        <v>8062</v>
      </c>
      <c r="G2147" t="s">
        <v>3890</v>
      </c>
      <c r="H2147" t="s">
        <v>6143</v>
      </c>
      <c r="I2147" t="s">
        <v>4267</v>
      </c>
      <c r="J2147">
        <v>1</v>
      </c>
      <c r="K2147">
        <v>0.129</v>
      </c>
      <c r="L2147">
        <v>0.13400000000000001</v>
      </c>
      <c r="M2147">
        <v>0.14000000000000001</v>
      </c>
      <c r="N2147">
        <v>0.14499999999999999</v>
      </c>
      <c r="O2147">
        <v>0.151</v>
      </c>
      <c r="P2147">
        <v>0.157</v>
      </c>
      <c r="Q2147">
        <v>0.16300000000000001</v>
      </c>
      <c r="R2147">
        <v>0.17</v>
      </c>
      <c r="S2147">
        <v>0.17699999999999999</v>
      </c>
      <c r="T2147">
        <v>0.184</v>
      </c>
      <c r="U2147">
        <v>0.191</v>
      </c>
      <c r="V2147">
        <v>0.19900000000000001</v>
      </c>
      <c r="W2147">
        <v>0.20699999999999999</v>
      </c>
      <c r="X2147">
        <v>0.215</v>
      </c>
      <c r="Y2147">
        <v>0.224</v>
      </c>
      <c r="Z2147">
        <v>0.23300000000000001</v>
      </c>
      <c r="AA2147">
        <v>0.24199999999999999</v>
      </c>
      <c r="AB2147">
        <v>0.251</v>
      </c>
      <c r="AC2147">
        <v>0.26200000000000001</v>
      </c>
      <c r="AD2147">
        <v>0.27200000000000002</v>
      </c>
    </row>
    <row r="2148" spans="2:30" x14ac:dyDescent="0.25">
      <c r="B2148" t="s">
        <v>133</v>
      </c>
      <c r="C2148" t="s">
        <v>3261</v>
      </c>
      <c r="D2148" t="s">
        <v>6150</v>
      </c>
      <c r="E2148" t="s">
        <v>6151</v>
      </c>
      <c r="F2148" t="s">
        <v>8063</v>
      </c>
      <c r="G2148" t="s">
        <v>3890</v>
      </c>
      <c r="H2148" t="s">
        <v>6143</v>
      </c>
      <c r="I2148" t="s">
        <v>4267</v>
      </c>
      <c r="J2148">
        <v>1</v>
      </c>
      <c r="K2148">
        <v>0.14699999999999999</v>
      </c>
      <c r="L2148">
        <v>0.153</v>
      </c>
      <c r="M2148">
        <v>0.159</v>
      </c>
      <c r="N2148">
        <v>0.16600000000000001</v>
      </c>
      <c r="O2148">
        <v>0.17199999999999999</v>
      </c>
      <c r="P2148">
        <v>0.17899999999999999</v>
      </c>
      <c r="Q2148">
        <v>0.186</v>
      </c>
      <c r="R2148">
        <v>0.19400000000000001</v>
      </c>
      <c r="S2148">
        <v>0.20200000000000001</v>
      </c>
      <c r="T2148">
        <v>0.21</v>
      </c>
      <c r="U2148">
        <v>0.218</v>
      </c>
      <c r="V2148">
        <v>0.22700000000000001</v>
      </c>
      <c r="W2148">
        <v>0.23599999999999999</v>
      </c>
      <c r="X2148">
        <v>0.245</v>
      </c>
      <c r="Y2148">
        <v>0.255</v>
      </c>
      <c r="Z2148">
        <v>0.26500000000000001</v>
      </c>
      <c r="AA2148">
        <v>0.27600000000000002</v>
      </c>
      <c r="AB2148">
        <v>0.28699999999999998</v>
      </c>
      <c r="AC2148">
        <v>0.29899999999999999</v>
      </c>
      <c r="AD2148">
        <v>0.31</v>
      </c>
    </row>
    <row r="2149" spans="2:30" x14ac:dyDescent="0.25">
      <c r="B2149" t="s">
        <v>133</v>
      </c>
      <c r="C2149" t="s">
        <v>3261</v>
      </c>
      <c r="D2149" t="s">
        <v>6153</v>
      </c>
      <c r="E2149" t="s">
        <v>6154</v>
      </c>
      <c r="F2149" t="s">
        <v>8064</v>
      </c>
      <c r="G2149" t="s">
        <v>3890</v>
      </c>
      <c r="H2149" t="s">
        <v>6143</v>
      </c>
      <c r="I2149" t="s">
        <v>4267</v>
      </c>
      <c r="J2149">
        <v>1</v>
      </c>
      <c r="K2149">
        <v>9.7000000000000003E-2</v>
      </c>
      <c r="L2149">
        <v>0.10100000000000001</v>
      </c>
      <c r="M2149">
        <v>0.105</v>
      </c>
      <c r="N2149">
        <v>0.109</v>
      </c>
      <c r="O2149">
        <v>0.113</v>
      </c>
      <c r="P2149">
        <v>0.11799999999999999</v>
      </c>
      <c r="Q2149">
        <v>0.123</v>
      </c>
      <c r="R2149">
        <v>0.128</v>
      </c>
      <c r="S2149">
        <v>0.13300000000000001</v>
      </c>
      <c r="T2149">
        <v>0.13800000000000001</v>
      </c>
      <c r="U2149">
        <v>0.14299999999999999</v>
      </c>
      <c r="V2149">
        <v>0.14899999999999999</v>
      </c>
      <c r="W2149">
        <v>0.155</v>
      </c>
      <c r="X2149">
        <v>0.161</v>
      </c>
      <c r="Y2149">
        <v>0.16800000000000001</v>
      </c>
      <c r="Z2149">
        <v>0.17499999999999999</v>
      </c>
      <c r="AA2149">
        <v>0.182</v>
      </c>
      <c r="AB2149">
        <v>0.189</v>
      </c>
      <c r="AC2149">
        <v>0.19600000000000001</v>
      </c>
      <c r="AD2149">
        <v>0.20399999999999999</v>
      </c>
    </row>
    <row r="2150" spans="2:30" x14ac:dyDescent="0.25">
      <c r="B2150" t="s">
        <v>133</v>
      </c>
      <c r="C2150" t="s">
        <v>3261</v>
      </c>
      <c r="D2150" t="s">
        <v>6156</v>
      </c>
      <c r="E2150" t="s">
        <v>6157</v>
      </c>
      <c r="F2150" t="s">
        <v>8065</v>
      </c>
      <c r="G2150" t="s">
        <v>3890</v>
      </c>
      <c r="H2150" t="s">
        <v>6143</v>
      </c>
      <c r="I2150" t="s">
        <v>4267</v>
      </c>
      <c r="J2150">
        <v>1</v>
      </c>
      <c r="K2150">
        <v>0.14099999999999999</v>
      </c>
      <c r="L2150">
        <v>0.14699999999999999</v>
      </c>
      <c r="M2150">
        <v>0.153</v>
      </c>
      <c r="N2150">
        <v>0.159</v>
      </c>
      <c r="O2150">
        <v>0.16500000000000001</v>
      </c>
      <c r="P2150">
        <v>0.17199999999999999</v>
      </c>
      <c r="Q2150">
        <v>0.17799999999999999</v>
      </c>
      <c r="R2150">
        <v>0.186</v>
      </c>
      <c r="S2150">
        <v>0.193</v>
      </c>
      <c r="T2150">
        <v>0.20100000000000001</v>
      </c>
      <c r="U2150">
        <v>0.20899999999999999</v>
      </c>
      <c r="V2150">
        <v>0.217</v>
      </c>
      <c r="W2150">
        <v>0.22600000000000001</v>
      </c>
      <c r="X2150">
        <v>0.23499999999999999</v>
      </c>
      <c r="Y2150">
        <v>0.24399999999999999</v>
      </c>
      <c r="Z2150">
        <v>0.254</v>
      </c>
      <c r="AA2150">
        <v>0.26400000000000001</v>
      </c>
      <c r="AB2150">
        <v>0.27500000000000002</v>
      </c>
      <c r="AC2150">
        <v>0.28599999999999998</v>
      </c>
      <c r="AD2150">
        <v>0.29699999999999999</v>
      </c>
    </row>
    <row r="2151" spans="2:30" x14ac:dyDescent="0.25">
      <c r="B2151" t="s">
        <v>133</v>
      </c>
      <c r="C2151" t="s">
        <v>3261</v>
      </c>
      <c r="D2151" t="s">
        <v>6159</v>
      </c>
      <c r="E2151" t="s">
        <v>6160</v>
      </c>
      <c r="F2151" t="s">
        <v>8066</v>
      </c>
      <c r="G2151" t="s">
        <v>6162</v>
      </c>
      <c r="H2151" t="s">
        <v>6163</v>
      </c>
      <c r="J2151">
        <v>1</v>
      </c>
      <c r="K2151">
        <v>215.76102102694196</v>
      </c>
      <c r="L2151">
        <v>214.47598394087547</v>
      </c>
      <c r="M2151">
        <v>208.15438982423859</v>
      </c>
      <c r="N2151">
        <v>199.1046917353739</v>
      </c>
      <c r="O2151">
        <v>205.1349103445601</v>
      </c>
      <c r="P2151">
        <v>226.12975127885565</v>
      </c>
      <c r="Q2151">
        <v>249.00444073713709</v>
      </c>
      <c r="R2151">
        <v>274.27868807123065</v>
      </c>
      <c r="S2151">
        <v>305.31165318869819</v>
      </c>
      <c r="T2151">
        <v>343.39509734185566</v>
      </c>
      <c r="U2151">
        <v>386.95085572770023</v>
      </c>
      <c r="V2151">
        <v>436.88159497431712</v>
      </c>
      <c r="W2151">
        <v>494.13435163700382</v>
      </c>
      <c r="X2151">
        <v>560.00795561031487</v>
      </c>
      <c r="Y2151">
        <v>635.39319003009632</v>
      </c>
      <c r="Z2151">
        <v>722.50644481926486</v>
      </c>
      <c r="AA2151">
        <v>823.57644758514027</v>
      </c>
      <c r="AB2151">
        <v>941.33418834607176</v>
      </c>
      <c r="AC2151">
        <v>1078.2330400083645</v>
      </c>
      <c r="AD2151">
        <v>1229.6979385911202</v>
      </c>
    </row>
    <row r="2152" spans="2:30" x14ac:dyDescent="0.25">
      <c r="B2152" t="s">
        <v>133</v>
      </c>
      <c r="C2152" t="s">
        <v>3261</v>
      </c>
      <c r="D2152" t="s">
        <v>6164</v>
      </c>
      <c r="E2152" t="s">
        <v>6165</v>
      </c>
      <c r="F2152" t="s">
        <v>8067</v>
      </c>
      <c r="G2152" t="s">
        <v>6162</v>
      </c>
      <c r="H2152" t="s">
        <v>6163</v>
      </c>
      <c r="J2152">
        <v>1</v>
      </c>
      <c r="K2152">
        <v>215.76102102694196</v>
      </c>
      <c r="L2152">
        <v>214.47598394087547</v>
      </c>
      <c r="M2152">
        <v>208.15438982423859</v>
      </c>
      <c r="N2152">
        <v>199.1046917353739</v>
      </c>
      <c r="O2152">
        <v>205.1349103445601</v>
      </c>
      <c r="P2152">
        <v>226.12975127885565</v>
      </c>
      <c r="Q2152">
        <v>249.00444073713709</v>
      </c>
      <c r="R2152">
        <v>274.20731609204455</v>
      </c>
      <c r="S2152">
        <v>305.06075963981465</v>
      </c>
      <c r="T2152">
        <v>342.72153838513401</v>
      </c>
      <c r="U2152">
        <v>385.46527361765345</v>
      </c>
      <c r="V2152">
        <v>433.93275574116888</v>
      </c>
      <c r="W2152">
        <v>488.77909100407538</v>
      </c>
      <c r="X2152">
        <v>550.83884086928708</v>
      </c>
      <c r="Y2152">
        <v>620.50714013837523</v>
      </c>
      <c r="Z2152">
        <v>699.24996239147458</v>
      </c>
      <c r="AA2152">
        <v>788.30885534530182</v>
      </c>
      <c r="AB2152">
        <v>889.11136255597921</v>
      </c>
      <c r="AC2152">
        <v>1002.648115723814</v>
      </c>
      <c r="AD2152">
        <v>1124.3347323894818</v>
      </c>
    </row>
    <row r="2153" spans="2:30" x14ac:dyDescent="0.25">
      <c r="B2153" t="s">
        <v>133</v>
      </c>
      <c r="C2153" t="s">
        <v>3261</v>
      </c>
      <c r="D2153" t="s">
        <v>6167</v>
      </c>
      <c r="E2153" t="s">
        <v>6168</v>
      </c>
      <c r="F2153" t="s">
        <v>8068</v>
      </c>
      <c r="G2153" t="s">
        <v>6162</v>
      </c>
      <c r="H2153" t="s">
        <v>6163</v>
      </c>
      <c r="J2153">
        <v>2</v>
      </c>
      <c r="K2153">
        <v>5610.47021484375</v>
      </c>
      <c r="L2153">
        <v>5577.0551787912218</v>
      </c>
      <c r="M2153">
        <v>5412.6737009278322</v>
      </c>
      <c r="N2153">
        <v>5177.3528754180024</v>
      </c>
      <c r="O2153">
        <v>5334.1576668247462</v>
      </c>
      <c r="P2153">
        <v>5880.0900561256803</v>
      </c>
      <c r="Q2153">
        <v>6474.9044636059962</v>
      </c>
      <c r="R2153">
        <v>7132.1149791829475</v>
      </c>
      <c r="S2153">
        <v>7939.0704044082295</v>
      </c>
      <c r="T2153">
        <v>8929.3606249632903</v>
      </c>
      <c r="U2153">
        <v>10061.948355340215</v>
      </c>
      <c r="V2153">
        <v>11360.305788091211</v>
      </c>
      <c r="W2153">
        <v>12849.058874468157</v>
      </c>
      <c r="X2153">
        <v>14561.981307248661</v>
      </c>
      <c r="Y2153">
        <v>16522.236270532252</v>
      </c>
      <c r="Z2153">
        <v>18787.456925247709</v>
      </c>
      <c r="AA2153">
        <v>21415.597251211926</v>
      </c>
      <c r="AB2153">
        <v>24477.671642415327</v>
      </c>
      <c r="AC2153">
        <v>28037.475568267619</v>
      </c>
      <c r="AD2153">
        <v>31976.042868552908</v>
      </c>
    </row>
    <row r="2154" spans="2:30" x14ac:dyDescent="0.25">
      <c r="B2154" t="s">
        <v>133</v>
      </c>
      <c r="C2154" t="s">
        <v>3261</v>
      </c>
      <c r="D2154" t="s">
        <v>6170</v>
      </c>
      <c r="E2154" t="s">
        <v>6171</v>
      </c>
      <c r="F2154" t="s">
        <v>8069</v>
      </c>
      <c r="G2154" t="s">
        <v>6162</v>
      </c>
      <c r="H2154" t="s">
        <v>3258</v>
      </c>
      <c r="J2154">
        <v>1</v>
      </c>
      <c r="K2154">
        <v>5610.47021484375</v>
      </c>
      <c r="L2154">
        <v>5577.0551787912218</v>
      </c>
      <c r="M2154">
        <v>5412.6737009278322</v>
      </c>
      <c r="N2154">
        <v>5177.3528754180024</v>
      </c>
      <c r="O2154">
        <v>5334.1576668247462</v>
      </c>
      <c r="P2154">
        <v>5880.0900561256803</v>
      </c>
      <c r="Q2154">
        <v>6474.9044636059962</v>
      </c>
      <c r="R2154">
        <v>7130.2590815722851</v>
      </c>
      <c r="S2154">
        <v>7932.5463771469203</v>
      </c>
      <c r="T2154">
        <v>8911.8459578253533</v>
      </c>
      <c r="U2154">
        <v>10023.31851321001</v>
      </c>
      <c r="V2154">
        <v>11283.626624231138</v>
      </c>
      <c r="W2154">
        <v>12709.805129140268</v>
      </c>
      <c r="X2154">
        <v>14323.55527039468</v>
      </c>
      <c r="Y2154">
        <v>16135.151804873591</v>
      </c>
      <c r="Z2154">
        <v>18182.714690797198</v>
      </c>
      <c r="AA2154">
        <v>20498.528102812954</v>
      </c>
      <c r="AB2154">
        <v>23119.712696745974</v>
      </c>
      <c r="AC2154">
        <v>26072.028035755531</v>
      </c>
      <c r="AD2154">
        <v>29236.265649659792</v>
      </c>
    </row>
    <row r="2155" spans="2:30" x14ac:dyDescent="0.25">
      <c r="B2155" t="s">
        <v>133</v>
      </c>
      <c r="C2155" t="s">
        <v>3261</v>
      </c>
      <c r="D2155" t="s">
        <v>6173</v>
      </c>
      <c r="E2155" t="s">
        <v>6174</v>
      </c>
      <c r="F2155" t="s">
        <v>8070</v>
      </c>
      <c r="G2155" t="s">
        <v>6162</v>
      </c>
      <c r="H2155" t="s">
        <v>3258</v>
      </c>
      <c r="J2155">
        <v>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1.8558976106623959</v>
      </c>
      <c r="S2155">
        <v>8.3799248719715251</v>
      </c>
      <c r="T2155">
        <v>25.894592009908592</v>
      </c>
      <c r="U2155">
        <v>64.524434140113954</v>
      </c>
      <c r="V2155">
        <v>141.20359800018741</v>
      </c>
      <c r="W2155">
        <v>280.4573433280766</v>
      </c>
      <c r="X2155">
        <v>518.88338018205832</v>
      </c>
      <c r="Y2155">
        <v>905.96784584071975</v>
      </c>
      <c r="Z2155">
        <v>1510.71008029123</v>
      </c>
      <c r="AA2155">
        <v>2427.7792286902022</v>
      </c>
      <c r="AB2155">
        <v>3785.7381743595561</v>
      </c>
      <c r="AC2155">
        <v>5751.1857068716436</v>
      </c>
      <c r="AD2155">
        <v>8490.9629257647593</v>
      </c>
    </row>
    <row r="2156" spans="2:30" x14ac:dyDescent="0.25">
      <c r="B2156" t="s">
        <v>133</v>
      </c>
      <c r="C2156" t="s">
        <v>3261</v>
      </c>
      <c r="D2156" t="s">
        <v>6176</v>
      </c>
      <c r="E2156" t="s">
        <v>6177</v>
      </c>
      <c r="F2156" t="s">
        <v>8071</v>
      </c>
      <c r="G2156" t="s">
        <v>6162</v>
      </c>
      <c r="H2156" t="s">
        <v>6179</v>
      </c>
      <c r="J2156">
        <v>1</v>
      </c>
      <c r="K2156">
        <v>47.419998168945313</v>
      </c>
      <c r="L2156">
        <v>47.419998168945313</v>
      </c>
      <c r="M2156">
        <v>47.419998168945313</v>
      </c>
      <c r="N2156">
        <v>49.230959321646168</v>
      </c>
      <c r="O2156">
        <v>51.018025046174166</v>
      </c>
      <c r="P2156">
        <v>52.999961772234222</v>
      </c>
      <c r="Q2156">
        <v>55.223207648465404</v>
      </c>
      <c r="R2156">
        <v>57.451058095194924</v>
      </c>
      <c r="S2156">
        <v>59.655800043299188</v>
      </c>
      <c r="T2156">
        <v>61.920753906134657</v>
      </c>
      <c r="U2156">
        <v>64.248425278428229</v>
      </c>
      <c r="V2156">
        <v>66.638342879486203</v>
      </c>
      <c r="W2156">
        <v>69.0935296343429</v>
      </c>
      <c r="X2156">
        <v>71.612044974188123</v>
      </c>
      <c r="Y2156">
        <v>74.194180451820259</v>
      </c>
      <c r="Z2156">
        <v>76.842169804374748</v>
      </c>
      <c r="AA2156">
        <v>79.551687133470153</v>
      </c>
      <c r="AB2156">
        <v>82.322057200638071</v>
      </c>
      <c r="AC2156">
        <v>85.14850570552133</v>
      </c>
      <c r="AD2156">
        <v>88.02504370511754</v>
      </c>
    </row>
    <row r="2157" spans="2:30" x14ac:dyDescent="0.25">
      <c r="B2157" t="s">
        <v>133</v>
      </c>
      <c r="C2157" t="s">
        <v>3261</v>
      </c>
      <c r="D2157" t="s">
        <v>6180</v>
      </c>
      <c r="E2157" t="s">
        <v>6181</v>
      </c>
      <c r="F2157" t="s">
        <v>8072</v>
      </c>
      <c r="G2157" t="s">
        <v>6162</v>
      </c>
      <c r="H2157" t="s">
        <v>6179</v>
      </c>
      <c r="J2157">
        <v>2</v>
      </c>
      <c r="K2157">
        <v>47.419998168945313</v>
      </c>
      <c r="L2157">
        <v>47.419998168945313</v>
      </c>
      <c r="M2157">
        <v>47.419998168945313</v>
      </c>
      <c r="N2157">
        <v>49.230959321646168</v>
      </c>
      <c r="O2157">
        <v>51.018025046174166</v>
      </c>
      <c r="P2157">
        <v>52.999961772234222</v>
      </c>
      <c r="Q2157">
        <v>55.223207648465404</v>
      </c>
      <c r="R2157">
        <v>57.451058095194924</v>
      </c>
      <c r="S2157">
        <v>59.655800043299188</v>
      </c>
      <c r="T2157">
        <v>61.920753906134657</v>
      </c>
      <c r="U2157">
        <v>64.248425278428229</v>
      </c>
      <c r="V2157">
        <v>66.638342879486203</v>
      </c>
      <c r="W2157">
        <v>69.0935296343429</v>
      </c>
      <c r="X2157">
        <v>71.612044974188123</v>
      </c>
      <c r="Y2157">
        <v>74.194180451820259</v>
      </c>
      <c r="Z2157">
        <v>76.842169804374748</v>
      </c>
      <c r="AA2157">
        <v>79.551687133470153</v>
      </c>
      <c r="AB2157">
        <v>82.322057200638071</v>
      </c>
      <c r="AC2157">
        <v>85.14850570552133</v>
      </c>
      <c r="AD2157">
        <v>88.02504370511754</v>
      </c>
    </row>
    <row r="2158" spans="2:30" x14ac:dyDescent="0.25">
      <c r="B2158" t="s">
        <v>133</v>
      </c>
      <c r="C2158" t="s">
        <v>3261</v>
      </c>
      <c r="D2158" t="s">
        <v>6183</v>
      </c>
      <c r="E2158" t="s">
        <v>6184</v>
      </c>
      <c r="F2158" t="s">
        <v>8073</v>
      </c>
      <c r="G2158" t="s">
        <v>6162</v>
      </c>
      <c r="H2158" t="s">
        <v>6186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</row>
    <row r="2159" spans="2:30" x14ac:dyDescent="0.25">
      <c r="B2159" t="s">
        <v>133</v>
      </c>
      <c r="C2159" t="s">
        <v>3261</v>
      </c>
      <c r="D2159" t="s">
        <v>6187</v>
      </c>
      <c r="E2159" t="s">
        <v>6188</v>
      </c>
      <c r="F2159" t="s">
        <v>8074</v>
      </c>
      <c r="G2159" t="s">
        <v>6162</v>
      </c>
      <c r="H2159" t="s">
        <v>6186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2:30" x14ac:dyDescent="0.25">
      <c r="B2160" t="s">
        <v>133</v>
      </c>
      <c r="C2160" t="s">
        <v>3261</v>
      </c>
      <c r="D2160" t="s">
        <v>6190</v>
      </c>
      <c r="E2160" t="s">
        <v>6191</v>
      </c>
      <c r="F2160" t="s">
        <v>8075</v>
      </c>
      <c r="G2160" t="s">
        <v>6162</v>
      </c>
      <c r="H2160" t="s">
        <v>6193</v>
      </c>
      <c r="J2160">
        <v>1</v>
      </c>
      <c r="K2160">
        <v>3.5999999999999997E-2</v>
      </c>
      <c r="L2160">
        <v>3.7999999999999999E-2</v>
      </c>
      <c r="M2160">
        <v>3.6999999999999998E-2</v>
      </c>
      <c r="N2160">
        <v>0.04</v>
      </c>
      <c r="O2160">
        <v>4.2000000000000003E-2</v>
      </c>
      <c r="P2160">
        <v>4.5999999999999999E-2</v>
      </c>
      <c r="Q2160">
        <v>4.9000000000000002E-2</v>
      </c>
      <c r="R2160">
        <v>5.2999999999999999E-2</v>
      </c>
      <c r="S2160">
        <v>5.7000000000000002E-2</v>
      </c>
      <c r="T2160">
        <v>6.2E-2</v>
      </c>
      <c r="U2160">
        <v>6.6000000000000003E-2</v>
      </c>
      <c r="V2160">
        <v>7.0999999999999994E-2</v>
      </c>
      <c r="W2160">
        <v>7.6999999999999999E-2</v>
      </c>
      <c r="X2160">
        <v>8.2000000000000003E-2</v>
      </c>
      <c r="Y2160">
        <v>8.7999999999999995E-2</v>
      </c>
      <c r="Z2160">
        <v>9.5000000000000001E-2</v>
      </c>
      <c r="AA2160">
        <v>0.10199999999999999</v>
      </c>
      <c r="AB2160">
        <v>0.109</v>
      </c>
      <c r="AC2160">
        <v>0.11700000000000001</v>
      </c>
      <c r="AD2160">
        <v>0.126</v>
      </c>
    </row>
    <row r="2161" spans="2:30" x14ac:dyDescent="0.25">
      <c r="B2161" t="s">
        <v>133</v>
      </c>
      <c r="C2161" t="s">
        <v>3261</v>
      </c>
      <c r="D2161" t="s">
        <v>6194</v>
      </c>
      <c r="E2161" t="s">
        <v>6195</v>
      </c>
      <c r="F2161" t="s">
        <v>8076</v>
      </c>
      <c r="G2161" t="s">
        <v>6162</v>
      </c>
      <c r="H2161" t="s">
        <v>6193</v>
      </c>
      <c r="J2161">
        <v>1</v>
      </c>
      <c r="K2161">
        <v>1.0999999999999999E-2</v>
      </c>
      <c r="L2161">
        <v>1.0999999999999999E-2</v>
      </c>
      <c r="M2161">
        <v>0.01</v>
      </c>
      <c r="N2161">
        <v>0.01</v>
      </c>
      <c r="O2161">
        <v>0.01</v>
      </c>
      <c r="P2161">
        <v>1.2E-2</v>
      </c>
      <c r="Q2161">
        <v>1.2999999999999999E-2</v>
      </c>
      <c r="R2161">
        <v>1.4999999999999999E-2</v>
      </c>
      <c r="S2161">
        <v>1.6E-2</v>
      </c>
      <c r="T2161">
        <v>1.7999999999999999E-2</v>
      </c>
      <c r="U2161">
        <v>0.02</v>
      </c>
      <c r="V2161">
        <v>2.1999999999999999E-2</v>
      </c>
      <c r="W2161">
        <v>2.4E-2</v>
      </c>
      <c r="X2161">
        <v>2.7E-2</v>
      </c>
      <c r="Y2161">
        <v>2.9000000000000001E-2</v>
      </c>
      <c r="Z2161">
        <v>3.2000000000000001E-2</v>
      </c>
      <c r="AA2161">
        <v>3.5000000000000003E-2</v>
      </c>
      <c r="AB2161">
        <v>3.7999999999999999E-2</v>
      </c>
      <c r="AC2161">
        <v>4.2000000000000003E-2</v>
      </c>
      <c r="AD2161">
        <v>4.4999999999999998E-2</v>
      </c>
    </row>
    <row r="2162" spans="2:30" x14ac:dyDescent="0.25">
      <c r="B2162" t="s">
        <v>133</v>
      </c>
      <c r="C2162" t="s">
        <v>3261</v>
      </c>
      <c r="D2162" t="s">
        <v>6197</v>
      </c>
      <c r="E2162" t="s">
        <v>6198</v>
      </c>
      <c r="F2162" t="s">
        <v>8077</v>
      </c>
      <c r="G2162" t="s">
        <v>6162</v>
      </c>
      <c r="H2162" t="s">
        <v>6200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2:30" x14ac:dyDescent="0.25">
      <c r="B2163" t="s">
        <v>133</v>
      </c>
      <c r="C2163" t="s">
        <v>3261</v>
      </c>
      <c r="D2163" t="s">
        <v>6201</v>
      </c>
      <c r="E2163" t="s">
        <v>6202</v>
      </c>
      <c r="F2163" t="s">
        <v>8078</v>
      </c>
      <c r="G2163" t="s">
        <v>6162</v>
      </c>
      <c r="H2163" t="s">
        <v>6200</v>
      </c>
      <c r="J2163">
        <v>1</v>
      </c>
      <c r="K2163">
        <v>0.14799999999999999</v>
      </c>
      <c r="L2163">
        <v>0.14099999999999999</v>
      </c>
      <c r="M2163">
        <v>0.125</v>
      </c>
      <c r="N2163">
        <v>0.121</v>
      </c>
      <c r="O2163">
        <v>0.123</v>
      </c>
      <c r="P2163">
        <v>0.127</v>
      </c>
      <c r="Q2163">
        <v>0.13200000000000001</v>
      </c>
      <c r="R2163">
        <v>0.13600000000000001</v>
      </c>
      <c r="S2163">
        <v>0.14099999999999999</v>
      </c>
      <c r="T2163">
        <v>0.14699999999999999</v>
      </c>
      <c r="U2163">
        <v>0.153</v>
      </c>
      <c r="V2163">
        <v>0.158</v>
      </c>
      <c r="W2163">
        <v>0.16300000000000001</v>
      </c>
      <c r="X2163">
        <v>0.16800000000000001</v>
      </c>
      <c r="Y2163">
        <v>0.17299999999999999</v>
      </c>
      <c r="Z2163">
        <v>0.17699999999999999</v>
      </c>
      <c r="AA2163">
        <v>0.182</v>
      </c>
      <c r="AB2163">
        <v>0.186</v>
      </c>
      <c r="AC2163">
        <v>0.19</v>
      </c>
      <c r="AD2163">
        <v>0.19500000000000001</v>
      </c>
    </row>
    <row r="2164" spans="2:30" x14ac:dyDescent="0.25">
      <c r="B2164" t="s">
        <v>133</v>
      </c>
      <c r="C2164" t="s">
        <v>3261</v>
      </c>
      <c r="D2164" t="s">
        <v>6204</v>
      </c>
      <c r="E2164" t="s">
        <v>6205</v>
      </c>
      <c r="F2164" t="s">
        <v>8079</v>
      </c>
      <c r="G2164" t="s">
        <v>3890</v>
      </c>
      <c r="H2164" t="s">
        <v>6207</v>
      </c>
      <c r="I2164" t="s">
        <v>5862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0.43812000000000001</v>
      </c>
      <c r="S2164">
        <v>0.68703000000000003</v>
      </c>
      <c r="T2164">
        <v>0.98685</v>
      </c>
      <c r="U2164">
        <v>1.2416199999999999</v>
      </c>
      <c r="V2164">
        <v>1.53301</v>
      </c>
      <c r="W2164">
        <v>1.8269500000000001</v>
      </c>
      <c r="X2164">
        <v>2.13714</v>
      </c>
      <c r="Y2164">
        <v>2.4533200000000002</v>
      </c>
      <c r="Z2164">
        <v>2.7755299999999998</v>
      </c>
      <c r="AA2164">
        <v>3.09931</v>
      </c>
      <c r="AB2164">
        <v>3.4270200000000002</v>
      </c>
      <c r="AC2164">
        <v>3.7766500000000001</v>
      </c>
      <c r="AD2164">
        <v>4.0898099999999999</v>
      </c>
    </row>
    <row r="2165" spans="2:30" x14ac:dyDescent="0.25">
      <c r="B2165" t="s">
        <v>133</v>
      </c>
      <c r="C2165" t="s">
        <v>3261</v>
      </c>
      <c r="D2165" t="s">
        <v>6208</v>
      </c>
      <c r="E2165" t="s">
        <v>6209</v>
      </c>
      <c r="F2165" t="s">
        <v>8080</v>
      </c>
      <c r="G2165" t="s">
        <v>3890</v>
      </c>
      <c r="H2165" t="s">
        <v>6207</v>
      </c>
      <c r="I2165" t="s">
        <v>5862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2:30" x14ac:dyDescent="0.25">
      <c r="B2166" t="s">
        <v>133</v>
      </c>
      <c r="C2166" t="s">
        <v>3261</v>
      </c>
      <c r="D2166" t="s">
        <v>6211</v>
      </c>
      <c r="E2166" t="s">
        <v>6212</v>
      </c>
      <c r="F2166" t="s">
        <v>8081</v>
      </c>
      <c r="G2166" t="s">
        <v>3890</v>
      </c>
      <c r="H2166" t="s">
        <v>6207</v>
      </c>
      <c r="I2166" t="s">
        <v>5862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2:30" x14ac:dyDescent="0.25">
      <c r="B2167" t="s">
        <v>133</v>
      </c>
      <c r="C2167" t="s">
        <v>3261</v>
      </c>
      <c r="D2167" t="s">
        <v>6214</v>
      </c>
      <c r="E2167" t="s">
        <v>6215</v>
      </c>
      <c r="F2167" t="s">
        <v>8082</v>
      </c>
      <c r="G2167" t="s">
        <v>3890</v>
      </c>
      <c r="H2167" t="s">
        <v>6207</v>
      </c>
      <c r="I2167" t="s">
        <v>5862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5.5999999999999995E-4</v>
      </c>
      <c r="S2167">
        <v>2.0999999999999999E-3</v>
      </c>
      <c r="T2167">
        <v>6.0499999999999998E-3</v>
      </c>
      <c r="U2167">
        <v>1.431E-2</v>
      </c>
      <c r="V2167">
        <v>3.0419999999999999E-2</v>
      </c>
      <c r="W2167">
        <v>5.9130000000000002E-2</v>
      </c>
      <c r="X2167">
        <v>0.10828</v>
      </c>
      <c r="Y2167">
        <v>0.18784999999999999</v>
      </c>
      <c r="Z2167">
        <v>0.31340000000000001</v>
      </c>
      <c r="AA2167">
        <v>0.50729000000000002</v>
      </c>
      <c r="AB2167">
        <v>0.80147000000000002</v>
      </c>
      <c r="AC2167">
        <v>1.2371000000000001</v>
      </c>
      <c r="AD2167">
        <v>1.8381000000000001</v>
      </c>
    </row>
    <row r="2168" spans="2:30" x14ac:dyDescent="0.25">
      <c r="B2168" t="s">
        <v>133</v>
      </c>
      <c r="C2168" t="s">
        <v>3261</v>
      </c>
      <c r="D2168" t="s">
        <v>6217</v>
      </c>
      <c r="E2168" t="s">
        <v>6218</v>
      </c>
      <c r="F2168" t="s">
        <v>8083</v>
      </c>
      <c r="G2168" t="s">
        <v>3890</v>
      </c>
      <c r="H2168" t="s">
        <v>6207</v>
      </c>
      <c r="I2168" t="s">
        <v>5862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1.3715200000000001</v>
      </c>
      <c r="S2168">
        <v>2.2797100000000001</v>
      </c>
      <c r="T2168">
        <v>3.1680700000000002</v>
      </c>
      <c r="U2168">
        <v>3.8059599999999998</v>
      </c>
      <c r="V2168">
        <v>4.3754600000000003</v>
      </c>
      <c r="W2168">
        <v>4.8299099999999999</v>
      </c>
      <c r="X2168">
        <v>5.2048699999999997</v>
      </c>
      <c r="Y2168">
        <v>5.4908299999999999</v>
      </c>
      <c r="Z2168">
        <v>5.6949500000000004</v>
      </c>
      <c r="AA2168">
        <v>5.8164800000000003</v>
      </c>
      <c r="AB2168">
        <v>5.8603199999999998</v>
      </c>
      <c r="AC2168">
        <v>5.84171</v>
      </c>
      <c r="AD2168">
        <v>5.6958500000000001</v>
      </c>
    </row>
    <row r="2169" spans="2:30" x14ac:dyDescent="0.25">
      <c r="B2169" t="s">
        <v>133</v>
      </c>
      <c r="C2169" t="s">
        <v>3261</v>
      </c>
      <c r="D2169" t="s">
        <v>6220</v>
      </c>
      <c r="E2169" t="s">
        <v>6221</v>
      </c>
      <c r="F2169" t="s">
        <v>8084</v>
      </c>
      <c r="G2169" t="s">
        <v>3890</v>
      </c>
      <c r="H2169" t="s">
        <v>6207</v>
      </c>
      <c r="I2169" t="s">
        <v>3892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1.81026</v>
      </c>
      <c r="S2169">
        <v>2.9691000000000001</v>
      </c>
      <c r="T2169">
        <v>4.1619000000000002</v>
      </c>
      <c r="U2169">
        <v>5.0645800000000003</v>
      </c>
      <c r="V2169">
        <v>5.9457700000000004</v>
      </c>
      <c r="W2169">
        <v>6.7290999999999999</v>
      </c>
      <c r="X2169">
        <v>7.47281</v>
      </c>
      <c r="Y2169">
        <v>8.1684199999999993</v>
      </c>
      <c r="Z2169">
        <v>8.8402899999999995</v>
      </c>
      <c r="AA2169">
        <v>9.5078099999999992</v>
      </c>
      <c r="AB2169">
        <v>10.213369999999999</v>
      </c>
      <c r="AC2169">
        <v>11.03543</v>
      </c>
      <c r="AD2169">
        <v>11.87773</v>
      </c>
    </row>
    <row r="2170" spans="2:30" x14ac:dyDescent="0.25">
      <c r="B2170" t="s">
        <v>133</v>
      </c>
      <c r="C2170" t="s">
        <v>3261</v>
      </c>
      <c r="D2170" t="s">
        <v>6223</v>
      </c>
      <c r="E2170" t="s">
        <v>6224</v>
      </c>
      <c r="F2170" t="s">
        <v>8085</v>
      </c>
      <c r="G2170" t="s">
        <v>3890</v>
      </c>
      <c r="H2170" t="s">
        <v>6207</v>
      </c>
      <c r="I2170" t="s">
        <v>3892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5.9999999999999995E-4</v>
      </c>
      <c r="S2170">
        <v>8.8999999999999995E-4</v>
      </c>
      <c r="T2170">
        <v>1.2199999999999999E-3</v>
      </c>
      <c r="U2170">
        <v>1.47E-3</v>
      </c>
      <c r="V2170">
        <v>1.73E-3</v>
      </c>
      <c r="W2170">
        <v>1.97E-3</v>
      </c>
      <c r="X2170">
        <v>2.2000000000000001E-3</v>
      </c>
      <c r="Y2170">
        <v>2.4199999999999998E-3</v>
      </c>
      <c r="Z2170">
        <v>2.6199999999999999E-3</v>
      </c>
      <c r="AA2170">
        <v>2.8E-3</v>
      </c>
      <c r="AB2170">
        <v>2.97E-3</v>
      </c>
      <c r="AC2170">
        <v>3.14E-3</v>
      </c>
      <c r="AD2170">
        <v>3.2599999999999999E-3</v>
      </c>
    </row>
    <row r="2171" spans="2:30" x14ac:dyDescent="0.25">
      <c r="B2171" t="s">
        <v>133</v>
      </c>
      <c r="C2171" t="s">
        <v>3261</v>
      </c>
      <c r="D2171" t="s">
        <v>3448</v>
      </c>
      <c r="E2171" t="s">
        <v>3449</v>
      </c>
      <c r="F2171" t="s">
        <v>8086</v>
      </c>
      <c r="G2171" t="s">
        <v>3890</v>
      </c>
      <c r="H2171" t="s">
        <v>6207</v>
      </c>
      <c r="I2171" t="s">
        <v>3892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2:30" x14ac:dyDescent="0.25">
      <c r="B2172" t="s">
        <v>133</v>
      </c>
      <c r="C2172" t="s">
        <v>3261</v>
      </c>
      <c r="D2172" t="s">
        <v>6227</v>
      </c>
      <c r="E2172" t="s">
        <v>6228</v>
      </c>
      <c r="F2172" t="s">
        <v>8087</v>
      </c>
      <c r="G2172" t="s">
        <v>3890</v>
      </c>
      <c r="H2172" t="s">
        <v>6207</v>
      </c>
      <c r="I2172" t="s">
        <v>3892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1.0000000000000001E-5</v>
      </c>
      <c r="U2172">
        <v>2.0000000000000002E-5</v>
      </c>
      <c r="V2172">
        <v>4.0000000000000003E-5</v>
      </c>
      <c r="W2172">
        <v>8.0000000000000007E-5</v>
      </c>
      <c r="X2172">
        <v>1.2999999999999999E-4</v>
      </c>
      <c r="Y2172">
        <v>2.2000000000000001E-4</v>
      </c>
      <c r="Z2172">
        <v>3.5E-4</v>
      </c>
      <c r="AA2172">
        <v>5.4000000000000001E-4</v>
      </c>
      <c r="AB2172">
        <v>8.0000000000000004E-4</v>
      </c>
      <c r="AC2172">
        <v>1.1800000000000001E-3</v>
      </c>
      <c r="AD2172">
        <v>1.67E-3</v>
      </c>
    </row>
    <row r="2173" spans="2:30" x14ac:dyDescent="0.25">
      <c r="B2173" t="s">
        <v>133</v>
      </c>
      <c r="C2173" t="s">
        <v>3261</v>
      </c>
      <c r="D2173" t="s">
        <v>6230</v>
      </c>
      <c r="E2173" t="s">
        <v>6231</v>
      </c>
      <c r="F2173" t="s">
        <v>8088</v>
      </c>
      <c r="G2173" t="s">
        <v>3890</v>
      </c>
      <c r="H2173" t="s">
        <v>6207</v>
      </c>
      <c r="I2173" t="s">
        <v>3892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1.8600000000000001E-3</v>
      </c>
      <c r="S2173">
        <v>2.9499999999999999E-3</v>
      </c>
      <c r="T2173">
        <v>3.9199999999999999E-3</v>
      </c>
      <c r="U2173">
        <v>4.4900000000000001E-3</v>
      </c>
      <c r="V2173">
        <v>4.9300000000000004E-3</v>
      </c>
      <c r="W2173">
        <v>5.2100000000000002E-3</v>
      </c>
      <c r="X2173">
        <v>5.3600000000000002E-3</v>
      </c>
      <c r="Y2173">
        <v>5.4099999999999999E-3</v>
      </c>
      <c r="Z2173">
        <v>5.3800000000000002E-3</v>
      </c>
      <c r="AA2173">
        <v>5.2599999999999999E-3</v>
      </c>
      <c r="AB2173">
        <v>5.0800000000000003E-3</v>
      </c>
      <c r="AC2173">
        <v>4.8500000000000001E-3</v>
      </c>
      <c r="AD2173">
        <v>4.5399999999999998E-3</v>
      </c>
    </row>
    <row r="2174" spans="2:30" x14ac:dyDescent="0.25">
      <c r="B2174" t="s">
        <v>133</v>
      </c>
      <c r="C2174" t="s">
        <v>3261</v>
      </c>
      <c r="D2174" t="s">
        <v>6233</v>
      </c>
      <c r="E2174" t="s">
        <v>6234</v>
      </c>
      <c r="F2174" t="s">
        <v>8089</v>
      </c>
      <c r="G2174" t="s">
        <v>3890</v>
      </c>
      <c r="H2174" t="s">
        <v>6207</v>
      </c>
      <c r="I2174" t="s">
        <v>3892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2.4599999999999999E-3</v>
      </c>
      <c r="S2174">
        <v>3.8500000000000001E-3</v>
      </c>
      <c r="T2174">
        <v>5.1500000000000001E-3</v>
      </c>
      <c r="U2174">
        <v>5.9800000000000001E-3</v>
      </c>
      <c r="V2174">
        <v>6.7000000000000002E-3</v>
      </c>
      <c r="W2174">
        <v>7.2500000000000004E-3</v>
      </c>
      <c r="X2174">
        <v>7.7000000000000002E-3</v>
      </c>
      <c r="Y2174">
        <v>8.0499999999999999E-3</v>
      </c>
      <c r="Z2174">
        <v>8.3400000000000002E-3</v>
      </c>
      <c r="AA2174">
        <v>8.5900000000000004E-3</v>
      </c>
      <c r="AB2174">
        <v>8.8500000000000002E-3</v>
      </c>
      <c r="AC2174">
        <v>9.1599999999999997E-3</v>
      </c>
      <c r="AD2174">
        <v>9.4599999999999997E-3</v>
      </c>
    </row>
    <row r="2175" spans="2:30" x14ac:dyDescent="0.25">
      <c r="B2175" t="s">
        <v>133</v>
      </c>
      <c r="C2175" t="s">
        <v>3261</v>
      </c>
      <c r="D2175" t="s">
        <v>6236</v>
      </c>
      <c r="E2175" t="s">
        <v>6237</v>
      </c>
      <c r="F2175" t="s">
        <v>8090</v>
      </c>
      <c r="G2175" t="s">
        <v>6239</v>
      </c>
      <c r="H2175" t="s">
        <v>6240</v>
      </c>
      <c r="I2175" t="s">
        <v>6241</v>
      </c>
      <c r="K2175">
        <v>-1.1362300000000001</v>
      </c>
      <c r="L2175">
        <v>-1.0498000000000001</v>
      </c>
      <c r="M2175">
        <v>-1.0413699999999999</v>
      </c>
      <c r="N2175">
        <v>-0.98660999999999999</v>
      </c>
      <c r="O2175">
        <v>-0.99180999999999997</v>
      </c>
      <c r="P2175">
        <v>-0.99190999999999996</v>
      </c>
      <c r="Q2175">
        <v>-1.01478</v>
      </c>
      <c r="R2175">
        <v>-1.04074</v>
      </c>
      <c r="S2175">
        <v>-1.0933600000000001</v>
      </c>
      <c r="T2175">
        <v>-1.18262</v>
      </c>
    </row>
    <row r="2176" spans="2:30" x14ac:dyDescent="0.25">
      <c r="B2176" t="s">
        <v>133</v>
      </c>
      <c r="C2176" t="s">
        <v>3261</v>
      </c>
      <c r="D2176" t="s">
        <v>6242</v>
      </c>
      <c r="E2176" t="s">
        <v>6243</v>
      </c>
      <c r="F2176" t="s">
        <v>8091</v>
      </c>
      <c r="G2176" t="s">
        <v>6239</v>
      </c>
      <c r="H2176" t="s">
        <v>6240</v>
      </c>
      <c r="I2176" t="s">
        <v>6241</v>
      </c>
      <c r="K2176">
        <v>-1.08697</v>
      </c>
      <c r="L2176">
        <v>-0.99965999999999999</v>
      </c>
      <c r="M2176">
        <v>-0.99485000000000001</v>
      </c>
      <c r="N2176">
        <v>-0.99458000000000002</v>
      </c>
      <c r="O2176">
        <v>-0.99990000000000001</v>
      </c>
      <c r="P2176">
        <v>-1.0220400000000001</v>
      </c>
      <c r="Q2176">
        <v>-1.0573699999999999</v>
      </c>
      <c r="R2176">
        <v>-1.0210900000000001</v>
      </c>
      <c r="S2176">
        <v>-1.12178</v>
      </c>
      <c r="T2176">
        <v>-1.1753800000000001</v>
      </c>
    </row>
    <row r="2177" spans="2:20" x14ac:dyDescent="0.25">
      <c r="B2177" t="s">
        <v>133</v>
      </c>
      <c r="C2177" t="s">
        <v>3261</v>
      </c>
      <c r="D2177" t="s">
        <v>6245</v>
      </c>
      <c r="E2177" t="s">
        <v>6246</v>
      </c>
      <c r="F2177" t="s">
        <v>8092</v>
      </c>
      <c r="G2177" t="s">
        <v>6239</v>
      </c>
      <c r="H2177" t="s">
        <v>6248</v>
      </c>
      <c r="I2177" t="s">
        <v>6241</v>
      </c>
      <c r="K2177">
        <v>-1.0859099999999999</v>
      </c>
      <c r="L2177">
        <v>-0.98909999999999998</v>
      </c>
      <c r="M2177">
        <v>-0.97155999999999998</v>
      </c>
      <c r="N2177">
        <v>-0.95674999999999999</v>
      </c>
      <c r="O2177">
        <v>-0.95711999999999997</v>
      </c>
      <c r="P2177">
        <v>-0.96716999999999997</v>
      </c>
      <c r="Q2177">
        <v>-0.99619000000000002</v>
      </c>
      <c r="R2177">
        <v>-1.0328599999999999</v>
      </c>
      <c r="S2177">
        <v>-1.0475699999999999</v>
      </c>
      <c r="T2177">
        <v>-1.1316999999999999</v>
      </c>
    </row>
    <row r="2178" spans="2:20" x14ac:dyDescent="0.25">
      <c r="B2178" t="s">
        <v>133</v>
      </c>
      <c r="C2178" t="s">
        <v>3261</v>
      </c>
      <c r="D2178" t="s">
        <v>6249</v>
      </c>
      <c r="E2178" t="s">
        <v>6250</v>
      </c>
      <c r="F2178" t="s">
        <v>8093</v>
      </c>
      <c r="G2178" t="s">
        <v>6239</v>
      </c>
      <c r="H2178" t="s">
        <v>6248</v>
      </c>
      <c r="I2178" t="s">
        <v>6241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2:20" x14ac:dyDescent="0.25">
      <c r="B2179" t="s">
        <v>133</v>
      </c>
      <c r="C2179" t="s">
        <v>3261</v>
      </c>
      <c r="D2179" t="s">
        <v>6252</v>
      </c>
      <c r="E2179" t="s">
        <v>6253</v>
      </c>
      <c r="F2179" t="s">
        <v>8094</v>
      </c>
      <c r="G2179" t="s">
        <v>6239</v>
      </c>
      <c r="H2179" t="s">
        <v>6248</v>
      </c>
      <c r="I2179" t="s">
        <v>6241</v>
      </c>
      <c r="K2179">
        <v>-1.0859099999999999</v>
      </c>
      <c r="L2179">
        <v>-0.98909999999999998</v>
      </c>
      <c r="M2179">
        <v>-0.97155999999999998</v>
      </c>
      <c r="N2179">
        <v>-0.95674999999999999</v>
      </c>
      <c r="O2179">
        <v>-0.95711999999999997</v>
      </c>
      <c r="P2179">
        <v>-0.96716999999999997</v>
      </c>
      <c r="Q2179">
        <v>-0.99619000000000002</v>
      </c>
      <c r="R2179">
        <v>-1.0328599999999999</v>
      </c>
      <c r="S2179">
        <v>-1.0475699999999999</v>
      </c>
      <c r="T2179">
        <v>-1.1316999999999999</v>
      </c>
    </row>
    <row r="2180" spans="2:20" x14ac:dyDescent="0.25">
      <c r="B2180" t="s">
        <v>133</v>
      </c>
      <c r="C2180" t="s">
        <v>3261</v>
      </c>
      <c r="D2180" t="s">
        <v>6255</v>
      </c>
      <c r="E2180" t="s">
        <v>6256</v>
      </c>
      <c r="F2180" t="s">
        <v>8095</v>
      </c>
      <c r="G2180" t="s">
        <v>6239</v>
      </c>
      <c r="H2180" t="s">
        <v>6248</v>
      </c>
      <c r="I2180" t="s">
        <v>6241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2:20" x14ac:dyDescent="0.25">
      <c r="B2181" t="s">
        <v>133</v>
      </c>
      <c r="C2181" t="s">
        <v>3261</v>
      </c>
      <c r="D2181" t="s">
        <v>6258</v>
      </c>
      <c r="E2181" t="s">
        <v>6259</v>
      </c>
      <c r="F2181" t="s">
        <v>8096</v>
      </c>
      <c r="G2181" t="s">
        <v>6239</v>
      </c>
      <c r="H2181" t="s">
        <v>6248</v>
      </c>
      <c r="I2181" t="s">
        <v>6241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2:20" x14ac:dyDescent="0.25">
      <c r="B2182" t="s">
        <v>133</v>
      </c>
      <c r="C2182" t="s">
        <v>3261</v>
      </c>
      <c r="D2182" t="s">
        <v>6261</v>
      </c>
      <c r="E2182" t="s">
        <v>6262</v>
      </c>
      <c r="F2182" t="s">
        <v>8097</v>
      </c>
      <c r="G2182" t="s">
        <v>6239</v>
      </c>
      <c r="H2182" t="s">
        <v>6248</v>
      </c>
      <c r="I2182" t="s">
        <v>6241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2:20" x14ac:dyDescent="0.25">
      <c r="B2183" t="s">
        <v>133</v>
      </c>
      <c r="C2183" t="s">
        <v>3261</v>
      </c>
      <c r="D2183" t="s">
        <v>6264</v>
      </c>
      <c r="E2183" t="s">
        <v>6265</v>
      </c>
      <c r="F2183" t="s">
        <v>8098</v>
      </c>
      <c r="G2183" t="s">
        <v>6239</v>
      </c>
      <c r="H2183" t="s">
        <v>6248</v>
      </c>
      <c r="I2183" t="s">
        <v>6241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2:20" x14ac:dyDescent="0.25">
      <c r="B2184" t="s">
        <v>133</v>
      </c>
      <c r="C2184" t="s">
        <v>3261</v>
      </c>
      <c r="D2184" t="s">
        <v>6267</v>
      </c>
      <c r="E2184" t="s">
        <v>6268</v>
      </c>
      <c r="F2184" t="s">
        <v>8099</v>
      </c>
      <c r="G2184" t="s">
        <v>6239</v>
      </c>
      <c r="H2184" t="s">
        <v>6248</v>
      </c>
      <c r="I2184" t="s">
        <v>6241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2:20" x14ac:dyDescent="0.25">
      <c r="B2185" t="s">
        <v>133</v>
      </c>
      <c r="C2185" t="s">
        <v>3261</v>
      </c>
      <c r="D2185" t="s">
        <v>6270</v>
      </c>
      <c r="E2185" t="s">
        <v>6271</v>
      </c>
      <c r="F2185" t="s">
        <v>8100</v>
      </c>
      <c r="G2185" t="s">
        <v>6239</v>
      </c>
      <c r="H2185" t="s">
        <v>6248</v>
      </c>
      <c r="I2185" t="s">
        <v>6241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2:20" x14ac:dyDescent="0.25">
      <c r="B2186" t="s">
        <v>133</v>
      </c>
      <c r="C2186" t="s">
        <v>3261</v>
      </c>
      <c r="D2186" t="s">
        <v>6273</v>
      </c>
      <c r="E2186" t="s">
        <v>6274</v>
      </c>
      <c r="F2186" t="s">
        <v>8101</v>
      </c>
      <c r="G2186" t="s">
        <v>6239</v>
      </c>
      <c r="H2186" t="s">
        <v>6276</v>
      </c>
      <c r="I2186" t="s">
        <v>6241</v>
      </c>
      <c r="K2186">
        <v>-3.6450000000000003E-2</v>
      </c>
      <c r="L2186">
        <v>-3.662E-2</v>
      </c>
      <c r="M2186">
        <v>-3.678E-2</v>
      </c>
      <c r="N2186">
        <v>-3.6900000000000002E-2</v>
      </c>
      <c r="O2186">
        <v>-3.705E-2</v>
      </c>
      <c r="P2186">
        <v>-3.703E-2</v>
      </c>
      <c r="Q2186">
        <v>-3.6970000000000003E-2</v>
      </c>
      <c r="R2186">
        <v>-3.678E-2</v>
      </c>
      <c r="S2186">
        <v>-3.6569999999999998E-2</v>
      </c>
      <c r="T2186">
        <v>-3.6720000000000003E-2</v>
      </c>
    </row>
    <row r="2187" spans="2:20" x14ac:dyDescent="0.25">
      <c r="B2187" t="s">
        <v>133</v>
      </c>
      <c r="C2187" t="s">
        <v>3261</v>
      </c>
      <c r="D2187" t="s">
        <v>6277</v>
      </c>
      <c r="E2187" t="s">
        <v>6278</v>
      </c>
      <c r="F2187" t="s">
        <v>8102</v>
      </c>
      <c r="G2187" t="s">
        <v>6239</v>
      </c>
      <c r="H2187" t="s">
        <v>6276</v>
      </c>
      <c r="I2187" t="s">
        <v>6241</v>
      </c>
      <c r="K2187">
        <v>-2.0300000000000001E-3</v>
      </c>
      <c r="L2187">
        <v>-1.97E-3</v>
      </c>
      <c r="M2187">
        <v>-2E-3</v>
      </c>
      <c r="N2187">
        <v>-1.9400000000000001E-3</v>
      </c>
      <c r="O2187">
        <v>-2.0100000000000001E-3</v>
      </c>
      <c r="P2187">
        <v>-1.99E-3</v>
      </c>
      <c r="Q2187">
        <v>-2.0100000000000001E-3</v>
      </c>
      <c r="R2187">
        <v>-1.9599999999999999E-3</v>
      </c>
      <c r="S2187">
        <v>-1.9400000000000001E-3</v>
      </c>
      <c r="T2187">
        <v>-2.0600000000000002E-3</v>
      </c>
    </row>
    <row r="2188" spans="2:20" x14ac:dyDescent="0.25">
      <c r="B2188" t="s">
        <v>133</v>
      </c>
      <c r="C2188" t="s">
        <v>3261</v>
      </c>
      <c r="D2188" t="s">
        <v>6280</v>
      </c>
      <c r="E2188" t="s">
        <v>6281</v>
      </c>
      <c r="F2188" t="s">
        <v>8103</v>
      </c>
      <c r="G2188" t="s">
        <v>6239</v>
      </c>
      <c r="H2188" t="s">
        <v>6276</v>
      </c>
      <c r="I2188" t="s">
        <v>6241</v>
      </c>
      <c r="K2188">
        <v>-4.4000000000000003E-3</v>
      </c>
      <c r="L2188">
        <v>-3.9899999999999996E-3</v>
      </c>
      <c r="M2188">
        <v>-3.9300000000000003E-3</v>
      </c>
      <c r="N2188">
        <v>-3.8700000000000002E-3</v>
      </c>
      <c r="O2188">
        <v>-3.81E-3</v>
      </c>
      <c r="P2188">
        <v>-3.8400000000000001E-3</v>
      </c>
      <c r="Q2188">
        <v>-3.81E-3</v>
      </c>
      <c r="R2188">
        <v>-3.7599999999999999E-3</v>
      </c>
      <c r="S2188">
        <v>-3.7499999999999999E-3</v>
      </c>
      <c r="T2188">
        <v>-3.7100000000000002E-3</v>
      </c>
    </row>
    <row r="2189" spans="2:20" x14ac:dyDescent="0.25">
      <c r="B2189" t="s">
        <v>133</v>
      </c>
      <c r="C2189" t="s">
        <v>3261</v>
      </c>
      <c r="D2189" t="s">
        <v>6283</v>
      </c>
      <c r="E2189" t="s">
        <v>6284</v>
      </c>
      <c r="F2189" t="s">
        <v>8104</v>
      </c>
      <c r="G2189" t="s">
        <v>6239</v>
      </c>
      <c r="H2189" t="s">
        <v>6276</v>
      </c>
      <c r="I2189" t="s">
        <v>6241</v>
      </c>
      <c r="K2189">
        <v>-1.82E-3</v>
      </c>
      <c r="L2189">
        <v>-1.92E-3</v>
      </c>
      <c r="M2189">
        <v>-1.9599999999999999E-3</v>
      </c>
      <c r="N2189">
        <v>-1.98E-3</v>
      </c>
      <c r="O2189">
        <v>-1.9400000000000001E-3</v>
      </c>
      <c r="P2189">
        <v>-1.9E-3</v>
      </c>
      <c r="Q2189">
        <v>-1.81E-3</v>
      </c>
      <c r="R2189">
        <v>-1.66E-3</v>
      </c>
      <c r="S2189">
        <v>-1.58E-3</v>
      </c>
      <c r="T2189">
        <v>-1.3600000000000001E-3</v>
      </c>
    </row>
    <row r="2190" spans="2:20" x14ac:dyDescent="0.25">
      <c r="B2190" t="s">
        <v>133</v>
      </c>
      <c r="C2190" t="s">
        <v>3261</v>
      </c>
      <c r="D2190" t="s">
        <v>6286</v>
      </c>
      <c r="E2190" t="s">
        <v>6287</v>
      </c>
      <c r="F2190" t="s">
        <v>8105</v>
      </c>
      <c r="G2190" t="s">
        <v>6239</v>
      </c>
      <c r="H2190" t="s">
        <v>6276</v>
      </c>
      <c r="I2190" t="s">
        <v>6241</v>
      </c>
      <c r="K2190">
        <v>-3.6000000000000002E-4</v>
      </c>
      <c r="L2190">
        <v>-3.6000000000000002E-4</v>
      </c>
      <c r="M2190">
        <v>-3.8999999999999999E-4</v>
      </c>
      <c r="N2190">
        <v>-4.0999999999999999E-4</v>
      </c>
      <c r="O2190">
        <v>-4.4000000000000002E-4</v>
      </c>
      <c r="P2190">
        <v>-4.4999999999999999E-4</v>
      </c>
      <c r="Q2190">
        <v>-4.6999999999999999E-4</v>
      </c>
      <c r="R2190">
        <v>-4.6000000000000001E-4</v>
      </c>
      <c r="S2190">
        <v>-4.8000000000000001E-4</v>
      </c>
      <c r="T2190">
        <v>-4.8999999999999998E-4</v>
      </c>
    </row>
    <row r="2191" spans="2:20" x14ac:dyDescent="0.25">
      <c r="B2191" t="s">
        <v>133</v>
      </c>
      <c r="C2191" t="s">
        <v>3261</v>
      </c>
      <c r="D2191" t="s">
        <v>6289</v>
      </c>
      <c r="E2191" t="s">
        <v>6290</v>
      </c>
      <c r="F2191" t="s">
        <v>8106</v>
      </c>
      <c r="G2191" t="s">
        <v>6239</v>
      </c>
      <c r="H2191" t="s">
        <v>6276</v>
      </c>
      <c r="I2191" t="s">
        <v>6241</v>
      </c>
      <c r="K2191">
        <v>-1.8400000000000001E-3</v>
      </c>
      <c r="L2191">
        <v>-2.4199999999999998E-3</v>
      </c>
      <c r="M2191">
        <v>-2.6800000000000001E-3</v>
      </c>
      <c r="N2191">
        <v>-2.7200000000000002E-3</v>
      </c>
      <c r="O2191">
        <v>-2.7899999999999999E-3</v>
      </c>
      <c r="P2191">
        <v>-2.7000000000000001E-3</v>
      </c>
      <c r="Q2191">
        <v>-2.5799999999999998E-3</v>
      </c>
      <c r="R2191">
        <v>-2.2399999999999998E-3</v>
      </c>
      <c r="S2191">
        <v>-1.8E-3</v>
      </c>
      <c r="T2191">
        <v>-9.7999999999999997E-4</v>
      </c>
    </row>
    <row r="2192" spans="2:20" x14ac:dyDescent="0.25">
      <c r="B2192" t="s">
        <v>133</v>
      </c>
      <c r="C2192" t="s">
        <v>3261</v>
      </c>
      <c r="D2192" t="s">
        <v>6292</v>
      </c>
      <c r="E2192" t="s">
        <v>6293</v>
      </c>
      <c r="F2192" t="s">
        <v>8107</v>
      </c>
      <c r="G2192" t="s">
        <v>6239</v>
      </c>
      <c r="H2192" t="s">
        <v>6276</v>
      </c>
      <c r="I2192" t="s">
        <v>6241</v>
      </c>
      <c r="K2192">
        <v>-1.44E-2</v>
      </c>
      <c r="L2192">
        <v>-1.447E-2</v>
      </c>
      <c r="M2192">
        <v>-1.4250000000000001E-2</v>
      </c>
      <c r="N2192">
        <v>-1.414E-2</v>
      </c>
      <c r="O2192">
        <v>-1.3849999999999999E-2</v>
      </c>
      <c r="P2192">
        <v>-1.3809999999999999E-2</v>
      </c>
      <c r="Q2192">
        <v>-1.359E-2</v>
      </c>
      <c r="R2192">
        <v>-1.358E-2</v>
      </c>
      <c r="S2192">
        <v>-1.3650000000000001E-2</v>
      </c>
      <c r="T2192">
        <v>-1.295E-2</v>
      </c>
    </row>
    <row r="2193" spans="2:20" x14ac:dyDescent="0.25">
      <c r="B2193" t="s">
        <v>133</v>
      </c>
      <c r="C2193" t="s">
        <v>3261</v>
      </c>
      <c r="D2193" t="s">
        <v>6295</v>
      </c>
      <c r="E2193" t="s">
        <v>6296</v>
      </c>
      <c r="F2193" t="s">
        <v>8108</v>
      </c>
      <c r="G2193" t="s">
        <v>6239</v>
      </c>
      <c r="H2193" t="s">
        <v>6276</v>
      </c>
      <c r="I2193" t="s">
        <v>6241</v>
      </c>
      <c r="K2193">
        <v>-1.5100000000000001E-3</v>
      </c>
      <c r="L2193">
        <v>-1.5299999999999999E-3</v>
      </c>
      <c r="M2193">
        <v>-1.65E-3</v>
      </c>
      <c r="N2193">
        <v>-1.8699999999999999E-3</v>
      </c>
      <c r="O2193">
        <v>-1.9E-3</v>
      </c>
      <c r="P2193">
        <v>-2.0100000000000001E-3</v>
      </c>
      <c r="Q2193">
        <v>-2.2000000000000001E-3</v>
      </c>
      <c r="R2193">
        <v>-2.33E-3</v>
      </c>
      <c r="S2193">
        <v>-2.3900000000000002E-3</v>
      </c>
      <c r="T2193">
        <v>-3.0000000000000001E-3</v>
      </c>
    </row>
    <row r="2194" spans="2:20" x14ac:dyDescent="0.25">
      <c r="B2194" t="s">
        <v>133</v>
      </c>
      <c r="C2194" t="s">
        <v>3261</v>
      </c>
      <c r="D2194" t="s">
        <v>6298</v>
      </c>
      <c r="E2194" t="s">
        <v>6299</v>
      </c>
      <c r="F2194" t="s">
        <v>8109</v>
      </c>
      <c r="G2194" t="s">
        <v>6239</v>
      </c>
      <c r="H2194" t="s">
        <v>6276</v>
      </c>
      <c r="I2194" t="s">
        <v>6241</v>
      </c>
      <c r="K2194">
        <v>-1.5100000000000001E-3</v>
      </c>
      <c r="L2194">
        <v>-1.39E-3</v>
      </c>
      <c r="M2194">
        <v>-1.41E-3</v>
      </c>
      <c r="N2194">
        <v>-1.3500000000000001E-3</v>
      </c>
      <c r="O2194">
        <v>-1.39E-3</v>
      </c>
      <c r="P2194">
        <v>-1.3500000000000001E-3</v>
      </c>
      <c r="Q2194">
        <v>-1.4300000000000001E-3</v>
      </c>
      <c r="R2194">
        <v>-1.3799999999999999E-3</v>
      </c>
      <c r="S2194">
        <v>-1.4300000000000001E-3</v>
      </c>
      <c r="T2194">
        <v>-1.7600000000000001E-3</v>
      </c>
    </row>
    <row r="2195" spans="2:20" x14ac:dyDescent="0.25">
      <c r="B2195" t="s">
        <v>133</v>
      </c>
      <c r="C2195" t="s">
        <v>3261</v>
      </c>
      <c r="D2195" t="s">
        <v>6301</v>
      </c>
      <c r="E2195" t="s">
        <v>6302</v>
      </c>
      <c r="F2195" t="s">
        <v>8110</v>
      </c>
      <c r="G2195" t="s">
        <v>6239</v>
      </c>
      <c r="H2195" t="s">
        <v>6276</v>
      </c>
      <c r="I2195" t="s">
        <v>6241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-1.0000000000000001E-5</v>
      </c>
    </row>
    <row r="2196" spans="2:20" x14ac:dyDescent="0.25">
      <c r="B2196" t="s">
        <v>133</v>
      </c>
      <c r="C2196" t="s">
        <v>3261</v>
      </c>
      <c r="D2196" t="s">
        <v>6304</v>
      </c>
      <c r="E2196" t="s">
        <v>6305</v>
      </c>
      <c r="F2196" t="s">
        <v>8111</v>
      </c>
      <c r="G2196" t="s">
        <v>6239</v>
      </c>
      <c r="H2196" t="s">
        <v>6276</v>
      </c>
      <c r="I2196" t="s">
        <v>6241</v>
      </c>
      <c r="K2196">
        <v>-1.2800000000000001E-3</v>
      </c>
      <c r="L2196">
        <v>-1.25E-3</v>
      </c>
      <c r="M2196">
        <v>-1.25E-3</v>
      </c>
      <c r="N2196">
        <v>-1.1999999999999999E-3</v>
      </c>
      <c r="O2196">
        <v>-1.1900000000000001E-3</v>
      </c>
      <c r="P2196">
        <v>-1.06E-3</v>
      </c>
      <c r="Q2196">
        <v>-9.3000000000000005E-4</v>
      </c>
      <c r="R2196">
        <v>-8.1999999999999998E-4</v>
      </c>
      <c r="S2196">
        <v>-6.6E-4</v>
      </c>
      <c r="T2196">
        <v>-4.8000000000000001E-4</v>
      </c>
    </row>
    <row r="2197" spans="2:20" x14ac:dyDescent="0.25">
      <c r="B2197" t="s">
        <v>133</v>
      </c>
      <c r="C2197" t="s">
        <v>3261</v>
      </c>
      <c r="D2197" t="s">
        <v>6307</v>
      </c>
      <c r="E2197" t="s">
        <v>6308</v>
      </c>
      <c r="F2197" t="s">
        <v>8112</v>
      </c>
      <c r="G2197" t="s">
        <v>6239</v>
      </c>
      <c r="H2197" t="s">
        <v>6276</v>
      </c>
      <c r="I2197" t="s">
        <v>6241</v>
      </c>
      <c r="K2197">
        <v>-1.8E-3</v>
      </c>
      <c r="L2197">
        <v>-1.92E-3</v>
      </c>
      <c r="M2197">
        <v>-1.99E-3</v>
      </c>
      <c r="N2197">
        <v>-2.0999999999999999E-3</v>
      </c>
      <c r="O2197">
        <v>-2.2300000000000002E-3</v>
      </c>
      <c r="P2197">
        <v>-2.3999999999999998E-3</v>
      </c>
      <c r="Q2197">
        <v>-2.64E-3</v>
      </c>
      <c r="R2197">
        <v>-3.0899999999999999E-3</v>
      </c>
      <c r="S2197">
        <v>-3.2599999999999999E-3</v>
      </c>
      <c r="T2197">
        <v>-3.9199999999999999E-3</v>
      </c>
    </row>
    <row r="2198" spans="2:20" x14ac:dyDescent="0.25">
      <c r="B2198" t="s">
        <v>133</v>
      </c>
      <c r="C2198" t="s">
        <v>3261</v>
      </c>
      <c r="D2198" t="s">
        <v>6310</v>
      </c>
      <c r="E2198" t="s">
        <v>6311</v>
      </c>
      <c r="F2198" t="s">
        <v>8113</v>
      </c>
      <c r="G2198" t="s">
        <v>6239</v>
      </c>
      <c r="H2198" t="s">
        <v>6276</v>
      </c>
      <c r="I2198" t="s">
        <v>6241</v>
      </c>
      <c r="K2198">
        <v>-4.0299999999999997E-3</v>
      </c>
      <c r="L2198">
        <v>-3.9300000000000003E-3</v>
      </c>
      <c r="M2198">
        <v>-3.8E-3</v>
      </c>
      <c r="N2198">
        <v>-3.8600000000000001E-3</v>
      </c>
      <c r="O2198">
        <v>-3.8999999999999998E-3</v>
      </c>
      <c r="P2198">
        <v>-3.9100000000000003E-3</v>
      </c>
      <c r="Q2198">
        <v>-3.82E-3</v>
      </c>
      <c r="R2198">
        <v>-3.82E-3</v>
      </c>
      <c r="S2198">
        <v>-3.9100000000000003E-3</v>
      </c>
      <c r="T2198">
        <v>-4.3200000000000001E-3</v>
      </c>
    </row>
    <row r="2199" spans="2:20" x14ac:dyDescent="0.25">
      <c r="B2199" t="s">
        <v>133</v>
      </c>
      <c r="C2199" t="s">
        <v>3261</v>
      </c>
      <c r="D2199" t="s">
        <v>6313</v>
      </c>
      <c r="E2199" t="s">
        <v>6314</v>
      </c>
      <c r="F2199" t="s">
        <v>8114</v>
      </c>
      <c r="G2199" t="s">
        <v>6239</v>
      </c>
      <c r="H2199" t="s">
        <v>6276</v>
      </c>
      <c r="I2199" t="s">
        <v>6241</v>
      </c>
      <c r="K2199">
        <v>-1.3999999999999999E-4</v>
      </c>
      <c r="L2199">
        <v>-1.6000000000000001E-4</v>
      </c>
      <c r="M2199">
        <v>-1.4999999999999999E-4</v>
      </c>
      <c r="N2199">
        <v>-1.2999999999999999E-4</v>
      </c>
      <c r="O2199">
        <v>-1.8000000000000001E-4</v>
      </c>
      <c r="P2199">
        <v>-2.1000000000000001E-4</v>
      </c>
      <c r="Q2199">
        <v>-2.5000000000000001E-4</v>
      </c>
      <c r="R2199">
        <v>-2.9E-4</v>
      </c>
      <c r="S2199">
        <v>-3.1E-4</v>
      </c>
      <c r="T2199">
        <v>-4.0000000000000002E-4</v>
      </c>
    </row>
    <row r="2200" spans="2:20" x14ac:dyDescent="0.25">
      <c r="B2200" t="s">
        <v>133</v>
      </c>
      <c r="C2200" t="s">
        <v>3261</v>
      </c>
      <c r="D2200" t="s">
        <v>6316</v>
      </c>
      <c r="E2200" t="s">
        <v>6317</v>
      </c>
      <c r="F2200" t="s">
        <v>8115</v>
      </c>
      <c r="G2200" t="s">
        <v>6239</v>
      </c>
      <c r="H2200" t="s">
        <v>6276</v>
      </c>
      <c r="I2200" t="s">
        <v>6241</v>
      </c>
      <c r="K2200">
        <v>-1.32E-3</v>
      </c>
      <c r="L2200">
        <v>-1.31E-3</v>
      </c>
      <c r="M2200">
        <v>-1.32E-3</v>
      </c>
      <c r="N2200">
        <v>-1.33E-3</v>
      </c>
      <c r="O2200">
        <v>-1.4E-3</v>
      </c>
      <c r="P2200">
        <v>-1.39E-3</v>
      </c>
      <c r="Q2200">
        <v>-1.42E-3</v>
      </c>
      <c r="R2200">
        <v>-1.4E-3</v>
      </c>
      <c r="S2200">
        <v>-1.3799999999999999E-3</v>
      </c>
      <c r="T2200">
        <v>-1.2800000000000001E-3</v>
      </c>
    </row>
    <row r="2201" spans="2:20" x14ac:dyDescent="0.25">
      <c r="B2201" t="s">
        <v>133</v>
      </c>
      <c r="C2201" t="s">
        <v>3261</v>
      </c>
      <c r="D2201" t="s">
        <v>6319</v>
      </c>
      <c r="E2201" t="s">
        <v>6320</v>
      </c>
      <c r="F2201" t="s">
        <v>8116</v>
      </c>
      <c r="G2201" t="s">
        <v>6239</v>
      </c>
      <c r="H2201" t="s">
        <v>6322</v>
      </c>
      <c r="I2201" t="s">
        <v>6241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2:20" x14ac:dyDescent="0.25">
      <c r="B2202" t="s">
        <v>133</v>
      </c>
      <c r="C2202" t="s">
        <v>3261</v>
      </c>
      <c r="D2202" t="s">
        <v>6323</v>
      </c>
      <c r="E2202" t="s">
        <v>6324</v>
      </c>
      <c r="F2202" t="s">
        <v>8117</v>
      </c>
      <c r="G2202" t="s">
        <v>6239</v>
      </c>
      <c r="H2202" t="s">
        <v>6322</v>
      </c>
      <c r="I2202" t="s">
        <v>6241</v>
      </c>
      <c r="K2202">
        <v>3.3562400000000001</v>
      </c>
      <c r="L2202">
        <v>3.0570400000000002</v>
      </c>
      <c r="M2202">
        <v>3.0028199999999998</v>
      </c>
      <c r="N2202">
        <v>2.95045</v>
      </c>
      <c r="O2202">
        <v>2.9516100000000001</v>
      </c>
      <c r="P2202">
        <v>2.98258</v>
      </c>
      <c r="Q2202">
        <v>3.0720700000000001</v>
      </c>
      <c r="R2202">
        <v>3.1855899999999999</v>
      </c>
      <c r="S2202">
        <v>3.23095</v>
      </c>
      <c r="T2202">
        <v>3.4904500000000001</v>
      </c>
    </row>
    <row r="2203" spans="2:20" x14ac:dyDescent="0.25">
      <c r="B2203" t="s">
        <v>133</v>
      </c>
      <c r="C2203" t="s">
        <v>3261</v>
      </c>
      <c r="D2203" t="s">
        <v>6326</v>
      </c>
      <c r="E2203" t="s">
        <v>6327</v>
      </c>
      <c r="F2203" t="s">
        <v>8118</v>
      </c>
      <c r="G2203" t="s">
        <v>6239</v>
      </c>
      <c r="H2203" t="s">
        <v>6322</v>
      </c>
      <c r="I2203" t="s">
        <v>6241</v>
      </c>
      <c r="K2203">
        <v>0.24565000000000001</v>
      </c>
      <c r="L2203">
        <v>0.26417000000000002</v>
      </c>
      <c r="M2203">
        <v>0.25070999999999999</v>
      </c>
      <c r="N2203">
        <v>0.26715</v>
      </c>
      <c r="O2203">
        <v>0.30376999999999998</v>
      </c>
      <c r="P2203">
        <v>0.31380999999999998</v>
      </c>
      <c r="Q2203">
        <v>0.33935999999999999</v>
      </c>
      <c r="R2203">
        <v>0.38721</v>
      </c>
      <c r="S2203">
        <v>0.43569999999999998</v>
      </c>
      <c r="T2203">
        <v>0.53090000000000004</v>
      </c>
    </row>
    <row r="2204" spans="2:20" x14ac:dyDescent="0.25">
      <c r="B2204" t="s">
        <v>133</v>
      </c>
      <c r="C2204" t="s">
        <v>3261</v>
      </c>
      <c r="D2204" t="s">
        <v>6329</v>
      </c>
      <c r="E2204" t="s">
        <v>6330</v>
      </c>
      <c r="F2204" t="s">
        <v>8119</v>
      </c>
      <c r="G2204" t="s">
        <v>6239</v>
      </c>
      <c r="H2204" t="s">
        <v>6322</v>
      </c>
      <c r="I2204" t="s">
        <v>6241</v>
      </c>
      <c r="K2204">
        <v>8.8660000000000003E-2</v>
      </c>
      <c r="L2204">
        <v>9.1700000000000004E-2</v>
      </c>
      <c r="M2204">
        <v>0.12545999999999999</v>
      </c>
      <c r="N2204">
        <v>9.8580000000000001E-2</v>
      </c>
      <c r="O2204">
        <v>0.12416000000000001</v>
      </c>
      <c r="P2204">
        <v>0.12834999999999999</v>
      </c>
      <c r="Q2204">
        <v>0.12567</v>
      </c>
      <c r="R2204">
        <v>0.13841999999999999</v>
      </c>
      <c r="S2204">
        <v>0.12906999999999999</v>
      </c>
      <c r="T2204">
        <v>0.14066000000000001</v>
      </c>
    </row>
    <row r="2205" spans="2:20" x14ac:dyDescent="0.25">
      <c r="B2205" t="s">
        <v>133</v>
      </c>
      <c r="C2205" t="s">
        <v>3261</v>
      </c>
      <c r="D2205" t="s">
        <v>6332</v>
      </c>
      <c r="E2205" t="s">
        <v>6333</v>
      </c>
      <c r="F2205" t="s">
        <v>8120</v>
      </c>
      <c r="G2205" t="s">
        <v>6239</v>
      </c>
      <c r="H2205" t="s">
        <v>6322</v>
      </c>
      <c r="I2205" t="s">
        <v>6241</v>
      </c>
      <c r="K2205">
        <v>0.27312999999999998</v>
      </c>
      <c r="L2205">
        <v>0.32055</v>
      </c>
      <c r="M2205">
        <v>0.41546</v>
      </c>
      <c r="N2205">
        <v>0.41344999999999998</v>
      </c>
      <c r="O2205">
        <v>0.4738</v>
      </c>
      <c r="P2205">
        <v>0.48488999999999999</v>
      </c>
      <c r="Q2205">
        <v>0.57931999999999995</v>
      </c>
      <c r="R2205">
        <v>0.59521999999999997</v>
      </c>
      <c r="S2205">
        <v>0.59216999999999997</v>
      </c>
      <c r="T2205">
        <v>0.72887999999999997</v>
      </c>
    </row>
    <row r="2206" spans="2:20" x14ac:dyDescent="0.25">
      <c r="B2206" t="s">
        <v>133</v>
      </c>
      <c r="C2206" t="s">
        <v>3261</v>
      </c>
      <c r="D2206" t="s">
        <v>6335</v>
      </c>
      <c r="E2206" t="s">
        <v>6336</v>
      </c>
      <c r="F2206" t="s">
        <v>8121</v>
      </c>
      <c r="G2206" t="s">
        <v>6239</v>
      </c>
      <c r="H2206" t="s">
        <v>6322</v>
      </c>
      <c r="I2206" t="s">
        <v>6241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2:20" x14ac:dyDescent="0.25">
      <c r="B2207" t="s">
        <v>133</v>
      </c>
      <c r="C2207" t="s">
        <v>3261</v>
      </c>
      <c r="D2207" t="s">
        <v>6338</v>
      </c>
      <c r="E2207" t="s">
        <v>6339</v>
      </c>
      <c r="F2207" t="s">
        <v>8122</v>
      </c>
      <c r="G2207" t="s">
        <v>6239</v>
      </c>
      <c r="H2207" t="s">
        <v>6322</v>
      </c>
      <c r="I2207" t="s">
        <v>6241</v>
      </c>
      <c r="K2207">
        <v>2.0000000000000002E-5</v>
      </c>
      <c r="L2207">
        <v>2.0000000000000002E-5</v>
      </c>
      <c r="M2207">
        <v>1.0000000000000001E-5</v>
      </c>
      <c r="N2207">
        <v>5.0000000000000002E-5</v>
      </c>
      <c r="O2207">
        <v>5.0000000000000002E-5</v>
      </c>
      <c r="P2207">
        <v>4.0000000000000003E-5</v>
      </c>
      <c r="Q2207">
        <v>2.0000000000000002E-5</v>
      </c>
      <c r="R2207">
        <v>8.0000000000000007E-5</v>
      </c>
      <c r="S2207">
        <v>1.1E-4</v>
      </c>
      <c r="T2207">
        <v>6.9999999999999994E-5</v>
      </c>
    </row>
    <row r="2208" spans="2:20" x14ac:dyDescent="0.25">
      <c r="B2208" t="s">
        <v>133</v>
      </c>
      <c r="C2208" t="s">
        <v>3261</v>
      </c>
      <c r="D2208" t="s">
        <v>6341</v>
      </c>
      <c r="E2208" t="s">
        <v>6342</v>
      </c>
      <c r="F2208" t="s">
        <v>8123</v>
      </c>
      <c r="G2208" t="s">
        <v>6239</v>
      </c>
      <c r="H2208" t="s">
        <v>6322</v>
      </c>
      <c r="I2208" t="s">
        <v>6241</v>
      </c>
      <c r="K2208">
        <v>2.5198200000000002</v>
      </c>
      <c r="L2208">
        <v>2.0226899999999999</v>
      </c>
      <c r="M2208">
        <v>1.8737999999999999</v>
      </c>
      <c r="N2208">
        <v>1.70397</v>
      </c>
      <c r="O2208">
        <v>1.54288</v>
      </c>
      <c r="P2208">
        <v>1.4798500000000001</v>
      </c>
      <c r="Q2208">
        <v>1.42763</v>
      </c>
      <c r="R2208">
        <v>1.36385</v>
      </c>
      <c r="S2208">
        <v>1.1714</v>
      </c>
      <c r="T2208">
        <v>0.94108000000000003</v>
      </c>
    </row>
    <row r="2209" spans="2:20" x14ac:dyDescent="0.25">
      <c r="B2209" t="s">
        <v>133</v>
      </c>
      <c r="C2209" t="s">
        <v>3261</v>
      </c>
      <c r="D2209" t="s">
        <v>6344</v>
      </c>
      <c r="E2209" t="s">
        <v>6345</v>
      </c>
      <c r="F2209" t="s">
        <v>8124</v>
      </c>
      <c r="G2209" t="s">
        <v>6239</v>
      </c>
      <c r="H2209" t="s">
        <v>6322</v>
      </c>
      <c r="I2209" t="s">
        <v>6241</v>
      </c>
      <c r="K2209">
        <v>8.9499999999999996E-3</v>
      </c>
      <c r="L2209">
        <v>4.7600000000000003E-3</v>
      </c>
      <c r="M2209">
        <v>5.5799999999999999E-3</v>
      </c>
      <c r="N2209">
        <v>3.63E-3</v>
      </c>
      <c r="O2209">
        <v>2.8E-3</v>
      </c>
      <c r="P2209">
        <v>2.6700000000000001E-3</v>
      </c>
      <c r="Q2209">
        <v>2.9099999999999998E-3</v>
      </c>
      <c r="R2209">
        <v>3.0200000000000001E-3</v>
      </c>
      <c r="S2209">
        <v>2.0400000000000001E-3</v>
      </c>
      <c r="T2209">
        <v>1.16E-3</v>
      </c>
    </row>
    <row r="2210" spans="2:20" x14ac:dyDescent="0.25">
      <c r="B2210" t="s">
        <v>133</v>
      </c>
      <c r="C2210" t="s">
        <v>3261</v>
      </c>
      <c r="D2210" t="s">
        <v>6347</v>
      </c>
      <c r="E2210" t="s">
        <v>6348</v>
      </c>
      <c r="F2210" t="s">
        <v>8125</v>
      </c>
      <c r="G2210" t="s">
        <v>6239</v>
      </c>
      <c r="H2210" t="s">
        <v>6322</v>
      </c>
      <c r="I2210" t="s">
        <v>6241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1.0000000000000001E-5</v>
      </c>
      <c r="Q2210">
        <v>0</v>
      </c>
      <c r="R2210">
        <v>1.0000000000000001E-5</v>
      </c>
      <c r="S2210">
        <v>1.0000000000000001E-5</v>
      </c>
      <c r="T2210">
        <v>1.0000000000000001E-5</v>
      </c>
    </row>
    <row r="2211" spans="2:20" x14ac:dyDescent="0.25">
      <c r="B2211" t="s">
        <v>133</v>
      </c>
      <c r="C2211" t="s">
        <v>3261</v>
      </c>
      <c r="D2211" t="s">
        <v>6350</v>
      </c>
      <c r="E2211" t="s">
        <v>6351</v>
      </c>
      <c r="F2211" t="s">
        <v>8126</v>
      </c>
      <c r="G2211" t="s">
        <v>6239</v>
      </c>
      <c r="H2211" t="s">
        <v>6322</v>
      </c>
      <c r="I2211" t="s">
        <v>6241</v>
      </c>
      <c r="K2211">
        <v>4.6999999999999999E-4</v>
      </c>
      <c r="L2211">
        <v>2.5000000000000001E-4</v>
      </c>
      <c r="M2211">
        <v>2.9E-4</v>
      </c>
      <c r="N2211">
        <v>1.9000000000000001E-4</v>
      </c>
      <c r="O2211">
        <v>1.4999999999999999E-4</v>
      </c>
      <c r="P2211">
        <v>1.3999999999999999E-4</v>
      </c>
      <c r="Q2211">
        <v>1.4999999999999999E-4</v>
      </c>
      <c r="R2211">
        <v>1.6000000000000001E-4</v>
      </c>
      <c r="S2211">
        <v>1.1E-4</v>
      </c>
      <c r="T2211">
        <v>6.0000000000000002E-5</v>
      </c>
    </row>
    <row r="2212" spans="2:20" x14ac:dyDescent="0.25">
      <c r="B2212" t="s">
        <v>133</v>
      </c>
      <c r="C2212" t="s">
        <v>3261</v>
      </c>
      <c r="D2212" t="s">
        <v>6353</v>
      </c>
      <c r="E2212" t="s">
        <v>6354</v>
      </c>
      <c r="F2212" t="s">
        <v>8127</v>
      </c>
      <c r="G2212" t="s">
        <v>6239</v>
      </c>
      <c r="H2212" t="s">
        <v>6322</v>
      </c>
      <c r="I2212" t="s">
        <v>6241</v>
      </c>
      <c r="K2212">
        <v>1.60585</v>
      </c>
      <c r="L2212">
        <v>1.5572900000000001</v>
      </c>
      <c r="M2212">
        <v>1.5845199999999999</v>
      </c>
      <c r="N2212">
        <v>1.5382800000000001</v>
      </c>
      <c r="O2212">
        <v>1.58724</v>
      </c>
      <c r="P2212">
        <v>1.57575</v>
      </c>
      <c r="Q2212">
        <v>1.5923499999999999</v>
      </c>
      <c r="R2212">
        <v>1.55287</v>
      </c>
      <c r="S2212">
        <v>1.53905</v>
      </c>
      <c r="T2212">
        <v>1.6297600000000001</v>
      </c>
    </row>
    <row r="2213" spans="2:20" x14ac:dyDescent="0.25">
      <c r="B2213" t="s">
        <v>133</v>
      </c>
      <c r="C2213" t="s">
        <v>3261</v>
      </c>
      <c r="D2213" t="s">
        <v>6356</v>
      </c>
      <c r="E2213" t="s">
        <v>6357</v>
      </c>
      <c r="F2213" t="s">
        <v>8128</v>
      </c>
      <c r="G2213" t="s">
        <v>6239</v>
      </c>
      <c r="H2213" t="s">
        <v>6322</v>
      </c>
      <c r="I2213" t="s">
        <v>6241</v>
      </c>
      <c r="K2213">
        <v>3.89941</v>
      </c>
      <c r="L2213">
        <v>3.5377000000000001</v>
      </c>
      <c r="M2213">
        <v>3.4780000000000002</v>
      </c>
      <c r="N2213">
        <v>3.4288500000000002</v>
      </c>
      <c r="O2213">
        <v>3.3705400000000001</v>
      </c>
      <c r="P2213">
        <v>3.39655</v>
      </c>
      <c r="Q2213">
        <v>3.3731900000000001</v>
      </c>
      <c r="R2213">
        <v>3.3282500000000002</v>
      </c>
      <c r="S2213">
        <v>3.3230499999999998</v>
      </c>
      <c r="T2213">
        <v>3.2792699999999999</v>
      </c>
    </row>
    <row r="2214" spans="2:20" x14ac:dyDescent="0.25">
      <c r="B2214" t="s">
        <v>133</v>
      </c>
      <c r="C2214" t="s">
        <v>3261</v>
      </c>
      <c r="D2214" t="s">
        <v>6359</v>
      </c>
      <c r="E2214" t="s">
        <v>6360</v>
      </c>
      <c r="F2214" t="s">
        <v>8129</v>
      </c>
      <c r="G2214" t="s">
        <v>6239</v>
      </c>
      <c r="H2214" t="s">
        <v>6322</v>
      </c>
      <c r="I2214" t="s">
        <v>6241</v>
      </c>
      <c r="K2214">
        <v>5.2554600000000002</v>
      </c>
      <c r="L2214">
        <v>5.5693999999999999</v>
      </c>
      <c r="M2214">
        <v>5.6773600000000002</v>
      </c>
      <c r="N2214">
        <v>5.7297200000000004</v>
      </c>
      <c r="O2214">
        <v>5.6129600000000002</v>
      </c>
      <c r="P2214">
        <v>5.5136200000000004</v>
      </c>
      <c r="Q2214">
        <v>5.24925</v>
      </c>
      <c r="R2214">
        <v>4.8136799999999997</v>
      </c>
      <c r="S2214">
        <v>4.5635199999999996</v>
      </c>
      <c r="T2214">
        <v>3.9498199999999999</v>
      </c>
    </row>
    <row r="2215" spans="2:20" x14ac:dyDescent="0.25">
      <c r="B2215" t="s">
        <v>133</v>
      </c>
      <c r="C2215" t="s">
        <v>3261</v>
      </c>
      <c r="D2215" t="s">
        <v>6362</v>
      </c>
      <c r="E2215" t="s">
        <v>6363</v>
      </c>
      <c r="F2215" t="s">
        <v>8130</v>
      </c>
      <c r="G2215" t="s">
        <v>6239</v>
      </c>
      <c r="H2215" t="s">
        <v>6322</v>
      </c>
      <c r="I2215" t="s">
        <v>6241</v>
      </c>
      <c r="K2215">
        <v>2.1144099999999999</v>
      </c>
      <c r="L2215">
        <v>2.1298599999999999</v>
      </c>
      <c r="M2215">
        <v>2.2776399999999999</v>
      </c>
      <c r="N2215">
        <v>2.41893</v>
      </c>
      <c r="O2215">
        <v>2.6160299999999999</v>
      </c>
      <c r="P2215">
        <v>2.6849599999999998</v>
      </c>
      <c r="Q2215">
        <v>2.7770000000000001</v>
      </c>
      <c r="R2215">
        <v>2.7384900000000001</v>
      </c>
      <c r="S2215">
        <v>2.8589000000000002</v>
      </c>
      <c r="T2215">
        <v>2.8957799999999998</v>
      </c>
    </row>
    <row r="2216" spans="2:20" x14ac:dyDescent="0.25">
      <c r="B2216" t="s">
        <v>133</v>
      </c>
      <c r="C2216" t="s">
        <v>3261</v>
      </c>
      <c r="D2216" t="s">
        <v>6365</v>
      </c>
      <c r="E2216" t="s">
        <v>6366</v>
      </c>
      <c r="F2216" t="s">
        <v>8131</v>
      </c>
      <c r="G2216" t="s">
        <v>6239</v>
      </c>
      <c r="H2216" t="s">
        <v>6322</v>
      </c>
      <c r="I2216" t="s">
        <v>6241</v>
      </c>
      <c r="K2216">
        <v>2.6863999999999999</v>
      </c>
      <c r="L2216">
        <v>3.5221900000000002</v>
      </c>
      <c r="M2216">
        <v>3.9014899999999999</v>
      </c>
      <c r="N2216">
        <v>3.9628999999999999</v>
      </c>
      <c r="O2216">
        <v>4.07524</v>
      </c>
      <c r="P2216">
        <v>3.9388200000000002</v>
      </c>
      <c r="Q2216">
        <v>3.7564000000000002</v>
      </c>
      <c r="R2216">
        <v>3.2689900000000001</v>
      </c>
      <c r="S2216">
        <v>2.6295500000000001</v>
      </c>
      <c r="T2216">
        <v>1.4299900000000001</v>
      </c>
    </row>
    <row r="2217" spans="2:20" x14ac:dyDescent="0.25">
      <c r="B2217" t="s">
        <v>133</v>
      </c>
      <c r="C2217" t="s">
        <v>3261</v>
      </c>
      <c r="D2217" t="s">
        <v>6368</v>
      </c>
      <c r="E2217" t="s">
        <v>6369</v>
      </c>
      <c r="F2217" t="s">
        <v>8132</v>
      </c>
      <c r="G2217" t="s">
        <v>6239</v>
      </c>
      <c r="H2217" t="s">
        <v>6322</v>
      </c>
      <c r="I2217" t="s">
        <v>6241</v>
      </c>
      <c r="K2217">
        <v>52.981250000000003</v>
      </c>
      <c r="L2217">
        <v>53.252020000000002</v>
      </c>
      <c r="M2217">
        <v>52.452800000000003</v>
      </c>
      <c r="N2217">
        <v>52.018239999999999</v>
      </c>
      <c r="O2217">
        <v>50.968600000000002</v>
      </c>
      <c r="P2217">
        <v>50.812600000000003</v>
      </c>
      <c r="Q2217">
        <v>50.010199999999998</v>
      </c>
      <c r="R2217">
        <v>49.957299999999996</v>
      </c>
      <c r="S2217">
        <v>50.2438</v>
      </c>
      <c r="T2217">
        <v>47.649500000000003</v>
      </c>
    </row>
    <row r="2218" spans="2:20" x14ac:dyDescent="0.25">
      <c r="B2218" t="s">
        <v>133</v>
      </c>
      <c r="C2218" t="s">
        <v>3261</v>
      </c>
      <c r="D2218" t="s">
        <v>6371</v>
      </c>
      <c r="E2218" t="s">
        <v>6372</v>
      </c>
      <c r="F2218" t="s">
        <v>8133</v>
      </c>
      <c r="G2218" t="s">
        <v>6239</v>
      </c>
      <c r="H2218" t="s">
        <v>6322</v>
      </c>
      <c r="I2218" t="s">
        <v>6241</v>
      </c>
      <c r="K2218">
        <v>2.9624600000000001</v>
      </c>
      <c r="L2218">
        <v>3.0012099999999999</v>
      </c>
      <c r="M2218">
        <v>3.2425999999999999</v>
      </c>
      <c r="N2218">
        <v>3.6684899999999998</v>
      </c>
      <c r="O2218">
        <v>3.73509</v>
      </c>
      <c r="P2218">
        <v>3.9405899999999998</v>
      </c>
      <c r="Q2218">
        <v>4.3134399999999999</v>
      </c>
      <c r="R2218">
        <v>4.5710699999999997</v>
      </c>
      <c r="S2218">
        <v>4.6995800000000001</v>
      </c>
      <c r="T2218">
        <v>5.8917999999999999</v>
      </c>
    </row>
    <row r="2219" spans="2:20" x14ac:dyDescent="0.25">
      <c r="B2219" t="s">
        <v>133</v>
      </c>
      <c r="C2219" t="s">
        <v>3261</v>
      </c>
      <c r="D2219" t="s">
        <v>6374</v>
      </c>
      <c r="E2219" t="s">
        <v>6375</v>
      </c>
      <c r="F2219" t="s">
        <v>8134</v>
      </c>
      <c r="G2219" t="s">
        <v>6239</v>
      </c>
      <c r="H2219" t="s">
        <v>6322</v>
      </c>
      <c r="I2219" t="s">
        <v>6241</v>
      </c>
      <c r="K2219">
        <v>4.5945400000000003</v>
      </c>
      <c r="L2219">
        <v>4.2270099999999999</v>
      </c>
      <c r="M2219">
        <v>4.2782</v>
      </c>
      <c r="N2219">
        <v>4.0952799999999998</v>
      </c>
      <c r="O2219">
        <v>4.2236099999999999</v>
      </c>
      <c r="P2219">
        <v>4.1026600000000002</v>
      </c>
      <c r="Q2219">
        <v>4.3357700000000001</v>
      </c>
      <c r="R2219">
        <v>4.1755000000000004</v>
      </c>
      <c r="S2219">
        <v>4.3468299999999997</v>
      </c>
      <c r="T2219">
        <v>5.3558700000000004</v>
      </c>
    </row>
    <row r="2220" spans="2:20" x14ac:dyDescent="0.25">
      <c r="B2220" t="s">
        <v>133</v>
      </c>
      <c r="C2220" t="s">
        <v>3261</v>
      </c>
      <c r="D2220" t="s">
        <v>6377</v>
      </c>
      <c r="E2220" t="s">
        <v>6378</v>
      </c>
      <c r="F2220" t="s">
        <v>8135</v>
      </c>
      <c r="G2220" t="s">
        <v>6239</v>
      </c>
      <c r="H2220" t="s">
        <v>6322</v>
      </c>
      <c r="I2220" t="s">
        <v>6241</v>
      </c>
      <c r="K2220">
        <v>1.1730000000000001E-2</v>
      </c>
      <c r="L2220">
        <v>8.5900000000000004E-3</v>
      </c>
      <c r="M2220">
        <v>6.4900000000000001E-3</v>
      </c>
      <c r="N2220">
        <v>7.9900000000000006E-3</v>
      </c>
      <c r="O2220">
        <v>1.848E-2</v>
      </c>
      <c r="P2220">
        <v>1.473E-2</v>
      </c>
      <c r="Q2220">
        <v>1.3180000000000001E-2</v>
      </c>
      <c r="R2220">
        <v>1.643E-2</v>
      </c>
      <c r="S2220">
        <v>1.5699999999999999E-2</v>
      </c>
      <c r="T2220">
        <v>2.8119999999999999E-2</v>
      </c>
    </row>
    <row r="2221" spans="2:20" x14ac:dyDescent="0.25">
      <c r="B2221" t="s">
        <v>133</v>
      </c>
      <c r="C2221" t="s">
        <v>3261</v>
      </c>
      <c r="D2221" t="s">
        <v>6380</v>
      </c>
      <c r="E2221" t="s">
        <v>6381</v>
      </c>
      <c r="F2221" t="s">
        <v>8136</v>
      </c>
      <c r="G2221" t="s">
        <v>6239</v>
      </c>
      <c r="H2221" t="s">
        <v>6322</v>
      </c>
      <c r="I2221" t="s">
        <v>6241</v>
      </c>
      <c r="K2221">
        <v>2.0455299999999998</v>
      </c>
      <c r="L2221">
        <v>1.99122</v>
      </c>
      <c r="M2221">
        <v>2.00088</v>
      </c>
      <c r="N2221">
        <v>1.9170499999999999</v>
      </c>
      <c r="O2221">
        <v>1.90821</v>
      </c>
      <c r="P2221">
        <v>1.7008099999999999</v>
      </c>
      <c r="Q2221">
        <v>1.4911300000000001</v>
      </c>
      <c r="R2221">
        <v>1.3100400000000001</v>
      </c>
      <c r="S2221">
        <v>1.05986</v>
      </c>
      <c r="T2221">
        <v>0.75871</v>
      </c>
    </row>
    <row r="2222" spans="2:20" x14ac:dyDescent="0.25">
      <c r="B2222" t="s">
        <v>133</v>
      </c>
      <c r="C2222" t="s">
        <v>3261</v>
      </c>
      <c r="D2222" t="s">
        <v>6383</v>
      </c>
      <c r="E2222" t="s">
        <v>6384</v>
      </c>
      <c r="F2222" t="s">
        <v>8137</v>
      </c>
      <c r="G2222" t="s">
        <v>6239</v>
      </c>
      <c r="H2222" t="s">
        <v>6322</v>
      </c>
      <c r="I2222" t="s">
        <v>6241</v>
      </c>
      <c r="K2222">
        <v>4.3454800000000002</v>
      </c>
      <c r="L2222">
        <v>4.63767</v>
      </c>
      <c r="M2222">
        <v>4.8012499999999996</v>
      </c>
      <c r="N2222">
        <v>5.0640400000000003</v>
      </c>
      <c r="O2222">
        <v>5.3882599999999998</v>
      </c>
      <c r="P2222">
        <v>5.7943899999999999</v>
      </c>
      <c r="Q2222">
        <v>6.36754</v>
      </c>
      <c r="R2222">
        <v>7.4519399999999996</v>
      </c>
      <c r="S2222">
        <v>7.8795999999999999</v>
      </c>
      <c r="T2222">
        <v>9.45749</v>
      </c>
    </row>
    <row r="2223" spans="2:20" x14ac:dyDescent="0.25">
      <c r="B2223" t="s">
        <v>133</v>
      </c>
      <c r="C2223" t="s">
        <v>3261</v>
      </c>
      <c r="D2223" t="s">
        <v>6386</v>
      </c>
      <c r="E2223" t="s">
        <v>6387</v>
      </c>
      <c r="F2223" t="s">
        <v>8138</v>
      </c>
      <c r="G2223" t="s">
        <v>6239</v>
      </c>
      <c r="H2223" t="s">
        <v>6322</v>
      </c>
      <c r="I2223" t="s">
        <v>6241</v>
      </c>
      <c r="K2223">
        <v>6.6302300000000001</v>
      </c>
      <c r="L2223">
        <v>6.4665600000000003</v>
      </c>
      <c r="M2223">
        <v>6.25943</v>
      </c>
      <c r="N2223">
        <v>6.3484800000000003</v>
      </c>
      <c r="O2223">
        <v>6.4184599999999996</v>
      </c>
      <c r="P2223">
        <v>6.4232300000000002</v>
      </c>
      <c r="Q2223">
        <v>6.2890899999999998</v>
      </c>
      <c r="R2223">
        <v>6.2787699999999997</v>
      </c>
      <c r="S2223">
        <v>6.4313700000000003</v>
      </c>
      <c r="T2223">
        <v>7.1076100000000002</v>
      </c>
    </row>
    <row r="2224" spans="2:20" x14ac:dyDescent="0.25">
      <c r="B2224" t="s">
        <v>133</v>
      </c>
      <c r="C2224" t="s">
        <v>3261</v>
      </c>
      <c r="D2224" t="s">
        <v>6389</v>
      </c>
      <c r="E2224" t="s">
        <v>6390</v>
      </c>
      <c r="F2224" t="s">
        <v>8139</v>
      </c>
      <c r="G2224" t="s">
        <v>6239</v>
      </c>
      <c r="H2224" t="s">
        <v>6322</v>
      </c>
      <c r="I2224" t="s">
        <v>6241</v>
      </c>
      <c r="K2224">
        <v>0.27512999999999999</v>
      </c>
      <c r="L2224">
        <v>0.29455999999999999</v>
      </c>
      <c r="M2224">
        <v>0.27689999999999998</v>
      </c>
      <c r="N2224">
        <v>0.25096000000000002</v>
      </c>
      <c r="O2224">
        <v>0.33383000000000002</v>
      </c>
      <c r="P2224">
        <v>0.39290999999999998</v>
      </c>
      <c r="Q2224">
        <v>0.47310000000000002</v>
      </c>
      <c r="R2224">
        <v>0.54139000000000004</v>
      </c>
      <c r="S2224">
        <v>0.58986000000000005</v>
      </c>
      <c r="T2224">
        <v>0.75907999999999998</v>
      </c>
    </row>
    <row r="2225" spans="2:20" x14ac:dyDescent="0.25">
      <c r="B2225" t="s">
        <v>133</v>
      </c>
      <c r="C2225" t="s">
        <v>3261</v>
      </c>
      <c r="D2225" t="s">
        <v>6392</v>
      </c>
      <c r="E2225" t="s">
        <v>6393</v>
      </c>
      <c r="F2225" t="s">
        <v>8140</v>
      </c>
      <c r="G2225" t="s">
        <v>6239</v>
      </c>
      <c r="H2225" t="s">
        <v>6322</v>
      </c>
      <c r="I2225" t="s">
        <v>6241</v>
      </c>
      <c r="K2225">
        <v>4.0991600000000004</v>
      </c>
      <c r="L2225">
        <v>4.0435299999999996</v>
      </c>
      <c r="M2225">
        <v>4.0883200000000004</v>
      </c>
      <c r="N2225">
        <v>4.1133300000000004</v>
      </c>
      <c r="O2225">
        <v>4.3442699999999999</v>
      </c>
      <c r="P2225">
        <v>4.3160499999999997</v>
      </c>
      <c r="Q2225">
        <v>4.4112400000000003</v>
      </c>
      <c r="R2225">
        <v>4.3217299999999996</v>
      </c>
      <c r="S2225">
        <v>4.2578100000000001</v>
      </c>
      <c r="T2225">
        <v>3.9739399999999998</v>
      </c>
    </row>
    <row r="2226" spans="2:20" x14ac:dyDescent="0.25">
      <c r="B2226" t="s">
        <v>133</v>
      </c>
      <c r="C2226" t="s">
        <v>3261</v>
      </c>
      <c r="D2226" t="s">
        <v>6395</v>
      </c>
      <c r="E2226" t="s">
        <v>6396</v>
      </c>
      <c r="F2226" t="s">
        <v>8141</v>
      </c>
      <c r="G2226" t="s">
        <v>6239</v>
      </c>
      <c r="H2226" t="s">
        <v>6398</v>
      </c>
      <c r="I2226" t="s">
        <v>6241</v>
      </c>
      <c r="K2226">
        <v>110903.52396749977</v>
      </c>
      <c r="L2226">
        <v>147534.08103888255</v>
      </c>
      <c r="M2226">
        <v>171442.94493336178</v>
      </c>
      <c r="N2226">
        <v>193544.33870519669</v>
      </c>
      <c r="O2226">
        <v>217054.92117757016</v>
      </c>
      <c r="P2226">
        <v>243108.55776373044</v>
      </c>
      <c r="Q2226">
        <v>274810.78177740861</v>
      </c>
      <c r="R2226">
        <v>312851.41807048954</v>
      </c>
      <c r="S2226">
        <v>375126.53121662809</v>
      </c>
      <c r="T2226">
        <v>561398.82683533861</v>
      </c>
    </row>
    <row r="2227" spans="2:20" x14ac:dyDescent="0.25">
      <c r="B2227" t="s">
        <v>133</v>
      </c>
      <c r="C2227" t="s">
        <v>3261</v>
      </c>
      <c r="D2227" t="s">
        <v>6399</v>
      </c>
      <c r="E2227" t="s">
        <v>6400</v>
      </c>
      <c r="F2227" t="s">
        <v>8142</v>
      </c>
      <c r="G2227" t="s">
        <v>6239</v>
      </c>
      <c r="H2227" t="s">
        <v>6402</v>
      </c>
      <c r="I2227" t="s">
        <v>6241</v>
      </c>
      <c r="K2227">
        <v>1334899121925.9263</v>
      </c>
      <c r="L2227">
        <v>1774994554870.5249</v>
      </c>
      <c r="M2227">
        <v>2062002281124.1125</v>
      </c>
      <c r="N2227">
        <v>2328102056971.8633</v>
      </c>
      <c r="O2227">
        <v>2612059026363.2739</v>
      </c>
      <c r="P2227">
        <v>2924389455475.8843</v>
      </c>
      <c r="Q2227">
        <v>3305031400452.1509</v>
      </c>
      <c r="R2227">
        <v>3763084733131.3159</v>
      </c>
      <c r="S2227">
        <v>4512493313960.6064</v>
      </c>
      <c r="T2227">
        <v>6751982299902.9053</v>
      </c>
    </row>
    <row r="2228" spans="2:20" x14ac:dyDescent="0.25">
      <c r="B2228" t="s">
        <v>133</v>
      </c>
      <c r="C2228" t="s">
        <v>3261</v>
      </c>
      <c r="D2228" t="s">
        <v>6403</v>
      </c>
      <c r="E2228" t="s">
        <v>6404</v>
      </c>
      <c r="F2228" t="s">
        <v>8143</v>
      </c>
      <c r="G2228" t="s">
        <v>6239</v>
      </c>
      <c r="H2228" t="s">
        <v>6406</v>
      </c>
      <c r="I2228" t="s">
        <v>6241</v>
      </c>
      <c r="K2228">
        <v>12036579.850403292</v>
      </c>
      <c r="L2228">
        <v>12031081.512635212</v>
      </c>
      <c r="M2228">
        <v>12027338.202371601</v>
      </c>
      <c r="N2228">
        <v>12028778.896591684</v>
      </c>
      <c r="O2228">
        <v>12034092.625922903</v>
      </c>
      <c r="P2228">
        <v>12029150.608174009</v>
      </c>
      <c r="Q2228">
        <v>12026571.079475192</v>
      </c>
      <c r="R2228">
        <v>12028344.817294205</v>
      </c>
      <c r="S2228">
        <v>12029256.633289773</v>
      </c>
      <c r="T2228">
        <v>12027068.77384213</v>
      </c>
    </row>
    <row r="2229" spans="2:20" x14ac:dyDescent="0.25">
      <c r="B2229" t="s">
        <v>133</v>
      </c>
      <c r="C2229" t="s">
        <v>3261</v>
      </c>
      <c r="D2229" t="s">
        <v>6407</v>
      </c>
      <c r="E2229" t="s">
        <v>6408</v>
      </c>
      <c r="F2229" t="s">
        <v>8144</v>
      </c>
      <c r="G2229" t="s">
        <v>6239</v>
      </c>
      <c r="H2229" t="s">
        <v>6410</v>
      </c>
      <c r="I2229" t="s">
        <v>6241</v>
      </c>
      <c r="K2229">
        <v>2.3175169742719195</v>
      </c>
      <c r="L2229">
        <v>2.8243488848159313</v>
      </c>
      <c r="M2229">
        <v>3.2313112543459184</v>
      </c>
      <c r="N2229">
        <v>3.4276195413393586</v>
      </c>
      <c r="O2229">
        <v>3.8288933392072191</v>
      </c>
      <c r="P2229">
        <v>4.2553318008025549</v>
      </c>
      <c r="Q2229">
        <v>4.8668928909683569</v>
      </c>
      <c r="R2229">
        <v>5.6576984137087862</v>
      </c>
      <c r="S2229">
        <v>6.9601671438068013</v>
      </c>
      <c r="T2229">
        <v>10.821074873678992</v>
      </c>
    </row>
    <row r="2230" spans="2:20" x14ac:dyDescent="0.25">
      <c r="B2230" t="s">
        <v>133</v>
      </c>
      <c r="C2230" t="s">
        <v>3261</v>
      </c>
      <c r="D2230" t="s">
        <v>6411</v>
      </c>
      <c r="E2230" t="s">
        <v>6412</v>
      </c>
      <c r="F2230" t="s">
        <v>8145</v>
      </c>
      <c r="G2230" t="s">
        <v>6239</v>
      </c>
      <c r="H2230" t="s">
        <v>6410</v>
      </c>
      <c r="I2230" t="s">
        <v>6241</v>
      </c>
      <c r="K2230">
        <v>2.1868303871052919</v>
      </c>
      <c r="L2230">
        <v>2.6808390202358163</v>
      </c>
      <c r="M2230">
        <v>3.1157803190229751</v>
      </c>
      <c r="N2230">
        <v>3.561645243658826</v>
      </c>
      <c r="O2230">
        <v>4.0059302250152591</v>
      </c>
      <c r="P2230">
        <v>4.6429490949734173</v>
      </c>
      <c r="Q2230">
        <v>5.3667460397820461</v>
      </c>
      <c r="R2230">
        <v>6.0187719101628838</v>
      </c>
      <c r="S2230">
        <v>7.8402164797217333</v>
      </c>
      <c r="T2230">
        <v>12.307452030730898</v>
      </c>
    </row>
    <row r="2231" spans="2:20" x14ac:dyDescent="0.25">
      <c r="B2231" t="s">
        <v>133</v>
      </c>
      <c r="C2231" t="s">
        <v>3261</v>
      </c>
      <c r="D2231" t="s">
        <v>6414</v>
      </c>
      <c r="E2231" t="s">
        <v>6415</v>
      </c>
      <c r="F2231" t="s">
        <v>8146</v>
      </c>
      <c r="G2231" t="s">
        <v>6239</v>
      </c>
      <c r="H2231" t="s">
        <v>6410</v>
      </c>
      <c r="I2231" t="s">
        <v>6241</v>
      </c>
      <c r="K2231">
        <v>4.4768760132819452</v>
      </c>
      <c r="L2231">
        <v>5.4402658649390521</v>
      </c>
      <c r="M2231">
        <v>6.2128543595034067</v>
      </c>
      <c r="N2231">
        <v>6.9124325764621712</v>
      </c>
      <c r="O2231">
        <v>7.7596384277110007</v>
      </c>
      <c r="P2231">
        <v>8.7750910627904073</v>
      </c>
      <c r="Q2231">
        <v>10.203258135550517</v>
      </c>
      <c r="R2231">
        <v>12.027574142770682</v>
      </c>
      <c r="S2231">
        <v>14.618309374916032</v>
      </c>
      <c r="T2231">
        <v>23.573700042074783</v>
      </c>
    </row>
    <row r="2232" spans="2:20" x14ac:dyDescent="0.25">
      <c r="B2232" t="s">
        <v>133</v>
      </c>
      <c r="C2232" t="s">
        <v>3261</v>
      </c>
      <c r="D2232" t="s">
        <v>6417</v>
      </c>
      <c r="E2232" t="s">
        <v>6418</v>
      </c>
      <c r="F2232" t="s">
        <v>8147</v>
      </c>
      <c r="G2232" t="s">
        <v>6239</v>
      </c>
      <c r="H2232" t="s">
        <v>6420</v>
      </c>
      <c r="K2232">
        <v>-9.9045182666871831E-2</v>
      </c>
    </row>
    <row r="2233" spans="2:20" x14ac:dyDescent="0.25">
      <c r="B2233" t="s">
        <v>133</v>
      </c>
      <c r="C2233" t="s">
        <v>3261</v>
      </c>
      <c r="D2233" t="s">
        <v>6421</v>
      </c>
      <c r="E2233" t="s">
        <v>6422</v>
      </c>
      <c r="F2233" t="s">
        <v>8148</v>
      </c>
      <c r="G2233" t="s">
        <v>6239</v>
      </c>
      <c r="H2233" t="s">
        <v>6420</v>
      </c>
      <c r="K2233">
        <v>-0.11739828151364415</v>
      </c>
    </row>
    <row r="2234" spans="2:20" x14ac:dyDescent="0.25">
      <c r="B2234" t="s">
        <v>133</v>
      </c>
      <c r="C2234" t="s">
        <v>3261</v>
      </c>
      <c r="D2234" t="s">
        <v>6424</v>
      </c>
      <c r="E2234" t="s">
        <v>6425</v>
      </c>
      <c r="F2234" t="s">
        <v>8149</v>
      </c>
      <c r="G2234" t="s">
        <v>6239</v>
      </c>
      <c r="H2234" t="s">
        <v>6420</v>
      </c>
      <c r="K2234">
        <v>-9.6940842794473542E-2</v>
      </c>
    </row>
    <row r="2235" spans="2:20" x14ac:dyDescent="0.25">
      <c r="B2235" t="s">
        <v>133</v>
      </c>
      <c r="C2235" t="s">
        <v>3261</v>
      </c>
      <c r="D2235" t="s">
        <v>6427</v>
      </c>
      <c r="E2235" t="s">
        <v>6428</v>
      </c>
      <c r="F2235" t="s">
        <v>8150</v>
      </c>
      <c r="G2235" t="s">
        <v>6239</v>
      </c>
      <c r="H2235" t="s">
        <v>6430</v>
      </c>
      <c r="K2235">
        <v>-1.8109620862577973</v>
      </c>
    </row>
    <row r="2236" spans="2:20" x14ac:dyDescent="0.25">
      <c r="B2236" t="s">
        <v>133</v>
      </c>
      <c r="C2236" t="s">
        <v>3261</v>
      </c>
      <c r="D2236" t="s">
        <v>6431</v>
      </c>
      <c r="E2236" t="s">
        <v>6432</v>
      </c>
      <c r="F2236" t="s">
        <v>8151</v>
      </c>
      <c r="G2236" t="s">
        <v>6239</v>
      </c>
      <c r="H2236" t="s">
        <v>6430</v>
      </c>
      <c r="K2236">
        <v>-1.2954372824930827</v>
      </c>
    </row>
    <row r="2237" spans="2:20" x14ac:dyDescent="0.25">
      <c r="B2237" t="s">
        <v>133</v>
      </c>
      <c r="C2237" t="s">
        <v>3261</v>
      </c>
      <c r="D2237" t="s">
        <v>6434</v>
      </c>
      <c r="E2237" t="s">
        <v>6435</v>
      </c>
      <c r="F2237" t="s">
        <v>8152</v>
      </c>
      <c r="G2237" t="s">
        <v>6239</v>
      </c>
      <c r="H2237" t="s">
        <v>6430</v>
      </c>
      <c r="K2237">
        <v>-2.2599899322358308</v>
      </c>
    </row>
    <row r="2238" spans="2:20" x14ac:dyDescent="0.25">
      <c r="B2238" t="s">
        <v>133</v>
      </c>
      <c r="C2238" t="s">
        <v>3261</v>
      </c>
      <c r="D2238" t="s">
        <v>6437</v>
      </c>
      <c r="E2238" t="s">
        <v>6438</v>
      </c>
      <c r="F2238" t="s">
        <v>8153</v>
      </c>
      <c r="G2238" t="s">
        <v>6239</v>
      </c>
      <c r="H2238" t="s">
        <v>6440</v>
      </c>
      <c r="K2238">
        <v>0</v>
      </c>
    </row>
    <row r="2239" spans="2:20" x14ac:dyDescent="0.25">
      <c r="B2239" t="s">
        <v>133</v>
      </c>
      <c r="C2239" t="s">
        <v>3261</v>
      </c>
      <c r="D2239" t="s">
        <v>6441</v>
      </c>
      <c r="E2239" t="s">
        <v>6442</v>
      </c>
      <c r="F2239" t="s">
        <v>8154</v>
      </c>
      <c r="G2239" t="s">
        <v>6239</v>
      </c>
      <c r="H2239" t="s">
        <v>6440</v>
      </c>
      <c r="K2239">
        <v>42.89967471796389</v>
      </c>
    </row>
    <row r="2240" spans="2:20" x14ac:dyDescent="0.25">
      <c r="B2240" t="s">
        <v>133</v>
      </c>
      <c r="C2240" t="s">
        <v>3261</v>
      </c>
      <c r="D2240" t="s">
        <v>6444</v>
      </c>
      <c r="E2240" t="s">
        <v>6445</v>
      </c>
      <c r="F2240" t="s">
        <v>8155</v>
      </c>
      <c r="G2240" t="s">
        <v>6239</v>
      </c>
      <c r="H2240" t="s">
        <v>6440</v>
      </c>
      <c r="K2240">
        <v>0</v>
      </c>
    </row>
    <row r="2241" spans="2:11" x14ac:dyDescent="0.25">
      <c r="B2241" t="s">
        <v>133</v>
      </c>
      <c r="C2241" t="s">
        <v>3261</v>
      </c>
      <c r="D2241" t="s">
        <v>6447</v>
      </c>
      <c r="E2241" t="s">
        <v>6448</v>
      </c>
      <c r="F2241" t="s">
        <v>8156</v>
      </c>
      <c r="G2241" t="s">
        <v>6239</v>
      </c>
      <c r="H2241" t="s">
        <v>6440</v>
      </c>
      <c r="K2241">
        <v>0</v>
      </c>
    </row>
    <row r="2242" spans="2:11" x14ac:dyDescent="0.25">
      <c r="B2242" t="s">
        <v>133</v>
      </c>
      <c r="C2242" t="s">
        <v>3261</v>
      </c>
      <c r="D2242" t="s">
        <v>6450</v>
      </c>
      <c r="E2242" t="s">
        <v>6451</v>
      </c>
      <c r="F2242" t="s">
        <v>8157</v>
      </c>
      <c r="G2242" t="s">
        <v>6239</v>
      </c>
      <c r="H2242" t="s">
        <v>6440</v>
      </c>
      <c r="K2242">
        <v>0</v>
      </c>
    </row>
    <row r="2243" spans="2:11" x14ac:dyDescent="0.25">
      <c r="B2243" t="s">
        <v>133</v>
      </c>
      <c r="C2243" t="s">
        <v>3261</v>
      </c>
      <c r="D2243" t="s">
        <v>6453</v>
      </c>
      <c r="E2243" t="s">
        <v>6454</v>
      </c>
      <c r="F2243" t="s">
        <v>8158</v>
      </c>
      <c r="G2243" t="s">
        <v>6239</v>
      </c>
      <c r="H2243" t="s">
        <v>6440</v>
      </c>
      <c r="K2243">
        <v>0</v>
      </c>
    </row>
    <row r="2244" spans="2:11" x14ac:dyDescent="0.25">
      <c r="B2244" t="s">
        <v>133</v>
      </c>
      <c r="C2244" t="s">
        <v>3261</v>
      </c>
      <c r="D2244" t="s">
        <v>6456</v>
      </c>
      <c r="E2244" t="s">
        <v>6457</v>
      </c>
      <c r="F2244" t="s">
        <v>8159</v>
      </c>
      <c r="G2244" t="s">
        <v>6239</v>
      </c>
      <c r="H2244" t="s">
        <v>6440</v>
      </c>
      <c r="K2244">
        <v>0</v>
      </c>
    </row>
    <row r="2245" spans="2:11" x14ac:dyDescent="0.25">
      <c r="B2245" t="s">
        <v>133</v>
      </c>
      <c r="C2245" t="s">
        <v>3261</v>
      </c>
      <c r="D2245" t="s">
        <v>6459</v>
      </c>
      <c r="E2245" t="s">
        <v>6460</v>
      </c>
      <c r="F2245" t="s">
        <v>8160</v>
      </c>
      <c r="G2245" t="s">
        <v>6239</v>
      </c>
      <c r="H2245" t="s">
        <v>6440</v>
      </c>
      <c r="K2245">
        <v>0</v>
      </c>
    </row>
    <row r="2246" spans="2:11" x14ac:dyDescent="0.25">
      <c r="B2246" t="s">
        <v>133</v>
      </c>
      <c r="C2246" t="s">
        <v>3261</v>
      </c>
      <c r="D2246" t="s">
        <v>6462</v>
      </c>
      <c r="E2246" t="s">
        <v>6463</v>
      </c>
      <c r="F2246" t="s">
        <v>8161</v>
      </c>
      <c r="G2246" t="s">
        <v>6239</v>
      </c>
      <c r="H2246" t="s">
        <v>6440</v>
      </c>
      <c r="K2246">
        <v>0.1264858021101993</v>
      </c>
    </row>
    <row r="2247" spans="2:11" x14ac:dyDescent="0.25">
      <c r="B2247" t="s">
        <v>133</v>
      </c>
      <c r="C2247" t="s">
        <v>3261</v>
      </c>
      <c r="D2247" t="s">
        <v>6465</v>
      </c>
      <c r="E2247" t="s">
        <v>6466</v>
      </c>
      <c r="F2247" t="s">
        <v>8162</v>
      </c>
      <c r="G2247" t="s">
        <v>6239</v>
      </c>
      <c r="H2247" t="s">
        <v>6440</v>
      </c>
      <c r="K2247">
        <v>0.11311904863949675</v>
      </c>
    </row>
    <row r="2248" spans="2:11" x14ac:dyDescent="0.25">
      <c r="B2248" t="s">
        <v>133</v>
      </c>
      <c r="C2248" t="s">
        <v>3261</v>
      </c>
      <c r="D2248" t="s">
        <v>6468</v>
      </c>
      <c r="E2248" t="s">
        <v>6469</v>
      </c>
      <c r="F2248" t="s">
        <v>8163</v>
      </c>
      <c r="G2248" t="s">
        <v>6239</v>
      </c>
      <c r="H2248" t="s">
        <v>6440</v>
      </c>
      <c r="K2248">
        <v>3.4548977768220933E-2</v>
      </c>
    </row>
    <row r="2249" spans="2:11" x14ac:dyDescent="0.25">
      <c r="B2249" t="s">
        <v>133</v>
      </c>
      <c r="C2249" t="s">
        <v>3261</v>
      </c>
      <c r="D2249" t="s">
        <v>6471</v>
      </c>
      <c r="E2249" t="s">
        <v>6472</v>
      </c>
      <c r="F2249" t="s">
        <v>8164</v>
      </c>
      <c r="G2249" t="s">
        <v>6239</v>
      </c>
      <c r="H2249" t="s">
        <v>6440</v>
      </c>
      <c r="K2249">
        <v>1.6948519607062226E-2</v>
      </c>
    </row>
    <row r="2250" spans="2:11" x14ac:dyDescent="0.25">
      <c r="B2250" t="s">
        <v>133</v>
      </c>
      <c r="C2250" t="s">
        <v>3261</v>
      </c>
      <c r="D2250" t="s">
        <v>6474</v>
      </c>
      <c r="E2250" t="s">
        <v>6475</v>
      </c>
      <c r="F2250" t="s">
        <v>8165</v>
      </c>
      <c r="G2250" t="s">
        <v>6239</v>
      </c>
      <c r="H2250" t="s">
        <v>6440</v>
      </c>
      <c r="K2250">
        <v>6.860233138907712E-2</v>
      </c>
    </row>
    <row r="2251" spans="2:11" x14ac:dyDescent="0.25">
      <c r="B2251" t="s">
        <v>133</v>
      </c>
      <c r="C2251" t="s">
        <v>3261</v>
      </c>
      <c r="D2251" t="s">
        <v>6477</v>
      </c>
      <c r="E2251" t="s">
        <v>6478</v>
      </c>
      <c r="F2251" t="s">
        <v>8166</v>
      </c>
      <c r="G2251" t="s">
        <v>6239</v>
      </c>
      <c r="H2251" t="s">
        <v>6440</v>
      </c>
      <c r="K2251">
        <v>2.7180446060002767E-2</v>
      </c>
    </row>
    <row r="2252" spans="2:11" x14ac:dyDescent="0.25">
      <c r="B2252" t="s">
        <v>133</v>
      </c>
      <c r="C2252" t="s">
        <v>3261</v>
      </c>
      <c r="D2252" t="s">
        <v>6480</v>
      </c>
      <c r="E2252" t="s">
        <v>6481</v>
      </c>
      <c r="F2252" t="s">
        <v>8167</v>
      </c>
      <c r="G2252" t="s">
        <v>6239</v>
      </c>
      <c r="H2252" t="s">
        <v>6440</v>
      </c>
      <c r="K2252">
        <v>5.0977148337545741E-2</v>
      </c>
    </row>
    <row r="2253" spans="2:11" x14ac:dyDescent="0.25">
      <c r="B2253" t="s">
        <v>133</v>
      </c>
      <c r="C2253" t="s">
        <v>3261</v>
      </c>
      <c r="D2253" t="s">
        <v>6483</v>
      </c>
      <c r="E2253" t="s">
        <v>6484</v>
      </c>
      <c r="F2253" t="s">
        <v>8168</v>
      </c>
      <c r="G2253" t="s">
        <v>6239</v>
      </c>
      <c r="H2253" t="s">
        <v>6440</v>
      </c>
      <c r="K2253">
        <v>3.2947552438292109E-2</v>
      </c>
    </row>
    <row r="2254" spans="2:11" x14ac:dyDescent="0.25">
      <c r="B2254" t="s">
        <v>133</v>
      </c>
      <c r="C2254" t="s">
        <v>3261</v>
      </c>
      <c r="D2254" t="s">
        <v>6486</v>
      </c>
      <c r="E2254" t="s">
        <v>6487</v>
      </c>
      <c r="F2254" t="s">
        <v>8169</v>
      </c>
      <c r="G2254" t="s">
        <v>6239</v>
      </c>
      <c r="H2254" t="s">
        <v>6440</v>
      </c>
      <c r="K2254">
        <v>2.5465408368439083E-2</v>
      </c>
    </row>
    <row r="2255" spans="2:11" x14ac:dyDescent="0.25">
      <c r="B2255" t="s">
        <v>133</v>
      </c>
      <c r="C2255" t="s">
        <v>3261</v>
      </c>
      <c r="D2255" t="s">
        <v>6489</v>
      </c>
      <c r="E2255" t="s">
        <v>6490</v>
      </c>
      <c r="F2255" t="s">
        <v>8170</v>
      </c>
      <c r="G2255" t="s">
        <v>6239</v>
      </c>
      <c r="H2255" t="s">
        <v>6440</v>
      </c>
      <c r="K2255">
        <v>6.2648036968630652E-2</v>
      </c>
    </row>
    <row r="2256" spans="2:11" x14ac:dyDescent="0.25">
      <c r="B2256" t="s">
        <v>133</v>
      </c>
      <c r="C2256" t="s">
        <v>3261</v>
      </c>
      <c r="D2256" t="s">
        <v>6492</v>
      </c>
      <c r="E2256" t="s">
        <v>6493</v>
      </c>
      <c r="F2256" t="s">
        <v>8171</v>
      </c>
      <c r="G2256" t="s">
        <v>6239</v>
      </c>
      <c r="H2256" t="s">
        <v>6440</v>
      </c>
      <c r="K2256">
        <v>4.1452631682596205E-2</v>
      </c>
    </row>
    <row r="2257" spans="2:20" x14ac:dyDescent="0.25">
      <c r="B2257" t="s">
        <v>133</v>
      </c>
      <c r="C2257" t="s">
        <v>3261</v>
      </c>
      <c r="D2257" t="s">
        <v>6495</v>
      </c>
      <c r="E2257" t="s">
        <v>6496</v>
      </c>
      <c r="F2257" t="s">
        <v>8172</v>
      </c>
      <c r="G2257" t="s">
        <v>6239</v>
      </c>
      <c r="H2257" t="s">
        <v>6440</v>
      </c>
      <c r="K2257">
        <v>6.0845191138967823E-2</v>
      </c>
    </row>
    <row r="2258" spans="2:20" x14ac:dyDescent="0.25">
      <c r="B2258" t="s">
        <v>133</v>
      </c>
      <c r="C2258" t="s">
        <v>3261</v>
      </c>
      <c r="D2258" t="s">
        <v>6498</v>
      </c>
      <c r="E2258" t="s">
        <v>6499</v>
      </c>
      <c r="F2258" t="s">
        <v>8173</v>
      </c>
      <c r="G2258" t="s">
        <v>6239</v>
      </c>
      <c r="H2258" t="s">
        <v>6440</v>
      </c>
      <c r="K2258">
        <v>5.2706680815210821E-2</v>
      </c>
    </row>
    <row r="2259" spans="2:20" x14ac:dyDescent="0.25">
      <c r="B2259" t="s">
        <v>133</v>
      </c>
      <c r="C2259" t="s">
        <v>3261</v>
      </c>
      <c r="D2259" t="s">
        <v>6501</v>
      </c>
      <c r="E2259" t="s">
        <v>6502</v>
      </c>
      <c r="F2259" t="s">
        <v>8174</v>
      </c>
      <c r="G2259" t="s">
        <v>6239</v>
      </c>
      <c r="H2259" t="s">
        <v>6440</v>
      </c>
      <c r="K2259">
        <v>3.2307200951579462E-2</v>
      </c>
    </row>
    <row r="2260" spans="2:20" x14ac:dyDescent="0.25">
      <c r="B2260" t="s">
        <v>133</v>
      </c>
      <c r="C2260" t="s">
        <v>3261</v>
      </c>
      <c r="D2260" t="s">
        <v>6504</v>
      </c>
      <c r="E2260" t="s">
        <v>6505</v>
      </c>
      <c r="F2260" t="s">
        <v>8175</v>
      </c>
      <c r="G2260" t="s">
        <v>6239</v>
      </c>
      <c r="H2260" t="s">
        <v>6507</v>
      </c>
      <c r="I2260" t="s">
        <v>6241</v>
      </c>
      <c r="K2260">
        <v>0.33162000000000003</v>
      </c>
      <c r="L2260">
        <v>0.56662999999999997</v>
      </c>
      <c r="M2260">
        <v>0.48760999999999999</v>
      </c>
      <c r="N2260">
        <v>0.43192999999999998</v>
      </c>
      <c r="O2260">
        <v>0.38514999999999999</v>
      </c>
      <c r="P2260">
        <v>0.34387000000000001</v>
      </c>
      <c r="Q2260">
        <v>0.30420000000000003</v>
      </c>
      <c r="R2260">
        <v>0.26721</v>
      </c>
      <c r="S2260">
        <v>0.22284999999999999</v>
      </c>
      <c r="T2260">
        <v>0.14890999999999999</v>
      </c>
    </row>
    <row r="2261" spans="2:20" x14ac:dyDescent="0.25">
      <c r="B2261" t="s">
        <v>133</v>
      </c>
      <c r="C2261" t="s">
        <v>3261</v>
      </c>
      <c r="D2261" t="s">
        <v>6508</v>
      </c>
      <c r="E2261" t="s">
        <v>6509</v>
      </c>
      <c r="F2261" t="s">
        <v>8176</v>
      </c>
      <c r="G2261" t="s">
        <v>6239</v>
      </c>
      <c r="H2261" t="s">
        <v>6511</v>
      </c>
      <c r="I2261" t="s">
        <v>6241</v>
      </c>
      <c r="K2261">
        <v>1.9831700000000001</v>
      </c>
      <c r="L2261">
        <v>1.2057100000000001</v>
      </c>
      <c r="M2261">
        <v>0.86519000000000001</v>
      </c>
      <c r="N2261">
        <v>0.68572999999999995</v>
      </c>
      <c r="O2261">
        <v>0.53974</v>
      </c>
      <c r="P2261">
        <v>0.44428000000000001</v>
      </c>
      <c r="Q2261">
        <v>0.37761</v>
      </c>
      <c r="R2261">
        <v>0.33940999999999999</v>
      </c>
      <c r="S2261">
        <v>0.27378000000000002</v>
      </c>
      <c r="T2261">
        <v>0.17538000000000001</v>
      </c>
    </row>
    <row r="2262" spans="2:20" x14ac:dyDescent="0.25">
      <c r="B2262" t="s">
        <v>133</v>
      </c>
      <c r="C2262" t="s">
        <v>3261</v>
      </c>
      <c r="D2262" t="s">
        <v>6512</v>
      </c>
      <c r="E2262" t="s">
        <v>6513</v>
      </c>
      <c r="F2262" t="s">
        <v>8177</v>
      </c>
      <c r="G2262" t="s">
        <v>6239</v>
      </c>
      <c r="H2262" t="s">
        <v>6515</v>
      </c>
      <c r="I2262" t="s">
        <v>6241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2:20" x14ac:dyDescent="0.25">
      <c r="B2263" t="s">
        <v>133</v>
      </c>
      <c r="C2263" t="s">
        <v>3261</v>
      </c>
      <c r="D2263" t="s">
        <v>6516</v>
      </c>
      <c r="E2263" t="s">
        <v>6517</v>
      </c>
      <c r="F2263" t="s">
        <v>8178</v>
      </c>
      <c r="G2263" t="s">
        <v>6239</v>
      </c>
      <c r="H2263" t="s">
        <v>6519</v>
      </c>
      <c r="I2263" t="s">
        <v>6241</v>
      </c>
      <c r="K2263">
        <v>1.18588</v>
      </c>
      <c r="L2263">
        <v>0.89134999999999998</v>
      </c>
      <c r="M2263">
        <v>0.76729000000000003</v>
      </c>
      <c r="N2263">
        <v>0.67927000000000004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2:20" x14ac:dyDescent="0.25">
      <c r="B2264" t="s">
        <v>133</v>
      </c>
      <c r="C2264" t="s">
        <v>3261</v>
      </c>
      <c r="D2264" t="s">
        <v>6520</v>
      </c>
      <c r="E2264" t="s">
        <v>6521</v>
      </c>
      <c r="F2264" t="s">
        <v>8179</v>
      </c>
      <c r="G2264" t="s">
        <v>6239</v>
      </c>
      <c r="H2264" t="s">
        <v>6240</v>
      </c>
      <c r="I2264" t="s">
        <v>6241</v>
      </c>
      <c r="K2264">
        <v>-1.12236</v>
      </c>
      <c r="L2264">
        <v>-1.02572</v>
      </c>
      <c r="M2264">
        <v>-1.00834</v>
      </c>
      <c r="N2264">
        <v>-0.99365000000000003</v>
      </c>
      <c r="O2264">
        <v>-0.99417</v>
      </c>
      <c r="P2264">
        <v>-1.0042</v>
      </c>
      <c r="Q2264">
        <v>-1.0331600000000001</v>
      </c>
      <c r="R2264">
        <v>-1.0696399999999999</v>
      </c>
      <c r="S2264">
        <v>-1.0841400000000001</v>
      </c>
      <c r="T2264">
        <v>-1.16842</v>
      </c>
    </row>
    <row r="2265" spans="2:20" x14ac:dyDescent="0.25">
      <c r="B2265" t="s">
        <v>133</v>
      </c>
      <c r="C2265" t="s">
        <v>3261</v>
      </c>
      <c r="D2265" t="s">
        <v>6523</v>
      </c>
      <c r="E2265" t="s">
        <v>6524</v>
      </c>
      <c r="F2265" t="s">
        <v>8180</v>
      </c>
      <c r="K2265">
        <v>2030</v>
      </c>
    </row>
    <row r="2266" spans="2:20" x14ac:dyDescent="0.25">
      <c r="B2266" t="s">
        <v>133</v>
      </c>
      <c r="C2266" t="s">
        <v>3261</v>
      </c>
      <c r="D2266" t="s">
        <v>6526</v>
      </c>
      <c r="E2266" t="s">
        <v>6527</v>
      </c>
      <c r="F2266" t="s">
        <v>8181</v>
      </c>
      <c r="K2266" t="s">
        <v>660</v>
      </c>
    </row>
    <row r="2267" spans="2:20" x14ac:dyDescent="0.25">
      <c r="B2267" t="s">
        <v>133</v>
      </c>
      <c r="C2267" t="s">
        <v>3261</v>
      </c>
      <c r="D2267" t="s">
        <v>6529</v>
      </c>
      <c r="E2267" t="s">
        <v>6530</v>
      </c>
      <c r="F2267" t="s">
        <v>138</v>
      </c>
      <c r="G2267" t="s">
        <v>6239</v>
      </c>
      <c r="H2267" t="s">
        <v>6507</v>
      </c>
      <c r="I2267" t="s">
        <v>6241</v>
      </c>
      <c r="K2267">
        <v>0.33162298682108293</v>
      </c>
      <c r="L2267">
        <v>0.56663371310143806</v>
      </c>
      <c r="M2267">
        <v>0.4876128567469728</v>
      </c>
      <c r="N2267">
        <v>0.43193091933009287</v>
      </c>
      <c r="O2267">
        <v>0.38514576723040567</v>
      </c>
      <c r="P2267">
        <v>0.34387018259273516</v>
      </c>
      <c r="Q2267">
        <v>0.30420125297624989</v>
      </c>
      <c r="R2267">
        <v>0.26721241880142221</v>
      </c>
      <c r="S2267">
        <v>0.22285223035796001</v>
      </c>
      <c r="T2267">
        <v>0.14890979487670034</v>
      </c>
    </row>
    <row r="2268" spans="2:20" x14ac:dyDescent="0.25">
      <c r="B2268" t="s">
        <v>133</v>
      </c>
      <c r="C2268" t="s">
        <v>3261</v>
      </c>
      <c r="D2268" t="s">
        <v>6531</v>
      </c>
      <c r="E2268" t="s">
        <v>6532</v>
      </c>
      <c r="F2268" t="s">
        <v>138</v>
      </c>
      <c r="G2268" t="s">
        <v>6239</v>
      </c>
      <c r="H2268" t="s">
        <v>6511</v>
      </c>
      <c r="I2268" t="s">
        <v>6241</v>
      </c>
      <c r="K2268">
        <v>1.9831666390505038</v>
      </c>
      <c r="L2268">
        <v>1.2057110973634741</v>
      </c>
      <c r="M2268">
        <v>0.86519430917183937</v>
      </c>
      <c r="N2268">
        <v>0.6857282253289857</v>
      </c>
      <c r="O2268">
        <v>0.53974064955604018</v>
      </c>
      <c r="P2268">
        <v>0.44427774088495553</v>
      </c>
      <c r="Q2268">
        <v>0.37761069942961972</v>
      </c>
      <c r="R2268">
        <v>0.33941295502169799</v>
      </c>
      <c r="S2268">
        <v>0.27377716049721446</v>
      </c>
      <c r="T2268">
        <v>0.17538296513488183</v>
      </c>
    </row>
    <row r="2269" spans="2:20" x14ac:dyDescent="0.25">
      <c r="B2269" t="s">
        <v>133</v>
      </c>
      <c r="C2269" t="s">
        <v>3261</v>
      </c>
      <c r="D2269" t="s">
        <v>6533</v>
      </c>
      <c r="E2269" t="s">
        <v>6534</v>
      </c>
      <c r="F2269" t="s">
        <v>138</v>
      </c>
      <c r="G2269" t="s">
        <v>6239</v>
      </c>
      <c r="H2269" t="s">
        <v>6515</v>
      </c>
      <c r="I2269" t="s">
        <v>6241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2:20" x14ac:dyDescent="0.25">
      <c r="B2270" t="s">
        <v>133</v>
      </c>
      <c r="C2270" t="s">
        <v>3261</v>
      </c>
      <c r="D2270" t="s">
        <v>6535</v>
      </c>
      <c r="E2270" t="s">
        <v>6536</v>
      </c>
      <c r="F2270" t="s">
        <v>138</v>
      </c>
      <c r="G2270" t="s">
        <v>6239</v>
      </c>
      <c r="H2270" t="s">
        <v>6519</v>
      </c>
      <c r="I2270" t="s">
        <v>6241</v>
      </c>
      <c r="K2270">
        <v>1.1858831355471169</v>
      </c>
      <c r="L2270">
        <v>0.89135267169501098</v>
      </c>
      <c r="M2270">
        <v>0.76728631835723426</v>
      </c>
      <c r="N2270">
        <v>0.67927437446431371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2:20" x14ac:dyDescent="0.25">
      <c r="B2271" t="s">
        <v>133</v>
      </c>
      <c r="C2271" t="s">
        <v>3261</v>
      </c>
      <c r="D2271" t="s">
        <v>6537</v>
      </c>
      <c r="E2271" t="s">
        <v>6538</v>
      </c>
      <c r="F2271" t="s">
        <v>138</v>
      </c>
      <c r="G2271" t="s">
        <v>6239</v>
      </c>
      <c r="H2271" t="s">
        <v>6539</v>
      </c>
      <c r="I2271" t="s">
        <v>6241</v>
      </c>
      <c r="K2271">
        <v>3.5006727614187039</v>
      </c>
      <c r="L2271">
        <v>2.6636974821599231</v>
      </c>
      <c r="M2271">
        <v>2.1200934842760466</v>
      </c>
      <c r="N2271">
        <v>1.7969335191233924</v>
      </c>
      <c r="O2271">
        <v>0.9248864167864459</v>
      </c>
      <c r="P2271">
        <v>0.78814792347769069</v>
      </c>
      <c r="Q2271">
        <v>0.68181195240586967</v>
      </c>
      <c r="R2271">
        <v>0.60662537382312021</v>
      </c>
      <c r="S2271">
        <v>0.49662939085517444</v>
      </c>
      <c r="T2271">
        <v>0.32429276001158214</v>
      </c>
    </row>
    <row r="2272" spans="2:20" x14ac:dyDescent="0.25">
      <c r="B2272" t="s">
        <v>133</v>
      </c>
      <c r="C2272" t="s">
        <v>3261</v>
      </c>
      <c r="D2272" t="s">
        <v>6540</v>
      </c>
      <c r="E2272" t="s">
        <v>6541</v>
      </c>
      <c r="F2272" t="s">
        <v>138</v>
      </c>
      <c r="G2272" t="s">
        <v>6239</v>
      </c>
      <c r="H2272" t="s">
        <v>6507</v>
      </c>
      <c r="I2272" t="s">
        <v>6241</v>
      </c>
      <c r="K2272">
        <v>0.35065616941003092</v>
      </c>
      <c r="L2272">
        <v>0.60435053078251177</v>
      </c>
      <c r="M2272">
        <v>0.5239584411932815</v>
      </c>
      <c r="N2272">
        <v>0.46734281622543256</v>
      </c>
      <c r="O2272">
        <v>0.42085491491441335</v>
      </c>
      <c r="P2272">
        <v>0.37893074435074942</v>
      </c>
      <c r="Q2272">
        <v>0.33900663637225781</v>
      </c>
      <c r="R2272">
        <v>0.29884650209643748</v>
      </c>
      <c r="S2272">
        <v>0.25521271131515744</v>
      </c>
      <c r="T2272">
        <v>0.17750369445868691</v>
      </c>
    </row>
    <row r="2273" spans="2:20" x14ac:dyDescent="0.25">
      <c r="B2273" t="s">
        <v>133</v>
      </c>
      <c r="C2273" t="s">
        <v>3261</v>
      </c>
      <c r="D2273" t="s">
        <v>6542</v>
      </c>
      <c r="E2273" t="s">
        <v>6543</v>
      </c>
      <c r="F2273" t="s">
        <v>138</v>
      </c>
      <c r="G2273" t="s">
        <v>6239</v>
      </c>
      <c r="H2273" t="s">
        <v>6511</v>
      </c>
      <c r="I2273" t="s">
        <v>6241</v>
      </c>
      <c r="K2273">
        <v>2.5478452214664511</v>
      </c>
      <c r="L2273">
        <v>1.6130246333272997</v>
      </c>
      <c r="M2273">
        <v>1.2435485320135113</v>
      </c>
      <c r="N2273">
        <v>0.9933763168604266</v>
      </c>
      <c r="O2273">
        <v>0.82570435551156551</v>
      </c>
      <c r="P2273">
        <v>0.69822287655634063</v>
      </c>
      <c r="Q2273">
        <v>0.58273189656557856</v>
      </c>
      <c r="R2273">
        <v>0.53496765071170149</v>
      </c>
      <c r="S2273">
        <v>0.46975177454385658</v>
      </c>
      <c r="T2273">
        <v>0.34127808498955181</v>
      </c>
    </row>
    <row r="2274" spans="2:20" x14ac:dyDescent="0.25">
      <c r="B2274" t="s">
        <v>133</v>
      </c>
      <c r="C2274" t="s">
        <v>3261</v>
      </c>
      <c r="D2274" t="s">
        <v>6544</v>
      </c>
      <c r="E2274" t="s">
        <v>6545</v>
      </c>
      <c r="F2274" t="s">
        <v>138</v>
      </c>
      <c r="G2274" t="s">
        <v>6239</v>
      </c>
      <c r="H2274" t="s">
        <v>6515</v>
      </c>
      <c r="I2274" t="s">
        <v>6241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2:20" x14ac:dyDescent="0.25">
      <c r="B2275" t="s">
        <v>133</v>
      </c>
      <c r="C2275" t="s">
        <v>3261</v>
      </c>
      <c r="D2275" t="s">
        <v>6546</v>
      </c>
      <c r="E2275" t="s">
        <v>6547</v>
      </c>
      <c r="F2275" t="s">
        <v>138</v>
      </c>
      <c r="G2275" t="s">
        <v>6239</v>
      </c>
      <c r="H2275" t="s">
        <v>6519</v>
      </c>
      <c r="I2275" t="s">
        <v>6241</v>
      </c>
      <c r="K2275">
        <v>1.2539457582995013</v>
      </c>
      <c r="L2275">
        <v>0.95068374471544093</v>
      </c>
      <c r="M2275">
        <v>0.82447814439807476</v>
      </c>
      <c r="N2275">
        <v>0.73496474770613696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2:20" x14ac:dyDescent="0.25">
      <c r="B2276" t="s">
        <v>133</v>
      </c>
      <c r="C2276" t="s">
        <v>3261</v>
      </c>
      <c r="D2276" t="s">
        <v>6548</v>
      </c>
      <c r="E2276" t="s">
        <v>6549</v>
      </c>
      <c r="F2276" t="s">
        <v>138</v>
      </c>
      <c r="G2276" t="s">
        <v>6239</v>
      </c>
      <c r="H2276" t="s">
        <v>6539</v>
      </c>
      <c r="I2276" t="s">
        <v>6241</v>
      </c>
      <c r="K2276">
        <v>4.1524471491759831</v>
      </c>
      <c r="L2276">
        <v>3.1680589088252527</v>
      </c>
      <c r="M2276">
        <v>2.5919851176048678</v>
      </c>
      <c r="N2276">
        <v>2.1956838807919961</v>
      </c>
      <c r="O2276">
        <v>1.2465592704259789</v>
      </c>
      <c r="P2276">
        <v>1.07715362090709</v>
      </c>
      <c r="Q2276">
        <v>0.92173853293783636</v>
      </c>
      <c r="R2276">
        <v>0.83381415280813898</v>
      </c>
      <c r="S2276">
        <v>0.72496448585901407</v>
      </c>
      <c r="T2276">
        <v>0.51878177944823878</v>
      </c>
    </row>
    <row r="2277" spans="2:20" x14ac:dyDescent="0.25">
      <c r="B2277" t="s">
        <v>133</v>
      </c>
      <c r="C2277" t="s">
        <v>3261</v>
      </c>
      <c r="D2277" t="s">
        <v>6550</v>
      </c>
      <c r="E2277" t="s">
        <v>6551</v>
      </c>
      <c r="F2277" t="s">
        <v>138</v>
      </c>
      <c r="G2277" t="s">
        <v>6239</v>
      </c>
      <c r="H2277" t="s">
        <v>6507</v>
      </c>
      <c r="I2277" t="s">
        <v>6241</v>
      </c>
      <c r="K2277">
        <v>0.30152548242168098</v>
      </c>
      <c r="L2277">
        <v>0.51235652661890219</v>
      </c>
      <c r="M2277">
        <v>0.43900494561647307</v>
      </c>
      <c r="N2277">
        <v>0.3839429820429977</v>
      </c>
      <c r="O2277">
        <v>0.3433311123567912</v>
      </c>
      <c r="P2277">
        <v>0.3027637278562198</v>
      </c>
      <c r="Q2277">
        <v>0.27120494637209708</v>
      </c>
      <c r="R2277">
        <v>0.23324710156222159</v>
      </c>
      <c r="S2277">
        <v>0.19673647151327794</v>
      </c>
      <c r="T2277">
        <v>0.13133942197694792</v>
      </c>
    </row>
    <row r="2278" spans="2:20" x14ac:dyDescent="0.25">
      <c r="B2278" t="s">
        <v>133</v>
      </c>
      <c r="C2278" t="s">
        <v>3261</v>
      </c>
      <c r="D2278" t="s">
        <v>6552</v>
      </c>
      <c r="E2278" t="s">
        <v>6553</v>
      </c>
      <c r="F2278" t="s">
        <v>138</v>
      </c>
      <c r="G2278" t="s">
        <v>6239</v>
      </c>
      <c r="H2278" t="s">
        <v>6511</v>
      </c>
      <c r="I2278" t="s">
        <v>6241</v>
      </c>
      <c r="K2278">
        <v>1.0474425476879845</v>
      </c>
      <c r="L2278">
        <v>0.58580360673573029</v>
      </c>
      <c r="M2278">
        <v>0.43162444873796862</v>
      </c>
      <c r="N2278">
        <v>0.32811638107840757</v>
      </c>
      <c r="O2278">
        <v>0.2382109920240687</v>
      </c>
      <c r="P2278">
        <v>0.20211819226640498</v>
      </c>
      <c r="Q2278">
        <v>0.19315093711914472</v>
      </c>
      <c r="R2278">
        <v>0.17380777408908127</v>
      </c>
      <c r="S2278">
        <v>0.15437562040829966</v>
      </c>
      <c r="T2278">
        <v>0.11529933464740362</v>
      </c>
    </row>
    <row r="2279" spans="2:20" x14ac:dyDescent="0.25">
      <c r="B2279" t="s">
        <v>133</v>
      </c>
      <c r="C2279" t="s">
        <v>3261</v>
      </c>
      <c r="D2279" t="s">
        <v>6554</v>
      </c>
      <c r="E2279" t="s">
        <v>6555</v>
      </c>
      <c r="F2279" t="s">
        <v>138</v>
      </c>
      <c r="G2279" t="s">
        <v>6239</v>
      </c>
      <c r="H2279" t="s">
        <v>6515</v>
      </c>
      <c r="I2279" t="s">
        <v>6241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2:20" x14ac:dyDescent="0.25">
      <c r="B2280" t="s">
        <v>133</v>
      </c>
      <c r="C2280" t="s">
        <v>3261</v>
      </c>
      <c r="D2280" t="s">
        <v>6556</v>
      </c>
      <c r="E2280" t="s">
        <v>6557</v>
      </c>
      <c r="F2280" t="s">
        <v>138</v>
      </c>
      <c r="G2280" t="s">
        <v>6239</v>
      </c>
      <c r="H2280" t="s">
        <v>6519</v>
      </c>
      <c r="I2280" t="s">
        <v>6241</v>
      </c>
      <c r="K2280">
        <v>1.0782545201985598</v>
      </c>
      <c r="L2280">
        <v>0.80597103261375924</v>
      </c>
      <c r="M2280">
        <v>0.69079903001300969</v>
      </c>
      <c r="N2280">
        <v>0.60380634329608707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2:20" x14ac:dyDescent="0.25">
      <c r="B2281" t="s">
        <v>133</v>
      </c>
      <c r="C2281" t="s">
        <v>3261</v>
      </c>
      <c r="D2281" t="s">
        <v>6558</v>
      </c>
      <c r="E2281" t="s">
        <v>6559</v>
      </c>
      <c r="F2281" t="s">
        <v>138</v>
      </c>
      <c r="G2281" t="s">
        <v>6239</v>
      </c>
      <c r="H2281" t="s">
        <v>6539</v>
      </c>
      <c r="I2281" t="s">
        <v>6241</v>
      </c>
      <c r="K2281">
        <v>2.4272225503082252</v>
      </c>
      <c r="L2281">
        <v>1.9041311659683917</v>
      </c>
      <c r="M2281">
        <v>1.5614284243674512</v>
      </c>
      <c r="N2281">
        <v>1.3158657064174923</v>
      </c>
      <c r="O2281">
        <v>0.58154210438085996</v>
      </c>
      <c r="P2281">
        <v>0.50488192012262478</v>
      </c>
      <c r="Q2281">
        <v>0.46435588349124179</v>
      </c>
      <c r="R2281">
        <v>0.40705487565130283</v>
      </c>
      <c r="S2281">
        <v>0.35111209192157761</v>
      </c>
      <c r="T2281">
        <v>0.24663875662435153</v>
      </c>
    </row>
    <row r="2282" spans="2:20" x14ac:dyDescent="0.25">
      <c r="B2282" t="s">
        <v>133</v>
      </c>
      <c r="C2282" t="s">
        <v>3261</v>
      </c>
      <c r="D2282" t="s">
        <v>6560</v>
      </c>
      <c r="E2282" t="s">
        <v>6478</v>
      </c>
      <c r="F2282" t="s">
        <v>8166</v>
      </c>
      <c r="G2282" t="s">
        <v>6239</v>
      </c>
      <c r="H2282" t="s">
        <v>6440</v>
      </c>
      <c r="K2282">
        <v>2.7180446060002771E-2</v>
      </c>
    </row>
    <row r="2283" spans="2:20" x14ac:dyDescent="0.25">
      <c r="B2283" t="s">
        <v>133</v>
      </c>
      <c r="C2283" t="s">
        <v>3261</v>
      </c>
      <c r="D2283" t="s">
        <v>6561</v>
      </c>
      <c r="E2283" t="s">
        <v>6475</v>
      </c>
      <c r="F2283" t="s">
        <v>8165</v>
      </c>
      <c r="G2283" t="s">
        <v>6239</v>
      </c>
      <c r="H2283" t="s">
        <v>6440</v>
      </c>
      <c r="K2283">
        <v>6.860233138907712E-2</v>
      </c>
    </row>
    <row r="2284" spans="2:20" x14ac:dyDescent="0.25">
      <c r="B2284" t="s">
        <v>133</v>
      </c>
      <c r="C2284" t="s">
        <v>3261</v>
      </c>
      <c r="D2284" t="s">
        <v>6562</v>
      </c>
      <c r="E2284" t="s">
        <v>6481</v>
      </c>
      <c r="F2284" t="s">
        <v>8167</v>
      </c>
      <c r="G2284" t="s">
        <v>6239</v>
      </c>
      <c r="H2284" t="s">
        <v>6440</v>
      </c>
      <c r="K2284">
        <v>5.0977148337545741E-2</v>
      </c>
    </row>
    <row r="2285" spans="2:20" x14ac:dyDescent="0.25">
      <c r="B2285" t="s">
        <v>133</v>
      </c>
      <c r="C2285" t="s">
        <v>3261</v>
      </c>
      <c r="D2285" t="s">
        <v>6563</v>
      </c>
      <c r="E2285" t="s">
        <v>6469</v>
      </c>
      <c r="F2285" t="s">
        <v>8163</v>
      </c>
      <c r="G2285" t="s">
        <v>6239</v>
      </c>
      <c r="H2285" t="s">
        <v>6440</v>
      </c>
      <c r="K2285">
        <v>3.4548977768220933E-2</v>
      </c>
    </row>
    <row r="2286" spans="2:20" x14ac:dyDescent="0.25">
      <c r="B2286" t="s">
        <v>133</v>
      </c>
      <c r="C2286" t="s">
        <v>3261</v>
      </c>
      <c r="D2286" t="s">
        <v>6564</v>
      </c>
      <c r="E2286" t="s">
        <v>6484</v>
      </c>
      <c r="F2286" t="s">
        <v>8168</v>
      </c>
      <c r="G2286" t="s">
        <v>6239</v>
      </c>
      <c r="H2286" t="s">
        <v>6440</v>
      </c>
      <c r="K2286">
        <v>3.2947552438292109E-2</v>
      </c>
    </row>
    <row r="2287" spans="2:20" x14ac:dyDescent="0.25">
      <c r="B2287" t="s">
        <v>133</v>
      </c>
      <c r="C2287" t="s">
        <v>3261</v>
      </c>
      <c r="D2287" t="s">
        <v>6565</v>
      </c>
      <c r="E2287" t="s">
        <v>6463</v>
      </c>
      <c r="F2287" t="s">
        <v>8161</v>
      </c>
      <c r="G2287" t="s">
        <v>6239</v>
      </c>
      <c r="H2287" t="s">
        <v>6440</v>
      </c>
      <c r="K2287">
        <v>0.1264858021101993</v>
      </c>
    </row>
    <row r="2288" spans="2:20" x14ac:dyDescent="0.25">
      <c r="B2288" t="s">
        <v>133</v>
      </c>
      <c r="C2288" t="s">
        <v>3261</v>
      </c>
      <c r="D2288" t="s">
        <v>6566</v>
      </c>
      <c r="E2288" t="s">
        <v>6466</v>
      </c>
      <c r="F2288" t="s">
        <v>8162</v>
      </c>
      <c r="G2288" t="s">
        <v>6239</v>
      </c>
      <c r="H2288" t="s">
        <v>6440</v>
      </c>
      <c r="K2288">
        <v>0.11311904863949676</v>
      </c>
    </row>
    <row r="2289" spans="2:12" x14ac:dyDescent="0.25">
      <c r="B2289" t="s">
        <v>133</v>
      </c>
      <c r="C2289" t="s">
        <v>3261</v>
      </c>
      <c r="D2289" t="s">
        <v>6567</v>
      </c>
      <c r="E2289" t="s">
        <v>6502</v>
      </c>
      <c r="F2289" t="s">
        <v>8174</v>
      </c>
      <c r="G2289" t="s">
        <v>6239</v>
      </c>
      <c r="H2289" t="s">
        <v>6440</v>
      </c>
      <c r="K2289">
        <v>3.2307200951579462E-2</v>
      </c>
    </row>
    <row r="2290" spans="2:12" x14ac:dyDescent="0.25">
      <c r="B2290" t="s">
        <v>133</v>
      </c>
      <c r="C2290" t="s">
        <v>3261</v>
      </c>
      <c r="D2290" t="s">
        <v>6568</v>
      </c>
      <c r="E2290" t="s">
        <v>6499</v>
      </c>
      <c r="F2290" t="s">
        <v>8173</v>
      </c>
      <c r="G2290" t="s">
        <v>6239</v>
      </c>
      <c r="H2290" t="s">
        <v>6440</v>
      </c>
      <c r="K2290">
        <v>5.2706680815210828E-2</v>
      </c>
    </row>
    <row r="2291" spans="2:12" x14ac:dyDescent="0.25">
      <c r="B2291" t="s">
        <v>133</v>
      </c>
      <c r="C2291" t="s">
        <v>3261</v>
      </c>
      <c r="D2291" t="s">
        <v>6569</v>
      </c>
      <c r="E2291" t="s">
        <v>6490</v>
      </c>
      <c r="F2291" t="s">
        <v>8170</v>
      </c>
      <c r="G2291" t="s">
        <v>6239</v>
      </c>
      <c r="H2291" t="s">
        <v>6440</v>
      </c>
      <c r="K2291">
        <v>6.2648036968630652E-2</v>
      </c>
    </row>
    <row r="2292" spans="2:12" x14ac:dyDescent="0.25">
      <c r="B2292" t="s">
        <v>133</v>
      </c>
      <c r="C2292" t="s">
        <v>3261</v>
      </c>
      <c r="D2292" t="s">
        <v>6570</v>
      </c>
      <c r="E2292" t="s">
        <v>6472</v>
      </c>
      <c r="F2292" t="s">
        <v>8164</v>
      </c>
      <c r="G2292" t="s">
        <v>6239</v>
      </c>
      <c r="H2292" t="s">
        <v>6440</v>
      </c>
      <c r="K2292">
        <v>1.6948519607062226E-2</v>
      </c>
    </row>
    <row r="2293" spans="2:12" x14ac:dyDescent="0.25">
      <c r="B2293" t="s">
        <v>133</v>
      </c>
      <c r="C2293" t="s">
        <v>3261</v>
      </c>
      <c r="D2293" t="s">
        <v>6571</v>
      </c>
      <c r="E2293" t="s">
        <v>6493</v>
      </c>
      <c r="F2293" t="s">
        <v>8171</v>
      </c>
      <c r="G2293" t="s">
        <v>6239</v>
      </c>
      <c r="H2293" t="s">
        <v>6440</v>
      </c>
      <c r="K2293">
        <v>4.1452631682596205E-2</v>
      </c>
    </row>
    <row r="2294" spans="2:12" x14ac:dyDescent="0.25">
      <c r="B2294" t="s">
        <v>133</v>
      </c>
      <c r="C2294" t="s">
        <v>3261</v>
      </c>
      <c r="D2294" t="s">
        <v>6572</v>
      </c>
      <c r="E2294" t="s">
        <v>6496</v>
      </c>
      <c r="F2294" t="s">
        <v>8172</v>
      </c>
      <c r="G2294" t="s">
        <v>6239</v>
      </c>
      <c r="H2294" t="s">
        <v>6440</v>
      </c>
      <c r="K2294">
        <v>6.0845191138967823E-2</v>
      </c>
    </row>
    <row r="2295" spans="2:12" x14ac:dyDescent="0.25">
      <c r="B2295" t="s">
        <v>133</v>
      </c>
      <c r="C2295" t="s">
        <v>3261</v>
      </c>
      <c r="D2295" t="s">
        <v>3170</v>
      </c>
      <c r="E2295" t="s">
        <v>6487</v>
      </c>
      <c r="F2295" t="s">
        <v>8169</v>
      </c>
      <c r="G2295" t="s">
        <v>6239</v>
      </c>
      <c r="H2295" t="s">
        <v>6440</v>
      </c>
      <c r="K2295">
        <v>2.5465408368439083E-2</v>
      </c>
    </row>
    <row r="2296" spans="2:12" x14ac:dyDescent="0.25">
      <c r="B2296" t="s">
        <v>133</v>
      </c>
      <c r="C2296" t="s">
        <v>3261</v>
      </c>
      <c r="D2296" t="s">
        <v>6573</v>
      </c>
      <c r="E2296" t="s">
        <v>6574</v>
      </c>
      <c r="F2296" t="s">
        <v>8182</v>
      </c>
      <c r="G2296" t="s">
        <v>6239</v>
      </c>
      <c r="K2296">
        <v>2.9321079117419605E-2</v>
      </c>
      <c r="L2296">
        <v>2.9321079117419605E-2</v>
      </c>
    </row>
    <row r="2297" spans="2:12" x14ac:dyDescent="0.25">
      <c r="B2297" t="s">
        <v>133</v>
      </c>
      <c r="C2297" t="s">
        <v>3261</v>
      </c>
      <c r="D2297" t="s">
        <v>6576</v>
      </c>
      <c r="E2297" t="s">
        <v>6577</v>
      </c>
      <c r="F2297" t="s">
        <v>8183</v>
      </c>
      <c r="G2297" t="s">
        <v>6239</v>
      </c>
      <c r="K2297">
        <v>2.7695168008578522E-2</v>
      </c>
      <c r="L2297">
        <v>2.7695168008578522E-2</v>
      </c>
    </row>
    <row r="2298" spans="2:12" x14ac:dyDescent="0.25">
      <c r="B2298" t="s">
        <v>133</v>
      </c>
      <c r="C2298" t="s">
        <v>3261</v>
      </c>
      <c r="D2298" t="s">
        <v>1113</v>
      </c>
      <c r="E2298" t="s">
        <v>6579</v>
      </c>
      <c r="F2298" t="s">
        <v>8184</v>
      </c>
      <c r="G2298" t="s">
        <v>6239</v>
      </c>
      <c r="K2298">
        <v>4.2475380949271627E-2</v>
      </c>
      <c r="L2298">
        <v>4.2475380949271627E-2</v>
      </c>
    </row>
    <row r="2299" spans="2:12" x14ac:dyDescent="0.25">
      <c r="B2299" t="s">
        <v>133</v>
      </c>
      <c r="C2299" t="s">
        <v>3261</v>
      </c>
      <c r="D2299" t="s">
        <v>873</v>
      </c>
      <c r="E2299" t="s">
        <v>6581</v>
      </c>
      <c r="F2299" t="s">
        <v>8185</v>
      </c>
      <c r="G2299" t="s">
        <v>6239</v>
      </c>
      <c r="K2299">
        <v>5.2280457147166941E-2</v>
      </c>
      <c r="L2299">
        <v>5.2280457147166941E-2</v>
      </c>
    </row>
    <row r="2300" spans="2:12" x14ac:dyDescent="0.25">
      <c r="B2300" t="s">
        <v>133</v>
      </c>
      <c r="C2300" t="s">
        <v>3261</v>
      </c>
      <c r="D2300" t="s">
        <v>871</v>
      </c>
      <c r="E2300" t="s">
        <v>6583</v>
      </c>
      <c r="F2300" t="s">
        <v>8186</v>
      </c>
      <c r="G2300" t="s">
        <v>6239</v>
      </c>
      <c r="K2300">
        <v>9.2727521666001511E-2</v>
      </c>
      <c r="L2300">
        <v>9.2727521666001511E-2</v>
      </c>
    </row>
    <row r="2301" spans="2:12" x14ac:dyDescent="0.25">
      <c r="B2301" t="s">
        <v>133</v>
      </c>
      <c r="C2301" t="s">
        <v>3261</v>
      </c>
      <c r="D2301" t="s">
        <v>6585</v>
      </c>
      <c r="E2301" t="s">
        <v>6586</v>
      </c>
      <c r="F2301" t="s">
        <v>8187</v>
      </c>
      <c r="G2301" t="s">
        <v>6239</v>
      </c>
      <c r="K2301">
        <v>0.2589106583511826</v>
      </c>
      <c r="L2301">
        <v>0.2589106583511826</v>
      </c>
    </row>
    <row r="2302" spans="2:12" x14ac:dyDescent="0.25">
      <c r="B2302" t="s">
        <v>133</v>
      </c>
      <c r="C2302" t="s">
        <v>3261</v>
      </c>
      <c r="D2302" t="s">
        <v>6588</v>
      </c>
      <c r="E2302" t="s">
        <v>6589</v>
      </c>
      <c r="F2302" t="s">
        <v>8188</v>
      </c>
      <c r="G2302" t="s">
        <v>6239</v>
      </c>
      <c r="K2302">
        <v>4.2174240232912302E-2</v>
      </c>
      <c r="L2302">
        <v>4.2174240232912302E-2</v>
      </c>
    </row>
    <row r="2303" spans="2:12" x14ac:dyDescent="0.25">
      <c r="B2303" t="s">
        <v>133</v>
      </c>
      <c r="C2303" t="s">
        <v>3261</v>
      </c>
      <c r="D2303" t="s">
        <v>870</v>
      </c>
      <c r="E2303" t="s">
        <v>6591</v>
      </c>
      <c r="F2303" t="s">
        <v>8189</v>
      </c>
      <c r="G2303" t="s">
        <v>6239</v>
      </c>
      <c r="K2303">
        <v>0.16080749907936781</v>
      </c>
      <c r="L2303">
        <v>0.16080749907936781</v>
      </c>
    </row>
    <row r="2304" spans="2:12" x14ac:dyDescent="0.25">
      <c r="B2304" t="s">
        <v>133</v>
      </c>
      <c r="C2304" t="s">
        <v>3261</v>
      </c>
      <c r="D2304" t="s">
        <v>112</v>
      </c>
      <c r="E2304" t="s">
        <v>6593</v>
      </c>
      <c r="F2304" t="s">
        <v>8190</v>
      </c>
      <c r="G2304" t="s">
        <v>6239</v>
      </c>
      <c r="K2304">
        <v>5.5886863518340178E-2</v>
      </c>
      <c r="L2304">
        <v>5.5886863518340178E-2</v>
      </c>
    </row>
    <row r="2305" spans="2:30" x14ac:dyDescent="0.25">
      <c r="B2305" t="s">
        <v>133</v>
      </c>
      <c r="C2305" t="s">
        <v>3261</v>
      </c>
      <c r="D2305" t="s">
        <v>6595</v>
      </c>
      <c r="E2305" t="s">
        <v>6596</v>
      </c>
      <c r="F2305" t="s">
        <v>8191</v>
      </c>
      <c r="G2305" t="s">
        <v>6239</v>
      </c>
      <c r="K2305">
        <v>3.0090363239772967E-2</v>
      </c>
      <c r="L2305">
        <v>3.0090363239772967E-2</v>
      </c>
    </row>
    <row r="2306" spans="2:30" x14ac:dyDescent="0.25">
      <c r="B2306" t="s">
        <v>133</v>
      </c>
      <c r="C2306" t="s">
        <v>3261</v>
      </c>
      <c r="D2306" t="s">
        <v>232</v>
      </c>
      <c r="E2306" t="s">
        <v>6598</v>
      </c>
      <c r="F2306" t="s">
        <v>8192</v>
      </c>
      <c r="G2306" t="s">
        <v>6239</v>
      </c>
      <c r="K2306">
        <v>5.9595896884691545E-2</v>
      </c>
      <c r="L2306">
        <v>5.9595896884691545E-2</v>
      </c>
    </row>
    <row r="2307" spans="2:30" x14ac:dyDescent="0.25">
      <c r="B2307" t="s">
        <v>133</v>
      </c>
      <c r="C2307" t="s">
        <v>3261</v>
      </c>
      <c r="D2307" t="s">
        <v>32</v>
      </c>
      <c r="E2307" t="s">
        <v>6600</v>
      </c>
      <c r="F2307" t="s">
        <v>8193</v>
      </c>
      <c r="G2307" t="s">
        <v>6239</v>
      </c>
    </row>
    <row r="2308" spans="2:30" x14ac:dyDescent="0.25">
      <c r="B2308" t="s">
        <v>133</v>
      </c>
      <c r="C2308" t="s">
        <v>3261</v>
      </c>
      <c r="D2308" t="s">
        <v>6573</v>
      </c>
      <c r="E2308" t="s">
        <v>6602</v>
      </c>
      <c r="F2308" t="s">
        <v>8194</v>
      </c>
      <c r="G2308" t="s">
        <v>6239</v>
      </c>
      <c r="K2308">
        <v>0.2589106583511826</v>
      </c>
      <c r="L2308">
        <v>0.2589106583511826</v>
      </c>
    </row>
    <row r="2309" spans="2:30" x14ac:dyDescent="0.25">
      <c r="B2309" t="s">
        <v>133</v>
      </c>
      <c r="C2309" t="s">
        <v>3261</v>
      </c>
      <c r="D2309" t="s">
        <v>6595</v>
      </c>
      <c r="E2309" t="s">
        <v>6604</v>
      </c>
      <c r="F2309" t="s">
        <v>8195</v>
      </c>
      <c r="G2309" t="s">
        <v>6239</v>
      </c>
      <c r="K2309">
        <v>0.16080749907936781</v>
      </c>
      <c r="L2309">
        <v>0.16080749907936781</v>
      </c>
    </row>
    <row r="2310" spans="2:30" x14ac:dyDescent="0.25">
      <c r="B2310" t="s">
        <v>133</v>
      </c>
      <c r="C2310" t="s">
        <v>3261</v>
      </c>
      <c r="D2310" t="s">
        <v>112</v>
      </c>
      <c r="E2310" t="s">
        <v>6606</v>
      </c>
      <c r="F2310" t="s">
        <v>8196</v>
      </c>
      <c r="G2310" t="s">
        <v>6239</v>
      </c>
      <c r="K2310">
        <v>9.2727521666001511E-2</v>
      </c>
      <c r="L2310">
        <v>9.2727521666001511E-2</v>
      </c>
    </row>
    <row r="2311" spans="2:30" x14ac:dyDescent="0.25">
      <c r="B2311" t="s">
        <v>133</v>
      </c>
      <c r="C2311" t="s">
        <v>3261</v>
      </c>
      <c r="D2311" t="s">
        <v>6585</v>
      </c>
      <c r="E2311" t="s">
        <v>6608</v>
      </c>
      <c r="F2311" t="s">
        <v>8197</v>
      </c>
      <c r="G2311" t="s">
        <v>6239</v>
      </c>
      <c r="K2311">
        <v>5.9595896884691545E-2</v>
      </c>
      <c r="L2311">
        <v>5.9595896884691545E-2</v>
      </c>
    </row>
    <row r="2312" spans="2:30" x14ac:dyDescent="0.25">
      <c r="B2312" t="s">
        <v>133</v>
      </c>
      <c r="C2312" t="s">
        <v>3261</v>
      </c>
      <c r="D2312" t="s">
        <v>870</v>
      </c>
      <c r="E2312" t="s">
        <v>6610</v>
      </c>
      <c r="F2312" t="s">
        <v>8198</v>
      </c>
      <c r="G2312" t="s">
        <v>6239</v>
      </c>
      <c r="K2312">
        <v>5.5886863518340178E-2</v>
      </c>
      <c r="L2312">
        <v>5.5886863518340178E-2</v>
      </c>
    </row>
    <row r="2313" spans="2:30" x14ac:dyDescent="0.25">
      <c r="B2313" t="s">
        <v>133</v>
      </c>
      <c r="C2313" t="s">
        <v>3261</v>
      </c>
      <c r="D2313" t="s">
        <v>6588</v>
      </c>
      <c r="E2313" t="s">
        <v>6612</v>
      </c>
      <c r="F2313" t="s">
        <v>8199</v>
      </c>
      <c r="G2313" t="s">
        <v>6239</v>
      </c>
      <c r="K2313">
        <v>5.2280457147166941E-2</v>
      </c>
      <c r="L2313">
        <v>5.2280457147166941E-2</v>
      </c>
    </row>
    <row r="2314" spans="2:30" x14ac:dyDescent="0.25">
      <c r="B2314" t="s">
        <v>133</v>
      </c>
      <c r="C2314" t="s">
        <v>3261</v>
      </c>
      <c r="D2314" t="s">
        <v>6576</v>
      </c>
      <c r="E2314" t="s">
        <v>6614</v>
      </c>
      <c r="F2314" t="s">
        <v>8200</v>
      </c>
      <c r="G2314" t="s">
        <v>6239</v>
      </c>
      <c r="K2314">
        <v>4.2475380949271627E-2</v>
      </c>
      <c r="L2314">
        <v>4.2475380949271627E-2</v>
      </c>
    </row>
    <row r="2315" spans="2:30" x14ac:dyDescent="0.25">
      <c r="B2315" t="s">
        <v>133</v>
      </c>
      <c r="C2315" t="s">
        <v>3261</v>
      </c>
      <c r="D2315" t="s">
        <v>871</v>
      </c>
      <c r="E2315" t="s">
        <v>6616</v>
      </c>
      <c r="F2315" t="s">
        <v>8201</v>
      </c>
      <c r="G2315" t="s">
        <v>6239</v>
      </c>
      <c r="K2315">
        <v>4.2174240232912302E-2</v>
      </c>
      <c r="L2315">
        <v>4.2174240232912302E-2</v>
      </c>
    </row>
    <row r="2316" spans="2:30" x14ac:dyDescent="0.25">
      <c r="B2316" t="s">
        <v>133</v>
      </c>
      <c r="C2316" t="s">
        <v>3261</v>
      </c>
      <c r="D2316" t="s">
        <v>232</v>
      </c>
      <c r="E2316" t="s">
        <v>6618</v>
      </c>
      <c r="F2316" t="s">
        <v>8202</v>
      </c>
      <c r="G2316" t="s">
        <v>6239</v>
      </c>
      <c r="K2316">
        <v>3.0090363239772967E-2</v>
      </c>
      <c r="L2316">
        <v>3.0090363239772967E-2</v>
      </c>
    </row>
    <row r="2317" spans="2:30" x14ac:dyDescent="0.25">
      <c r="B2317" t="s">
        <v>133</v>
      </c>
      <c r="C2317" t="s">
        <v>3261</v>
      </c>
      <c r="D2317" t="s">
        <v>873</v>
      </c>
      <c r="E2317" t="s">
        <v>6620</v>
      </c>
      <c r="F2317" t="s">
        <v>8203</v>
      </c>
      <c r="G2317" t="s">
        <v>6239</v>
      </c>
      <c r="K2317">
        <v>2.9321079117419605E-2</v>
      </c>
      <c r="L2317">
        <v>2.9321079117419605E-2</v>
      </c>
    </row>
    <row r="2318" spans="2:30" x14ac:dyDescent="0.25">
      <c r="B2318" t="s">
        <v>133</v>
      </c>
      <c r="C2318" t="s">
        <v>3261</v>
      </c>
      <c r="D2318" t="s">
        <v>1113</v>
      </c>
      <c r="E2318" t="s">
        <v>6622</v>
      </c>
      <c r="F2318" t="s">
        <v>8204</v>
      </c>
      <c r="G2318" t="s">
        <v>6239</v>
      </c>
      <c r="K2318">
        <v>2.7695168008578522E-2</v>
      </c>
      <c r="L2318">
        <v>2.7695168008578522E-2</v>
      </c>
    </row>
    <row r="2319" spans="2:30" x14ac:dyDescent="0.25">
      <c r="B2319" t="s">
        <v>133</v>
      </c>
      <c r="C2319" t="s">
        <v>3261</v>
      </c>
      <c r="D2319" t="s">
        <v>6624</v>
      </c>
      <c r="E2319" t="s">
        <v>6625</v>
      </c>
      <c r="F2319" t="s">
        <v>8205</v>
      </c>
      <c r="G2319" t="s">
        <v>3890</v>
      </c>
      <c r="H2319" t="s">
        <v>6627</v>
      </c>
      <c r="K2319">
        <v>1.0009999999999999</v>
      </c>
      <c r="L2319">
        <v>1.0009999999999999</v>
      </c>
      <c r="M2319">
        <v>0.995</v>
      </c>
      <c r="N2319">
        <v>0.99199999999999999</v>
      </c>
      <c r="O2319">
        <v>0.98199999999999998</v>
      </c>
      <c r="P2319">
        <v>0.97599999999999998</v>
      </c>
      <c r="Q2319">
        <v>0.96699999999999997</v>
      </c>
      <c r="R2319">
        <v>0.95599999999999996</v>
      </c>
      <c r="S2319">
        <v>0.94599999999999995</v>
      </c>
      <c r="T2319">
        <v>0.94</v>
      </c>
      <c r="U2319">
        <v>0.93799999999999994</v>
      </c>
      <c r="V2319">
        <v>0.93500000000000005</v>
      </c>
      <c r="W2319">
        <v>0.93300000000000005</v>
      </c>
      <c r="X2319">
        <v>0.93100000000000005</v>
      </c>
      <c r="Y2319">
        <v>0.92900000000000005</v>
      </c>
      <c r="Z2319">
        <v>0.92700000000000005</v>
      </c>
      <c r="AA2319">
        <v>0.92500000000000004</v>
      </c>
      <c r="AB2319">
        <v>0.92400000000000004</v>
      </c>
      <c r="AC2319">
        <v>0.92200000000000004</v>
      </c>
      <c r="AD2319">
        <v>0.92100000000000004</v>
      </c>
    </row>
    <row r="2320" spans="2:30" x14ac:dyDescent="0.25">
      <c r="B2320" t="s">
        <v>133</v>
      </c>
      <c r="C2320" t="s">
        <v>3261</v>
      </c>
      <c r="D2320" t="s">
        <v>6628</v>
      </c>
      <c r="E2320" t="s">
        <v>6629</v>
      </c>
      <c r="F2320" t="s">
        <v>8206</v>
      </c>
      <c r="G2320" t="s">
        <v>3890</v>
      </c>
      <c r="H2320" t="s">
        <v>6627</v>
      </c>
      <c r="K2320">
        <v>0.66800000000000004</v>
      </c>
      <c r="L2320">
        <v>0.66800000000000004</v>
      </c>
      <c r="M2320">
        <v>0.66300000000000003</v>
      </c>
      <c r="N2320">
        <v>0.66100000000000003</v>
      </c>
      <c r="O2320">
        <v>0.65500000000000003</v>
      </c>
      <c r="P2320">
        <v>0.65</v>
      </c>
      <c r="Q2320">
        <v>0.64500000000000002</v>
      </c>
      <c r="R2320">
        <v>0.63700000000000001</v>
      </c>
      <c r="S2320">
        <v>0.63100000000000001</v>
      </c>
      <c r="T2320">
        <v>0.627</v>
      </c>
      <c r="U2320">
        <v>0.625</v>
      </c>
      <c r="V2320">
        <v>0.624</v>
      </c>
      <c r="W2320">
        <v>0.622</v>
      </c>
      <c r="X2320">
        <v>0.621</v>
      </c>
      <c r="Y2320">
        <v>0.61899999999999999</v>
      </c>
      <c r="Z2320">
        <v>0.61799999999999999</v>
      </c>
      <c r="AA2320">
        <v>0.61699999999999999</v>
      </c>
      <c r="AB2320">
        <v>0.61599999999999999</v>
      </c>
      <c r="AC2320">
        <v>0.61499999999999999</v>
      </c>
      <c r="AD2320">
        <v>0.61399999999999999</v>
      </c>
    </row>
    <row r="2321" spans="2:30" x14ac:dyDescent="0.25">
      <c r="B2321" t="s">
        <v>133</v>
      </c>
      <c r="C2321" t="s">
        <v>3261</v>
      </c>
      <c r="D2321" t="s">
        <v>6631</v>
      </c>
      <c r="E2321" t="s">
        <v>6632</v>
      </c>
      <c r="F2321" t="s">
        <v>8207</v>
      </c>
      <c r="G2321" t="s">
        <v>3890</v>
      </c>
      <c r="H2321" t="s">
        <v>6627</v>
      </c>
      <c r="K2321">
        <v>0.51400000000000001</v>
      </c>
      <c r="L2321">
        <v>0.51400000000000001</v>
      </c>
      <c r="M2321">
        <v>0.51</v>
      </c>
      <c r="N2321">
        <v>0.50900000000000001</v>
      </c>
      <c r="O2321">
        <v>0.504</v>
      </c>
      <c r="P2321">
        <v>0.5</v>
      </c>
      <c r="Q2321">
        <v>0.496</v>
      </c>
      <c r="R2321">
        <v>0.49</v>
      </c>
      <c r="S2321">
        <v>0.48499999999999999</v>
      </c>
      <c r="T2321">
        <v>0.48199999999999998</v>
      </c>
      <c r="U2321">
        <v>0.48099999999999998</v>
      </c>
      <c r="V2321">
        <v>0.48</v>
      </c>
      <c r="W2321">
        <v>0.47899999999999998</v>
      </c>
      <c r="X2321">
        <v>0.47699999999999998</v>
      </c>
      <c r="Y2321">
        <v>0.47599999999999998</v>
      </c>
      <c r="Z2321">
        <v>0.47499999999999998</v>
      </c>
      <c r="AA2321">
        <v>0.47499999999999998</v>
      </c>
      <c r="AB2321">
        <v>0.47399999999999998</v>
      </c>
      <c r="AC2321">
        <v>0.47299999999999998</v>
      </c>
      <c r="AD2321">
        <v>0.47199999999999998</v>
      </c>
    </row>
    <row r="2322" spans="2:30" x14ac:dyDescent="0.25">
      <c r="B2322" t="s">
        <v>133</v>
      </c>
      <c r="C2322" t="s">
        <v>3261</v>
      </c>
      <c r="D2322" t="s">
        <v>6634</v>
      </c>
      <c r="E2322" t="s">
        <v>3917</v>
      </c>
      <c r="F2322" t="s">
        <v>8208</v>
      </c>
      <c r="G2322" t="s">
        <v>3890</v>
      </c>
      <c r="H2322" t="s">
        <v>6636</v>
      </c>
      <c r="K2322">
        <v>546.971</v>
      </c>
      <c r="L2322">
        <v>567.53899999999999</v>
      </c>
      <c r="M2322">
        <v>581.15300000000002</v>
      </c>
      <c r="N2322">
        <v>606.67899999999997</v>
      </c>
      <c r="O2322">
        <v>632.40099999999995</v>
      </c>
      <c r="P2322">
        <v>662.94100000000003</v>
      </c>
      <c r="Q2322">
        <v>699.63599999999997</v>
      </c>
      <c r="R2322">
        <v>736.20399999999995</v>
      </c>
      <c r="S2322">
        <v>771.85</v>
      </c>
      <c r="T2322">
        <v>808.81200000000001</v>
      </c>
      <c r="U2322">
        <v>847.11400000000003</v>
      </c>
      <c r="V2322">
        <v>886.779</v>
      </c>
      <c r="W2322">
        <v>927.83100000000002</v>
      </c>
      <c r="X2322">
        <v>970.29</v>
      </c>
      <c r="Y2322">
        <v>1014.177</v>
      </c>
      <c r="Z2322">
        <v>1059.509</v>
      </c>
      <c r="AA2322">
        <v>1106.3050000000001</v>
      </c>
      <c r="AB2322">
        <v>1154.58</v>
      </c>
      <c r="AC2322">
        <v>1204.348</v>
      </c>
      <c r="AD2322">
        <v>1255.6210000000001</v>
      </c>
    </row>
    <row r="2323" spans="2:30" x14ac:dyDescent="0.25">
      <c r="B2323" t="s">
        <v>133</v>
      </c>
      <c r="C2323" t="s">
        <v>3261</v>
      </c>
      <c r="D2323" t="s">
        <v>6637</v>
      </c>
      <c r="E2323" t="s">
        <v>6638</v>
      </c>
      <c r="F2323" t="s">
        <v>8209</v>
      </c>
      <c r="G2323" t="s">
        <v>3890</v>
      </c>
      <c r="H2323" t="s">
        <v>3126</v>
      </c>
      <c r="K2323">
        <v>82.215000000000003</v>
      </c>
      <c r="L2323">
        <v>78.528000000000006</v>
      </c>
      <c r="M2323">
        <v>90.745999999999995</v>
      </c>
      <c r="N2323">
        <v>95.173000000000002</v>
      </c>
      <c r="O2323">
        <v>92.543999999999997</v>
      </c>
      <c r="P2323">
        <v>91.198999999999998</v>
      </c>
      <c r="Q2323">
        <v>92.68</v>
      </c>
      <c r="R2323">
        <v>88.486000000000004</v>
      </c>
      <c r="S2323">
        <v>86.968999999999994</v>
      </c>
      <c r="T2323">
        <v>85.149000000000001</v>
      </c>
      <c r="U2323">
        <v>84.340999999999994</v>
      </c>
      <c r="V2323">
        <v>83.679000000000002</v>
      </c>
      <c r="W2323">
        <v>83.503</v>
      </c>
      <c r="X2323">
        <v>83.718000000000004</v>
      </c>
      <c r="Y2323">
        <v>84.396000000000001</v>
      </c>
      <c r="Z2323">
        <v>85.59</v>
      </c>
      <c r="AA2323">
        <v>87.364000000000004</v>
      </c>
      <c r="AB2323">
        <v>89.79</v>
      </c>
      <c r="AC2323">
        <v>92.838999999999999</v>
      </c>
      <c r="AD2323">
        <v>96.054000000000002</v>
      </c>
    </row>
    <row r="2324" spans="2:30" x14ac:dyDescent="0.25">
      <c r="B2324" t="s">
        <v>133</v>
      </c>
      <c r="C2324" t="s">
        <v>3261</v>
      </c>
      <c r="D2324" t="s">
        <v>6640</v>
      </c>
      <c r="E2324" t="s">
        <v>3126</v>
      </c>
      <c r="F2324" t="s">
        <v>8210</v>
      </c>
      <c r="G2324" t="s">
        <v>3890</v>
      </c>
      <c r="H2324" t="s">
        <v>3126</v>
      </c>
      <c r="K2324">
        <v>210.916</v>
      </c>
      <c r="L2324">
        <v>207.072</v>
      </c>
      <c r="M2324">
        <v>233.316</v>
      </c>
      <c r="N2324">
        <v>242.24799999999999</v>
      </c>
      <c r="O2324">
        <v>244.22</v>
      </c>
      <c r="P2324">
        <v>250.51400000000001</v>
      </c>
      <c r="Q2324">
        <v>260.67700000000002</v>
      </c>
      <c r="R2324">
        <v>265.47000000000003</v>
      </c>
      <c r="S2324">
        <v>273.79399999999998</v>
      </c>
      <c r="T2324">
        <v>283.06299999999999</v>
      </c>
      <c r="U2324">
        <v>294.05</v>
      </c>
      <c r="V2324">
        <v>305.88</v>
      </c>
      <c r="W2324">
        <v>318.85000000000002</v>
      </c>
      <c r="X2324">
        <v>332.89</v>
      </c>
      <c r="Y2324">
        <v>348.06</v>
      </c>
      <c r="Z2324">
        <v>364.52600000000001</v>
      </c>
      <c r="AA2324">
        <v>382.39100000000002</v>
      </c>
      <c r="AB2324">
        <v>401.76</v>
      </c>
      <c r="AC2324">
        <v>422.63799999999998</v>
      </c>
      <c r="AD2324">
        <v>444.43700000000001</v>
      </c>
    </row>
    <row r="2325" spans="2:30" x14ac:dyDescent="0.25">
      <c r="B2325" t="s">
        <v>133</v>
      </c>
      <c r="C2325" t="s">
        <v>3261</v>
      </c>
      <c r="D2325" t="s">
        <v>6642</v>
      </c>
      <c r="E2325" t="s">
        <v>6643</v>
      </c>
      <c r="F2325" t="s">
        <v>8211</v>
      </c>
      <c r="G2325" t="s">
        <v>3890</v>
      </c>
      <c r="H2325" t="s">
        <v>6645</v>
      </c>
      <c r="K2325">
        <v>0.38561000000000001</v>
      </c>
      <c r="L2325">
        <v>0.36486000000000002</v>
      </c>
      <c r="M2325">
        <v>0.40146999999999999</v>
      </c>
      <c r="N2325">
        <v>0.39929999999999999</v>
      </c>
      <c r="O2325">
        <v>0.38618000000000002</v>
      </c>
      <c r="P2325">
        <v>0.37787999999999999</v>
      </c>
      <c r="Q2325">
        <v>0.37258999999999998</v>
      </c>
      <c r="R2325">
        <v>0.36059000000000002</v>
      </c>
      <c r="S2325">
        <v>0.35471999999999998</v>
      </c>
      <c r="T2325">
        <v>0.34997</v>
      </c>
      <c r="U2325">
        <v>0.34711999999999998</v>
      </c>
      <c r="V2325">
        <v>0.34493000000000001</v>
      </c>
      <c r="W2325">
        <v>0.34365000000000001</v>
      </c>
      <c r="X2325">
        <v>0.34308</v>
      </c>
      <c r="Y2325">
        <v>0.34319</v>
      </c>
      <c r="Z2325">
        <v>0.34405000000000002</v>
      </c>
      <c r="AA2325">
        <v>0.34565000000000001</v>
      </c>
      <c r="AB2325">
        <v>0.34797</v>
      </c>
      <c r="AC2325">
        <v>0.35093000000000002</v>
      </c>
      <c r="AD2325">
        <v>0.35396</v>
      </c>
    </row>
    <row r="2326" spans="2:30" x14ac:dyDescent="0.25">
      <c r="B2326" t="s">
        <v>133</v>
      </c>
      <c r="C2326" t="s">
        <v>3261</v>
      </c>
      <c r="D2326" t="s">
        <v>6646</v>
      </c>
      <c r="E2326" t="s">
        <v>5467</v>
      </c>
      <c r="F2326" t="s">
        <v>8212</v>
      </c>
      <c r="G2326" t="s">
        <v>3890</v>
      </c>
      <c r="H2326" t="s">
        <v>5467</v>
      </c>
      <c r="K2326">
        <v>208.74</v>
      </c>
      <c r="L2326">
        <v>202.17599999999999</v>
      </c>
      <c r="M2326">
        <v>232.196</v>
      </c>
      <c r="N2326">
        <v>257.23</v>
      </c>
      <c r="O2326">
        <v>270.62900000000002</v>
      </c>
      <c r="P2326">
        <v>275.02</v>
      </c>
      <c r="Q2326">
        <v>282.76900000000001</v>
      </c>
      <c r="R2326">
        <v>278.03100000000001</v>
      </c>
      <c r="S2326">
        <v>274.73099999999999</v>
      </c>
      <c r="T2326">
        <v>271.27999999999997</v>
      </c>
      <c r="U2326">
        <v>270.19499999999999</v>
      </c>
      <c r="V2326">
        <v>270.459</v>
      </c>
      <c r="W2326">
        <v>272.46899999999999</v>
      </c>
      <c r="X2326">
        <v>276.185</v>
      </c>
      <c r="Y2326">
        <v>281.78199999999998</v>
      </c>
      <c r="Z2326">
        <v>289.471</v>
      </c>
      <c r="AA2326">
        <v>299.53199999999998</v>
      </c>
      <c r="AB2326">
        <v>312.27300000000002</v>
      </c>
      <c r="AC2326">
        <v>327.875</v>
      </c>
      <c r="AD2326">
        <v>345.33199999999999</v>
      </c>
    </row>
    <row r="2327" spans="2:30" x14ac:dyDescent="0.25">
      <c r="B2327" t="s">
        <v>133</v>
      </c>
      <c r="C2327" t="s">
        <v>3261</v>
      </c>
      <c r="D2327" t="s">
        <v>6648</v>
      </c>
      <c r="E2327" t="s">
        <v>6649</v>
      </c>
      <c r="F2327" t="s">
        <v>8213</v>
      </c>
      <c r="G2327" t="s">
        <v>3890</v>
      </c>
      <c r="H2327" t="s">
        <v>6651</v>
      </c>
      <c r="K2327">
        <v>0.12144000000000001</v>
      </c>
      <c r="L2327">
        <v>0.13522999999999999</v>
      </c>
      <c r="M2327">
        <v>0.11583</v>
      </c>
      <c r="N2327">
        <v>0.17366999999999999</v>
      </c>
      <c r="O2327">
        <v>0.23693</v>
      </c>
      <c r="P2327">
        <v>0.25945000000000001</v>
      </c>
      <c r="Q2327">
        <v>0.26515</v>
      </c>
      <c r="R2327">
        <v>0.28797</v>
      </c>
      <c r="S2327">
        <v>0.29104999999999998</v>
      </c>
      <c r="T2327">
        <v>0.29664000000000001</v>
      </c>
      <c r="U2327">
        <v>0.29933999999999999</v>
      </c>
      <c r="V2327">
        <v>0.30431999999999998</v>
      </c>
      <c r="W2327">
        <v>0.30941999999999997</v>
      </c>
      <c r="X2327">
        <v>0.31529000000000001</v>
      </c>
      <c r="Y2327">
        <v>0.32157000000000002</v>
      </c>
      <c r="Z2327">
        <v>0.32818999999999998</v>
      </c>
      <c r="AA2327">
        <v>0.33505000000000001</v>
      </c>
      <c r="AB2327">
        <v>0.34209000000000001</v>
      </c>
      <c r="AC2327">
        <v>0.34966999999999998</v>
      </c>
      <c r="AD2327">
        <v>0.35891000000000001</v>
      </c>
    </row>
    <row r="2328" spans="2:30" x14ac:dyDescent="0.25">
      <c r="B2328" t="s">
        <v>133</v>
      </c>
      <c r="C2328" t="s">
        <v>3261</v>
      </c>
      <c r="D2328" t="s">
        <v>6652</v>
      </c>
      <c r="E2328" t="s">
        <v>6651</v>
      </c>
      <c r="F2328" t="s">
        <v>8214</v>
      </c>
      <c r="G2328" t="s">
        <v>3890</v>
      </c>
      <c r="H2328" t="s">
        <v>6651</v>
      </c>
      <c r="K2328">
        <v>5.1270000000000003E-2</v>
      </c>
      <c r="L2328">
        <v>6.1100000000000002E-2</v>
      </c>
      <c r="M2328">
        <v>5.1279999999999999E-2</v>
      </c>
      <c r="N2328">
        <v>7.6079999999999995E-2</v>
      </c>
      <c r="O2328">
        <v>0.10346</v>
      </c>
      <c r="P2328">
        <v>0.12433</v>
      </c>
      <c r="Q2328">
        <v>0.13159000000000001</v>
      </c>
      <c r="R2328">
        <v>0.14939</v>
      </c>
      <c r="S2328">
        <v>0.15021000000000001</v>
      </c>
      <c r="T2328">
        <v>0.15322</v>
      </c>
      <c r="U2328">
        <v>0.15459000000000001</v>
      </c>
      <c r="V2328">
        <v>0.15858</v>
      </c>
      <c r="W2328">
        <v>0.16342000000000001</v>
      </c>
      <c r="X2328">
        <v>0.16966000000000001</v>
      </c>
      <c r="Y2328">
        <v>0.17699999999999999</v>
      </c>
      <c r="Z2328">
        <v>0.18536</v>
      </c>
      <c r="AA2328">
        <v>0.19467999999999999</v>
      </c>
      <c r="AB2328">
        <v>0.20483000000000001</v>
      </c>
      <c r="AC2328">
        <v>0.21607999999999999</v>
      </c>
      <c r="AD2328">
        <v>0.22897999999999999</v>
      </c>
    </row>
    <row r="2329" spans="2:30" x14ac:dyDescent="0.25">
      <c r="B2329" t="s">
        <v>133</v>
      </c>
      <c r="C2329" t="s">
        <v>3261</v>
      </c>
      <c r="D2329" t="s">
        <v>6654</v>
      </c>
      <c r="E2329" t="s">
        <v>6655</v>
      </c>
      <c r="F2329" t="s">
        <v>8215</v>
      </c>
      <c r="G2329" t="s">
        <v>3890</v>
      </c>
      <c r="H2329" t="s">
        <v>6657</v>
      </c>
      <c r="K2329">
        <v>0.39385999999999999</v>
      </c>
      <c r="L2329">
        <v>0.38840999999999998</v>
      </c>
      <c r="M2329">
        <v>0.39080999999999999</v>
      </c>
      <c r="N2329">
        <v>0.36998999999999999</v>
      </c>
      <c r="O2329">
        <v>0.34195999999999999</v>
      </c>
      <c r="P2329">
        <v>0.33161000000000002</v>
      </c>
      <c r="Q2329">
        <v>0.32776</v>
      </c>
      <c r="R2329">
        <v>0.31825999999999999</v>
      </c>
      <c r="S2329">
        <v>0.31656000000000001</v>
      </c>
      <c r="T2329">
        <v>0.31387999999999999</v>
      </c>
      <c r="U2329">
        <v>0.31214999999999998</v>
      </c>
      <c r="V2329">
        <v>0.30940000000000001</v>
      </c>
      <c r="W2329">
        <v>0.30647000000000002</v>
      </c>
      <c r="X2329">
        <v>0.30312</v>
      </c>
      <c r="Y2329">
        <v>0.29951</v>
      </c>
      <c r="Z2329">
        <v>0.29568</v>
      </c>
      <c r="AA2329">
        <v>0.29166999999999998</v>
      </c>
      <c r="AB2329">
        <v>0.28754000000000002</v>
      </c>
      <c r="AC2329">
        <v>0.28315000000000001</v>
      </c>
      <c r="AD2329">
        <v>0.27815000000000001</v>
      </c>
    </row>
    <row r="2330" spans="2:30" x14ac:dyDescent="0.25">
      <c r="B2330" t="s">
        <v>133</v>
      </c>
      <c r="C2330" t="s">
        <v>3261</v>
      </c>
      <c r="D2330" t="s">
        <v>6658</v>
      </c>
      <c r="E2330" t="s">
        <v>6659</v>
      </c>
      <c r="F2330" t="s">
        <v>8216</v>
      </c>
      <c r="G2330" t="s">
        <v>3890</v>
      </c>
      <c r="H2330" t="s">
        <v>6661</v>
      </c>
      <c r="J2330">
        <v>1</v>
      </c>
      <c r="K2330">
        <v>0.18672085273605965</v>
      </c>
    </row>
    <row r="2331" spans="2:30" x14ac:dyDescent="0.25">
      <c r="B2331" t="s">
        <v>133</v>
      </c>
      <c r="C2331" t="s">
        <v>3261</v>
      </c>
      <c r="D2331" t="s">
        <v>6662</v>
      </c>
      <c r="E2331" t="s">
        <v>6663</v>
      </c>
      <c r="F2331" t="s">
        <v>8217</v>
      </c>
      <c r="G2331" t="s">
        <v>3890</v>
      </c>
      <c r="H2331" t="s">
        <v>6665</v>
      </c>
      <c r="J2331">
        <v>1</v>
      </c>
      <c r="K2331">
        <v>3.8744775031930745E-2</v>
      </c>
    </row>
    <row r="2332" spans="2:30" x14ac:dyDescent="0.25">
      <c r="B2332" t="s">
        <v>133</v>
      </c>
      <c r="C2332" t="s">
        <v>3261</v>
      </c>
      <c r="D2332" t="s">
        <v>6666</v>
      </c>
      <c r="E2332" t="s">
        <v>6667</v>
      </c>
      <c r="F2332" t="s">
        <v>8218</v>
      </c>
      <c r="G2332" t="s">
        <v>3890</v>
      </c>
      <c r="H2332" t="s">
        <v>6669</v>
      </c>
      <c r="J2332">
        <v>1</v>
      </c>
      <c r="K2332">
        <v>9.2562380400507804E-3</v>
      </c>
    </row>
    <row r="2333" spans="2:30" x14ac:dyDescent="0.25">
      <c r="B2333" t="s">
        <v>133</v>
      </c>
      <c r="C2333" t="s">
        <v>3261</v>
      </c>
      <c r="D2333" t="s">
        <v>6670</v>
      </c>
      <c r="E2333" t="s">
        <v>6671</v>
      </c>
      <c r="F2333" t="s">
        <v>8219</v>
      </c>
      <c r="G2333" t="s">
        <v>3890</v>
      </c>
      <c r="H2333" t="s">
        <v>6673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</row>
    <row r="2334" spans="2:30" x14ac:dyDescent="0.25">
      <c r="B2334" t="s">
        <v>133</v>
      </c>
      <c r="C2334" t="s">
        <v>3261</v>
      </c>
      <c r="D2334" t="s">
        <v>6674</v>
      </c>
      <c r="E2334" t="s">
        <v>6675</v>
      </c>
      <c r="F2334" t="s">
        <v>8220</v>
      </c>
      <c r="G2334" t="s">
        <v>3890</v>
      </c>
      <c r="H2334" t="s">
        <v>6673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1.993989130676856</v>
      </c>
      <c r="R2334">
        <v>0</v>
      </c>
      <c r="S2334">
        <v>0</v>
      </c>
      <c r="T2334">
        <v>0</v>
      </c>
      <c r="U2334">
        <v>276.17179900438128</v>
      </c>
      <c r="V2334">
        <v>0</v>
      </c>
      <c r="W2334">
        <v>0</v>
      </c>
      <c r="X2334">
        <v>1728.6923838696923</v>
      </c>
      <c r="Y2334">
        <v>0</v>
      </c>
      <c r="Z2334">
        <v>0</v>
      </c>
      <c r="AA2334">
        <v>0</v>
      </c>
      <c r="AB2334">
        <v>0</v>
      </c>
    </row>
    <row r="2335" spans="2:30" x14ac:dyDescent="0.25">
      <c r="B2335" t="s">
        <v>133</v>
      </c>
      <c r="C2335" t="s">
        <v>3261</v>
      </c>
      <c r="D2335" t="s">
        <v>6677</v>
      </c>
      <c r="E2335" t="s">
        <v>6678</v>
      </c>
      <c r="F2335" t="s">
        <v>8221</v>
      </c>
      <c r="G2335" t="s">
        <v>3890</v>
      </c>
      <c r="H2335" t="s">
        <v>6673</v>
      </c>
      <c r="J2335">
        <v>1</v>
      </c>
      <c r="K2335">
        <v>186318.24144011838</v>
      </c>
      <c r="L2335">
        <v>29824.367684429406</v>
      </c>
      <c r="M2335">
        <v>463.90033137874542</v>
      </c>
      <c r="N2335">
        <v>0</v>
      </c>
      <c r="O2335">
        <v>0</v>
      </c>
      <c r="P2335">
        <v>0</v>
      </c>
      <c r="Q2335">
        <v>2743.7479817675635</v>
      </c>
      <c r="R2335">
        <v>0</v>
      </c>
      <c r="S2335">
        <v>0</v>
      </c>
      <c r="T2335">
        <v>0</v>
      </c>
      <c r="U2335">
        <v>1557.4882109374457</v>
      </c>
      <c r="V2335">
        <v>0</v>
      </c>
      <c r="W2335">
        <v>0</v>
      </c>
      <c r="X2335">
        <v>1742.9509630814039</v>
      </c>
      <c r="Y2335">
        <v>951.24441541027238</v>
      </c>
      <c r="Z2335">
        <v>0</v>
      </c>
      <c r="AA2335">
        <v>7033.624667825371</v>
      </c>
      <c r="AB2335">
        <v>0</v>
      </c>
    </row>
    <row r="2336" spans="2:30" x14ac:dyDescent="0.25">
      <c r="B2336" t="s">
        <v>133</v>
      </c>
      <c r="C2336" t="s">
        <v>3261</v>
      </c>
      <c r="D2336" t="s">
        <v>6680</v>
      </c>
      <c r="E2336" t="s">
        <v>6681</v>
      </c>
      <c r="F2336" t="s">
        <v>8222</v>
      </c>
      <c r="G2336" t="s">
        <v>3890</v>
      </c>
      <c r="H2336" t="s">
        <v>6673</v>
      </c>
      <c r="J2336">
        <v>1</v>
      </c>
      <c r="K2336">
        <v>20190.83650202414</v>
      </c>
      <c r="L2336">
        <v>5639.2429773616032</v>
      </c>
      <c r="M2336">
        <v>0</v>
      </c>
      <c r="N2336">
        <v>0</v>
      </c>
      <c r="O2336">
        <v>0</v>
      </c>
      <c r="P2336">
        <v>406.19916287344472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3738.2677813151518</v>
      </c>
      <c r="Z2336">
        <v>0</v>
      </c>
      <c r="AA2336">
        <v>458.93271398915772</v>
      </c>
      <c r="AB2336">
        <v>132.16618156616914</v>
      </c>
    </row>
    <row r="2337" spans="2:30" x14ac:dyDescent="0.25">
      <c r="B2337" t="s">
        <v>133</v>
      </c>
      <c r="C2337" t="s">
        <v>3261</v>
      </c>
      <c r="D2337" t="s">
        <v>6683</v>
      </c>
      <c r="E2337" t="s">
        <v>6684</v>
      </c>
      <c r="F2337" t="s">
        <v>8223</v>
      </c>
      <c r="G2337" t="s">
        <v>3890</v>
      </c>
      <c r="H2337" t="s">
        <v>6673</v>
      </c>
      <c r="J2337">
        <v>1</v>
      </c>
      <c r="K2337">
        <v>0</v>
      </c>
      <c r="L2337">
        <v>0</v>
      </c>
      <c r="M2337">
        <v>6886.5366177210462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2:30" x14ac:dyDescent="0.25">
      <c r="B2338" t="s">
        <v>133</v>
      </c>
      <c r="C2338" t="s">
        <v>3261</v>
      </c>
      <c r="D2338" t="s">
        <v>6686</v>
      </c>
      <c r="E2338" t="s">
        <v>6687</v>
      </c>
      <c r="F2338" t="s">
        <v>8224</v>
      </c>
      <c r="G2338" t="s">
        <v>3890</v>
      </c>
      <c r="H2338" t="s">
        <v>6673</v>
      </c>
      <c r="J2338">
        <v>1</v>
      </c>
      <c r="K2338">
        <v>0</v>
      </c>
      <c r="L2338">
        <v>0</v>
      </c>
      <c r="M2338">
        <v>9684.2069881781063</v>
      </c>
      <c r="N2338">
        <v>0</v>
      </c>
      <c r="O2338">
        <v>0</v>
      </c>
      <c r="P2338">
        <v>0</v>
      </c>
      <c r="Q2338">
        <v>0</v>
      </c>
      <c r="R2338">
        <v>1387.0134096766124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5596.4219107402141</v>
      </c>
      <c r="Z2338">
        <v>0</v>
      </c>
      <c r="AA2338">
        <v>1263.5535407034979</v>
      </c>
      <c r="AB2338">
        <v>0</v>
      </c>
    </row>
    <row r="2339" spans="2:30" x14ac:dyDescent="0.25">
      <c r="B2339" t="s">
        <v>133</v>
      </c>
      <c r="C2339" t="s">
        <v>3261</v>
      </c>
      <c r="D2339" t="s">
        <v>6689</v>
      </c>
      <c r="E2339" t="s">
        <v>6690</v>
      </c>
      <c r="F2339" t="s">
        <v>8225</v>
      </c>
      <c r="G2339" t="s">
        <v>3890</v>
      </c>
      <c r="H2339" t="s">
        <v>6673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3.3419856694580128</v>
      </c>
      <c r="R2339">
        <v>0.43375111192193644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5.3963225426605339</v>
      </c>
      <c r="Z2339">
        <v>0</v>
      </c>
      <c r="AA2339">
        <v>0</v>
      </c>
      <c r="AB2339">
        <v>0</v>
      </c>
    </row>
    <row r="2340" spans="2:30" x14ac:dyDescent="0.25">
      <c r="B2340" t="s">
        <v>133</v>
      </c>
      <c r="C2340" t="s">
        <v>3261</v>
      </c>
      <c r="D2340" t="s">
        <v>6692</v>
      </c>
      <c r="E2340" t="s">
        <v>6693</v>
      </c>
      <c r="F2340" t="s">
        <v>8226</v>
      </c>
      <c r="G2340" t="s">
        <v>3890</v>
      </c>
      <c r="H2340" t="s">
        <v>6673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4252.483517832944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25.700629101682985</v>
      </c>
      <c r="Z2340">
        <v>0</v>
      </c>
      <c r="AA2340">
        <v>3382.6414899306828</v>
      </c>
      <c r="AB2340">
        <v>0</v>
      </c>
    </row>
    <row r="2341" spans="2:30" x14ac:dyDescent="0.25">
      <c r="B2341" t="s">
        <v>133</v>
      </c>
      <c r="C2341" t="s">
        <v>3261</v>
      </c>
      <c r="D2341" t="s">
        <v>6695</v>
      </c>
      <c r="E2341" t="s">
        <v>6696</v>
      </c>
      <c r="F2341" t="s">
        <v>8227</v>
      </c>
      <c r="G2341" t="s">
        <v>3890</v>
      </c>
      <c r="H2341" t="s">
        <v>6673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911.12642426304808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2:30" x14ac:dyDescent="0.25">
      <c r="B2342" t="s">
        <v>133</v>
      </c>
      <c r="C2342" t="s">
        <v>3261</v>
      </c>
      <c r="D2342" t="s">
        <v>6698</v>
      </c>
      <c r="E2342" t="s">
        <v>6699</v>
      </c>
      <c r="F2342" t="s">
        <v>8228</v>
      </c>
      <c r="G2342" t="s">
        <v>3890</v>
      </c>
      <c r="H2342" t="s">
        <v>6673</v>
      </c>
      <c r="J2342">
        <v>1</v>
      </c>
      <c r="K2342">
        <v>14978.30883657722</v>
      </c>
      <c r="L2342">
        <v>420.29849247125264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2:30" x14ac:dyDescent="0.25">
      <c r="B2343" t="s">
        <v>133</v>
      </c>
      <c r="C2343" t="s">
        <v>3261</v>
      </c>
      <c r="D2343" t="s">
        <v>6701</v>
      </c>
      <c r="E2343" t="s">
        <v>6702</v>
      </c>
      <c r="F2343" t="s">
        <v>8229</v>
      </c>
      <c r="G2343" t="s">
        <v>3890</v>
      </c>
      <c r="H2343" t="s">
        <v>6673</v>
      </c>
      <c r="J2343">
        <v>1</v>
      </c>
      <c r="K2343">
        <v>13021.480196669825</v>
      </c>
      <c r="L2343">
        <v>365.92978728470621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2:30" x14ac:dyDescent="0.25">
      <c r="B2344" t="s">
        <v>133</v>
      </c>
      <c r="C2344" t="s">
        <v>3261</v>
      </c>
      <c r="D2344" t="s">
        <v>6704</v>
      </c>
      <c r="E2344" t="s">
        <v>6705</v>
      </c>
      <c r="F2344" t="s">
        <v>8230</v>
      </c>
      <c r="G2344" t="s">
        <v>3890</v>
      </c>
      <c r="H2344" t="s">
        <v>6673</v>
      </c>
      <c r="J2344">
        <v>1</v>
      </c>
      <c r="K2344">
        <v>36119.685164137016</v>
      </c>
      <c r="L2344">
        <v>1254.589239549776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2:30" x14ac:dyDescent="0.25">
      <c r="B2345" t="s">
        <v>133</v>
      </c>
      <c r="C2345" t="s">
        <v>3261</v>
      </c>
      <c r="D2345" t="s">
        <v>6707</v>
      </c>
      <c r="E2345" t="s">
        <v>6708</v>
      </c>
      <c r="F2345" t="s">
        <v>8231</v>
      </c>
      <c r="G2345" t="s">
        <v>3890</v>
      </c>
      <c r="H2345" t="s">
        <v>6673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2:30" x14ac:dyDescent="0.25">
      <c r="B2346" t="s">
        <v>133</v>
      </c>
      <c r="C2346" t="s">
        <v>3261</v>
      </c>
      <c r="D2346" t="s">
        <v>6710</v>
      </c>
      <c r="E2346" t="s">
        <v>6711</v>
      </c>
      <c r="F2346" t="s">
        <v>8232</v>
      </c>
      <c r="G2346" t="s">
        <v>3890</v>
      </c>
      <c r="H2346" t="s">
        <v>6673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2:30" x14ac:dyDescent="0.25">
      <c r="B2347" t="s">
        <v>133</v>
      </c>
      <c r="C2347" t="s">
        <v>3261</v>
      </c>
      <c r="D2347" t="s">
        <v>6713</v>
      </c>
      <c r="E2347" t="s">
        <v>6714</v>
      </c>
      <c r="F2347" t="s">
        <v>8233</v>
      </c>
      <c r="G2347" t="s">
        <v>3890</v>
      </c>
      <c r="H2347" t="s">
        <v>6673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1304.2656404773859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2:30" x14ac:dyDescent="0.25">
      <c r="B2348" t="s">
        <v>133</v>
      </c>
      <c r="C2348" t="s">
        <v>3261</v>
      </c>
      <c r="D2348" t="s">
        <v>6716</v>
      </c>
      <c r="E2348" t="s">
        <v>6717</v>
      </c>
      <c r="F2348" t="s">
        <v>8234</v>
      </c>
      <c r="G2348" t="s">
        <v>3890</v>
      </c>
      <c r="H2348" t="s">
        <v>6673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2:30" x14ac:dyDescent="0.25">
      <c r="B2349" t="s">
        <v>133</v>
      </c>
      <c r="C2349" t="s">
        <v>3261</v>
      </c>
      <c r="D2349" t="s">
        <v>6719</v>
      </c>
      <c r="E2349" t="s">
        <v>6720</v>
      </c>
      <c r="F2349" t="s">
        <v>8235</v>
      </c>
      <c r="G2349" t="s">
        <v>3890</v>
      </c>
      <c r="H2349" t="s">
        <v>6673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2:30" x14ac:dyDescent="0.25">
      <c r="B2350" t="s">
        <v>133</v>
      </c>
      <c r="C2350" t="s">
        <v>3261</v>
      </c>
      <c r="D2350" t="s">
        <v>6722</v>
      </c>
      <c r="E2350" t="s">
        <v>6723</v>
      </c>
      <c r="F2350" t="s">
        <v>8236</v>
      </c>
      <c r="G2350" t="s">
        <v>3890</v>
      </c>
      <c r="H2350" t="s">
        <v>6673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2:30" x14ac:dyDescent="0.25">
      <c r="B2351" t="s">
        <v>133</v>
      </c>
      <c r="C2351" t="s">
        <v>3261</v>
      </c>
      <c r="D2351" t="s">
        <v>6725</v>
      </c>
      <c r="E2351" t="s">
        <v>6726</v>
      </c>
      <c r="F2351" t="s">
        <v>8237</v>
      </c>
      <c r="G2351" t="s">
        <v>3890</v>
      </c>
      <c r="H2351" t="s">
        <v>6673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2:30" x14ac:dyDescent="0.25">
      <c r="B2352" t="s">
        <v>133</v>
      </c>
      <c r="C2352" t="s">
        <v>3261</v>
      </c>
      <c r="D2352" t="s">
        <v>6728</v>
      </c>
      <c r="E2352" t="s">
        <v>6729</v>
      </c>
      <c r="F2352" t="s">
        <v>8238</v>
      </c>
      <c r="G2352" t="s">
        <v>3890</v>
      </c>
      <c r="K2352">
        <v>208.73974100000004</v>
      </c>
      <c r="L2352">
        <v>202.17573700254144</v>
      </c>
      <c r="M2352">
        <v>232.19628888015956</v>
      </c>
      <c r="N2352">
        <v>257.22993241027774</v>
      </c>
      <c r="O2352">
        <v>270.62855213952645</v>
      </c>
      <c r="P2352">
        <v>275.01978498763725</v>
      </c>
      <c r="Q2352">
        <v>282.76877708440276</v>
      </c>
      <c r="R2352">
        <v>292.86850456091923</v>
      </c>
      <c r="S2352">
        <v>303.31831763607943</v>
      </c>
      <c r="T2352">
        <v>314.24148100389641</v>
      </c>
      <c r="U2352">
        <v>325.73668571864528</v>
      </c>
      <c r="V2352">
        <v>338.34136364452507</v>
      </c>
      <c r="W2352">
        <v>352.28435131218072</v>
      </c>
      <c r="X2352">
        <v>367.97320446260295</v>
      </c>
      <c r="Y2352">
        <v>385.64770388357351</v>
      </c>
      <c r="Z2352">
        <v>405.73757366904999</v>
      </c>
      <c r="AA2352">
        <v>428.71565956124874</v>
      </c>
      <c r="AB2352">
        <v>455.17595647037155</v>
      </c>
      <c r="AC2352">
        <v>485.61048568896473</v>
      </c>
      <c r="AD2352">
        <v>519.09985912709499</v>
      </c>
    </row>
    <row r="2353" spans="2:30" x14ac:dyDescent="0.25">
      <c r="B2353" t="s">
        <v>133</v>
      </c>
      <c r="C2353" t="s">
        <v>3261</v>
      </c>
      <c r="D2353" t="s">
        <v>6731</v>
      </c>
      <c r="E2353" t="s">
        <v>6732</v>
      </c>
      <c r="F2353" t="s">
        <v>8239</v>
      </c>
      <c r="G2353" t="s">
        <v>3890</v>
      </c>
      <c r="K2353">
        <v>208.73974100000004</v>
      </c>
      <c r="L2353">
        <v>202.17573700254144</v>
      </c>
      <c r="M2353">
        <v>232.19628888015956</v>
      </c>
      <c r="N2353">
        <v>257.22993241027774</v>
      </c>
      <c r="O2353">
        <v>270.62855213952645</v>
      </c>
      <c r="P2353">
        <v>275.01978498763725</v>
      </c>
      <c r="Q2353">
        <v>282.76877708440276</v>
      </c>
      <c r="R2353">
        <v>278.031441251682</v>
      </c>
      <c r="S2353">
        <v>274.73079536910257</v>
      </c>
      <c r="T2353">
        <v>271.28028913074871</v>
      </c>
      <c r="U2353">
        <v>270.19474096496981</v>
      </c>
      <c r="V2353">
        <v>270.45894456877988</v>
      </c>
      <c r="W2353">
        <v>272.4693563811847</v>
      </c>
      <c r="X2353">
        <v>276.18506879395323</v>
      </c>
      <c r="Y2353">
        <v>281.78199851208041</v>
      </c>
      <c r="Z2353">
        <v>289.47107764210915</v>
      </c>
      <c r="AA2353">
        <v>299.53162094264718</v>
      </c>
      <c r="AB2353">
        <v>312.27317541392341</v>
      </c>
      <c r="AC2353">
        <v>327.87537349067696</v>
      </c>
      <c r="AD2353">
        <v>345.33151977818807</v>
      </c>
    </row>
    <row r="2354" spans="2:30" x14ac:dyDescent="0.25">
      <c r="B2354" t="s">
        <v>133</v>
      </c>
      <c r="C2354" t="s">
        <v>3261</v>
      </c>
      <c r="D2354" t="s">
        <v>6734</v>
      </c>
      <c r="E2354" t="s">
        <v>6735</v>
      </c>
      <c r="F2354" t="s">
        <v>8240</v>
      </c>
      <c r="G2354" t="s">
        <v>3890</v>
      </c>
      <c r="H2354" t="s">
        <v>6737</v>
      </c>
      <c r="I2354" t="s">
        <v>6738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2:30" x14ac:dyDescent="0.25">
      <c r="B2355" t="s">
        <v>133</v>
      </c>
      <c r="C2355" t="s">
        <v>3261</v>
      </c>
      <c r="D2355" t="s">
        <v>6739</v>
      </c>
      <c r="E2355" t="s">
        <v>6740</v>
      </c>
      <c r="F2355" t="s">
        <v>8241</v>
      </c>
      <c r="G2355" t="s">
        <v>3890</v>
      </c>
      <c r="H2355" t="s">
        <v>6742</v>
      </c>
      <c r="I2355" t="s">
        <v>6738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2:30" x14ac:dyDescent="0.25">
      <c r="B2356" t="s">
        <v>133</v>
      </c>
      <c r="C2356" t="s">
        <v>3261</v>
      </c>
      <c r="D2356" t="s">
        <v>6743</v>
      </c>
      <c r="E2356" t="s">
        <v>6744</v>
      </c>
      <c r="F2356" t="s">
        <v>8242</v>
      </c>
      <c r="G2356" t="s">
        <v>3890</v>
      </c>
      <c r="H2356" t="s">
        <v>6746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2:30" x14ac:dyDescent="0.25">
      <c r="B2357" t="s">
        <v>133</v>
      </c>
      <c r="C2357" t="s">
        <v>3261</v>
      </c>
      <c r="D2357" t="s">
        <v>6747</v>
      </c>
      <c r="E2357" t="s">
        <v>6748</v>
      </c>
      <c r="F2357" t="s">
        <v>8243</v>
      </c>
      <c r="G2357" t="s">
        <v>3890</v>
      </c>
      <c r="H2357" t="s">
        <v>6746</v>
      </c>
      <c r="J2357">
        <v>1</v>
      </c>
      <c r="K2357">
        <v>806.87211618252275</v>
      </c>
      <c r="L2357">
        <v>0</v>
      </c>
      <c r="M2357">
        <v>2040.3775691490387</v>
      </c>
      <c r="N2357">
        <v>2304.3477166152966</v>
      </c>
      <c r="O2357">
        <v>2471.0934380243948</v>
      </c>
      <c r="P2357">
        <v>1436.0097538045532</v>
      </c>
      <c r="Q2357">
        <v>1818.6975657260982</v>
      </c>
      <c r="R2357">
        <v>2083.8978284612131</v>
      </c>
      <c r="S2357">
        <v>2120.7847986129882</v>
      </c>
      <c r="T2357">
        <v>2208.2824680941562</v>
      </c>
      <c r="U2357">
        <v>2305.450274724375</v>
      </c>
      <c r="V2357">
        <v>2462.2479022470034</v>
      </c>
      <c r="W2357">
        <v>2643.8430519740896</v>
      </c>
      <c r="X2357">
        <v>2870.9657198748196</v>
      </c>
      <c r="Y2357">
        <v>3129.2168612762666</v>
      </c>
      <c r="Z2357">
        <v>3434.0645748948332</v>
      </c>
      <c r="AA2357">
        <v>3794.8012178577455</v>
      </c>
      <c r="AB2357">
        <v>4270.1518970037332</v>
      </c>
      <c r="AC2357">
        <v>4552.9607866877805</v>
      </c>
      <c r="AD2357">
        <v>4859.8743314159983</v>
      </c>
    </row>
    <row r="2358" spans="2:30" x14ac:dyDescent="0.25">
      <c r="B2358" t="s">
        <v>133</v>
      </c>
      <c r="C2358" t="s">
        <v>3261</v>
      </c>
      <c r="D2358" t="s">
        <v>6750</v>
      </c>
      <c r="E2358" t="s">
        <v>6751</v>
      </c>
      <c r="F2358" t="s">
        <v>8244</v>
      </c>
      <c r="G2358" t="s">
        <v>3890</v>
      </c>
      <c r="H2358" t="s">
        <v>6746</v>
      </c>
      <c r="J2358">
        <v>1</v>
      </c>
      <c r="K2358">
        <v>30.025615860050905</v>
      </c>
      <c r="L2358">
        <v>0</v>
      </c>
      <c r="M2358">
        <v>3447.3244899652409</v>
      </c>
      <c r="N2358">
        <v>164.15280510124751</v>
      </c>
      <c r="O2358">
        <v>109.66176751499754</v>
      </c>
      <c r="P2358">
        <v>64.430790069071051</v>
      </c>
      <c r="Q2358">
        <v>81.601201346977476</v>
      </c>
      <c r="R2358">
        <v>93.500189086634862</v>
      </c>
      <c r="S2358">
        <v>95.155231208623448</v>
      </c>
      <c r="T2358">
        <v>99.08107082004534</v>
      </c>
      <c r="U2358">
        <v>103.44078950153535</v>
      </c>
      <c r="V2358">
        <v>110.47597501853708</v>
      </c>
      <c r="W2358">
        <v>118.62377411156449</v>
      </c>
      <c r="X2358">
        <v>128.81429886020834</v>
      </c>
      <c r="Y2358">
        <v>140.40149388632204</v>
      </c>
      <c r="Z2358">
        <v>154.07938081373049</v>
      </c>
      <c r="AA2358">
        <v>170.26488850362347</v>
      </c>
      <c r="AB2358">
        <v>188.11160919406569</v>
      </c>
      <c r="AC2358">
        <v>208.28233937210624</v>
      </c>
      <c r="AD2358">
        <v>227.25340658098784</v>
      </c>
    </row>
    <row r="2359" spans="2:30" x14ac:dyDescent="0.25">
      <c r="B2359" t="s">
        <v>133</v>
      </c>
      <c r="C2359" t="s">
        <v>3261</v>
      </c>
      <c r="D2359" t="s">
        <v>6753</v>
      </c>
      <c r="E2359" t="s">
        <v>6754</v>
      </c>
      <c r="F2359" t="s">
        <v>8245</v>
      </c>
      <c r="G2359" t="s">
        <v>3890</v>
      </c>
      <c r="H2359" t="s">
        <v>6746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2:30" x14ac:dyDescent="0.25">
      <c r="B2360" t="s">
        <v>133</v>
      </c>
      <c r="C2360" t="s">
        <v>3261</v>
      </c>
      <c r="D2360" t="s">
        <v>6756</v>
      </c>
      <c r="E2360" t="s">
        <v>6757</v>
      </c>
      <c r="F2360" t="s">
        <v>8246</v>
      </c>
      <c r="G2360" t="s">
        <v>3890</v>
      </c>
      <c r="H2360" t="s">
        <v>6746</v>
      </c>
      <c r="J2360">
        <v>1</v>
      </c>
      <c r="K2360">
        <v>599.35264415761799</v>
      </c>
      <c r="L2360">
        <v>0</v>
      </c>
      <c r="M2360">
        <v>1539.8049388511413</v>
      </c>
      <c r="N2360">
        <v>1739.0144101390101</v>
      </c>
      <c r="O2360">
        <v>1919.1658722481259</v>
      </c>
      <c r="P2360">
        <v>1092.6166377648299</v>
      </c>
      <c r="Q2360">
        <v>1403.7641535577277</v>
      </c>
      <c r="R2360">
        <v>1622.6889931977535</v>
      </c>
      <c r="S2360">
        <v>1663.0513027247614</v>
      </c>
      <c r="T2360">
        <v>1721.8851360842114</v>
      </c>
      <c r="U2360">
        <v>1792.8323271719692</v>
      </c>
      <c r="V2360">
        <v>1915.390042904259</v>
      </c>
      <c r="W2360">
        <v>2061.5929718568113</v>
      </c>
      <c r="X2360">
        <v>2248.5342097852754</v>
      </c>
      <c r="Y2360">
        <v>2459.556726350912</v>
      </c>
      <c r="Z2360">
        <v>2715.899162794718</v>
      </c>
      <c r="AA2360">
        <v>3021.9551336627501</v>
      </c>
      <c r="AB2360">
        <v>3234.5956177576491</v>
      </c>
      <c r="AC2360">
        <v>3435.9677403537121</v>
      </c>
      <c r="AD2360">
        <v>3667.5851621086063</v>
      </c>
    </row>
    <row r="2361" spans="2:30" x14ac:dyDescent="0.25">
      <c r="B2361" t="s">
        <v>133</v>
      </c>
      <c r="C2361" t="s">
        <v>3261</v>
      </c>
      <c r="D2361" t="s">
        <v>6759</v>
      </c>
      <c r="E2361" t="s">
        <v>6760</v>
      </c>
      <c r="F2361" t="s">
        <v>8247</v>
      </c>
      <c r="G2361" t="s">
        <v>3890</v>
      </c>
      <c r="H2361" t="s">
        <v>6746</v>
      </c>
      <c r="J2361">
        <v>1</v>
      </c>
      <c r="K2361">
        <v>294.69856660367191</v>
      </c>
      <c r="L2361">
        <v>0</v>
      </c>
      <c r="M2361">
        <v>2566.3415647519018</v>
      </c>
      <c r="N2361">
        <v>2898.3573502316831</v>
      </c>
      <c r="O2361">
        <v>1377.0619065393</v>
      </c>
      <c r="P2361">
        <v>876.72135226568696</v>
      </c>
      <c r="Q2361">
        <v>1254.1441154795466</v>
      </c>
      <c r="R2361">
        <v>1621.2179697272504</v>
      </c>
      <c r="S2361">
        <v>1853.0982152131214</v>
      </c>
      <c r="T2361">
        <v>1966.2700363119332</v>
      </c>
      <c r="U2361">
        <v>2098.0935643537923</v>
      </c>
      <c r="V2361">
        <v>2290.98605762531</v>
      </c>
      <c r="W2361">
        <v>2527.0529321122353</v>
      </c>
      <c r="X2361">
        <v>2824.6009855734233</v>
      </c>
      <c r="Y2361">
        <v>3163.1635253890222</v>
      </c>
      <c r="Z2361">
        <v>3579.5186949688577</v>
      </c>
      <c r="AA2361">
        <v>4070.7932862149719</v>
      </c>
      <c r="AB2361">
        <v>4783.2841359626818</v>
      </c>
      <c r="AC2361">
        <v>5726.6129005895191</v>
      </c>
      <c r="AD2361">
        <v>6112.6419368476763</v>
      </c>
    </row>
    <row r="2362" spans="2:30" x14ac:dyDescent="0.25">
      <c r="B2362" t="s">
        <v>133</v>
      </c>
      <c r="C2362" t="s">
        <v>3261</v>
      </c>
      <c r="D2362" t="s">
        <v>6762</v>
      </c>
      <c r="E2362" t="s">
        <v>6763</v>
      </c>
      <c r="F2362" t="s">
        <v>8248</v>
      </c>
      <c r="G2362" t="s">
        <v>3890</v>
      </c>
      <c r="H2362" t="s">
        <v>6746</v>
      </c>
      <c r="J2362">
        <v>1</v>
      </c>
      <c r="K2362">
        <v>90.057937790013483</v>
      </c>
      <c r="L2362">
        <v>0</v>
      </c>
      <c r="M2362">
        <v>2671.4616733757534</v>
      </c>
      <c r="N2362">
        <v>2909.0208218467078</v>
      </c>
      <c r="O2362">
        <v>274.87235124384648</v>
      </c>
      <c r="P2362">
        <v>159.73470341652776</v>
      </c>
      <c r="Q2362">
        <v>202.30302440213006</v>
      </c>
      <c r="R2362">
        <v>231.80260489017766</v>
      </c>
      <c r="S2362">
        <v>235.90573108518956</v>
      </c>
      <c r="T2362">
        <v>245.63854400458825</v>
      </c>
      <c r="U2362">
        <v>256.4470156967833</v>
      </c>
      <c r="V2362">
        <v>273.88841709561467</v>
      </c>
      <c r="W2362">
        <v>294.08817361306512</v>
      </c>
      <c r="X2362">
        <v>319.35218863815487</v>
      </c>
      <c r="Y2362">
        <v>348.07878284787256</v>
      </c>
      <c r="Z2362">
        <v>381.98855190971716</v>
      </c>
      <c r="AA2362">
        <v>422.11513219407175</v>
      </c>
      <c r="AB2362">
        <v>466.36013731335356</v>
      </c>
      <c r="AC2362">
        <v>834.39507283341698</v>
      </c>
      <c r="AD2362">
        <v>1164.4170107893983</v>
      </c>
    </row>
    <row r="2363" spans="2:30" x14ac:dyDescent="0.25">
      <c r="B2363" t="s">
        <v>133</v>
      </c>
      <c r="C2363" t="s">
        <v>3261</v>
      </c>
      <c r="D2363" t="s">
        <v>6765</v>
      </c>
      <c r="E2363" t="s">
        <v>6766</v>
      </c>
      <c r="F2363" t="s">
        <v>8249</v>
      </c>
      <c r="G2363" t="s">
        <v>3890</v>
      </c>
      <c r="H2363" t="s">
        <v>6746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2:30" x14ac:dyDescent="0.25">
      <c r="B2364" t="s">
        <v>133</v>
      </c>
      <c r="C2364" t="s">
        <v>3261</v>
      </c>
      <c r="D2364" t="s">
        <v>6768</v>
      </c>
      <c r="E2364" t="s">
        <v>6769</v>
      </c>
      <c r="F2364" t="s">
        <v>8250</v>
      </c>
      <c r="G2364" t="s">
        <v>3890</v>
      </c>
      <c r="H2364" t="s">
        <v>6746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2:30" x14ac:dyDescent="0.25">
      <c r="B2365" t="s">
        <v>133</v>
      </c>
      <c r="C2365" t="s">
        <v>3261</v>
      </c>
      <c r="D2365" t="s">
        <v>6771</v>
      </c>
      <c r="E2365" t="s">
        <v>6772</v>
      </c>
      <c r="F2365" t="s">
        <v>8251</v>
      </c>
      <c r="G2365" t="s">
        <v>3890</v>
      </c>
      <c r="H2365" t="s">
        <v>6746</v>
      </c>
      <c r="J2365">
        <v>2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2:30" x14ac:dyDescent="0.25">
      <c r="B2366" t="s">
        <v>133</v>
      </c>
      <c r="C2366" t="s">
        <v>3261</v>
      </c>
      <c r="D2366" t="s">
        <v>6774</v>
      </c>
      <c r="E2366" t="s">
        <v>6775</v>
      </c>
      <c r="F2366" t="s">
        <v>8252</v>
      </c>
      <c r="G2366" t="s">
        <v>3890</v>
      </c>
      <c r="H2366" t="s">
        <v>6746</v>
      </c>
      <c r="J2366">
        <v>2</v>
      </c>
      <c r="K2366">
        <v>806.87211618252275</v>
      </c>
      <c r="L2366">
        <v>0</v>
      </c>
      <c r="M2366">
        <v>2040.3775691490387</v>
      </c>
      <c r="N2366">
        <v>2304.3477166152966</v>
      </c>
      <c r="O2366">
        <v>2471.0934380243948</v>
      </c>
      <c r="P2366">
        <v>1436.0097538045532</v>
      </c>
      <c r="Q2366">
        <v>1818.6975657260982</v>
      </c>
      <c r="R2366">
        <v>381.56562237367831</v>
      </c>
      <c r="S2366">
        <v>514.55507659440377</v>
      </c>
      <c r="T2366">
        <v>481.00436964563664</v>
      </c>
      <c r="U2366">
        <v>724.61694751504149</v>
      </c>
      <c r="V2366">
        <v>862.68082696708882</v>
      </c>
      <c r="W2366">
        <v>1046.3295603469487</v>
      </c>
      <c r="X2366">
        <v>1229.386249800408</v>
      </c>
      <c r="Y2366">
        <v>1436.3886981961089</v>
      </c>
      <c r="Z2366">
        <v>1668.9342315634692</v>
      </c>
      <c r="AA2366">
        <v>1936.5128903380705</v>
      </c>
      <c r="AB2366">
        <v>2225.1505073554426</v>
      </c>
      <c r="AC2366">
        <v>2535.3547051753335</v>
      </c>
      <c r="AD2366">
        <v>2779.6149945569055</v>
      </c>
    </row>
    <row r="2367" spans="2:30" x14ac:dyDescent="0.25">
      <c r="B2367" t="s">
        <v>133</v>
      </c>
      <c r="C2367" t="s">
        <v>3261</v>
      </c>
      <c r="D2367" t="s">
        <v>6777</v>
      </c>
      <c r="E2367" t="s">
        <v>6778</v>
      </c>
      <c r="F2367" t="s">
        <v>8253</v>
      </c>
      <c r="G2367" t="s">
        <v>3890</v>
      </c>
      <c r="H2367" t="s">
        <v>6746</v>
      </c>
      <c r="J2367">
        <v>2</v>
      </c>
      <c r="K2367">
        <v>30.025615860050905</v>
      </c>
      <c r="L2367">
        <v>0</v>
      </c>
      <c r="M2367">
        <v>3447.3244899652409</v>
      </c>
      <c r="N2367">
        <v>164.15280510124751</v>
      </c>
      <c r="O2367">
        <v>109.66176751499754</v>
      </c>
      <c r="P2367">
        <v>64.430790069071051</v>
      </c>
      <c r="Q2367">
        <v>81.601201346977476</v>
      </c>
      <c r="R2367">
        <v>17.120060951952986</v>
      </c>
      <c r="S2367">
        <v>23.087022933648626</v>
      </c>
      <c r="T2367">
        <v>21.581672047028427</v>
      </c>
      <c r="U2367">
        <v>32.51206497876413</v>
      </c>
      <c r="V2367">
        <v>38.706705934042191</v>
      </c>
      <c r="W2367">
        <v>46.946645081738936</v>
      </c>
      <c r="X2367">
        <v>55.160020441945747</v>
      </c>
      <c r="Y2367">
        <v>64.447792520813152</v>
      </c>
      <c r="Z2367">
        <v>74.881630036329042</v>
      </c>
      <c r="AA2367">
        <v>86.88733149120678</v>
      </c>
      <c r="AB2367">
        <v>99.837904883074074</v>
      </c>
      <c r="AC2367">
        <v>113.75612618716021</v>
      </c>
      <c r="AD2367">
        <v>124.71558059591946</v>
      </c>
    </row>
    <row r="2368" spans="2:30" x14ac:dyDescent="0.25">
      <c r="B2368" t="s">
        <v>133</v>
      </c>
      <c r="C2368" t="s">
        <v>3261</v>
      </c>
      <c r="D2368" t="s">
        <v>6780</v>
      </c>
      <c r="E2368" t="s">
        <v>6781</v>
      </c>
      <c r="F2368" t="s">
        <v>8254</v>
      </c>
      <c r="G2368" t="s">
        <v>3890</v>
      </c>
      <c r="H2368" t="s">
        <v>6746</v>
      </c>
      <c r="J2368">
        <v>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2:30" x14ac:dyDescent="0.25">
      <c r="B2369" t="s">
        <v>133</v>
      </c>
      <c r="C2369" t="s">
        <v>3261</v>
      </c>
      <c r="D2369" t="s">
        <v>6783</v>
      </c>
      <c r="E2369" t="s">
        <v>6784</v>
      </c>
      <c r="F2369" t="s">
        <v>8255</v>
      </c>
      <c r="G2369" t="s">
        <v>3890</v>
      </c>
      <c r="H2369" t="s">
        <v>6746</v>
      </c>
      <c r="J2369">
        <v>2</v>
      </c>
      <c r="K2369">
        <v>599.35264415761799</v>
      </c>
      <c r="L2369">
        <v>0</v>
      </c>
      <c r="M2369">
        <v>1539.8049388511413</v>
      </c>
      <c r="N2369">
        <v>1739.0144101390101</v>
      </c>
      <c r="O2369">
        <v>1919.1658722481259</v>
      </c>
      <c r="P2369">
        <v>1092.6166377648299</v>
      </c>
      <c r="Q2369">
        <v>1403.7641535577277</v>
      </c>
      <c r="R2369">
        <v>292.83036930932423</v>
      </c>
      <c r="S2369">
        <v>406.60047812113402</v>
      </c>
      <c r="T2369">
        <v>384.04349411819311</v>
      </c>
      <c r="U2369">
        <v>586.39474199314657</v>
      </c>
      <c r="V2369">
        <v>704.79904523501671</v>
      </c>
      <c r="W2369">
        <v>862.38078158186022</v>
      </c>
      <c r="X2369">
        <v>1020.824788206539</v>
      </c>
      <c r="Y2369">
        <v>1198.1568696703007</v>
      </c>
      <c r="Z2369">
        <v>1399.5250411481315</v>
      </c>
      <c r="AA2369">
        <v>1631.4083407113039</v>
      </c>
      <c r="AB2369">
        <v>1891.8603240329553</v>
      </c>
      <c r="AC2369">
        <v>2170.4254559042129</v>
      </c>
      <c r="AD2369">
        <v>2379.5278544199386</v>
      </c>
    </row>
    <row r="2370" spans="2:30" x14ac:dyDescent="0.25">
      <c r="B2370" t="s">
        <v>133</v>
      </c>
      <c r="C2370" t="s">
        <v>3261</v>
      </c>
      <c r="D2370" t="s">
        <v>6786</v>
      </c>
      <c r="E2370" t="s">
        <v>6787</v>
      </c>
      <c r="F2370" t="s">
        <v>8256</v>
      </c>
      <c r="G2370" t="s">
        <v>3890</v>
      </c>
      <c r="H2370" t="s">
        <v>6746</v>
      </c>
      <c r="J2370">
        <v>2</v>
      </c>
      <c r="K2370">
        <v>294.69856660367191</v>
      </c>
      <c r="L2370">
        <v>0</v>
      </c>
      <c r="M2370">
        <v>2566.3415647519018</v>
      </c>
      <c r="N2370">
        <v>2898.3573502316831</v>
      </c>
      <c r="O2370">
        <v>1377.0619065393</v>
      </c>
      <c r="P2370">
        <v>876.72135226568696</v>
      </c>
      <c r="Q2370">
        <v>1254.1441154795466</v>
      </c>
      <c r="R2370">
        <v>292.5649084921647</v>
      </c>
      <c r="S2370">
        <v>453.06516947287224</v>
      </c>
      <c r="T2370">
        <v>438.55028381417594</v>
      </c>
      <c r="U2370">
        <v>686.23876070297501</v>
      </c>
      <c r="V2370">
        <v>843.00573245788996</v>
      </c>
      <c r="W2370">
        <v>1057.0863950563776</v>
      </c>
      <c r="X2370">
        <v>1282.356608281857</v>
      </c>
      <c r="Y2370">
        <v>1540.9142904617277</v>
      </c>
      <c r="Z2370">
        <v>1844.5552461939649</v>
      </c>
      <c r="AA2370">
        <v>2197.6256518386249</v>
      </c>
      <c r="AB2370">
        <v>2676.5323252019116</v>
      </c>
      <c r="AC2370">
        <v>3221.6746870670036</v>
      </c>
      <c r="AD2370">
        <v>3532.0561850680297</v>
      </c>
    </row>
    <row r="2371" spans="2:30" x14ac:dyDescent="0.25">
      <c r="B2371" t="s">
        <v>133</v>
      </c>
      <c r="C2371" t="s">
        <v>3261</v>
      </c>
      <c r="D2371" t="s">
        <v>6789</v>
      </c>
      <c r="E2371" t="s">
        <v>6790</v>
      </c>
      <c r="F2371" t="s">
        <v>8257</v>
      </c>
      <c r="G2371" t="s">
        <v>3890</v>
      </c>
      <c r="H2371" t="s">
        <v>6746</v>
      </c>
      <c r="J2371">
        <v>2</v>
      </c>
      <c r="K2371">
        <v>90.057937790013483</v>
      </c>
      <c r="L2371">
        <v>0</v>
      </c>
      <c r="M2371">
        <v>2671.4616733757534</v>
      </c>
      <c r="N2371">
        <v>2909.0208218467078</v>
      </c>
      <c r="O2371">
        <v>274.87235124384648</v>
      </c>
      <c r="P2371">
        <v>159.73470341652776</v>
      </c>
      <c r="Q2371">
        <v>202.30302440213006</v>
      </c>
      <c r="R2371">
        <v>42.44349410742079</v>
      </c>
      <c r="S2371">
        <v>57.236590721975368</v>
      </c>
      <c r="T2371">
        <v>53.504574132479668</v>
      </c>
      <c r="U2371">
        <v>80.602846112463297</v>
      </c>
      <c r="V2371">
        <v>95.960396977545798</v>
      </c>
      <c r="W2371">
        <v>116.38858409920897</v>
      </c>
      <c r="X2371">
        <v>136.75091514939172</v>
      </c>
      <c r="Y2371">
        <v>159.77685533773575</v>
      </c>
      <c r="Z2371">
        <v>185.64408340137567</v>
      </c>
      <c r="AA2371">
        <v>215.40822503531234</v>
      </c>
      <c r="AB2371">
        <v>247.51486221306956</v>
      </c>
      <c r="AC2371">
        <v>282.02046038609302</v>
      </c>
      <c r="AD2371">
        <v>309.19078062760229</v>
      </c>
    </row>
    <row r="2372" spans="2:30" x14ac:dyDescent="0.25">
      <c r="B2372" t="s">
        <v>133</v>
      </c>
      <c r="C2372" t="s">
        <v>3261</v>
      </c>
      <c r="D2372" t="s">
        <v>6792</v>
      </c>
      <c r="E2372" t="s">
        <v>6793</v>
      </c>
      <c r="F2372" t="s">
        <v>8258</v>
      </c>
      <c r="G2372" t="s">
        <v>3890</v>
      </c>
      <c r="H2372" t="s">
        <v>6746</v>
      </c>
      <c r="J2372">
        <v>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2:30" x14ac:dyDescent="0.25">
      <c r="B2373" t="s">
        <v>133</v>
      </c>
      <c r="C2373" t="s">
        <v>3261</v>
      </c>
      <c r="D2373" t="s">
        <v>6795</v>
      </c>
      <c r="E2373" t="s">
        <v>6796</v>
      </c>
      <c r="F2373" t="s">
        <v>8259</v>
      </c>
      <c r="G2373" t="s">
        <v>3890</v>
      </c>
      <c r="H2373" t="s">
        <v>6746</v>
      </c>
      <c r="J2373">
        <v>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2:30" x14ac:dyDescent="0.25">
      <c r="B2374" t="s">
        <v>133</v>
      </c>
      <c r="C2374" t="s">
        <v>3261</v>
      </c>
      <c r="D2374" t="s">
        <v>6798</v>
      </c>
      <c r="E2374" t="s">
        <v>6799</v>
      </c>
      <c r="F2374" t="s">
        <v>8260</v>
      </c>
      <c r="G2374" t="s">
        <v>3890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2:30" x14ac:dyDescent="0.25">
      <c r="B2375" t="s">
        <v>133</v>
      </c>
      <c r="C2375" t="s">
        <v>3261</v>
      </c>
      <c r="D2375" t="s">
        <v>6801</v>
      </c>
      <c r="E2375" t="s">
        <v>6802</v>
      </c>
      <c r="F2375" t="s">
        <v>8261</v>
      </c>
      <c r="G2375" t="s">
        <v>3890</v>
      </c>
      <c r="K2375">
        <v>1.0523185795646652</v>
      </c>
      <c r="L2375">
        <v>0</v>
      </c>
      <c r="M2375">
        <v>2.6610502237963307</v>
      </c>
      <c r="N2375">
        <v>3.0053187702710864</v>
      </c>
      <c r="O2375">
        <v>3.2227877064042256</v>
      </c>
      <c r="P2375">
        <v>1.872836740863129</v>
      </c>
      <c r="Q2375">
        <v>2.3719362717321486</v>
      </c>
      <c r="R2375">
        <v>2.7178091283899715</v>
      </c>
      <c r="S2375">
        <v>2.7659169304270659</v>
      </c>
      <c r="T2375">
        <v>2.8800309534760578</v>
      </c>
      <c r="U2375">
        <v>3.0067567210441561</v>
      </c>
      <c r="V2375">
        <v>3.2112514028710302</v>
      </c>
      <c r="W2375">
        <v>3.4480868891693475</v>
      </c>
      <c r="X2375">
        <v>3.7442991370321401</v>
      </c>
      <c r="Y2375">
        <v>4.0811089843922002</v>
      </c>
      <c r="Z2375">
        <v>4.4786898482549669</v>
      </c>
      <c r="AA2375">
        <v>4.9491607743239818</v>
      </c>
      <c r="AB2375">
        <v>5.569110753312783</v>
      </c>
      <c r="AC2375">
        <v>5.9379486931942695</v>
      </c>
      <c r="AD2375">
        <v>6.3382238036610881</v>
      </c>
    </row>
    <row r="2376" spans="2:30" x14ac:dyDescent="0.25">
      <c r="B2376" t="s">
        <v>133</v>
      </c>
      <c r="C2376" t="s">
        <v>3261</v>
      </c>
      <c r="D2376" t="s">
        <v>6804</v>
      </c>
      <c r="E2376" t="s">
        <v>6805</v>
      </c>
      <c r="F2376" t="s">
        <v>8262</v>
      </c>
      <c r="G2376" t="s">
        <v>3890</v>
      </c>
      <c r="K2376">
        <v>4.0395862328930464E-2</v>
      </c>
      <c r="L2376">
        <v>0</v>
      </c>
      <c r="M2376">
        <v>4.6379613377079352</v>
      </c>
      <c r="N2376">
        <v>0.22084789689860856</v>
      </c>
      <c r="O2376">
        <v>0.14753674608809536</v>
      </c>
      <c r="P2376">
        <v>8.6683894761917513E-2</v>
      </c>
      <c r="Q2376">
        <v>0.10978462226560465</v>
      </c>
      <c r="R2376">
        <v>0.12579328209876942</v>
      </c>
      <c r="S2376">
        <v>0.12801994262823368</v>
      </c>
      <c r="T2376">
        <v>0.13330168862830363</v>
      </c>
      <c r="U2376">
        <v>0.13916716684101391</v>
      </c>
      <c r="V2376">
        <v>0.14863216455922573</v>
      </c>
      <c r="W2376">
        <v>0.15959405030304616</v>
      </c>
      <c r="X2376">
        <v>0.17330417823928887</v>
      </c>
      <c r="Y2376">
        <v>0.18889335839915797</v>
      </c>
      <c r="Z2376">
        <v>0.20729531357788292</v>
      </c>
      <c r="AA2376">
        <v>0.22907097151649924</v>
      </c>
      <c r="AB2376">
        <v>0.25308159216102633</v>
      </c>
      <c r="AC2376">
        <v>0.28021888863294447</v>
      </c>
      <c r="AD2376">
        <v>0.30574218256885671</v>
      </c>
    </row>
    <row r="2377" spans="2:30" x14ac:dyDescent="0.25">
      <c r="B2377" t="s">
        <v>133</v>
      </c>
      <c r="C2377" t="s">
        <v>3261</v>
      </c>
      <c r="D2377" t="s">
        <v>6807</v>
      </c>
      <c r="E2377" t="s">
        <v>6808</v>
      </c>
      <c r="F2377" t="s">
        <v>8263</v>
      </c>
      <c r="G2377" t="s">
        <v>3890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2:30" x14ac:dyDescent="0.25">
      <c r="B2378" t="s">
        <v>133</v>
      </c>
      <c r="C2378" t="s">
        <v>3261</v>
      </c>
      <c r="D2378" t="s">
        <v>6810</v>
      </c>
      <c r="E2378" t="s">
        <v>6811</v>
      </c>
      <c r="F2378" t="s">
        <v>8264</v>
      </c>
      <c r="G2378" t="s">
        <v>3890</v>
      </c>
      <c r="K2378">
        <v>0.77915843740490331</v>
      </c>
      <c r="L2378">
        <v>0</v>
      </c>
      <c r="M2378">
        <v>2.0017464205064837</v>
      </c>
      <c r="N2378">
        <v>2.2607187331807137</v>
      </c>
      <c r="O2378">
        <v>2.4949156339225635</v>
      </c>
      <c r="P2378">
        <v>1.4204016290942789</v>
      </c>
      <c r="Q2378">
        <v>1.824893399625046</v>
      </c>
      <c r="R2378">
        <v>2.1094956911570795</v>
      </c>
      <c r="S2378">
        <v>2.16196669354219</v>
      </c>
      <c r="T2378">
        <v>2.2384506769094745</v>
      </c>
      <c r="U2378">
        <v>2.3306820253235601</v>
      </c>
      <c r="V2378">
        <v>2.4900070557755365</v>
      </c>
      <c r="W2378">
        <v>2.6800708634138548</v>
      </c>
      <c r="X2378">
        <v>2.9230944727208579</v>
      </c>
      <c r="Y2378">
        <v>3.1974237442561853</v>
      </c>
      <c r="Z2378">
        <v>3.5306689116331338</v>
      </c>
      <c r="AA2378">
        <v>3.928541673761575</v>
      </c>
      <c r="AB2378">
        <v>4.2049743030849429</v>
      </c>
      <c r="AC2378">
        <v>4.4667580624598262</v>
      </c>
      <c r="AD2378">
        <v>4.7678607107411883</v>
      </c>
    </row>
    <row r="2379" spans="2:30" x14ac:dyDescent="0.25">
      <c r="B2379" t="s">
        <v>133</v>
      </c>
      <c r="C2379" t="s">
        <v>3261</v>
      </c>
      <c r="D2379" t="s">
        <v>6813</v>
      </c>
      <c r="E2379" t="s">
        <v>6814</v>
      </c>
      <c r="F2379" t="s">
        <v>8265</v>
      </c>
      <c r="G2379" t="s">
        <v>3890</v>
      </c>
      <c r="K2379">
        <v>0.36032292751067735</v>
      </c>
      <c r="L2379">
        <v>0</v>
      </c>
      <c r="M2379">
        <v>3.1378222034155492</v>
      </c>
      <c r="N2379">
        <v>3.5437722600533248</v>
      </c>
      <c r="O2379">
        <v>1.6837101830731911</v>
      </c>
      <c r="P2379">
        <v>1.0719522931522669</v>
      </c>
      <c r="Q2379">
        <v>1.5334206895468785</v>
      </c>
      <c r="R2379">
        <v>1.9822356508800234</v>
      </c>
      <c r="S2379">
        <v>2.2657516850714252</v>
      </c>
      <c r="T2379">
        <v>2.4041249468079831</v>
      </c>
      <c r="U2379">
        <v>2.5653033335447879</v>
      </c>
      <c r="V2379">
        <v>2.8011497058954871</v>
      </c>
      <c r="W2379">
        <v>3.0897846601937839</v>
      </c>
      <c r="X2379">
        <v>3.4535916068438697</v>
      </c>
      <c r="Y2379">
        <v>3.8675462687132258</v>
      </c>
      <c r="Z2379">
        <v>4.3766166565206079</v>
      </c>
      <c r="AA2379">
        <v>4.9772897475691797</v>
      </c>
      <c r="AB2379">
        <v>5.8484401972112599</v>
      </c>
      <c r="AC2379">
        <v>7.0018322411314946</v>
      </c>
      <c r="AD2379">
        <v>7.4738233812707264</v>
      </c>
    </row>
    <row r="2380" spans="2:30" x14ac:dyDescent="0.25">
      <c r="B2380" t="s">
        <v>133</v>
      </c>
      <c r="C2380" t="s">
        <v>3261</v>
      </c>
      <c r="D2380" t="s">
        <v>6816</v>
      </c>
      <c r="E2380" t="s">
        <v>6817</v>
      </c>
      <c r="F2380" t="s">
        <v>8266</v>
      </c>
      <c r="G2380" t="s">
        <v>3890</v>
      </c>
      <c r="K2380">
        <v>0.29719119470704453</v>
      </c>
      <c r="L2380">
        <v>0</v>
      </c>
      <c r="M2380">
        <v>8.8158235221399863</v>
      </c>
      <c r="N2380">
        <v>9.5997687120941357</v>
      </c>
      <c r="O2380">
        <v>0.90707875910469338</v>
      </c>
      <c r="P2380">
        <v>0.52712452127454157</v>
      </c>
      <c r="Q2380">
        <v>0.66759998052702929</v>
      </c>
      <c r="R2380">
        <v>0.76494859613758626</v>
      </c>
      <c r="S2380">
        <v>0.77848891258112551</v>
      </c>
      <c r="T2380">
        <v>0.81060719521514124</v>
      </c>
      <c r="U2380">
        <v>0.84627515179938484</v>
      </c>
      <c r="V2380">
        <v>0.90383177641552837</v>
      </c>
      <c r="W2380">
        <v>0.97049097292311493</v>
      </c>
      <c r="X2380">
        <v>1.0538622225059109</v>
      </c>
      <c r="Y2380">
        <v>1.1486599833979794</v>
      </c>
      <c r="Z2380">
        <v>1.2605622213020669</v>
      </c>
      <c r="AA2380">
        <v>1.3929799362404367</v>
      </c>
      <c r="AB2380">
        <v>1.5389884531340667</v>
      </c>
      <c r="AC2380">
        <v>2.753503740350276</v>
      </c>
      <c r="AD2380">
        <v>3.8425761356050141</v>
      </c>
    </row>
    <row r="2381" spans="2:30" x14ac:dyDescent="0.25">
      <c r="B2381" t="s">
        <v>133</v>
      </c>
      <c r="C2381" t="s">
        <v>3261</v>
      </c>
      <c r="D2381" t="s">
        <v>6819</v>
      </c>
      <c r="E2381" t="s">
        <v>6820</v>
      </c>
      <c r="F2381" t="s">
        <v>8267</v>
      </c>
      <c r="G2381" t="s">
        <v>3890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2:30" x14ac:dyDescent="0.25">
      <c r="B2382" t="s">
        <v>133</v>
      </c>
      <c r="C2382" t="s">
        <v>3261</v>
      </c>
      <c r="D2382" t="s">
        <v>6822</v>
      </c>
      <c r="E2382" t="s">
        <v>6823</v>
      </c>
      <c r="F2382" t="s">
        <v>8268</v>
      </c>
      <c r="G2382" t="s">
        <v>3890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2:30" x14ac:dyDescent="0.25">
      <c r="B2383" t="s">
        <v>133</v>
      </c>
      <c r="C2383" t="s">
        <v>3261</v>
      </c>
      <c r="D2383" t="s">
        <v>6825</v>
      </c>
      <c r="E2383" t="s">
        <v>6826</v>
      </c>
      <c r="F2383" t="s">
        <v>8269</v>
      </c>
      <c r="G2383" t="s">
        <v>3890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2:30" x14ac:dyDescent="0.25">
      <c r="B2384" t="s">
        <v>133</v>
      </c>
      <c r="C2384" t="s">
        <v>3261</v>
      </c>
      <c r="D2384" t="s">
        <v>6828</v>
      </c>
      <c r="E2384" t="s">
        <v>6829</v>
      </c>
      <c r="F2384" t="s">
        <v>8270</v>
      </c>
      <c r="G2384" t="s">
        <v>3890</v>
      </c>
      <c r="K2384">
        <v>1.0523185795646652</v>
      </c>
      <c r="L2384">
        <v>0</v>
      </c>
      <c r="M2384">
        <v>2.6610502237963307</v>
      </c>
      <c r="N2384">
        <v>3.0053187702710864</v>
      </c>
      <c r="O2384">
        <v>3.2227877064042256</v>
      </c>
      <c r="P2384">
        <v>1.872836740863129</v>
      </c>
      <c r="Q2384">
        <v>2.3719362717321486</v>
      </c>
      <c r="R2384">
        <v>0.49763597687163941</v>
      </c>
      <c r="S2384">
        <v>0.67108015811903843</v>
      </c>
      <c r="T2384">
        <v>0.62732349386999098</v>
      </c>
      <c r="U2384">
        <v>0.94504179986437942</v>
      </c>
      <c r="V2384">
        <v>1.1251040211263423</v>
      </c>
      <c r="W2384">
        <v>1.3646177809566888</v>
      </c>
      <c r="X2384">
        <v>1.603359400058443</v>
      </c>
      <c r="Y2384">
        <v>1.8733309582438742</v>
      </c>
      <c r="Z2384">
        <v>2.1766156801339189</v>
      </c>
      <c r="AA2384">
        <v>2.5255904290144597</v>
      </c>
      <c r="AB2384">
        <v>2.9020301659404315</v>
      </c>
      <c r="AC2384">
        <v>3.3065969297161435</v>
      </c>
      <c r="AD2384">
        <v>3.6251599778261427</v>
      </c>
    </row>
    <row r="2385" spans="2:30" x14ac:dyDescent="0.25">
      <c r="B2385" t="s">
        <v>133</v>
      </c>
      <c r="C2385" t="s">
        <v>3261</v>
      </c>
      <c r="D2385" t="s">
        <v>6831</v>
      </c>
      <c r="E2385" t="s">
        <v>6832</v>
      </c>
      <c r="F2385" t="s">
        <v>8271</v>
      </c>
      <c r="G2385" t="s">
        <v>3890</v>
      </c>
      <c r="K2385">
        <v>4.0395862328930464E-2</v>
      </c>
      <c r="L2385">
        <v>0</v>
      </c>
      <c r="M2385">
        <v>4.6379613377079352</v>
      </c>
      <c r="N2385">
        <v>0.22084789689860856</v>
      </c>
      <c r="O2385">
        <v>0.14753674608809536</v>
      </c>
      <c r="P2385">
        <v>8.6683894761917513E-2</v>
      </c>
      <c r="Q2385">
        <v>0.10978462226560465</v>
      </c>
      <c r="R2385">
        <v>2.3032987183391564E-2</v>
      </c>
      <c r="S2385">
        <v>3.1060818347888802E-2</v>
      </c>
      <c r="T2385">
        <v>2.9035549408990845E-2</v>
      </c>
      <c r="U2385">
        <v>4.3741081183244407E-2</v>
      </c>
      <c r="V2385">
        <v>5.2075227079632434E-2</v>
      </c>
      <c r="W2385">
        <v>6.3161076207942646E-2</v>
      </c>
      <c r="X2385">
        <v>7.4211186948491534E-2</v>
      </c>
      <c r="Y2385">
        <v>8.6706769520025054E-2</v>
      </c>
      <c r="Z2385">
        <v>0.10074424558059086</v>
      </c>
      <c r="AA2385">
        <v>0.11689647590931987</v>
      </c>
      <c r="AB2385">
        <v>0.13431991802144763</v>
      </c>
      <c r="AC2385">
        <v>0.15304521425796908</v>
      </c>
      <c r="AD2385">
        <v>0.16778984476146735</v>
      </c>
    </row>
    <row r="2386" spans="2:30" x14ac:dyDescent="0.25">
      <c r="B2386" t="s">
        <v>133</v>
      </c>
      <c r="C2386" t="s">
        <v>3261</v>
      </c>
      <c r="D2386" t="s">
        <v>6834</v>
      </c>
      <c r="E2386" t="s">
        <v>6835</v>
      </c>
      <c r="F2386" t="s">
        <v>8272</v>
      </c>
      <c r="G2386" t="s">
        <v>3890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2:30" x14ac:dyDescent="0.25">
      <c r="B2387" t="s">
        <v>133</v>
      </c>
      <c r="C2387" t="s">
        <v>3261</v>
      </c>
      <c r="D2387" t="s">
        <v>6837</v>
      </c>
      <c r="E2387" t="s">
        <v>6838</v>
      </c>
      <c r="F2387" t="s">
        <v>8273</v>
      </c>
      <c r="G2387" t="s">
        <v>3890</v>
      </c>
      <c r="K2387">
        <v>0.77915843740490331</v>
      </c>
      <c r="L2387">
        <v>0</v>
      </c>
      <c r="M2387">
        <v>2.0017464205064837</v>
      </c>
      <c r="N2387">
        <v>2.2607187331807137</v>
      </c>
      <c r="O2387">
        <v>2.4949156339225635</v>
      </c>
      <c r="P2387">
        <v>1.4204016290942789</v>
      </c>
      <c r="Q2387">
        <v>1.824893399625046</v>
      </c>
      <c r="R2387">
        <v>0.38067948010212149</v>
      </c>
      <c r="S2387">
        <v>0.52858062155747432</v>
      </c>
      <c r="T2387">
        <v>0.49925654235365102</v>
      </c>
      <c r="U2387">
        <v>0.76231316459109055</v>
      </c>
      <c r="V2387">
        <v>0.91623875880552175</v>
      </c>
      <c r="W2387">
        <v>1.1210950160564181</v>
      </c>
      <c r="X2387">
        <v>1.3270722246685007</v>
      </c>
      <c r="Y2387">
        <v>1.5576039305713909</v>
      </c>
      <c r="Z2387">
        <v>1.8193825534925712</v>
      </c>
      <c r="AA2387">
        <v>2.1208308429246951</v>
      </c>
      <c r="AB2387">
        <v>2.4594184212428418</v>
      </c>
      <c r="AC2387">
        <v>2.8215530926754768</v>
      </c>
      <c r="AD2387">
        <v>3.0933862107459205</v>
      </c>
    </row>
    <row r="2388" spans="2:30" x14ac:dyDescent="0.25">
      <c r="B2388" t="s">
        <v>133</v>
      </c>
      <c r="C2388" t="s">
        <v>3261</v>
      </c>
      <c r="D2388" t="s">
        <v>6840</v>
      </c>
      <c r="E2388" t="s">
        <v>6841</v>
      </c>
      <c r="F2388" t="s">
        <v>8274</v>
      </c>
      <c r="G2388" t="s">
        <v>3890</v>
      </c>
      <c r="K2388">
        <v>0.36032292751067735</v>
      </c>
      <c r="L2388">
        <v>0</v>
      </c>
      <c r="M2388">
        <v>3.1378222034155492</v>
      </c>
      <c r="N2388">
        <v>3.5437722600533248</v>
      </c>
      <c r="O2388">
        <v>1.6837101830731911</v>
      </c>
      <c r="P2388">
        <v>1.0719522931522669</v>
      </c>
      <c r="Q2388">
        <v>1.5334206895468785</v>
      </c>
      <c r="R2388">
        <v>0.35771414000992541</v>
      </c>
      <c r="S2388">
        <v>0.55395508060659981</v>
      </c>
      <c r="T2388">
        <v>0.53620797666476805</v>
      </c>
      <c r="U2388">
        <v>0.83905246665259547</v>
      </c>
      <c r="V2388">
        <v>1.0307287779788104</v>
      </c>
      <c r="W2388">
        <v>1.2924815647667169</v>
      </c>
      <c r="X2388">
        <v>1.5679156248838859</v>
      </c>
      <c r="Y2388">
        <v>1.8840497074046165</v>
      </c>
      <c r="Z2388">
        <v>2.2553063420821755</v>
      </c>
      <c r="AA2388">
        <v>2.6869995248670051</v>
      </c>
      <c r="AB2388">
        <v>3.2725505729748487</v>
      </c>
      <c r="AC2388">
        <v>3.9390868714071452</v>
      </c>
      <c r="AD2388">
        <v>4.318585052527534</v>
      </c>
    </row>
    <row r="2389" spans="2:30" x14ac:dyDescent="0.25">
      <c r="B2389" t="s">
        <v>133</v>
      </c>
      <c r="C2389" t="s">
        <v>3261</v>
      </c>
      <c r="D2389" t="s">
        <v>6843</v>
      </c>
      <c r="E2389" t="s">
        <v>6844</v>
      </c>
      <c r="F2389" t="s">
        <v>8275</v>
      </c>
      <c r="G2389" t="s">
        <v>3890</v>
      </c>
      <c r="K2389">
        <v>0.29719119470704453</v>
      </c>
      <c r="L2389">
        <v>0</v>
      </c>
      <c r="M2389">
        <v>8.8158235221399863</v>
      </c>
      <c r="N2389">
        <v>9.5997687120941357</v>
      </c>
      <c r="O2389">
        <v>0.90707875910469338</v>
      </c>
      <c r="P2389">
        <v>0.52712452127454157</v>
      </c>
      <c r="Q2389">
        <v>0.66759998052702929</v>
      </c>
      <c r="R2389">
        <v>0.14006353055448859</v>
      </c>
      <c r="S2389">
        <v>0.18888074938251873</v>
      </c>
      <c r="T2389">
        <v>0.17656509463718287</v>
      </c>
      <c r="U2389">
        <v>0.26598939217112888</v>
      </c>
      <c r="V2389">
        <v>0.31666931002590115</v>
      </c>
      <c r="W2389">
        <v>0.38408232752738963</v>
      </c>
      <c r="X2389">
        <v>0.45127801999299272</v>
      </c>
      <c r="Y2389">
        <v>0.52726362261452786</v>
      </c>
      <c r="Z2389">
        <v>0.6126254752245397</v>
      </c>
      <c r="AA2389">
        <v>0.7108471426165307</v>
      </c>
      <c r="AB2389">
        <v>0.81679904530312952</v>
      </c>
      <c r="AC2389">
        <v>0.93066751927410685</v>
      </c>
      <c r="AD2389">
        <v>1.0203295760710878</v>
      </c>
    </row>
    <row r="2390" spans="2:30" x14ac:dyDescent="0.25">
      <c r="B2390" t="s">
        <v>133</v>
      </c>
      <c r="C2390" t="s">
        <v>3261</v>
      </c>
      <c r="D2390" t="s">
        <v>6846</v>
      </c>
      <c r="E2390" t="s">
        <v>6847</v>
      </c>
      <c r="F2390" t="s">
        <v>8276</v>
      </c>
      <c r="G2390" t="s">
        <v>3890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 s="130">
        <v>0</v>
      </c>
      <c r="X2390" s="130">
        <v>0</v>
      </c>
      <c r="Y2390" s="130">
        <v>0</v>
      </c>
      <c r="Z2390" s="130">
        <v>0</v>
      </c>
      <c r="AA2390" s="130">
        <v>0</v>
      </c>
      <c r="AB2390" s="130">
        <v>0</v>
      </c>
      <c r="AC2390" s="130">
        <v>0</v>
      </c>
      <c r="AD2390" s="130">
        <v>0</v>
      </c>
    </row>
    <row r="2391" spans="2:30" x14ac:dyDescent="0.25">
      <c r="B2391" t="s">
        <v>133</v>
      </c>
      <c r="C2391" t="s">
        <v>3261</v>
      </c>
      <c r="D2391" t="s">
        <v>6849</v>
      </c>
      <c r="E2391" t="s">
        <v>6850</v>
      </c>
      <c r="F2391" t="s">
        <v>8277</v>
      </c>
      <c r="G2391" t="s">
        <v>3890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 s="130">
        <v>0</v>
      </c>
      <c r="X2391" s="130">
        <v>0</v>
      </c>
      <c r="Y2391" s="130">
        <v>0</v>
      </c>
      <c r="Z2391" s="130">
        <v>0</v>
      </c>
      <c r="AA2391" s="130">
        <v>0</v>
      </c>
      <c r="AB2391" s="130">
        <v>0</v>
      </c>
      <c r="AC2391" s="130">
        <v>0</v>
      </c>
      <c r="AD2391" s="130">
        <v>0</v>
      </c>
    </row>
    <row r="2392" spans="2:30" x14ac:dyDescent="0.25">
      <c r="B2392" t="s">
        <v>133</v>
      </c>
      <c r="C2392" t="s">
        <v>3261</v>
      </c>
      <c r="D2392" t="s">
        <v>6852</v>
      </c>
      <c r="E2392" t="s">
        <v>6853</v>
      </c>
      <c r="F2392" t="s">
        <v>8278</v>
      </c>
      <c r="G2392" t="s">
        <v>3890</v>
      </c>
      <c r="H2392" t="s">
        <v>6853</v>
      </c>
      <c r="I2392" t="s">
        <v>4165</v>
      </c>
      <c r="K2392">
        <v>1.1368175895069652</v>
      </c>
      <c r="L2392">
        <v>1.0917610197470982</v>
      </c>
      <c r="M2392">
        <v>1.0604552177698889</v>
      </c>
      <c r="N2392">
        <v>1.03227909878657</v>
      </c>
      <c r="O2392">
        <v>1</v>
      </c>
      <c r="P2392">
        <v>0.97903567880143105</v>
      </c>
      <c r="Q2392">
        <v>0.95811374720502052</v>
      </c>
      <c r="R2392">
        <v>0.93759960694773214</v>
      </c>
      <c r="S2392">
        <v>0.91750779927332549</v>
      </c>
      <c r="T2392">
        <v>0.897896011223145</v>
      </c>
      <c r="U2392">
        <v>0.897896011223145</v>
      </c>
      <c r="V2392">
        <v>0.897896011223145</v>
      </c>
      <c r="W2392">
        <v>0.897896011223145</v>
      </c>
      <c r="X2392">
        <v>0.897896011223145</v>
      </c>
      <c r="Y2392">
        <v>0.897896011223145</v>
      </c>
      <c r="Z2392">
        <v>0.897896011223145</v>
      </c>
      <c r="AA2392">
        <v>0.897896011223145</v>
      </c>
      <c r="AB2392">
        <v>0.897896011223145</v>
      </c>
      <c r="AC2392">
        <v>0.897896011223145</v>
      </c>
      <c r="AD2392">
        <v>0.897896011223145</v>
      </c>
    </row>
    <row r="2393" spans="2:30" x14ac:dyDescent="0.25">
      <c r="B2393" t="s">
        <v>133</v>
      </c>
      <c r="C2393" t="s">
        <v>3261</v>
      </c>
      <c r="D2393" t="s">
        <v>6855</v>
      </c>
      <c r="E2393" t="s">
        <v>4476</v>
      </c>
      <c r="F2393" t="s">
        <v>8279</v>
      </c>
      <c r="G2393" t="s">
        <v>3890</v>
      </c>
      <c r="H2393" t="s">
        <v>4476</v>
      </c>
      <c r="I2393" t="s">
        <v>3892</v>
      </c>
      <c r="K2393">
        <v>0.14000000000000001</v>
      </c>
      <c r="L2393">
        <v>0.14000000000000001</v>
      </c>
      <c r="M2393">
        <v>0.14000000000000001</v>
      </c>
      <c r="N2393">
        <v>0.14000000000000001</v>
      </c>
      <c r="O2393">
        <v>0.14000000000000001</v>
      </c>
      <c r="P2393">
        <v>0.14000000000000001</v>
      </c>
      <c r="Q2393">
        <v>0.14000000000000001</v>
      </c>
      <c r="R2393">
        <v>0.14000000000000001</v>
      </c>
      <c r="S2393">
        <v>0.14000000000000001</v>
      </c>
      <c r="T2393">
        <v>0.14000000000000001</v>
      </c>
      <c r="U2393">
        <v>0.14000000000000001</v>
      </c>
      <c r="V2393">
        <v>0.14000000000000001</v>
      </c>
      <c r="W2393">
        <v>0.14000000000000001</v>
      </c>
      <c r="X2393">
        <v>0.14000000000000001</v>
      </c>
      <c r="Y2393">
        <v>0.14000000000000001</v>
      </c>
      <c r="Z2393">
        <v>0.14000000000000001</v>
      </c>
      <c r="AA2393">
        <v>0.14000000000000001</v>
      </c>
      <c r="AB2393">
        <v>0.14000000000000001</v>
      </c>
      <c r="AC2393">
        <v>0.14000000000000001</v>
      </c>
      <c r="AD2393">
        <v>0.14000000000000001</v>
      </c>
    </row>
    <row r="2394" spans="2:30" x14ac:dyDescent="0.25">
      <c r="B2394" t="s">
        <v>133</v>
      </c>
      <c r="C2394" t="s">
        <v>3261</v>
      </c>
      <c r="D2394" t="s">
        <v>6857</v>
      </c>
      <c r="E2394" t="s">
        <v>6858</v>
      </c>
      <c r="F2394" t="s">
        <v>8280</v>
      </c>
      <c r="G2394" t="s">
        <v>3890</v>
      </c>
      <c r="H2394" t="s">
        <v>6858</v>
      </c>
      <c r="I2394" t="s">
        <v>6860</v>
      </c>
      <c r="K2394">
        <v>111.75716230528862</v>
      </c>
      <c r="L2394">
        <v>89.403538478705627</v>
      </c>
      <c r="M2394">
        <v>84.949161735266472</v>
      </c>
      <c r="N2394">
        <v>72.686827484089392</v>
      </c>
      <c r="O2394">
        <v>76.093255999999997</v>
      </c>
      <c r="P2394">
        <v>70.958268078865274</v>
      </c>
      <c r="Q2394">
        <v>69.545549719803304</v>
      </c>
      <c r="R2394">
        <v>68.833425107272674</v>
      </c>
      <c r="S2394">
        <v>68.210667701936828</v>
      </c>
      <c r="T2394">
        <v>67.534099175383218</v>
      </c>
      <c r="U2394">
        <v>67.534099175383218</v>
      </c>
      <c r="V2394">
        <v>67.534099175383218</v>
      </c>
      <c r="W2394">
        <v>67.534099175383218</v>
      </c>
      <c r="X2394">
        <v>67.534099175383218</v>
      </c>
      <c r="Y2394">
        <v>67.534099175383218</v>
      </c>
      <c r="Z2394">
        <v>67.534099175383218</v>
      </c>
      <c r="AA2394">
        <v>67.534099175383218</v>
      </c>
      <c r="AB2394">
        <v>67.534099175383218</v>
      </c>
      <c r="AC2394">
        <v>67.534099175383218</v>
      </c>
      <c r="AD2394">
        <v>67.534099175383218</v>
      </c>
    </row>
    <row r="2395" spans="2:30" x14ac:dyDescent="0.25">
      <c r="B2395" t="s">
        <v>133</v>
      </c>
      <c r="C2395" t="s">
        <v>3261</v>
      </c>
      <c r="D2395" t="s">
        <v>6861</v>
      </c>
      <c r="E2395" t="s">
        <v>6862</v>
      </c>
      <c r="F2395" t="s">
        <v>8281</v>
      </c>
      <c r="G2395" t="s">
        <v>3890</v>
      </c>
      <c r="H2395" t="s">
        <v>6862</v>
      </c>
      <c r="I2395" t="s">
        <v>6864</v>
      </c>
      <c r="K2395">
        <v>409.80694455874033</v>
      </c>
      <c r="L2395">
        <v>195.64124003578868</v>
      </c>
      <c r="M2395">
        <v>147.93633497530044</v>
      </c>
      <c r="N2395">
        <v>119.54828976084644</v>
      </c>
      <c r="O2395">
        <v>120.300743</v>
      </c>
      <c r="P2395">
        <v>122.55003123620016</v>
      </c>
      <c r="Q2395">
        <v>121.48350328436834</v>
      </c>
      <c r="R2395">
        <v>120.3397797631516</v>
      </c>
      <c r="S2395">
        <v>119.11569833746792</v>
      </c>
      <c r="T2395">
        <v>117.93440993934053</v>
      </c>
      <c r="U2395">
        <v>117.93440993934054</v>
      </c>
      <c r="V2395">
        <v>117.93440993934055</v>
      </c>
      <c r="W2395">
        <v>117.93440993934054</v>
      </c>
      <c r="X2395">
        <v>117.93440993934053</v>
      </c>
      <c r="Y2395">
        <v>117.93440993934054</v>
      </c>
      <c r="Z2395">
        <v>117.93440993934051</v>
      </c>
      <c r="AA2395">
        <v>117.93440993934053</v>
      </c>
      <c r="AB2395">
        <v>117.93440993934053</v>
      </c>
      <c r="AC2395">
        <v>117.93440993934053</v>
      </c>
      <c r="AD2395">
        <v>117.93440993934051</v>
      </c>
    </row>
    <row r="2396" spans="2:30" x14ac:dyDescent="0.25">
      <c r="B2396" t="s">
        <v>133</v>
      </c>
      <c r="C2396" t="s">
        <v>3261</v>
      </c>
      <c r="D2396" t="s">
        <v>6865</v>
      </c>
      <c r="E2396" t="s">
        <v>6866</v>
      </c>
      <c r="F2396" t="s">
        <v>8282</v>
      </c>
      <c r="G2396" t="s">
        <v>3890</v>
      </c>
      <c r="H2396" t="s">
        <v>6866</v>
      </c>
      <c r="I2396" t="s">
        <v>6868</v>
      </c>
      <c r="K2396">
        <v>26.693896382197355</v>
      </c>
      <c r="L2396">
        <v>10.670418595749961</v>
      </c>
      <c r="M2396">
        <v>8.9942369846005317</v>
      </c>
      <c r="N2396">
        <v>9.6066996433622407</v>
      </c>
      <c r="O2396">
        <v>9.9645608333333335</v>
      </c>
      <c r="P2396">
        <v>9.0393681253503324</v>
      </c>
      <c r="Q2396">
        <v>7.9510314623354663</v>
      </c>
      <c r="R2396">
        <v>7.563351911337068</v>
      </c>
      <c r="S2396">
        <v>7.4533706916082316</v>
      </c>
      <c r="T2396">
        <v>7.3910456015428156</v>
      </c>
      <c r="U2396">
        <v>7.3910456015428165</v>
      </c>
      <c r="V2396">
        <v>7.3910456015428165</v>
      </c>
      <c r="W2396">
        <v>7.3910456015428165</v>
      </c>
      <c r="X2396">
        <v>7.3910456015428156</v>
      </c>
      <c r="Y2396">
        <v>7.3910456015428165</v>
      </c>
      <c r="Z2396">
        <v>7.3910456015428165</v>
      </c>
      <c r="AA2396">
        <v>7.3910456015428156</v>
      </c>
      <c r="AB2396">
        <v>7.3910456015428156</v>
      </c>
      <c r="AC2396">
        <v>7.3910456015428174</v>
      </c>
      <c r="AD2396">
        <v>7.3910456015428156</v>
      </c>
    </row>
    <row r="2397" spans="2:30" x14ac:dyDescent="0.25">
      <c r="B2397" t="s">
        <v>133</v>
      </c>
      <c r="C2397" t="s">
        <v>3261</v>
      </c>
      <c r="D2397" t="s">
        <v>6857</v>
      </c>
      <c r="E2397" t="s">
        <v>6869</v>
      </c>
      <c r="F2397" t="s">
        <v>8283</v>
      </c>
      <c r="G2397" t="s">
        <v>3890</v>
      </c>
      <c r="H2397" t="s">
        <v>6869</v>
      </c>
      <c r="I2397" t="s">
        <v>6860</v>
      </c>
      <c r="K2397">
        <v>18.260974232890298</v>
      </c>
      <c r="L2397">
        <v>14.608421320049938</v>
      </c>
      <c r="M2397">
        <v>13.880581982886678</v>
      </c>
      <c r="N2397">
        <v>11.876932595439444</v>
      </c>
      <c r="O2397">
        <v>12.433538562091503</v>
      </c>
      <c r="P2397">
        <v>11.5944882481806</v>
      </c>
      <c r="Q2397">
        <v>11.36365191500054</v>
      </c>
      <c r="R2397">
        <v>11.247291684194881</v>
      </c>
      <c r="S2397">
        <v>11.145533938224972</v>
      </c>
      <c r="T2397">
        <v>11.034983525389414</v>
      </c>
      <c r="U2397">
        <v>11.034983525389414</v>
      </c>
      <c r="V2397">
        <v>11.034983525389414</v>
      </c>
      <c r="W2397">
        <v>11.034983525389414</v>
      </c>
      <c r="X2397">
        <v>11.034983525389414</v>
      </c>
      <c r="Y2397">
        <v>11.034983525389414</v>
      </c>
      <c r="Z2397">
        <v>11.034983525389414</v>
      </c>
      <c r="AA2397">
        <v>11.034983525389414</v>
      </c>
      <c r="AB2397">
        <v>11.034983525389414</v>
      </c>
      <c r="AC2397">
        <v>11.034983525389414</v>
      </c>
      <c r="AD2397">
        <v>11.034983525389414</v>
      </c>
    </row>
    <row r="2398" spans="2:30" x14ac:dyDescent="0.25">
      <c r="B2398" t="s">
        <v>133</v>
      </c>
      <c r="C2398" t="s">
        <v>3261</v>
      </c>
      <c r="D2398" t="s">
        <v>6861</v>
      </c>
      <c r="E2398" t="s">
        <v>6871</v>
      </c>
      <c r="F2398" t="s">
        <v>8284</v>
      </c>
      <c r="G2398" t="s">
        <v>3890</v>
      </c>
      <c r="H2398" t="s">
        <v>6871</v>
      </c>
      <c r="I2398" t="s">
        <v>6864</v>
      </c>
      <c r="K2398">
        <v>16.300992225884656</v>
      </c>
      <c r="L2398">
        <v>7.7820700093790238</v>
      </c>
      <c r="M2398">
        <v>5.8845001979037557</v>
      </c>
      <c r="N2398">
        <v>4.7553018997950049</v>
      </c>
      <c r="O2398">
        <v>4.7852324184566415</v>
      </c>
      <c r="P2398">
        <v>4.8747029131344526</v>
      </c>
      <c r="Q2398">
        <v>4.8322793669199813</v>
      </c>
      <c r="R2398">
        <v>4.7867851934427836</v>
      </c>
      <c r="S2398">
        <v>4.7380946037178955</v>
      </c>
      <c r="T2398">
        <v>4.6911062028377293</v>
      </c>
      <c r="U2398">
        <v>4.6911062028377293</v>
      </c>
      <c r="V2398">
        <v>4.6911062028377302</v>
      </c>
      <c r="W2398">
        <v>4.6911062028377293</v>
      </c>
      <c r="X2398">
        <v>4.6911062028377293</v>
      </c>
      <c r="Y2398">
        <v>4.6911062028377293</v>
      </c>
      <c r="Z2398">
        <v>4.6911062028377284</v>
      </c>
      <c r="AA2398">
        <v>4.6911062028377293</v>
      </c>
      <c r="AB2398">
        <v>4.6911062028377293</v>
      </c>
      <c r="AC2398">
        <v>4.6911062028377293</v>
      </c>
      <c r="AD2398">
        <v>4.6911062028377284</v>
      </c>
    </row>
    <row r="2399" spans="2:30" x14ac:dyDescent="0.25">
      <c r="B2399" t="s">
        <v>133</v>
      </c>
      <c r="C2399" t="s">
        <v>3261</v>
      </c>
      <c r="D2399" t="s">
        <v>6865</v>
      </c>
      <c r="E2399" t="s">
        <v>6873</v>
      </c>
      <c r="F2399" t="s">
        <v>8285</v>
      </c>
      <c r="G2399" t="s">
        <v>3890</v>
      </c>
      <c r="H2399" t="s">
        <v>6873</v>
      </c>
      <c r="I2399" t="s">
        <v>6868</v>
      </c>
      <c r="K2399">
        <v>25.300928464647711</v>
      </c>
      <c r="L2399">
        <v>10.113604013199263</v>
      </c>
      <c r="M2399">
        <v>8.5248906073237176</v>
      </c>
      <c r="N2399">
        <v>9.1053931197606968</v>
      </c>
      <c r="O2399">
        <v>9.4445800349302154</v>
      </c>
      <c r="P2399">
        <v>8.5676666692102899</v>
      </c>
      <c r="Q2399">
        <v>7.5361226914357777</v>
      </c>
      <c r="R2399">
        <v>7.1686734271328421</v>
      </c>
      <c r="S2399">
        <v>7.0644313587224108</v>
      </c>
      <c r="T2399">
        <v>7.0053585795851747</v>
      </c>
      <c r="U2399">
        <v>7.0053585795851756</v>
      </c>
      <c r="V2399">
        <v>7.0053585795851756</v>
      </c>
      <c r="W2399">
        <v>7.0053585795851756</v>
      </c>
      <c r="X2399">
        <v>7.0053585795851747</v>
      </c>
      <c r="Y2399">
        <v>7.0053585795851756</v>
      </c>
      <c r="Z2399">
        <v>7.0053585795851756</v>
      </c>
      <c r="AA2399">
        <v>7.0053585795851747</v>
      </c>
      <c r="AB2399">
        <v>7.0053585795851747</v>
      </c>
      <c r="AC2399">
        <v>7.0053585795851756</v>
      </c>
      <c r="AD2399">
        <v>7.0053585795851747</v>
      </c>
    </row>
    <row r="2400" spans="2:30" x14ac:dyDescent="0.25">
      <c r="B2400" t="s">
        <v>133</v>
      </c>
      <c r="C2400" t="s">
        <v>3261</v>
      </c>
      <c r="D2400" t="s">
        <v>6875</v>
      </c>
      <c r="E2400" t="s">
        <v>6876</v>
      </c>
      <c r="F2400" t="s">
        <v>8286</v>
      </c>
      <c r="G2400" t="s">
        <v>3890</v>
      </c>
      <c r="H2400" t="s">
        <v>6876</v>
      </c>
      <c r="I2400" t="s">
        <v>6878</v>
      </c>
      <c r="K2400">
        <v>0.66649403623702208</v>
      </c>
      <c r="L2400">
        <v>0.52974010355228474</v>
      </c>
      <c r="M2400">
        <v>0.5026069413629517</v>
      </c>
      <c r="N2400">
        <v>0.44257796119644682</v>
      </c>
      <c r="O2400">
        <v>0.46331913590053142</v>
      </c>
      <c r="P2400">
        <v>0.43205305147276285</v>
      </c>
      <c r="Q2400">
        <v>0.4234512451656256</v>
      </c>
      <c r="R2400">
        <v>0.41911523725276678</v>
      </c>
      <c r="S2400">
        <v>0.4153233713492252</v>
      </c>
      <c r="T2400">
        <v>0.41120385850960756</v>
      </c>
      <c r="U2400">
        <v>0.41120385850960756</v>
      </c>
      <c r="V2400">
        <v>0.41120385850960756</v>
      </c>
      <c r="W2400">
        <v>0.41120385850960756</v>
      </c>
      <c r="X2400">
        <v>0.41120385850960756</v>
      </c>
      <c r="Y2400">
        <v>0.41120385850960756</v>
      </c>
      <c r="Z2400">
        <v>0.41120385850960756</v>
      </c>
      <c r="AA2400">
        <v>0.41120385850960756</v>
      </c>
      <c r="AB2400">
        <v>0.41120385850960756</v>
      </c>
      <c r="AC2400">
        <v>0.41120385850960756</v>
      </c>
      <c r="AD2400">
        <v>0.41120385850960756</v>
      </c>
    </row>
    <row r="2401" spans="2:30" x14ac:dyDescent="0.25">
      <c r="B2401" t="s">
        <v>133</v>
      </c>
      <c r="C2401" t="s">
        <v>3261</v>
      </c>
      <c r="D2401" t="s">
        <v>6879</v>
      </c>
      <c r="E2401" t="s">
        <v>6880</v>
      </c>
      <c r="F2401" t="s">
        <v>8287</v>
      </c>
      <c r="G2401" t="s">
        <v>3890</v>
      </c>
      <c r="H2401" t="s">
        <v>6880</v>
      </c>
      <c r="I2401" t="s">
        <v>6878</v>
      </c>
      <c r="K2401">
        <v>0.69186626801993456</v>
      </c>
      <c r="L2401">
        <v>0.54990635855423164</v>
      </c>
      <c r="M2401">
        <v>0.52174028557704244</v>
      </c>
      <c r="N2401">
        <v>0.45942610987139121</v>
      </c>
      <c r="O2401">
        <v>0.48095686387165837</v>
      </c>
      <c r="P2401">
        <v>0.44850053572389442</v>
      </c>
      <c r="Q2401">
        <v>0.43957127408856161</v>
      </c>
      <c r="R2401">
        <v>0.43507020213642233</v>
      </c>
      <c r="S2401">
        <v>0.43113398670330721</v>
      </c>
      <c r="T2401">
        <v>0.42685765140329729</v>
      </c>
      <c r="U2401">
        <v>0.42685765140329729</v>
      </c>
      <c r="V2401">
        <v>0.42685765140329729</v>
      </c>
      <c r="W2401">
        <v>0.42685765140329729</v>
      </c>
      <c r="X2401">
        <v>0.42685765140329729</v>
      </c>
      <c r="Y2401">
        <v>0.42685765140329729</v>
      </c>
      <c r="Z2401">
        <v>0.42685765140329729</v>
      </c>
      <c r="AA2401">
        <v>0.42685765140329729</v>
      </c>
      <c r="AB2401">
        <v>0.42685765140329729</v>
      </c>
      <c r="AC2401">
        <v>0.42685765140329729</v>
      </c>
      <c r="AD2401">
        <v>0.42685765140329729</v>
      </c>
    </row>
    <row r="2402" spans="2:30" x14ac:dyDescent="0.25">
      <c r="B2402" t="s">
        <v>133</v>
      </c>
      <c r="C2402" t="s">
        <v>3261</v>
      </c>
      <c r="D2402" t="s">
        <v>6882</v>
      </c>
      <c r="E2402" t="s">
        <v>6883</v>
      </c>
      <c r="F2402" t="s">
        <v>8288</v>
      </c>
      <c r="G2402" t="s">
        <v>3890</v>
      </c>
      <c r="H2402" t="s">
        <v>6883</v>
      </c>
      <c r="I2402" t="s">
        <v>6878</v>
      </c>
      <c r="K2402">
        <v>0.69186626801993456</v>
      </c>
      <c r="L2402">
        <v>0.54990635855423164</v>
      </c>
      <c r="M2402">
        <v>0.52174028557704244</v>
      </c>
      <c r="N2402">
        <v>0.45942610987139121</v>
      </c>
      <c r="O2402">
        <v>0.48095686387165837</v>
      </c>
      <c r="P2402">
        <v>0.44850053572389442</v>
      </c>
      <c r="Q2402">
        <v>0.43957127408856161</v>
      </c>
      <c r="R2402">
        <v>0.43507020213642233</v>
      </c>
      <c r="S2402">
        <v>0.43113398670330721</v>
      </c>
      <c r="T2402">
        <v>0.42685765140329729</v>
      </c>
      <c r="U2402">
        <v>0.42685765140329729</v>
      </c>
      <c r="V2402">
        <v>0.42685765140329729</v>
      </c>
      <c r="W2402">
        <v>0.42685765140329729</v>
      </c>
      <c r="X2402">
        <v>0.42685765140329729</v>
      </c>
      <c r="Y2402">
        <v>0.42685765140329729</v>
      </c>
      <c r="Z2402">
        <v>0.42685765140329729</v>
      </c>
      <c r="AA2402">
        <v>0.42685765140329729</v>
      </c>
      <c r="AB2402">
        <v>0.42685765140329729</v>
      </c>
      <c r="AC2402">
        <v>0.42685765140329729</v>
      </c>
      <c r="AD2402">
        <v>0.42685765140329729</v>
      </c>
    </row>
    <row r="2403" spans="2:30" x14ac:dyDescent="0.25">
      <c r="B2403" t="s">
        <v>133</v>
      </c>
      <c r="C2403" t="s">
        <v>3261</v>
      </c>
      <c r="D2403" t="s">
        <v>6885</v>
      </c>
      <c r="E2403" t="s">
        <v>6886</v>
      </c>
      <c r="F2403" t="s">
        <v>8289</v>
      </c>
      <c r="G2403" t="s">
        <v>3890</v>
      </c>
      <c r="H2403" t="s">
        <v>6886</v>
      </c>
      <c r="I2403" t="s">
        <v>6878</v>
      </c>
      <c r="K2403">
        <v>0.55763179275081687</v>
      </c>
      <c r="L2403">
        <v>0.44321465395800225</v>
      </c>
      <c r="M2403">
        <v>0.42051330473054166</v>
      </c>
      <c r="N2403">
        <v>0.37028919767589552</v>
      </c>
      <c r="O2403">
        <v>0.38764259891455777</v>
      </c>
      <c r="P2403">
        <v>0.36148338103139183</v>
      </c>
      <c r="Q2403">
        <v>0.35428655643709278</v>
      </c>
      <c r="R2403">
        <v>0.35065877323969097</v>
      </c>
      <c r="S2403">
        <v>0.34748625425722457</v>
      </c>
      <c r="T2403">
        <v>0.34403960476732715</v>
      </c>
      <c r="U2403">
        <v>0.34403960476732715</v>
      </c>
      <c r="V2403">
        <v>0.34403960476732715</v>
      </c>
      <c r="W2403">
        <v>0.34403960476732715</v>
      </c>
      <c r="X2403">
        <v>0.34403960476732715</v>
      </c>
      <c r="Y2403">
        <v>0.34403960476732715</v>
      </c>
      <c r="Z2403">
        <v>0.34403960476732715</v>
      </c>
      <c r="AA2403">
        <v>0.34403960476732715</v>
      </c>
      <c r="AB2403">
        <v>0.34403960476732715</v>
      </c>
      <c r="AC2403">
        <v>0.34403960476732715</v>
      </c>
      <c r="AD2403">
        <v>0.34403960476732715</v>
      </c>
    </row>
    <row r="2404" spans="2:30" x14ac:dyDescent="0.25">
      <c r="B2404" t="s">
        <v>133</v>
      </c>
      <c r="C2404" t="s">
        <v>3261</v>
      </c>
      <c r="D2404" t="s">
        <v>6888</v>
      </c>
      <c r="E2404" t="s">
        <v>6889</v>
      </c>
      <c r="F2404" t="s">
        <v>8290</v>
      </c>
      <c r="G2404" t="s">
        <v>3890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2:30" x14ac:dyDescent="0.25">
      <c r="B2405" t="s">
        <v>133</v>
      </c>
      <c r="C2405" t="s">
        <v>3261</v>
      </c>
      <c r="D2405" t="s">
        <v>6891</v>
      </c>
      <c r="E2405" t="s">
        <v>6892</v>
      </c>
      <c r="F2405" t="s">
        <v>8291</v>
      </c>
      <c r="G2405" t="s">
        <v>3890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2:30" x14ac:dyDescent="0.25">
      <c r="B2406" t="s">
        <v>133</v>
      </c>
      <c r="C2406" t="s">
        <v>3261</v>
      </c>
      <c r="D2406" t="s">
        <v>6894</v>
      </c>
      <c r="E2406" t="s">
        <v>6895</v>
      </c>
      <c r="F2406" t="s">
        <v>8292</v>
      </c>
      <c r="G2406" t="s">
        <v>3890</v>
      </c>
      <c r="H2406" t="s">
        <v>6897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 s="169">
        <v>0</v>
      </c>
      <c r="Y2406" s="169">
        <v>0</v>
      </c>
      <c r="Z2406" s="169">
        <v>0</v>
      </c>
      <c r="AA2406" s="169">
        <v>0</v>
      </c>
      <c r="AB2406" s="169">
        <v>0</v>
      </c>
      <c r="AC2406" s="169">
        <v>0</v>
      </c>
      <c r="AD2406" s="169">
        <v>0</v>
      </c>
    </row>
    <row r="2407" spans="2:30" x14ac:dyDescent="0.25">
      <c r="B2407" t="s">
        <v>133</v>
      </c>
      <c r="C2407" t="s">
        <v>3261</v>
      </c>
      <c r="D2407" t="s">
        <v>6898</v>
      </c>
      <c r="E2407" t="s">
        <v>6899</v>
      </c>
      <c r="F2407" t="s">
        <v>8293</v>
      </c>
      <c r="G2407" t="s">
        <v>3890</v>
      </c>
      <c r="H2407" t="s">
        <v>6897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 s="169">
        <v>0</v>
      </c>
      <c r="Y2407" s="169">
        <v>0</v>
      </c>
      <c r="Z2407" s="169">
        <v>0</v>
      </c>
      <c r="AA2407" s="169">
        <v>0</v>
      </c>
      <c r="AB2407" s="169">
        <v>0</v>
      </c>
      <c r="AC2407" s="169">
        <v>0</v>
      </c>
      <c r="AD2407" s="169">
        <v>0</v>
      </c>
    </row>
    <row r="2408" spans="2:30" x14ac:dyDescent="0.25">
      <c r="B2408" t="s">
        <v>133</v>
      </c>
      <c r="C2408" t="s">
        <v>3261</v>
      </c>
      <c r="D2408" t="s">
        <v>6901</v>
      </c>
      <c r="E2408" t="s">
        <v>6902</v>
      </c>
      <c r="F2408" t="s">
        <v>8294</v>
      </c>
      <c r="G2408" t="s">
        <v>3890</v>
      </c>
      <c r="H2408" t="s">
        <v>6897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2:30" x14ac:dyDescent="0.25">
      <c r="B2409" t="s">
        <v>133</v>
      </c>
      <c r="C2409" t="s">
        <v>3261</v>
      </c>
      <c r="D2409" t="s">
        <v>6904</v>
      </c>
      <c r="E2409" t="s">
        <v>6905</v>
      </c>
      <c r="F2409" t="s">
        <v>8295</v>
      </c>
      <c r="G2409" t="s">
        <v>3890</v>
      </c>
      <c r="H2409" t="s">
        <v>6897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2:30" x14ac:dyDescent="0.25">
      <c r="B2410" t="s">
        <v>133</v>
      </c>
      <c r="C2410" t="s">
        <v>3261</v>
      </c>
      <c r="D2410" t="s">
        <v>6907</v>
      </c>
      <c r="E2410" t="s">
        <v>6908</v>
      </c>
      <c r="F2410" t="s">
        <v>8296</v>
      </c>
      <c r="G2410" t="s">
        <v>3890</v>
      </c>
      <c r="H2410" t="s">
        <v>6897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2:30" x14ac:dyDescent="0.25">
      <c r="B2411" t="s">
        <v>133</v>
      </c>
      <c r="C2411" t="s">
        <v>3261</v>
      </c>
      <c r="D2411" t="s">
        <v>6910</v>
      </c>
      <c r="E2411" t="s">
        <v>6911</v>
      </c>
      <c r="F2411" t="s">
        <v>8297</v>
      </c>
      <c r="G2411" t="s">
        <v>3890</v>
      </c>
      <c r="H2411" t="s">
        <v>6897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2:30" x14ac:dyDescent="0.25">
      <c r="B2412" t="s">
        <v>133</v>
      </c>
      <c r="C2412" t="s">
        <v>3261</v>
      </c>
      <c r="D2412" t="s">
        <v>6913</v>
      </c>
      <c r="E2412" t="s">
        <v>6914</v>
      </c>
      <c r="F2412" t="s">
        <v>8298</v>
      </c>
      <c r="G2412" t="s">
        <v>3890</v>
      </c>
      <c r="H2412" t="s">
        <v>6897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2:30" x14ac:dyDescent="0.25">
      <c r="B2413" t="s">
        <v>133</v>
      </c>
      <c r="C2413" t="s">
        <v>3261</v>
      </c>
      <c r="D2413" t="s">
        <v>6916</v>
      </c>
      <c r="E2413" t="s">
        <v>6917</v>
      </c>
      <c r="F2413" t="s">
        <v>8299</v>
      </c>
      <c r="G2413" t="s">
        <v>3890</v>
      </c>
      <c r="H2413" t="s">
        <v>6897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2:30" x14ac:dyDescent="0.25">
      <c r="B2414" t="s">
        <v>133</v>
      </c>
      <c r="C2414" t="s">
        <v>3261</v>
      </c>
      <c r="D2414" t="s">
        <v>6919</v>
      </c>
      <c r="E2414" t="s">
        <v>6920</v>
      </c>
      <c r="F2414" t="s">
        <v>8300</v>
      </c>
      <c r="G2414" t="s">
        <v>3890</v>
      </c>
      <c r="H2414" t="s">
        <v>6897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2:30" x14ac:dyDescent="0.25">
      <c r="B2415" t="s">
        <v>133</v>
      </c>
      <c r="C2415" t="s">
        <v>3261</v>
      </c>
      <c r="D2415" t="s">
        <v>6922</v>
      </c>
      <c r="E2415" t="s">
        <v>6923</v>
      </c>
      <c r="F2415" t="s">
        <v>8301</v>
      </c>
      <c r="G2415" t="s">
        <v>3890</v>
      </c>
      <c r="H2415" t="s">
        <v>6925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2:30" x14ac:dyDescent="0.25">
      <c r="B2416" t="s">
        <v>133</v>
      </c>
      <c r="C2416" t="s">
        <v>3261</v>
      </c>
      <c r="D2416" t="s">
        <v>6926</v>
      </c>
      <c r="E2416" t="s">
        <v>6927</v>
      </c>
      <c r="F2416" t="s">
        <v>8302</v>
      </c>
      <c r="G2416" t="s">
        <v>3890</v>
      </c>
      <c r="H2416" t="s">
        <v>6925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 s="190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2:30" x14ac:dyDescent="0.25">
      <c r="B2417" t="s">
        <v>133</v>
      </c>
      <c r="C2417" t="s">
        <v>3261</v>
      </c>
      <c r="D2417" t="s">
        <v>6929</v>
      </c>
      <c r="E2417" t="s">
        <v>6930</v>
      </c>
      <c r="F2417" t="s">
        <v>8303</v>
      </c>
      <c r="G2417" t="s">
        <v>3890</v>
      </c>
      <c r="H2417" t="s">
        <v>6925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2:30" x14ac:dyDescent="0.25">
      <c r="B2418" t="s">
        <v>133</v>
      </c>
      <c r="C2418" t="s">
        <v>3261</v>
      </c>
      <c r="D2418" t="s">
        <v>6932</v>
      </c>
      <c r="E2418" t="s">
        <v>6933</v>
      </c>
      <c r="F2418" t="s">
        <v>8304</v>
      </c>
      <c r="G2418" t="s">
        <v>3890</v>
      </c>
      <c r="H2418" t="s">
        <v>6925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2:30" x14ac:dyDescent="0.25">
      <c r="B2419" t="s">
        <v>133</v>
      </c>
      <c r="C2419" t="s">
        <v>3261</v>
      </c>
      <c r="D2419" t="s">
        <v>6935</v>
      </c>
      <c r="E2419" t="s">
        <v>6936</v>
      </c>
      <c r="F2419" t="s">
        <v>8305</v>
      </c>
      <c r="G2419" t="s">
        <v>3890</v>
      </c>
      <c r="H2419" t="s">
        <v>6925</v>
      </c>
      <c r="J2419">
        <v>1</v>
      </c>
      <c r="K2419">
        <v>6.5115671266546826E-4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2:30" x14ac:dyDescent="0.25">
      <c r="B2420" t="s">
        <v>133</v>
      </c>
      <c r="C2420" t="s">
        <v>3261</v>
      </c>
      <c r="D2420" t="s">
        <v>6938</v>
      </c>
      <c r="E2420" t="s">
        <v>6939</v>
      </c>
      <c r="F2420" t="s">
        <v>8306</v>
      </c>
      <c r="G2420" t="s">
        <v>3890</v>
      </c>
      <c r="H2420" t="s">
        <v>6925</v>
      </c>
      <c r="J2420">
        <v>1</v>
      </c>
      <c r="K2420">
        <v>0.16861237962541242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2:30" x14ac:dyDescent="0.25">
      <c r="B2421" t="s">
        <v>133</v>
      </c>
      <c r="C2421" t="s">
        <v>3261</v>
      </c>
      <c r="D2421" t="s">
        <v>6941</v>
      </c>
      <c r="E2421" t="s">
        <v>6942</v>
      </c>
      <c r="F2421" t="s">
        <v>8307</v>
      </c>
      <c r="G2421" t="s">
        <v>3890</v>
      </c>
      <c r="H2421" t="s">
        <v>6925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2:30" x14ac:dyDescent="0.25">
      <c r="B2422" t="s">
        <v>133</v>
      </c>
      <c r="C2422" t="s">
        <v>3261</v>
      </c>
      <c r="D2422" t="s">
        <v>6944</v>
      </c>
      <c r="E2422" t="s">
        <v>6945</v>
      </c>
      <c r="F2422" t="s">
        <v>8308</v>
      </c>
      <c r="G2422" t="s">
        <v>3890</v>
      </c>
      <c r="H2422" t="s">
        <v>6925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2:30" x14ac:dyDescent="0.25">
      <c r="B2423" t="s">
        <v>133</v>
      </c>
      <c r="C2423" t="s">
        <v>3261</v>
      </c>
      <c r="D2423" t="s">
        <v>6947</v>
      </c>
      <c r="E2423" t="s">
        <v>6948</v>
      </c>
      <c r="F2423" t="s">
        <v>8309</v>
      </c>
      <c r="G2423" t="s">
        <v>3890</v>
      </c>
      <c r="H2423" t="s">
        <v>6925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2:30" x14ac:dyDescent="0.25">
      <c r="B2424" t="s">
        <v>133</v>
      </c>
      <c r="C2424" t="s">
        <v>3261</v>
      </c>
      <c r="D2424" t="s">
        <v>6950</v>
      </c>
      <c r="E2424" t="s">
        <v>6951</v>
      </c>
      <c r="F2424" t="s">
        <v>8310</v>
      </c>
      <c r="G2424" t="s">
        <v>3890</v>
      </c>
      <c r="H2424" t="s">
        <v>6925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2:30" x14ac:dyDescent="0.25">
      <c r="B2425" t="s">
        <v>133</v>
      </c>
      <c r="C2425" t="s">
        <v>3261</v>
      </c>
      <c r="D2425" t="s">
        <v>6953</v>
      </c>
      <c r="E2425" t="s">
        <v>6954</v>
      </c>
      <c r="F2425" t="s">
        <v>8311</v>
      </c>
      <c r="G2425" t="s">
        <v>3890</v>
      </c>
      <c r="H2425" t="s">
        <v>6925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2:30" x14ac:dyDescent="0.25">
      <c r="B2426" t="s">
        <v>133</v>
      </c>
      <c r="C2426" t="s">
        <v>3261</v>
      </c>
      <c r="D2426" t="s">
        <v>6956</v>
      </c>
      <c r="E2426" t="s">
        <v>6957</v>
      </c>
      <c r="F2426" t="s">
        <v>8312</v>
      </c>
      <c r="G2426" t="s">
        <v>3890</v>
      </c>
      <c r="H2426" t="s">
        <v>6925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2:30" x14ac:dyDescent="0.25">
      <c r="B2427" t="s">
        <v>133</v>
      </c>
      <c r="C2427" t="s">
        <v>3261</v>
      </c>
      <c r="D2427" t="s">
        <v>6959</v>
      </c>
      <c r="E2427" t="s">
        <v>6960</v>
      </c>
      <c r="F2427" t="s">
        <v>8313</v>
      </c>
      <c r="G2427" t="s">
        <v>3890</v>
      </c>
      <c r="H2427" t="s">
        <v>4401</v>
      </c>
      <c r="J2427">
        <v>1</v>
      </c>
      <c r="K2427">
        <v>13.300765797231492</v>
      </c>
      <c r="L2427">
        <v>6.6597422204572982</v>
      </c>
      <c r="M2427">
        <v>5.9120378390671311</v>
      </c>
      <c r="N2427">
        <v>10.667339738862136</v>
      </c>
      <c r="O2427">
        <v>10.697270257523773</v>
      </c>
      <c r="P2427">
        <v>10.786740752201585</v>
      </c>
      <c r="Q2427">
        <v>10.744317205987112</v>
      </c>
      <c r="R2427">
        <v>10.698823032509914</v>
      </c>
      <c r="S2427">
        <v>10.650132442785026</v>
      </c>
      <c r="T2427">
        <v>10.60314404190486</v>
      </c>
      <c r="U2427">
        <v>10.60314404190486</v>
      </c>
      <c r="V2427">
        <v>10.603144041904862</v>
      </c>
      <c r="W2427">
        <v>10.60314404190486</v>
      </c>
      <c r="X2427">
        <v>10.60314404190486</v>
      </c>
      <c r="Y2427">
        <v>10.60314404190486</v>
      </c>
      <c r="Z2427">
        <v>10.603144041904859</v>
      </c>
      <c r="AA2427">
        <v>10.60314404190486</v>
      </c>
      <c r="AB2427">
        <v>10.60314404190486</v>
      </c>
      <c r="AC2427">
        <v>10.60314404190486</v>
      </c>
      <c r="AD2427">
        <v>10.603144041904859</v>
      </c>
    </row>
    <row r="2428" spans="2:30" x14ac:dyDescent="0.25">
      <c r="B2428" t="s">
        <v>133</v>
      </c>
      <c r="C2428" t="s">
        <v>3261</v>
      </c>
      <c r="D2428" t="s">
        <v>6962</v>
      </c>
      <c r="E2428" t="s">
        <v>6963</v>
      </c>
      <c r="F2428" t="s">
        <v>8314</v>
      </c>
      <c r="G2428" t="s">
        <v>3890</v>
      </c>
      <c r="H2428" t="s">
        <v>4401</v>
      </c>
      <c r="J2428">
        <v>1</v>
      </c>
      <c r="K2428">
        <v>20.341077129048131</v>
      </c>
      <c r="L2428">
        <v>13.728894823319759</v>
      </c>
      <c r="M2428">
        <v>12.932251380703796</v>
      </c>
      <c r="N2428">
        <v>4.7553018997950049</v>
      </c>
      <c r="O2428">
        <v>4.7852324184566415</v>
      </c>
      <c r="P2428">
        <v>4.8747029131344526</v>
      </c>
      <c r="Q2428">
        <v>4.8322793669199813</v>
      </c>
      <c r="R2428">
        <v>4.7867851934427836</v>
      </c>
      <c r="S2428">
        <v>4.7380946037178955</v>
      </c>
      <c r="T2428">
        <v>4.6911062028377293</v>
      </c>
      <c r="U2428">
        <v>4.6911062028377293</v>
      </c>
      <c r="V2428">
        <v>4.6911062028377302</v>
      </c>
      <c r="W2428">
        <v>4.6911062028377293</v>
      </c>
      <c r="X2428">
        <v>4.6911062028377293</v>
      </c>
      <c r="Y2428">
        <v>4.6911062028377293</v>
      </c>
      <c r="Z2428">
        <v>4.6911062028377284</v>
      </c>
      <c r="AA2428">
        <v>4.6911062028377293</v>
      </c>
      <c r="AB2428">
        <v>4.6911062028377293</v>
      </c>
      <c r="AC2428">
        <v>4.6911062028377293</v>
      </c>
      <c r="AD2428">
        <v>4.6911062028377284</v>
      </c>
    </row>
    <row r="2429" spans="2:30" x14ac:dyDescent="0.25">
      <c r="B2429" t="s">
        <v>133</v>
      </c>
      <c r="C2429" t="s">
        <v>3261</v>
      </c>
      <c r="D2429" t="s">
        <v>6965</v>
      </c>
      <c r="E2429" t="s">
        <v>6966</v>
      </c>
      <c r="F2429" t="s">
        <v>8315</v>
      </c>
      <c r="G2429" t="s">
        <v>3890</v>
      </c>
      <c r="H2429" t="s">
        <v>4401</v>
      </c>
      <c r="J2429">
        <v>1</v>
      </c>
      <c r="K2429">
        <v>11.120349660557133</v>
      </c>
      <c r="L2429">
        <v>8.6107191627453634</v>
      </c>
      <c r="M2429">
        <v>7.5769525309658565</v>
      </c>
      <c r="N2429">
        <v>4.7553018997950049</v>
      </c>
      <c r="O2429">
        <v>4.7852324184566415</v>
      </c>
      <c r="P2429">
        <v>4.8747029131344526</v>
      </c>
      <c r="Q2429">
        <v>4.8322793669199813</v>
      </c>
      <c r="R2429">
        <v>4.7867851934427836</v>
      </c>
      <c r="S2429">
        <v>4.7380946037178955</v>
      </c>
      <c r="T2429">
        <v>4.6911062028377293</v>
      </c>
      <c r="U2429">
        <v>4.6911062028377293</v>
      </c>
      <c r="V2429">
        <v>4.6911062028377302</v>
      </c>
      <c r="W2429">
        <v>4.6911062028377293</v>
      </c>
      <c r="X2429">
        <v>4.6911062028377293</v>
      </c>
      <c r="Y2429">
        <v>4.6911062028377293</v>
      </c>
      <c r="Z2429">
        <v>4.6911062028377284</v>
      </c>
      <c r="AA2429">
        <v>4.6911062028377293</v>
      </c>
      <c r="AB2429">
        <v>4.6911062028377293</v>
      </c>
      <c r="AC2429">
        <v>4.6911062028377293</v>
      </c>
      <c r="AD2429">
        <v>4.6911062028377284</v>
      </c>
    </row>
    <row r="2430" spans="2:30" x14ac:dyDescent="0.25">
      <c r="B2430" t="s">
        <v>133</v>
      </c>
      <c r="C2430" t="s">
        <v>3261</v>
      </c>
      <c r="D2430" t="s">
        <v>6968</v>
      </c>
      <c r="E2430" t="s">
        <v>6969</v>
      </c>
      <c r="F2430" t="s">
        <v>8316</v>
      </c>
      <c r="G2430" t="s">
        <v>3890</v>
      </c>
      <c r="H2430" t="s">
        <v>4401</v>
      </c>
      <c r="J2430">
        <v>1</v>
      </c>
      <c r="K2430">
        <v>11.487541741967885</v>
      </c>
      <c r="L2430">
        <v>9.3891447698250445</v>
      </c>
      <c r="M2430">
        <v>8.7667832853036707</v>
      </c>
      <c r="N2430">
        <v>9.1053931197606968</v>
      </c>
      <c r="O2430">
        <v>9.4445800349302154</v>
      </c>
      <c r="P2430">
        <v>8.5676666692102899</v>
      </c>
      <c r="Q2430">
        <v>7.5361226914357777</v>
      </c>
      <c r="R2430">
        <v>7.1686734271328421</v>
      </c>
      <c r="S2430">
        <v>7.0644313587224108</v>
      </c>
      <c r="T2430">
        <v>7.0053585795851747</v>
      </c>
      <c r="U2430">
        <v>7.0053585795851756</v>
      </c>
      <c r="V2430">
        <v>7.0053585795851756</v>
      </c>
      <c r="W2430">
        <v>7.0053585795851756</v>
      </c>
      <c r="X2430">
        <v>7.0053585795851747</v>
      </c>
      <c r="Y2430">
        <v>7.0053585795851756</v>
      </c>
      <c r="Z2430">
        <v>7.0053585795851756</v>
      </c>
      <c r="AA2430">
        <v>7.0053585795851747</v>
      </c>
      <c r="AB2430">
        <v>7.0053585795851747</v>
      </c>
      <c r="AC2430">
        <v>7.0053585795851756</v>
      </c>
      <c r="AD2430">
        <v>7.0053585795851747</v>
      </c>
    </row>
    <row r="2431" spans="2:30" x14ac:dyDescent="0.25">
      <c r="B2431" t="s">
        <v>133</v>
      </c>
      <c r="C2431" t="s">
        <v>3261</v>
      </c>
      <c r="D2431" t="s">
        <v>6971</v>
      </c>
      <c r="E2431" t="s">
        <v>6972</v>
      </c>
      <c r="F2431" t="s">
        <v>8317</v>
      </c>
      <c r="G2431" t="s">
        <v>3890</v>
      </c>
      <c r="H2431" t="s">
        <v>4401</v>
      </c>
      <c r="J2431">
        <v>1</v>
      </c>
      <c r="K2431">
        <v>16.896519832842024</v>
      </c>
      <c r="L2431">
        <v>15.007346977443612</v>
      </c>
      <c r="M2431">
        <v>14.387195939484084</v>
      </c>
      <c r="N2431">
        <v>9.1053931197606968</v>
      </c>
      <c r="O2431">
        <v>9.4445800349302154</v>
      </c>
      <c r="P2431">
        <v>8.5676666692102899</v>
      </c>
      <c r="Q2431">
        <v>7.5361226914357777</v>
      </c>
      <c r="R2431">
        <v>7.1686734271328421</v>
      </c>
      <c r="S2431">
        <v>7.0644313587224108</v>
      </c>
      <c r="T2431">
        <v>7.0053585795851747</v>
      </c>
      <c r="U2431">
        <v>7.0053585795851756</v>
      </c>
      <c r="V2431">
        <v>7.0053585795851756</v>
      </c>
      <c r="W2431">
        <v>7.0053585795851756</v>
      </c>
      <c r="X2431">
        <v>7.0053585795851747</v>
      </c>
      <c r="Y2431">
        <v>7.0053585795851756</v>
      </c>
      <c r="Z2431">
        <v>7.0053585795851756</v>
      </c>
      <c r="AA2431">
        <v>7.0053585795851747</v>
      </c>
      <c r="AB2431">
        <v>7.0053585795851747</v>
      </c>
      <c r="AC2431">
        <v>7.0053585795851756</v>
      </c>
      <c r="AD2431">
        <v>7.0053585795851747</v>
      </c>
    </row>
    <row r="2432" spans="2:30" x14ac:dyDescent="0.25">
      <c r="B2432" t="s">
        <v>133</v>
      </c>
      <c r="C2432" t="s">
        <v>3261</v>
      </c>
      <c r="D2432" t="s">
        <v>6974</v>
      </c>
      <c r="E2432" t="s">
        <v>6975</v>
      </c>
      <c r="F2432" t="s">
        <v>8318</v>
      </c>
      <c r="G2432" t="s">
        <v>3890</v>
      </c>
      <c r="H2432" t="s">
        <v>4401</v>
      </c>
      <c r="J2432">
        <v>1</v>
      </c>
      <c r="K2432">
        <v>12.26057770283262</v>
      </c>
      <c r="L2432">
        <v>10.191589119339163</v>
      </c>
      <c r="M2432">
        <v>9.5695478851554761</v>
      </c>
      <c r="N2432">
        <v>9.1053931197606968</v>
      </c>
      <c r="O2432">
        <v>9.4445800349302154</v>
      </c>
      <c r="P2432">
        <v>8.5676666692102899</v>
      </c>
      <c r="Q2432">
        <v>7.5361226914357777</v>
      </c>
      <c r="R2432">
        <v>7.1686734271328421</v>
      </c>
      <c r="S2432">
        <v>7.0644313587224108</v>
      </c>
      <c r="T2432">
        <v>7.0053585795851747</v>
      </c>
      <c r="U2432">
        <v>7.0053585795851756</v>
      </c>
      <c r="V2432">
        <v>7.0053585795851756</v>
      </c>
      <c r="W2432">
        <v>7.0053585795851756</v>
      </c>
      <c r="X2432">
        <v>7.0053585795851747</v>
      </c>
      <c r="Y2432">
        <v>7.0053585795851756</v>
      </c>
      <c r="Z2432">
        <v>7.0053585795851756</v>
      </c>
      <c r="AA2432">
        <v>7.0053585795851747</v>
      </c>
      <c r="AB2432">
        <v>7.0053585795851747</v>
      </c>
      <c r="AC2432">
        <v>7.0053585795851756</v>
      </c>
      <c r="AD2432">
        <v>7.0053585795851747</v>
      </c>
    </row>
    <row r="2433" spans="2:30" x14ac:dyDescent="0.25">
      <c r="B2433" t="s">
        <v>133</v>
      </c>
      <c r="C2433" t="s">
        <v>3261</v>
      </c>
      <c r="D2433" t="s">
        <v>6977</v>
      </c>
      <c r="E2433" t="s">
        <v>6978</v>
      </c>
      <c r="F2433" t="s">
        <v>8319</v>
      </c>
      <c r="G2433" t="s">
        <v>3890</v>
      </c>
      <c r="H2433" t="s">
        <v>4401</v>
      </c>
      <c r="J2433">
        <v>1</v>
      </c>
      <c r="K2433">
        <v>0.96288449831239953</v>
      </c>
      <c r="L2433">
        <v>0.81772900379057656</v>
      </c>
      <c r="M2433">
        <v>0.76352775679432006</v>
      </c>
      <c r="N2433">
        <v>0.44257796119644682</v>
      </c>
      <c r="O2433">
        <v>0.46331913590053142</v>
      </c>
      <c r="P2433">
        <v>0.43205305147276285</v>
      </c>
      <c r="Q2433">
        <v>0.4234512451656256</v>
      </c>
      <c r="R2433">
        <v>0.41911523725276678</v>
      </c>
      <c r="S2433">
        <v>0.4153233713492252</v>
      </c>
      <c r="T2433">
        <v>0.41120385850960756</v>
      </c>
      <c r="U2433">
        <v>0.41120385850960756</v>
      </c>
      <c r="V2433">
        <v>0.41120385850960756</v>
      </c>
      <c r="W2433">
        <v>0.41120385850960756</v>
      </c>
      <c r="X2433">
        <v>0.41120385850960756</v>
      </c>
      <c r="Y2433">
        <v>0.41120385850960756</v>
      </c>
      <c r="Z2433">
        <v>0.41120385850960756</v>
      </c>
      <c r="AA2433">
        <v>0.41120385850960756</v>
      </c>
      <c r="AB2433">
        <v>0.41120385850960756</v>
      </c>
      <c r="AC2433">
        <v>0.41120385850960756</v>
      </c>
      <c r="AD2433">
        <v>0.41120385850960756</v>
      </c>
    </row>
    <row r="2434" spans="2:30" x14ac:dyDescent="0.25">
      <c r="B2434" t="s">
        <v>133</v>
      </c>
      <c r="C2434" t="s">
        <v>3261</v>
      </c>
      <c r="D2434" t="s">
        <v>6980</v>
      </c>
      <c r="E2434" t="s">
        <v>6981</v>
      </c>
      <c r="F2434" t="s">
        <v>8320</v>
      </c>
      <c r="G2434" t="s">
        <v>3890</v>
      </c>
      <c r="H2434" t="s">
        <v>4401</v>
      </c>
      <c r="J2434">
        <v>1</v>
      </c>
      <c r="K2434">
        <v>1.0765662572630961</v>
      </c>
      <c r="L2434">
        <v>0.85484887846197788</v>
      </c>
      <c r="M2434">
        <v>0.77837412984309851</v>
      </c>
      <c r="N2434">
        <v>0.44257796119644682</v>
      </c>
      <c r="O2434">
        <v>0.48095686387165837</v>
      </c>
      <c r="P2434">
        <v>0.44850053572389442</v>
      </c>
      <c r="Q2434">
        <v>0.43957127408856161</v>
      </c>
      <c r="R2434">
        <v>0.43507020213642233</v>
      </c>
      <c r="S2434">
        <v>0.43113398670330721</v>
      </c>
      <c r="T2434">
        <v>0.42685765140329729</v>
      </c>
      <c r="U2434">
        <v>0.42685765140329729</v>
      </c>
      <c r="V2434">
        <v>0.42685765140329729</v>
      </c>
      <c r="W2434">
        <v>0.42685765140329729</v>
      </c>
      <c r="X2434">
        <v>0.42685765140329729</v>
      </c>
      <c r="Y2434">
        <v>0.42685765140329729</v>
      </c>
      <c r="Z2434">
        <v>0.42685765140329729</v>
      </c>
      <c r="AA2434">
        <v>0.42685765140329729</v>
      </c>
      <c r="AB2434">
        <v>0.42685765140329729</v>
      </c>
      <c r="AC2434">
        <v>0.42685765140329729</v>
      </c>
      <c r="AD2434">
        <v>0.42685765140329729</v>
      </c>
    </row>
    <row r="2435" spans="2:30" x14ac:dyDescent="0.25">
      <c r="B2435" t="s">
        <v>133</v>
      </c>
      <c r="C2435" t="s">
        <v>3261</v>
      </c>
      <c r="D2435" t="s">
        <v>6983</v>
      </c>
      <c r="E2435" t="s">
        <v>6984</v>
      </c>
      <c r="F2435" t="s">
        <v>8321</v>
      </c>
      <c r="G2435" t="s">
        <v>3890</v>
      </c>
      <c r="H2435" t="s">
        <v>4401</v>
      </c>
      <c r="J2435">
        <v>1</v>
      </c>
      <c r="K2435">
        <v>0.67072237780910948</v>
      </c>
      <c r="L2435">
        <v>0.57754157944621498</v>
      </c>
      <c r="M2435">
        <v>0.54295307149818317</v>
      </c>
      <c r="N2435">
        <v>0.37028919767589552</v>
      </c>
      <c r="O2435">
        <v>0.38764259891455777</v>
      </c>
      <c r="P2435">
        <v>0.36148338103139183</v>
      </c>
      <c r="Q2435">
        <v>0.35428655643709278</v>
      </c>
      <c r="R2435">
        <v>0.35065877323969097</v>
      </c>
      <c r="S2435">
        <v>0.34748625425722457</v>
      </c>
      <c r="T2435">
        <v>0.34403960476732715</v>
      </c>
      <c r="U2435">
        <v>0.34403960476732715</v>
      </c>
      <c r="V2435">
        <v>0.34403960476732715</v>
      </c>
      <c r="W2435">
        <v>0.34403960476732715</v>
      </c>
      <c r="X2435">
        <v>0.34403960476732715</v>
      </c>
      <c r="Y2435">
        <v>0.34403960476732715</v>
      </c>
      <c r="Z2435">
        <v>0.34403960476732715</v>
      </c>
      <c r="AA2435">
        <v>0.34403960476732715</v>
      </c>
      <c r="AB2435">
        <v>0.34403960476732715</v>
      </c>
      <c r="AC2435">
        <v>0.34403960476732715</v>
      </c>
      <c r="AD2435">
        <v>0.34403960476732715</v>
      </c>
    </row>
    <row r="2436" spans="2:30" x14ac:dyDescent="0.25">
      <c r="B2436" t="s">
        <v>133</v>
      </c>
      <c r="C2436" t="s">
        <v>3261</v>
      </c>
      <c r="D2436" t="s">
        <v>6986</v>
      </c>
      <c r="E2436" t="s">
        <v>6987</v>
      </c>
      <c r="F2436" t="s">
        <v>8322</v>
      </c>
      <c r="G2436" t="s">
        <v>3890</v>
      </c>
      <c r="H2436" t="s">
        <v>4401</v>
      </c>
      <c r="J2436">
        <v>1</v>
      </c>
      <c r="K2436">
        <v>0.78326731917029901</v>
      </c>
      <c r="L2436">
        <v>0.69872705263814272</v>
      </c>
      <c r="M2436">
        <v>0.69141680198596767</v>
      </c>
      <c r="N2436">
        <v>0.45942610987139121</v>
      </c>
      <c r="O2436">
        <v>0.48095686387165837</v>
      </c>
      <c r="P2436">
        <v>0.44850053572389442</v>
      </c>
      <c r="Q2436">
        <v>0.43957127408856161</v>
      </c>
      <c r="R2436">
        <v>0.43507020213642233</v>
      </c>
      <c r="S2436">
        <v>0.43113398670330721</v>
      </c>
      <c r="T2436">
        <v>0.42685765140329729</v>
      </c>
      <c r="U2436">
        <v>0.42685765140329729</v>
      </c>
      <c r="V2436">
        <v>0.42685765140329729</v>
      </c>
      <c r="W2436">
        <v>0.42685765140329729</v>
      </c>
      <c r="X2436">
        <v>0.42685765140329729</v>
      </c>
      <c r="Y2436">
        <v>0.42685765140329729</v>
      </c>
      <c r="Z2436">
        <v>0.42685765140329729</v>
      </c>
      <c r="AA2436">
        <v>0.42685765140329729</v>
      </c>
      <c r="AB2436">
        <v>0.42685765140329729</v>
      </c>
      <c r="AC2436">
        <v>0.42685765140329729</v>
      </c>
      <c r="AD2436">
        <v>0.42685765140329729</v>
      </c>
    </row>
    <row r="2437" spans="2:30" x14ac:dyDescent="0.25">
      <c r="B2437" t="s">
        <v>133</v>
      </c>
      <c r="C2437" t="s">
        <v>3261</v>
      </c>
      <c r="D2437" t="s">
        <v>6989</v>
      </c>
      <c r="E2437" t="s">
        <v>6990</v>
      </c>
      <c r="F2437" t="s">
        <v>8323</v>
      </c>
      <c r="G2437" t="s">
        <v>3890</v>
      </c>
      <c r="H2437" t="s">
        <v>4401</v>
      </c>
      <c r="J2437">
        <v>1</v>
      </c>
      <c r="K2437">
        <v>116.49765611990527</v>
      </c>
      <c r="L2437">
        <v>95.069457838557554</v>
      </c>
      <c r="M2437">
        <v>91.60742398705186</v>
      </c>
      <c r="N2437">
        <v>78.383975634268623</v>
      </c>
      <c r="O2437">
        <v>82.05739789017133</v>
      </c>
      <c r="P2437">
        <v>76.519932822231851</v>
      </c>
      <c r="Q2437">
        <v>74.996486480333985</v>
      </c>
      <c r="R2437">
        <v>74.228545985347012</v>
      </c>
      <c r="S2437">
        <v>73.556977243450959</v>
      </c>
      <c r="T2437">
        <v>72.827379698257502</v>
      </c>
      <c r="U2437">
        <v>72.827379698257502</v>
      </c>
      <c r="V2437">
        <v>72.827379698257502</v>
      </c>
      <c r="W2437">
        <v>72.827379698257502</v>
      </c>
      <c r="X2437">
        <v>72.827379698257502</v>
      </c>
      <c r="Y2437">
        <v>72.827379698257502</v>
      </c>
      <c r="Z2437">
        <v>72.827379698257502</v>
      </c>
      <c r="AA2437">
        <v>72.827379698257502</v>
      </c>
      <c r="AB2437">
        <v>72.827379698257502</v>
      </c>
      <c r="AC2437">
        <v>72.827379698257502</v>
      </c>
      <c r="AD2437">
        <v>72.827379698257502</v>
      </c>
    </row>
    <row r="2438" spans="2:30" x14ac:dyDescent="0.25">
      <c r="B2438" t="s">
        <v>133</v>
      </c>
      <c r="C2438" t="s">
        <v>3261</v>
      </c>
      <c r="D2438" t="s">
        <v>6992</v>
      </c>
      <c r="E2438" t="s">
        <v>4362</v>
      </c>
      <c r="F2438" t="s">
        <v>7516</v>
      </c>
      <c r="G2438" t="s">
        <v>3890</v>
      </c>
      <c r="H2438" t="s">
        <v>4262</v>
      </c>
      <c r="J2438">
        <v>1</v>
      </c>
      <c r="K2438">
        <v>13.300765797231492</v>
      </c>
      <c r="L2438">
        <v>6.6597422204572982</v>
      </c>
      <c r="M2438">
        <v>5.9120378390671311</v>
      </c>
      <c r="N2438">
        <v>5.0316224519831581</v>
      </c>
      <c r="O2438">
        <v>5.0549587333229749</v>
      </c>
      <c r="P2438">
        <v>5.1247172516773594</v>
      </c>
      <c r="Q2438">
        <v>5.0916403838460447</v>
      </c>
      <c r="R2438">
        <v>5.056169403754172</v>
      </c>
      <c r="S2438">
        <v>5.0182062360166881</v>
      </c>
      <c r="T2438">
        <v>4.9815702339799719</v>
      </c>
      <c r="U2438">
        <v>4.9815702339799719</v>
      </c>
      <c r="V2438">
        <v>4.9815702339799728</v>
      </c>
      <c r="W2438">
        <v>4.9815702339799719</v>
      </c>
      <c r="X2438">
        <v>4.9815702339799719</v>
      </c>
      <c r="Y2438">
        <v>4.9815702339799719</v>
      </c>
      <c r="Z2438">
        <v>4.981570233979971</v>
      </c>
      <c r="AA2438">
        <v>4.9815702339799719</v>
      </c>
      <c r="AB2438">
        <v>4.9815702339799719</v>
      </c>
      <c r="AC2438">
        <v>4.9815702339799719</v>
      </c>
      <c r="AD2438">
        <v>4.981570233979971</v>
      </c>
    </row>
    <row r="2439" spans="2:30" x14ac:dyDescent="0.25">
      <c r="B2439" t="s">
        <v>133</v>
      </c>
      <c r="C2439" t="s">
        <v>3261</v>
      </c>
      <c r="D2439" t="s">
        <v>6993</v>
      </c>
      <c r="E2439" t="s">
        <v>4356</v>
      </c>
      <c r="F2439" t="s">
        <v>7514</v>
      </c>
      <c r="G2439" t="s">
        <v>3890</v>
      </c>
      <c r="H2439" t="s">
        <v>4262</v>
      </c>
      <c r="J2439">
        <v>1</v>
      </c>
      <c r="K2439">
        <v>23.399139181173656</v>
      </c>
      <c r="L2439">
        <v>15.863833497435211</v>
      </c>
      <c r="M2439">
        <v>14.743508892654766</v>
      </c>
      <c r="N2439">
        <v>13.652285126927826</v>
      </c>
      <c r="O2439">
        <v>13.68120909301847</v>
      </c>
      <c r="P2439">
        <v>13.767670727159517</v>
      </c>
      <c r="Q2439">
        <v>13.726673869536567</v>
      </c>
      <c r="R2439">
        <v>13.682709648740651</v>
      </c>
      <c r="S2439">
        <v>13.635656506025111</v>
      </c>
      <c r="T2439">
        <v>13.59024830815604</v>
      </c>
      <c r="U2439">
        <v>13.59024830815604</v>
      </c>
      <c r="V2439">
        <v>13.59024830815604</v>
      </c>
      <c r="W2439">
        <v>13.59024830815604</v>
      </c>
      <c r="X2439">
        <v>13.59024830815604</v>
      </c>
      <c r="Y2439">
        <v>13.59024830815604</v>
      </c>
      <c r="Z2439">
        <v>13.590248308156037</v>
      </c>
      <c r="AA2439">
        <v>13.59024830815604</v>
      </c>
      <c r="AB2439">
        <v>13.59024830815604</v>
      </c>
      <c r="AC2439">
        <v>13.59024830815604</v>
      </c>
      <c r="AD2439">
        <v>13.590248308156037</v>
      </c>
    </row>
    <row r="2440" spans="2:30" x14ac:dyDescent="0.25">
      <c r="B2440" t="s">
        <v>133</v>
      </c>
      <c r="C2440" t="s">
        <v>3261</v>
      </c>
      <c r="D2440" t="s">
        <v>6994</v>
      </c>
      <c r="E2440" t="s">
        <v>4350</v>
      </c>
      <c r="F2440" t="s">
        <v>7512</v>
      </c>
      <c r="G2440" t="s">
        <v>3890</v>
      </c>
      <c r="H2440" t="s">
        <v>4262</v>
      </c>
      <c r="J2440">
        <v>1</v>
      </c>
      <c r="K2440">
        <v>11.465942207767251</v>
      </c>
      <c r="L2440">
        <v>8.8301631277145294</v>
      </c>
      <c r="M2440">
        <v>7.7455649105912689</v>
      </c>
      <c r="N2440">
        <v>7.0537973643552112</v>
      </c>
      <c r="O2440">
        <v>7.072133347934721</v>
      </c>
      <c r="P2440">
        <v>7.1269446106398249</v>
      </c>
      <c r="Q2440">
        <v>7.1009551697094144</v>
      </c>
      <c r="R2440">
        <v>7.0730846063131816</v>
      </c>
      <c r="S2440">
        <v>7.0432558598164983</v>
      </c>
      <c r="T2440">
        <v>7.0144699053629092</v>
      </c>
      <c r="U2440">
        <v>7.0144699053629092</v>
      </c>
      <c r="V2440">
        <v>7.0144699053629092</v>
      </c>
      <c r="W2440">
        <v>7.0144699053629092</v>
      </c>
      <c r="X2440">
        <v>7.0144699053629092</v>
      </c>
      <c r="Y2440">
        <v>7.0144699053629092</v>
      </c>
      <c r="Z2440">
        <v>7.0144699053629083</v>
      </c>
      <c r="AA2440">
        <v>7.0144699053629092</v>
      </c>
      <c r="AB2440">
        <v>7.0144699053629092</v>
      </c>
      <c r="AC2440">
        <v>7.0144699053629092</v>
      </c>
      <c r="AD2440">
        <v>7.0144699053629083</v>
      </c>
    </row>
    <row r="2441" spans="2:30" x14ac:dyDescent="0.25">
      <c r="B2441" t="s">
        <v>133</v>
      </c>
      <c r="C2441" t="s">
        <v>3261</v>
      </c>
      <c r="D2441" t="s">
        <v>6995</v>
      </c>
      <c r="E2441" t="s">
        <v>4365</v>
      </c>
      <c r="F2441" t="s">
        <v>7517</v>
      </c>
      <c r="G2441" t="s">
        <v>3890</v>
      </c>
      <c r="H2441" t="s">
        <v>4262</v>
      </c>
      <c r="J2441">
        <v>1</v>
      </c>
      <c r="K2441">
        <v>2.7840662767025575</v>
      </c>
      <c r="L2441">
        <v>2.6136758812745531</v>
      </c>
      <c r="M2441">
        <v>2.6543194100780321</v>
      </c>
      <c r="N2441">
        <v>2.6543194100780321</v>
      </c>
      <c r="O2441">
        <v>2.6543194100780321</v>
      </c>
      <c r="P2441">
        <v>2.6543194100780321</v>
      </c>
      <c r="Q2441">
        <v>2.6543194100780321</v>
      </c>
      <c r="R2441">
        <v>2.6543194100780321</v>
      </c>
      <c r="S2441">
        <v>2.6543194100780321</v>
      </c>
      <c r="T2441">
        <v>2.6543194100780321</v>
      </c>
      <c r="U2441">
        <v>2.6543194100780321</v>
      </c>
      <c r="V2441">
        <v>2.6543194100780321</v>
      </c>
      <c r="W2441">
        <v>2.6543194100780321</v>
      </c>
      <c r="X2441">
        <v>2.6543194100780321</v>
      </c>
      <c r="Y2441">
        <v>2.6543194100780321</v>
      </c>
      <c r="Z2441">
        <v>2.6543194100780321</v>
      </c>
      <c r="AA2441">
        <v>2.6543194100780321</v>
      </c>
      <c r="AB2441">
        <v>2.6543194100780321</v>
      </c>
      <c r="AC2441">
        <v>2.6543194100780321</v>
      </c>
      <c r="AD2441">
        <v>2.6543194100780321</v>
      </c>
    </row>
    <row r="2442" spans="2:30" x14ac:dyDescent="0.25">
      <c r="B2442" t="s">
        <v>133</v>
      </c>
      <c r="C2442" t="s">
        <v>3261</v>
      </c>
      <c r="D2442" t="s">
        <v>6996</v>
      </c>
      <c r="E2442" t="s">
        <v>4359</v>
      </c>
      <c r="F2442" t="s">
        <v>7515</v>
      </c>
      <c r="G2442" t="s">
        <v>3890</v>
      </c>
      <c r="H2442" t="s">
        <v>4262</v>
      </c>
      <c r="J2442">
        <v>1</v>
      </c>
      <c r="K2442">
        <v>4.6336684948303901</v>
      </c>
      <c r="L2442">
        <v>3.2086856370367216</v>
      </c>
      <c r="M2442">
        <v>2.3308805686582157</v>
      </c>
      <c r="N2442">
        <v>2.3308805686582161</v>
      </c>
      <c r="O2442">
        <v>2.3308805686582161</v>
      </c>
      <c r="P2442">
        <v>2.3308805686582161</v>
      </c>
      <c r="Q2442">
        <v>2.3308805686582161</v>
      </c>
      <c r="R2442">
        <v>2.3308805686582161</v>
      </c>
      <c r="S2442">
        <v>2.3308805686582161</v>
      </c>
      <c r="T2442">
        <v>2.3308805686582161</v>
      </c>
      <c r="U2442">
        <v>2.3308805686582161</v>
      </c>
      <c r="V2442">
        <v>2.3308805686582161</v>
      </c>
      <c r="W2442">
        <v>2.3308805686582161</v>
      </c>
      <c r="X2442">
        <v>2.3308805686582161</v>
      </c>
      <c r="Y2442">
        <v>2.3308805686582161</v>
      </c>
      <c r="Z2442">
        <v>2.3308805686582161</v>
      </c>
      <c r="AA2442">
        <v>2.3308805686582161</v>
      </c>
      <c r="AB2442">
        <v>2.3308805686582161</v>
      </c>
      <c r="AC2442">
        <v>2.3308805686582161</v>
      </c>
      <c r="AD2442">
        <v>2.3308805686582161</v>
      </c>
    </row>
    <row r="2443" spans="2:30" x14ac:dyDescent="0.25">
      <c r="B2443" t="s">
        <v>133</v>
      </c>
      <c r="C2443" t="s">
        <v>3261</v>
      </c>
      <c r="D2443" t="s">
        <v>6997</v>
      </c>
      <c r="E2443" t="s">
        <v>4353</v>
      </c>
      <c r="F2443" t="s">
        <v>7513</v>
      </c>
      <c r="G2443" t="s">
        <v>3890</v>
      </c>
      <c r="H2443" t="s">
        <v>4262</v>
      </c>
      <c r="J2443">
        <v>1</v>
      </c>
      <c r="K2443">
        <v>5.3362217651456945</v>
      </c>
      <c r="L2443">
        <v>5.0100913196194341</v>
      </c>
      <c r="M2443">
        <v>5.0870036796421569</v>
      </c>
      <c r="N2443">
        <v>5.0870036796421569</v>
      </c>
      <c r="O2443">
        <v>5.0870036796421569</v>
      </c>
      <c r="P2443">
        <v>5.0870036796421569</v>
      </c>
      <c r="Q2443">
        <v>5.0870036796421569</v>
      </c>
      <c r="R2443">
        <v>5.0870036796421569</v>
      </c>
      <c r="S2443">
        <v>5.0870036796421569</v>
      </c>
      <c r="T2443">
        <v>5.0870036796421569</v>
      </c>
      <c r="U2443">
        <v>5.0870036796421569</v>
      </c>
      <c r="V2443">
        <v>5.0870036796421569</v>
      </c>
      <c r="W2443">
        <v>5.0870036796421569</v>
      </c>
      <c r="X2443">
        <v>5.0870036796421569</v>
      </c>
      <c r="Y2443">
        <v>5.0870036796421569</v>
      </c>
      <c r="Z2443">
        <v>5.0870036796421569</v>
      </c>
      <c r="AA2443">
        <v>5.0870036796421569</v>
      </c>
      <c r="AB2443">
        <v>5.0870036796421569</v>
      </c>
      <c r="AC2443">
        <v>5.0870036796421569</v>
      </c>
      <c r="AD2443">
        <v>5.0870036796421569</v>
      </c>
    </row>
    <row r="2444" spans="2:30" x14ac:dyDescent="0.25">
      <c r="B2444" t="s">
        <v>133</v>
      </c>
      <c r="C2444" t="s">
        <v>3261</v>
      </c>
      <c r="D2444" t="s">
        <v>6998</v>
      </c>
      <c r="E2444" t="s">
        <v>6999</v>
      </c>
      <c r="F2444" t="s">
        <v>8324</v>
      </c>
      <c r="G2444" t="s">
        <v>3890</v>
      </c>
      <c r="H2444" t="s">
        <v>4262</v>
      </c>
      <c r="J2444">
        <v>1</v>
      </c>
      <c r="K2444">
        <v>0.41380160258053544</v>
      </c>
      <c r="L2444">
        <v>0.28058258207500419</v>
      </c>
      <c r="M2444">
        <v>0.24920697617592391</v>
      </c>
      <c r="N2444">
        <v>0.24920697617592391</v>
      </c>
      <c r="O2444">
        <v>0.24920697617592391</v>
      </c>
      <c r="P2444">
        <v>0.24920697617592391</v>
      </c>
      <c r="Q2444">
        <v>0.24920697617592391</v>
      </c>
      <c r="R2444">
        <v>0.24920697617592391</v>
      </c>
      <c r="S2444">
        <v>0.24920697617592391</v>
      </c>
      <c r="T2444">
        <v>0.24920697617592391</v>
      </c>
      <c r="U2444">
        <v>0.24920697617592391</v>
      </c>
      <c r="V2444">
        <v>0.24920697617592391</v>
      </c>
      <c r="W2444">
        <v>0.24920697617592391</v>
      </c>
      <c r="X2444">
        <v>0.24920697617592391</v>
      </c>
      <c r="Y2444">
        <v>0.24920697617592391</v>
      </c>
      <c r="Z2444">
        <v>0.24920697617592391</v>
      </c>
      <c r="AA2444">
        <v>0.24920697617592391</v>
      </c>
      <c r="AB2444">
        <v>0.24920697617592391</v>
      </c>
      <c r="AC2444">
        <v>0.24920697617592391</v>
      </c>
      <c r="AD2444">
        <v>0.24920697617592391</v>
      </c>
    </row>
    <row r="2445" spans="2:30" x14ac:dyDescent="0.25">
      <c r="B2445" t="s">
        <v>133</v>
      </c>
      <c r="C2445" t="s">
        <v>3261</v>
      </c>
      <c r="D2445" t="s">
        <v>7001</v>
      </c>
      <c r="E2445" t="s">
        <v>7002</v>
      </c>
      <c r="F2445" t="s">
        <v>8325</v>
      </c>
      <c r="G2445" t="s">
        <v>3890</v>
      </c>
      <c r="H2445" t="s">
        <v>4262</v>
      </c>
      <c r="J2445">
        <v>1</v>
      </c>
      <c r="K2445">
        <v>0.17506990878407264</v>
      </c>
      <c r="L2445">
        <v>0.10153377483648018</v>
      </c>
      <c r="M2445">
        <v>8.8017783074900768E-2</v>
      </c>
      <c r="N2445">
        <v>8.8017783074900768E-2</v>
      </c>
      <c r="O2445">
        <v>8.8017783074900768E-2</v>
      </c>
      <c r="P2445">
        <v>8.8017783074900768E-2</v>
      </c>
      <c r="Q2445">
        <v>8.8017783074900768E-2</v>
      </c>
      <c r="R2445">
        <v>8.8017783074900768E-2</v>
      </c>
      <c r="S2445">
        <v>8.8017783074900768E-2</v>
      </c>
      <c r="T2445">
        <v>8.8017783074900768E-2</v>
      </c>
      <c r="U2445">
        <v>8.8017783074900768E-2</v>
      </c>
      <c r="V2445">
        <v>8.8017783074900768E-2</v>
      </c>
      <c r="W2445">
        <v>8.8017783074900768E-2</v>
      </c>
      <c r="X2445">
        <v>8.8017783074900768E-2</v>
      </c>
      <c r="Y2445">
        <v>8.8017783074900768E-2</v>
      </c>
      <c r="Z2445">
        <v>8.8017783074900768E-2</v>
      </c>
      <c r="AA2445">
        <v>8.8017783074900768E-2</v>
      </c>
      <c r="AB2445">
        <v>8.8017783074900768E-2</v>
      </c>
      <c r="AC2445">
        <v>8.8017783074900768E-2</v>
      </c>
      <c r="AD2445">
        <v>8.8017783074900768E-2</v>
      </c>
    </row>
    <row r="2446" spans="2:30" x14ac:dyDescent="0.25">
      <c r="B2446" t="s">
        <v>133</v>
      </c>
      <c r="C2446" t="s">
        <v>3261</v>
      </c>
      <c r="D2446" t="s">
        <v>7004</v>
      </c>
      <c r="E2446" t="s">
        <v>7005</v>
      </c>
      <c r="F2446" t="s">
        <v>8326</v>
      </c>
      <c r="G2446" t="s">
        <v>3890</v>
      </c>
      <c r="H2446" t="s">
        <v>4262</v>
      </c>
      <c r="J2446">
        <v>1</v>
      </c>
      <c r="K2446">
        <v>0.41380160258053539</v>
      </c>
      <c r="L2446">
        <v>0.25874736168006218</v>
      </c>
      <c r="M2446">
        <v>0.24390470008707449</v>
      </c>
      <c r="N2446">
        <v>0.24390470008707449</v>
      </c>
      <c r="O2446">
        <v>0.24390470008707449</v>
      </c>
      <c r="P2446">
        <v>0.24390470008707449</v>
      </c>
      <c r="Q2446">
        <v>0.24390470008707449</v>
      </c>
      <c r="R2446">
        <v>0.24390470008707449</v>
      </c>
      <c r="S2446">
        <v>0.24390470008707449</v>
      </c>
      <c r="T2446">
        <v>0.24390470008707449</v>
      </c>
      <c r="U2446">
        <v>0.24390470008707449</v>
      </c>
      <c r="V2446">
        <v>0.24390470008707449</v>
      </c>
      <c r="W2446">
        <v>0.24390470008707449</v>
      </c>
      <c r="X2446">
        <v>0.24390470008707449</v>
      </c>
      <c r="Y2446">
        <v>0.24390470008707449</v>
      </c>
      <c r="Z2446">
        <v>0.24390470008707449</v>
      </c>
      <c r="AA2446">
        <v>0.24390470008707449</v>
      </c>
      <c r="AB2446">
        <v>0.24390470008707449</v>
      </c>
      <c r="AC2446">
        <v>0.24390470008707449</v>
      </c>
      <c r="AD2446">
        <v>0.24390470008707449</v>
      </c>
    </row>
    <row r="2447" spans="2:30" x14ac:dyDescent="0.25">
      <c r="B2447" t="s">
        <v>133</v>
      </c>
      <c r="C2447" t="s">
        <v>3261</v>
      </c>
      <c r="D2447" t="s">
        <v>7007</v>
      </c>
      <c r="E2447" t="s">
        <v>7008</v>
      </c>
      <c r="F2447" t="s">
        <v>8327</v>
      </c>
      <c r="G2447" t="s">
        <v>3890</v>
      </c>
      <c r="H2447" t="s">
        <v>4262</v>
      </c>
      <c r="J2447">
        <v>1</v>
      </c>
      <c r="K2447">
        <v>33.050697779735998</v>
      </c>
      <c r="L2447">
        <v>26.300522965707586</v>
      </c>
      <c r="M2447">
        <v>23.176248784360922</v>
      </c>
      <c r="N2447">
        <v>15</v>
      </c>
      <c r="O2447">
        <v>15</v>
      </c>
      <c r="P2447">
        <v>15</v>
      </c>
      <c r="Q2447">
        <v>15</v>
      </c>
      <c r="R2447">
        <v>15</v>
      </c>
      <c r="S2447">
        <v>15</v>
      </c>
      <c r="T2447">
        <v>15</v>
      </c>
      <c r="U2447">
        <v>15</v>
      </c>
      <c r="V2447">
        <v>15</v>
      </c>
      <c r="W2447">
        <v>15</v>
      </c>
      <c r="X2447">
        <v>15</v>
      </c>
      <c r="Y2447">
        <v>15</v>
      </c>
      <c r="Z2447">
        <v>15</v>
      </c>
      <c r="AA2447">
        <v>15</v>
      </c>
      <c r="AB2447">
        <v>15</v>
      </c>
      <c r="AC2447">
        <v>15</v>
      </c>
      <c r="AD2447">
        <v>15</v>
      </c>
    </row>
    <row r="2448" spans="2:30" x14ac:dyDescent="0.25">
      <c r="B2448" t="s">
        <v>133</v>
      </c>
      <c r="C2448" t="s">
        <v>3261</v>
      </c>
      <c r="D2448" t="s">
        <v>7010</v>
      </c>
      <c r="E2448" t="s">
        <v>7011</v>
      </c>
      <c r="F2448" t="s">
        <v>8328</v>
      </c>
      <c r="G2448" t="s">
        <v>3890</v>
      </c>
      <c r="H2448" t="s">
        <v>7013</v>
      </c>
      <c r="J2448">
        <v>1</v>
      </c>
      <c r="K2448">
        <v>0.61781329947639674</v>
      </c>
      <c r="L2448">
        <v>0.6195087385311161</v>
      </c>
      <c r="M2448">
        <v>0.61795996668478836</v>
      </c>
      <c r="N2448">
        <v>0.61641506676807645</v>
      </c>
      <c r="O2448">
        <v>0.61487402910115629</v>
      </c>
      <c r="P2448">
        <v>0.61333684402840338</v>
      </c>
      <c r="Q2448">
        <v>0.61180350191833244</v>
      </c>
      <c r="R2448">
        <v>0.61027399316353659</v>
      </c>
      <c r="S2448">
        <v>0.60874830818062775</v>
      </c>
      <c r="T2448">
        <v>0.60722643741017623</v>
      </c>
      <c r="U2448">
        <v>0.60570837131665078</v>
      </c>
      <c r="V2448">
        <v>0.60419410038835919</v>
      </c>
      <c r="W2448">
        <v>0.60268361513738833</v>
      </c>
      <c r="X2448">
        <v>0.60117690609954488</v>
      </c>
      <c r="Y2448">
        <v>0.59967396383429605</v>
      </c>
      <c r="Z2448">
        <v>0.59817477892471038</v>
      </c>
      <c r="AA2448">
        <v>0.59667934197739869</v>
      </c>
      <c r="AB2448">
        <v>0.59518764362245524</v>
      </c>
      <c r="AC2448">
        <v>0.59369967451339911</v>
      </c>
      <c r="AD2448">
        <v>0.59221542532711569</v>
      </c>
    </row>
    <row r="2449" spans="2:30" x14ac:dyDescent="0.25">
      <c r="B2449" t="s">
        <v>133</v>
      </c>
      <c r="C2449" t="s">
        <v>3261</v>
      </c>
      <c r="D2449" t="s">
        <v>7014</v>
      </c>
      <c r="E2449" t="s">
        <v>7015</v>
      </c>
      <c r="F2449" t="s">
        <v>8329</v>
      </c>
      <c r="G2449" t="s">
        <v>3890</v>
      </c>
      <c r="H2449" t="s">
        <v>7013</v>
      </c>
      <c r="J2449">
        <v>2</v>
      </c>
      <c r="K2449">
        <v>0.61781329947639674</v>
      </c>
      <c r="L2449">
        <v>0.6195087385311161</v>
      </c>
      <c r="M2449">
        <v>0.61795996668478836</v>
      </c>
      <c r="N2449">
        <v>0.61641506676807645</v>
      </c>
      <c r="O2449">
        <v>0.61487402910115629</v>
      </c>
      <c r="P2449">
        <v>0.61333684402840338</v>
      </c>
      <c r="Q2449">
        <v>0.61180350191833244</v>
      </c>
      <c r="R2449">
        <v>0.61027399316353659</v>
      </c>
      <c r="S2449">
        <v>0.60874830818062775</v>
      </c>
      <c r="T2449">
        <v>0.60722643741017623</v>
      </c>
      <c r="U2449">
        <v>0.60570837131665078</v>
      </c>
      <c r="V2449">
        <v>0.60419410038835919</v>
      </c>
      <c r="W2449">
        <v>0.60268361513738833</v>
      </c>
      <c r="X2449">
        <v>0.60117690609954488</v>
      </c>
      <c r="Y2449">
        <v>0.59967396383429605</v>
      </c>
      <c r="Z2449">
        <v>0.59817477892471038</v>
      </c>
      <c r="AA2449">
        <v>0.59667934197739869</v>
      </c>
      <c r="AB2449">
        <v>0.59518764362245524</v>
      </c>
      <c r="AC2449">
        <v>0.59369967451339911</v>
      </c>
      <c r="AD2449">
        <v>0.59221542532711569</v>
      </c>
    </row>
    <row r="2450" spans="2:30" x14ac:dyDescent="0.25">
      <c r="B2450" t="s">
        <v>133</v>
      </c>
      <c r="C2450" t="s">
        <v>3261</v>
      </c>
      <c r="D2450" t="s">
        <v>7017</v>
      </c>
      <c r="E2450" t="s">
        <v>7018</v>
      </c>
      <c r="F2450" t="s">
        <v>8330</v>
      </c>
      <c r="G2450" t="s">
        <v>3890</v>
      </c>
      <c r="H2450" t="s">
        <v>7013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2:30" x14ac:dyDescent="0.25">
      <c r="B2451" t="s">
        <v>133</v>
      </c>
      <c r="C2451" t="s">
        <v>3261</v>
      </c>
      <c r="D2451" t="s">
        <v>7020</v>
      </c>
      <c r="E2451" t="s">
        <v>7021</v>
      </c>
      <c r="F2451" t="s">
        <v>8331</v>
      </c>
      <c r="G2451" t="s">
        <v>3890</v>
      </c>
      <c r="H2451" t="s">
        <v>7013</v>
      </c>
      <c r="J2451">
        <v>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2:30" x14ac:dyDescent="0.25">
      <c r="B2452" t="s">
        <v>133</v>
      </c>
      <c r="C2452" t="s">
        <v>3261</v>
      </c>
      <c r="D2452" t="s">
        <v>7023</v>
      </c>
      <c r="E2452" t="s">
        <v>4116</v>
      </c>
      <c r="F2452" t="s">
        <v>7441</v>
      </c>
      <c r="G2452" t="s">
        <v>3890</v>
      </c>
      <c r="H2452" t="s">
        <v>7013</v>
      </c>
      <c r="J2452">
        <v>1</v>
      </c>
      <c r="K2452">
        <v>1.9183594836308</v>
      </c>
      <c r="L2452">
        <v>1.9236239568823399</v>
      </c>
      <c r="M2452">
        <v>1.9495786224001388</v>
      </c>
      <c r="N2452">
        <v>1.9528324758330775</v>
      </c>
      <c r="O2452">
        <v>1.9534450933804692</v>
      </c>
      <c r="P2452">
        <v>1.9551539131253526</v>
      </c>
      <c r="Q2452">
        <v>1.9589917133836747</v>
      </c>
      <c r="R2452">
        <v>1.9630166950625969</v>
      </c>
      <c r="S2452">
        <v>1.9667559743802079</v>
      </c>
      <c r="T2452">
        <v>1.9705482294793291</v>
      </c>
      <c r="U2452">
        <v>1.9602591945498284</v>
      </c>
      <c r="V2452">
        <v>1.950282685511969</v>
      </c>
      <c r="W2452">
        <v>1.9406091533185987</v>
      </c>
      <c r="X2452">
        <v>1.9313136477730053</v>
      </c>
      <c r="Y2452">
        <v>1.9224019024004297</v>
      </c>
      <c r="Z2452">
        <v>1.9126501266081062</v>
      </c>
      <c r="AA2452">
        <v>1.9034360265766122</v>
      </c>
      <c r="AB2452">
        <v>1.8948533497241411</v>
      </c>
      <c r="AC2452">
        <v>1.887011421656992</v>
      </c>
      <c r="AD2452">
        <v>1.8792374416312119</v>
      </c>
    </row>
    <row r="2453" spans="2:30" x14ac:dyDescent="0.25">
      <c r="B2453" t="s">
        <v>133</v>
      </c>
      <c r="C2453" t="s">
        <v>3261</v>
      </c>
      <c r="D2453" t="s">
        <v>7024</v>
      </c>
      <c r="E2453" t="s">
        <v>4122</v>
      </c>
      <c r="F2453" t="s">
        <v>7443</v>
      </c>
      <c r="G2453" t="s">
        <v>3890</v>
      </c>
      <c r="H2453" t="s">
        <v>7013</v>
      </c>
      <c r="J2453">
        <v>1</v>
      </c>
      <c r="K2453">
        <v>15.788350712964199</v>
      </c>
      <c r="L2453">
        <v>17.709445005999601</v>
      </c>
      <c r="M2453">
        <v>18.013645438268195</v>
      </c>
      <c r="N2453">
        <v>18.257946899703906</v>
      </c>
      <c r="O2453">
        <v>18.54387298167482</v>
      </c>
      <c r="P2453">
        <v>18.938934819449567</v>
      </c>
      <c r="Q2453">
        <v>19.358782038364822</v>
      </c>
      <c r="R2453">
        <v>19.807872441783321</v>
      </c>
      <c r="S2453">
        <v>20.258477071761995</v>
      </c>
      <c r="T2453">
        <v>20.860030119397162</v>
      </c>
      <c r="U2453">
        <v>21.634014903127714</v>
      </c>
      <c r="V2453">
        <v>22.435010302638723</v>
      </c>
      <c r="W2453">
        <v>23.263891338460716</v>
      </c>
      <c r="X2453">
        <v>24.121558811041407</v>
      </c>
      <c r="Y2453">
        <v>25.008939966964491</v>
      </c>
      <c r="Z2453">
        <v>25.926989179128281</v>
      </c>
      <c r="AA2453">
        <v>26.876688641065538</v>
      </c>
      <c r="AB2453">
        <v>27.859049075584327</v>
      </c>
      <c r="AC2453">
        <v>28.875110457908111</v>
      </c>
      <c r="AD2453">
        <v>29.92594275349088</v>
      </c>
    </row>
    <row r="2454" spans="2:30" x14ac:dyDescent="0.25">
      <c r="B2454" t="s">
        <v>133</v>
      </c>
      <c r="C2454" t="s">
        <v>3261</v>
      </c>
      <c r="D2454" t="s">
        <v>7025</v>
      </c>
      <c r="E2454" t="s">
        <v>4128</v>
      </c>
      <c r="F2454" t="s">
        <v>7445</v>
      </c>
      <c r="G2454" t="s">
        <v>3890</v>
      </c>
      <c r="H2454" t="s">
        <v>7013</v>
      </c>
      <c r="J2454">
        <v>1</v>
      </c>
      <c r="K2454">
        <v>35.126042972388703</v>
      </c>
      <c r="L2454">
        <v>35.772328129626999</v>
      </c>
      <c r="M2454">
        <v>36.324796517729354</v>
      </c>
      <c r="N2454">
        <v>36.808206357318902</v>
      </c>
      <c r="O2454">
        <v>37.257086922652057</v>
      </c>
      <c r="P2454">
        <v>38.002228661105107</v>
      </c>
      <c r="Q2454">
        <v>38.762273234327196</v>
      </c>
      <c r="R2454">
        <v>39.537518629955187</v>
      </c>
      <c r="S2454">
        <v>40.32826905089528</v>
      </c>
      <c r="T2454">
        <v>41.538117156951415</v>
      </c>
      <c r="U2454">
        <v>43.199641663677241</v>
      </c>
      <c r="V2454">
        <v>44.927627143490007</v>
      </c>
      <c r="W2454">
        <v>46.724732035025916</v>
      </c>
      <c r="X2454">
        <v>48.593721114455107</v>
      </c>
      <c r="Y2454">
        <v>50.537469748982602</v>
      </c>
      <c r="Z2454">
        <v>52.558968320489171</v>
      </c>
      <c r="AA2454">
        <v>54.661326826117879</v>
      </c>
      <c r="AB2454">
        <v>56.847779662884115</v>
      </c>
      <c r="AC2454">
        <v>59.121690603669862</v>
      </c>
      <c r="AD2454">
        <v>61.486557972257835</v>
      </c>
    </row>
    <row r="2455" spans="2:30" x14ac:dyDescent="0.25">
      <c r="B2455" t="s">
        <v>133</v>
      </c>
      <c r="C2455" t="s">
        <v>3261</v>
      </c>
      <c r="D2455" t="s">
        <v>7026</v>
      </c>
      <c r="E2455" t="s">
        <v>4131</v>
      </c>
      <c r="F2455" t="s">
        <v>7446</v>
      </c>
      <c r="G2455" t="s">
        <v>3890</v>
      </c>
      <c r="H2455" t="s">
        <v>7013</v>
      </c>
      <c r="J2455">
        <v>1</v>
      </c>
      <c r="K2455">
        <v>8.9167735999999997E-2</v>
      </c>
      <c r="L2455">
        <v>0.106864256591645</v>
      </c>
      <c r="M2455">
        <v>0.10843425056703646</v>
      </c>
      <c r="N2455">
        <v>0.11010891080745402</v>
      </c>
      <c r="O2455">
        <v>0.11157423851781936</v>
      </c>
      <c r="P2455">
        <v>0.11293489996315863</v>
      </c>
      <c r="Q2455">
        <v>0.1151935979624218</v>
      </c>
      <c r="R2455">
        <v>0.11749746992167022</v>
      </c>
      <c r="S2455">
        <v>0.1198474191107711</v>
      </c>
      <c r="T2455">
        <v>0.12224436763951929</v>
      </c>
      <c r="U2455">
        <v>0.12591169877337113</v>
      </c>
      <c r="V2455">
        <v>0.13094816618004138</v>
      </c>
      <c r="W2455">
        <v>0.13618609226120784</v>
      </c>
      <c r="X2455">
        <v>0.14163353536297957</v>
      </c>
      <c r="Y2455">
        <v>0.14729887616527509</v>
      </c>
      <c r="Z2455">
        <v>0.15319083057517352</v>
      </c>
      <c r="AA2455">
        <v>0.15931846313599937</v>
      </c>
      <c r="AB2455">
        <v>0.16569120097277101</v>
      </c>
      <c r="AC2455">
        <v>0.17231884829546679</v>
      </c>
      <c r="AD2455">
        <v>0.1792116014824218</v>
      </c>
    </row>
    <row r="2456" spans="2:30" x14ac:dyDescent="0.25">
      <c r="B2456" t="s">
        <v>133</v>
      </c>
      <c r="C2456" t="s">
        <v>3261</v>
      </c>
      <c r="D2456" t="s">
        <v>7027</v>
      </c>
      <c r="E2456" t="s">
        <v>4110</v>
      </c>
      <c r="F2456" t="s">
        <v>7439</v>
      </c>
      <c r="G2456" t="s">
        <v>3890</v>
      </c>
      <c r="H2456" t="s">
        <v>7013</v>
      </c>
      <c r="J2456">
        <v>1</v>
      </c>
      <c r="K2456">
        <v>53.087639112183702</v>
      </c>
      <c r="L2456">
        <v>55.678150773981152</v>
      </c>
      <c r="M2456">
        <v>56.591949464302623</v>
      </c>
      <c r="N2456">
        <v>57.340453153368216</v>
      </c>
      <c r="O2456">
        <v>58.083369000928201</v>
      </c>
      <c r="P2456">
        <v>59.233699190437143</v>
      </c>
      <c r="Q2456">
        <v>60.428256184953092</v>
      </c>
      <c r="R2456">
        <v>61.667203421556167</v>
      </c>
      <c r="S2456">
        <v>62.922470538923662</v>
      </c>
      <c r="T2456">
        <v>64.748000314064839</v>
      </c>
      <c r="U2456">
        <v>67.184910935311578</v>
      </c>
      <c r="V2456">
        <v>69.717117766655775</v>
      </c>
      <c r="W2456">
        <v>72.346976143125957</v>
      </c>
      <c r="X2456">
        <v>75.078233759580968</v>
      </c>
      <c r="Y2456">
        <v>77.914706259845602</v>
      </c>
      <c r="Z2456">
        <v>80.859122143440842</v>
      </c>
      <c r="AA2456">
        <v>83.916959092338857</v>
      </c>
      <c r="AB2456">
        <v>87.09256401985111</v>
      </c>
      <c r="AC2456">
        <v>90.390458318112564</v>
      </c>
      <c r="AD2456">
        <v>93.814546078030361</v>
      </c>
    </row>
    <row r="2457" spans="2:30" x14ac:dyDescent="0.25">
      <c r="B2457" t="s">
        <v>133</v>
      </c>
      <c r="C2457" t="s">
        <v>3261</v>
      </c>
      <c r="D2457" t="s">
        <v>7028</v>
      </c>
      <c r="E2457" t="s">
        <v>4113</v>
      </c>
      <c r="F2457" t="s">
        <v>7440</v>
      </c>
      <c r="G2457" t="s">
        <v>3890</v>
      </c>
      <c r="H2457" t="s">
        <v>7013</v>
      </c>
      <c r="J2457">
        <v>1</v>
      </c>
      <c r="K2457">
        <v>53.087639112183702</v>
      </c>
      <c r="L2457">
        <v>55.678150773981152</v>
      </c>
      <c r="M2457">
        <v>56.591949464302623</v>
      </c>
      <c r="N2457">
        <v>57.340453153368216</v>
      </c>
      <c r="O2457">
        <v>58.083369000928201</v>
      </c>
      <c r="P2457">
        <v>59.233699190437143</v>
      </c>
      <c r="Q2457">
        <v>60.428256184953092</v>
      </c>
      <c r="R2457">
        <v>61.667203421556167</v>
      </c>
      <c r="S2457">
        <v>62.922470538923662</v>
      </c>
      <c r="T2457">
        <v>64.748000314064839</v>
      </c>
      <c r="U2457">
        <v>67.184910935311578</v>
      </c>
      <c r="V2457">
        <v>69.717117766655775</v>
      </c>
      <c r="W2457">
        <v>72.346976143125957</v>
      </c>
      <c r="X2457">
        <v>75.078233759580968</v>
      </c>
      <c r="Y2457">
        <v>77.914706259845602</v>
      </c>
      <c r="Z2457">
        <v>80.859122143440842</v>
      </c>
      <c r="AA2457">
        <v>83.916959092338857</v>
      </c>
      <c r="AB2457">
        <v>87.09256401985111</v>
      </c>
      <c r="AC2457">
        <v>90.390458318112564</v>
      </c>
      <c r="AD2457">
        <v>93.814546078030361</v>
      </c>
    </row>
    <row r="2458" spans="2:30" x14ac:dyDescent="0.25">
      <c r="B2458" t="s">
        <v>133</v>
      </c>
      <c r="C2458" t="s">
        <v>3261</v>
      </c>
      <c r="D2458" t="s">
        <v>7029</v>
      </c>
      <c r="E2458" t="s">
        <v>4143</v>
      </c>
      <c r="F2458" t="s">
        <v>7450</v>
      </c>
      <c r="G2458" t="s">
        <v>3890</v>
      </c>
      <c r="H2458" t="s">
        <v>7013</v>
      </c>
      <c r="J2458">
        <v>2</v>
      </c>
      <c r="K2458">
        <v>1.9183594836308</v>
      </c>
      <c r="L2458">
        <v>1.9236239568823399</v>
      </c>
      <c r="M2458">
        <v>1.9495786224001388</v>
      </c>
      <c r="N2458">
        <v>1.9528324758330775</v>
      </c>
      <c r="O2458">
        <v>1.9534450933804692</v>
      </c>
      <c r="P2458">
        <v>1.9551539131253526</v>
      </c>
      <c r="Q2458">
        <v>1.9589917133836747</v>
      </c>
      <c r="R2458">
        <v>1.9588461929175909</v>
      </c>
      <c r="S2458">
        <v>1.9605336589780198</v>
      </c>
      <c r="T2458">
        <v>1.9620139634761204</v>
      </c>
      <c r="U2458">
        <v>1.9499994398790774</v>
      </c>
      <c r="V2458">
        <v>1.9381474454884615</v>
      </c>
      <c r="W2458">
        <v>1.9266987670758042</v>
      </c>
      <c r="X2458">
        <v>1.9155896957630829</v>
      </c>
      <c r="Y2458">
        <v>1.9048738311411673</v>
      </c>
      <c r="Z2458">
        <v>1.8932842108748458</v>
      </c>
      <c r="AA2458">
        <v>1.8821865658616512</v>
      </c>
      <c r="AB2458">
        <v>1.8716289839919744</v>
      </c>
      <c r="AC2458">
        <v>1.8615929331233776</v>
      </c>
      <c r="AD2458">
        <v>1.851762192365777</v>
      </c>
    </row>
    <row r="2459" spans="2:30" x14ac:dyDescent="0.25">
      <c r="B2459" t="s">
        <v>133</v>
      </c>
      <c r="C2459" t="s">
        <v>3261</v>
      </c>
      <c r="D2459" t="s">
        <v>7030</v>
      </c>
      <c r="E2459" t="s">
        <v>4148</v>
      </c>
      <c r="F2459" t="s">
        <v>7452</v>
      </c>
      <c r="G2459" t="s">
        <v>3890</v>
      </c>
      <c r="H2459" t="s">
        <v>7013</v>
      </c>
      <c r="J2459">
        <v>2</v>
      </c>
      <c r="K2459">
        <v>15.788350712964199</v>
      </c>
      <c r="L2459">
        <v>17.709445005999601</v>
      </c>
      <c r="M2459">
        <v>18.013645438268195</v>
      </c>
      <c r="N2459">
        <v>18.257946899703906</v>
      </c>
      <c r="O2459">
        <v>18.54387298167482</v>
      </c>
      <c r="P2459">
        <v>18.938934819449567</v>
      </c>
      <c r="Q2459">
        <v>19.358782038364822</v>
      </c>
      <c r="R2459">
        <v>19.807872441783321</v>
      </c>
      <c r="S2459">
        <v>20.258754738205994</v>
      </c>
      <c r="T2459">
        <v>20.860110693474041</v>
      </c>
      <c r="U2459">
        <v>21.633490643030779</v>
      </c>
      <c r="V2459">
        <v>22.433956875410768</v>
      </c>
      <c r="W2459">
        <v>23.262362696526527</v>
      </c>
      <c r="X2459">
        <v>24.120722600272156</v>
      </c>
      <c r="Y2459">
        <v>25.009557631580705</v>
      </c>
      <c r="Z2459">
        <v>25.929983325803232</v>
      </c>
      <c r="AA2459">
        <v>26.883372875891819</v>
      </c>
      <c r="AB2459">
        <v>27.870659357845025</v>
      </c>
      <c r="AC2459">
        <v>28.892364432164225</v>
      </c>
      <c r="AD2459">
        <v>29.949191991280891</v>
      </c>
    </row>
    <row r="2460" spans="2:30" x14ac:dyDescent="0.25">
      <c r="B2460" t="s">
        <v>133</v>
      </c>
      <c r="C2460" t="s">
        <v>3261</v>
      </c>
      <c r="D2460" t="s">
        <v>7031</v>
      </c>
      <c r="E2460" t="s">
        <v>4154</v>
      </c>
      <c r="F2460" t="s">
        <v>7454</v>
      </c>
      <c r="G2460" t="s">
        <v>3890</v>
      </c>
      <c r="H2460" t="s">
        <v>7013</v>
      </c>
      <c r="J2460">
        <v>2</v>
      </c>
      <c r="K2460">
        <v>35.126042972388703</v>
      </c>
      <c r="L2460">
        <v>35.772328129626999</v>
      </c>
      <c r="M2460">
        <v>36.324796517729354</v>
      </c>
      <c r="N2460">
        <v>36.808206357318902</v>
      </c>
      <c r="O2460">
        <v>37.257086922652057</v>
      </c>
      <c r="P2460">
        <v>38.002228661105107</v>
      </c>
      <c r="Q2460">
        <v>38.762273234327196</v>
      </c>
      <c r="R2460">
        <v>39.537518629955187</v>
      </c>
      <c r="S2460">
        <v>40.32826905089528</v>
      </c>
      <c r="T2460">
        <v>41.538117156951415</v>
      </c>
      <c r="U2460">
        <v>43.199641663677241</v>
      </c>
      <c r="V2460">
        <v>44.927627143490007</v>
      </c>
      <c r="W2460">
        <v>46.724732035025916</v>
      </c>
      <c r="X2460">
        <v>48.593721114455107</v>
      </c>
      <c r="Y2460">
        <v>50.537469748982602</v>
      </c>
      <c r="Z2460">
        <v>52.558968320489171</v>
      </c>
      <c r="AA2460">
        <v>54.661326826117879</v>
      </c>
      <c r="AB2460">
        <v>56.847779662884115</v>
      </c>
      <c r="AC2460">
        <v>59.121690603669862</v>
      </c>
      <c r="AD2460">
        <v>61.486557972257835</v>
      </c>
    </row>
    <row r="2461" spans="2:30" x14ac:dyDescent="0.25">
      <c r="B2461" t="s">
        <v>133</v>
      </c>
      <c r="C2461" t="s">
        <v>3261</v>
      </c>
      <c r="D2461" t="s">
        <v>7032</v>
      </c>
      <c r="E2461" t="s">
        <v>4157</v>
      </c>
      <c r="F2461" t="s">
        <v>7455</v>
      </c>
      <c r="G2461" t="s">
        <v>3890</v>
      </c>
      <c r="H2461" t="s">
        <v>7013</v>
      </c>
      <c r="J2461">
        <v>2</v>
      </c>
      <c r="K2461">
        <v>8.9167735999999997E-2</v>
      </c>
      <c r="L2461">
        <v>0.106864256591645</v>
      </c>
      <c r="M2461">
        <v>0.10843425056703646</v>
      </c>
      <c r="N2461">
        <v>0.11010891080745402</v>
      </c>
      <c r="O2461">
        <v>0.11157423851781936</v>
      </c>
      <c r="P2461">
        <v>0.11293489996315863</v>
      </c>
      <c r="Q2461">
        <v>0.1151935979624218</v>
      </c>
      <c r="R2461">
        <v>0.11749746992167022</v>
      </c>
      <c r="S2461">
        <v>0.1198474191107711</v>
      </c>
      <c r="T2461">
        <v>0.12224436763951929</v>
      </c>
      <c r="U2461">
        <v>0.12591169877337113</v>
      </c>
      <c r="V2461">
        <v>0.13094816618004138</v>
      </c>
      <c r="W2461">
        <v>0.13618609226120784</v>
      </c>
      <c r="X2461">
        <v>0.14163353536297957</v>
      </c>
      <c r="Y2461">
        <v>0.14729887616527509</v>
      </c>
      <c r="Z2461">
        <v>0.15319083057517352</v>
      </c>
      <c r="AA2461">
        <v>0.15931846313599937</v>
      </c>
      <c r="AB2461">
        <v>0.16569120097277101</v>
      </c>
      <c r="AC2461">
        <v>0.17231884829546679</v>
      </c>
      <c r="AD2461">
        <v>0.1792116014824218</v>
      </c>
    </row>
    <row r="2462" spans="2:30" x14ac:dyDescent="0.25">
      <c r="B2462" t="s">
        <v>133</v>
      </c>
      <c r="C2462" t="s">
        <v>3261</v>
      </c>
      <c r="D2462" t="s">
        <v>7033</v>
      </c>
      <c r="E2462" t="s">
        <v>4137</v>
      </c>
      <c r="F2462" t="s">
        <v>7448</v>
      </c>
      <c r="G2462" t="s">
        <v>3890</v>
      </c>
      <c r="H2462" t="s">
        <v>7013</v>
      </c>
      <c r="J2462">
        <v>2</v>
      </c>
      <c r="K2462">
        <v>53.087639112183702</v>
      </c>
      <c r="L2462">
        <v>55.678150773981152</v>
      </c>
      <c r="M2462">
        <v>56.591949464302623</v>
      </c>
      <c r="N2462">
        <v>57.340453153368216</v>
      </c>
      <c r="O2462">
        <v>58.083369000928201</v>
      </c>
      <c r="P2462">
        <v>59.233699190437143</v>
      </c>
      <c r="Q2462">
        <v>60.428256184953092</v>
      </c>
      <c r="R2462">
        <v>61.663049402411524</v>
      </c>
      <c r="S2462">
        <v>62.916547423285841</v>
      </c>
      <c r="T2462">
        <v>64.739538148183755</v>
      </c>
      <c r="U2462">
        <v>67.174057450673601</v>
      </c>
      <c r="V2462">
        <v>69.703770084256234</v>
      </c>
      <c r="W2462">
        <v>72.331326420047546</v>
      </c>
      <c r="X2462">
        <v>75.061492113711225</v>
      </c>
      <c r="Y2462">
        <v>77.897777509977587</v>
      </c>
      <c r="Z2462">
        <v>80.843104663656788</v>
      </c>
      <c r="AA2462">
        <v>83.903402288906847</v>
      </c>
      <c r="AB2462">
        <v>87.082938608885158</v>
      </c>
      <c r="AC2462">
        <v>90.385614838070126</v>
      </c>
      <c r="AD2462">
        <v>93.815300391819534</v>
      </c>
    </row>
    <row r="2463" spans="2:30" x14ac:dyDescent="0.25">
      <c r="B2463" t="s">
        <v>133</v>
      </c>
      <c r="C2463" t="s">
        <v>3261</v>
      </c>
      <c r="D2463" t="s">
        <v>7034</v>
      </c>
      <c r="E2463" t="s">
        <v>4140</v>
      </c>
      <c r="F2463" t="s">
        <v>7449</v>
      </c>
      <c r="G2463" t="s">
        <v>3890</v>
      </c>
      <c r="H2463" t="s">
        <v>7013</v>
      </c>
      <c r="J2463">
        <v>2</v>
      </c>
      <c r="K2463">
        <v>53.087639112183702</v>
      </c>
      <c r="L2463">
        <v>55.678150773981152</v>
      </c>
      <c r="M2463">
        <v>56.591949464302623</v>
      </c>
      <c r="N2463">
        <v>57.340453153368216</v>
      </c>
      <c r="O2463">
        <v>58.083369000928201</v>
      </c>
      <c r="P2463">
        <v>59.233699190437143</v>
      </c>
      <c r="Q2463">
        <v>60.428256184953092</v>
      </c>
      <c r="R2463">
        <v>61.663049402411524</v>
      </c>
      <c r="S2463">
        <v>62.916547423285841</v>
      </c>
      <c r="T2463">
        <v>64.739538148183755</v>
      </c>
      <c r="U2463">
        <v>67.174057450673601</v>
      </c>
      <c r="V2463">
        <v>69.703770084256234</v>
      </c>
      <c r="W2463">
        <v>72.331326420047546</v>
      </c>
      <c r="X2463">
        <v>75.061492113711225</v>
      </c>
      <c r="Y2463">
        <v>77.897777509977587</v>
      </c>
      <c r="Z2463">
        <v>80.843104663656788</v>
      </c>
      <c r="AA2463">
        <v>83.903402288906847</v>
      </c>
      <c r="AB2463">
        <v>87.082938608885158</v>
      </c>
      <c r="AC2463">
        <v>90.385614838070126</v>
      </c>
      <c r="AD2463">
        <v>93.815300391819534</v>
      </c>
    </row>
    <row r="2464" spans="2:30" x14ac:dyDescent="0.25">
      <c r="B2464" t="s">
        <v>133</v>
      </c>
      <c r="C2464" t="s">
        <v>3261</v>
      </c>
      <c r="D2464" t="s">
        <v>7035</v>
      </c>
      <c r="E2464" t="s">
        <v>7036</v>
      </c>
      <c r="F2464" t="s">
        <v>8332</v>
      </c>
      <c r="G2464" t="s">
        <v>3890</v>
      </c>
      <c r="H2464" t="s">
        <v>7013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2:30" x14ac:dyDescent="0.25">
      <c r="B2465" t="s">
        <v>133</v>
      </c>
      <c r="C2465" t="s">
        <v>3261</v>
      </c>
      <c r="D2465" t="s">
        <v>7038</v>
      </c>
      <c r="E2465" t="s">
        <v>7039</v>
      </c>
      <c r="F2465" t="s">
        <v>8333</v>
      </c>
      <c r="G2465" t="s">
        <v>3890</v>
      </c>
      <c r="H2465" t="s">
        <v>7013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2:30" x14ac:dyDescent="0.25">
      <c r="B2466" t="s">
        <v>133</v>
      </c>
      <c r="C2466" t="s">
        <v>3261</v>
      </c>
      <c r="D2466" t="s">
        <v>7041</v>
      </c>
      <c r="E2466" t="s">
        <v>7042</v>
      </c>
      <c r="F2466" t="s">
        <v>8334</v>
      </c>
      <c r="G2466" t="s">
        <v>3890</v>
      </c>
      <c r="H2466" t="s">
        <v>7013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2:30" x14ac:dyDescent="0.25">
      <c r="B2467" t="s">
        <v>133</v>
      </c>
      <c r="C2467" t="s">
        <v>3261</v>
      </c>
      <c r="D2467" t="s">
        <v>7044</v>
      </c>
      <c r="E2467" t="s">
        <v>7045</v>
      </c>
      <c r="F2467" t="s">
        <v>8335</v>
      </c>
      <c r="G2467" t="s">
        <v>3890</v>
      </c>
      <c r="H2467" t="s">
        <v>7013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2:30" x14ac:dyDescent="0.25">
      <c r="B2468" t="s">
        <v>133</v>
      </c>
      <c r="C2468" t="s">
        <v>3261</v>
      </c>
      <c r="D2468" t="s">
        <v>7047</v>
      </c>
      <c r="E2468" t="s">
        <v>7048</v>
      </c>
      <c r="F2468" t="s">
        <v>8336</v>
      </c>
      <c r="G2468" t="s">
        <v>3890</v>
      </c>
      <c r="H2468" t="s">
        <v>7013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2:30" x14ac:dyDescent="0.25">
      <c r="B2469" t="s">
        <v>133</v>
      </c>
      <c r="C2469" t="s">
        <v>3261</v>
      </c>
      <c r="D2469" t="s">
        <v>7050</v>
      </c>
      <c r="E2469" t="s">
        <v>7051</v>
      </c>
      <c r="F2469" t="s">
        <v>8337</v>
      </c>
      <c r="G2469" t="s">
        <v>3890</v>
      </c>
      <c r="H2469" t="s">
        <v>7013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</row>
    <row r="2470" spans="2:30" x14ac:dyDescent="0.25">
      <c r="B2470" t="s">
        <v>133</v>
      </c>
      <c r="C2470" t="s">
        <v>3261</v>
      </c>
      <c r="D2470" t="s">
        <v>7053</v>
      </c>
      <c r="E2470" t="s">
        <v>7054</v>
      </c>
      <c r="F2470" t="s">
        <v>8338</v>
      </c>
      <c r="G2470" t="s">
        <v>3890</v>
      </c>
      <c r="H2470" t="s">
        <v>7013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2:30" x14ac:dyDescent="0.25">
      <c r="B2471" t="s">
        <v>133</v>
      </c>
      <c r="C2471" t="s">
        <v>3261</v>
      </c>
      <c r="D2471" t="s">
        <v>7056</v>
      </c>
      <c r="E2471" t="s">
        <v>7057</v>
      </c>
      <c r="F2471" t="s">
        <v>8339</v>
      </c>
      <c r="G2471" t="s">
        <v>3890</v>
      </c>
      <c r="H2471" t="s">
        <v>7013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2:30" x14ac:dyDescent="0.25">
      <c r="B2472" t="s">
        <v>133</v>
      </c>
      <c r="C2472" t="s">
        <v>3261</v>
      </c>
      <c r="D2472" t="s">
        <v>7059</v>
      </c>
      <c r="E2472" t="s">
        <v>7060</v>
      </c>
      <c r="F2472" t="s">
        <v>8340</v>
      </c>
      <c r="G2472" t="s">
        <v>3890</v>
      </c>
      <c r="H2472" t="s">
        <v>7013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2:30" x14ac:dyDescent="0.25">
      <c r="B2473" t="s">
        <v>133</v>
      </c>
      <c r="C2473" t="s">
        <v>3261</v>
      </c>
      <c r="D2473" t="s">
        <v>7062</v>
      </c>
      <c r="E2473" t="s">
        <v>7063</v>
      </c>
      <c r="F2473" t="s">
        <v>8341</v>
      </c>
      <c r="G2473" t="s">
        <v>3890</v>
      </c>
      <c r="H2473" t="s">
        <v>7013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2:30" x14ac:dyDescent="0.25">
      <c r="B2474" t="s">
        <v>133</v>
      </c>
      <c r="C2474" t="s">
        <v>3261</v>
      </c>
      <c r="D2474" t="s">
        <v>7065</v>
      </c>
      <c r="E2474" t="s">
        <v>7066</v>
      </c>
      <c r="F2474" t="s">
        <v>8342</v>
      </c>
      <c r="G2474" t="s">
        <v>3890</v>
      </c>
      <c r="H2474" t="s">
        <v>7068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</row>
    <row r="2475" spans="2:30" x14ac:dyDescent="0.25">
      <c r="B2475" t="s">
        <v>133</v>
      </c>
      <c r="C2475" t="s">
        <v>3261</v>
      </c>
      <c r="D2475" t="s">
        <v>7069</v>
      </c>
      <c r="E2475" t="s">
        <v>7070</v>
      </c>
      <c r="F2475" t="s">
        <v>8343</v>
      </c>
      <c r="G2475" t="s">
        <v>3890</v>
      </c>
      <c r="H2475" t="s">
        <v>4476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2:30" x14ac:dyDescent="0.25">
      <c r="B2476" t="s">
        <v>133</v>
      </c>
      <c r="C2476" t="s">
        <v>3261</v>
      </c>
      <c r="D2476" t="s">
        <v>7072</v>
      </c>
      <c r="E2476" t="s">
        <v>7073</v>
      </c>
      <c r="F2476" t="s">
        <v>8344</v>
      </c>
      <c r="G2476" t="s">
        <v>3890</v>
      </c>
      <c r="H2476" t="s">
        <v>884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</row>
    <row r="2477" spans="2:30" x14ac:dyDescent="0.25">
      <c r="B2477" t="s">
        <v>133</v>
      </c>
      <c r="C2477" t="s">
        <v>3261</v>
      </c>
      <c r="D2477" t="s">
        <v>7075</v>
      </c>
      <c r="E2477" t="s">
        <v>7076</v>
      </c>
      <c r="F2477" t="s">
        <v>8345</v>
      </c>
      <c r="G2477" t="s">
        <v>3890</v>
      </c>
      <c r="H2477" t="s">
        <v>7078</v>
      </c>
      <c r="J2477">
        <v>1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  <c r="W2477" t="e">
        <v>#N/A</v>
      </c>
      <c r="X2477" t="e">
        <v>#N/A</v>
      </c>
      <c r="Y2477" t="e">
        <v>#N/A</v>
      </c>
      <c r="Z2477" t="e">
        <v>#N/A</v>
      </c>
      <c r="AA2477" t="e">
        <v>#N/A</v>
      </c>
      <c r="AB2477" t="e">
        <v>#N/A</v>
      </c>
      <c r="AC2477" t="e">
        <v>#N/A</v>
      </c>
      <c r="AD2477" t="e">
        <v>#N/A</v>
      </c>
    </row>
    <row r="2478" spans="2:30" x14ac:dyDescent="0.25">
      <c r="B2478" t="s">
        <v>133</v>
      </c>
      <c r="C2478" t="s">
        <v>3261</v>
      </c>
      <c r="D2478" t="s">
        <v>7079</v>
      </c>
      <c r="E2478" t="s">
        <v>7080</v>
      </c>
      <c r="F2478" t="s">
        <v>8346</v>
      </c>
      <c r="G2478" t="s">
        <v>3890</v>
      </c>
      <c r="H2478" t="s">
        <v>7082</v>
      </c>
      <c r="J2478">
        <v>1</v>
      </c>
      <c r="K2478">
        <v>8.8716917086029241</v>
      </c>
      <c r="L2478">
        <v>8.5644978351756595</v>
      </c>
      <c r="M2478">
        <v>8.3886588486919944</v>
      </c>
      <c r="N2478">
        <v>8.0920965483836973</v>
      </c>
      <c r="O2478">
        <v>8.2513019622825858</v>
      </c>
      <c r="P2478">
        <v>9.0448654195698879</v>
      </c>
      <c r="Q2478">
        <v>9.9024311893545622</v>
      </c>
      <c r="R2478">
        <v>10.830429536925404</v>
      </c>
      <c r="S2478">
        <v>11.937330520511658</v>
      </c>
      <c r="T2478">
        <v>13.245866289163711</v>
      </c>
      <c r="U2478">
        <v>14.659607172703971</v>
      </c>
      <c r="V2478">
        <v>16.170961797431815</v>
      </c>
      <c r="W2478">
        <v>17.771968652327125</v>
      </c>
      <c r="X2478">
        <v>19.453959635201674</v>
      </c>
      <c r="Y2478">
        <v>21.205664968067008</v>
      </c>
      <c r="Z2478">
        <v>23.042890070278919</v>
      </c>
      <c r="AA2478">
        <v>24.962714757195489</v>
      </c>
      <c r="AB2478">
        <v>26.962131602506165</v>
      </c>
      <c r="AC2478">
        <v>29.039093418621174</v>
      </c>
      <c r="AD2478">
        <v>31.153556937608005</v>
      </c>
    </row>
    <row r="2479" spans="2:30" x14ac:dyDescent="0.25">
      <c r="B2479" t="s">
        <v>133</v>
      </c>
      <c r="C2479" t="s">
        <v>3261</v>
      </c>
      <c r="D2479" t="s">
        <v>7083</v>
      </c>
      <c r="E2479" t="s">
        <v>7084</v>
      </c>
      <c r="F2479" t="s">
        <v>8347</v>
      </c>
      <c r="G2479" t="s">
        <v>3890</v>
      </c>
      <c r="H2479" t="s">
        <v>7086</v>
      </c>
      <c r="J2479">
        <v>1</v>
      </c>
      <c r="K2479">
        <v>3.2172729633843065</v>
      </c>
      <c r="L2479">
        <v>3.4876935640271411</v>
      </c>
      <c r="M2479">
        <v>3.5939020066595377</v>
      </c>
      <c r="N2479">
        <v>2.7186556230175296</v>
      </c>
      <c r="O2479">
        <v>2.9840769510823266</v>
      </c>
      <c r="P2479">
        <v>2.9208651320491938</v>
      </c>
      <c r="Q2479">
        <v>3.0923179897128521</v>
      </c>
      <c r="R2479">
        <v>3.3239579484754502</v>
      </c>
      <c r="S2479">
        <v>3.6076222018563118</v>
      </c>
      <c r="T2479">
        <v>3.9355066907315273</v>
      </c>
      <c r="U2479">
        <v>4.3555461645321243</v>
      </c>
      <c r="V2479">
        <v>4.8045878585850383</v>
      </c>
      <c r="W2479">
        <v>5.2802663119076518</v>
      </c>
      <c r="X2479">
        <v>5.7800061267560174</v>
      </c>
      <c r="Y2479">
        <v>6.3004589161157742</v>
      </c>
      <c r="Z2479">
        <v>6.8463206607756915</v>
      </c>
      <c r="AA2479">
        <v>7.41672373864556</v>
      </c>
      <c r="AB2479">
        <v>8.0107746070828174</v>
      </c>
      <c r="AC2479">
        <v>8.6278650219544737</v>
      </c>
      <c r="AD2479">
        <v>9.256097645221109</v>
      </c>
    </row>
    <row r="2480" spans="2:30" x14ac:dyDescent="0.25">
      <c r="B2480" t="s">
        <v>133</v>
      </c>
      <c r="C2480" t="s">
        <v>3261</v>
      </c>
      <c r="D2480" t="s">
        <v>7087</v>
      </c>
      <c r="E2480" t="s">
        <v>7088</v>
      </c>
      <c r="F2480" t="s">
        <v>8348</v>
      </c>
      <c r="G2480" t="s">
        <v>3890</v>
      </c>
      <c r="H2480" t="s">
        <v>7090</v>
      </c>
      <c r="J2480">
        <v>1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  <c r="W2480" t="e">
        <v>#N/A</v>
      </c>
      <c r="X2480" t="e">
        <v>#N/A</v>
      </c>
      <c r="Y2480" t="e">
        <v>#N/A</v>
      </c>
      <c r="Z2480" t="e">
        <v>#N/A</v>
      </c>
      <c r="AA2480" t="e">
        <v>#N/A</v>
      </c>
      <c r="AB2480" t="e">
        <v>#N/A</v>
      </c>
      <c r="AC2480" t="e">
        <v>#N/A</v>
      </c>
      <c r="AD2480" t="e">
        <v>#N/A</v>
      </c>
    </row>
    <row r="2481" spans="2:30" x14ac:dyDescent="0.25">
      <c r="B2481" t="s">
        <v>133</v>
      </c>
      <c r="C2481" t="s">
        <v>3261</v>
      </c>
      <c r="D2481" t="s">
        <v>7091</v>
      </c>
      <c r="E2481" t="s">
        <v>7092</v>
      </c>
      <c r="F2481" t="s">
        <v>8349</v>
      </c>
      <c r="G2481" t="s">
        <v>3890</v>
      </c>
      <c r="H2481" t="s">
        <v>7068</v>
      </c>
      <c r="J2481">
        <v>1</v>
      </c>
      <c r="K2481">
        <v>0.65794924908352259</v>
      </c>
      <c r="L2481">
        <v>0.60845193959275345</v>
      </c>
      <c r="M2481">
        <v>0.54630541792531939</v>
      </c>
      <c r="N2481">
        <v>0.53003725334707352</v>
      </c>
      <c r="O2481">
        <v>0.5400759140421193</v>
      </c>
      <c r="P2481">
        <v>0.55729901263447357</v>
      </c>
      <c r="Q2481">
        <v>0.57353529169704798</v>
      </c>
      <c r="R2481">
        <v>0.58991413670284198</v>
      </c>
      <c r="S2481">
        <v>0.60850356052176169</v>
      </c>
      <c r="T2481">
        <v>0.62857513271899157</v>
      </c>
      <c r="U2481">
        <v>0.64784581168589572</v>
      </c>
      <c r="V2481">
        <v>0.66607130085772004</v>
      </c>
      <c r="W2481">
        <v>0.68295984870081283</v>
      </c>
      <c r="X2481">
        <v>0.69864245759263588</v>
      </c>
      <c r="Y2481">
        <v>0.71313770397093301</v>
      </c>
      <c r="Z2481">
        <v>0.72662781923768394</v>
      </c>
      <c r="AA2481">
        <v>0.73918398021715881</v>
      </c>
      <c r="AB2481">
        <v>0.75089939620077151</v>
      </c>
      <c r="AC2481">
        <v>0.76186170987122492</v>
      </c>
      <c r="AD2481">
        <v>0.77208128625452732</v>
      </c>
    </row>
    <row r="2482" spans="2:30" x14ac:dyDescent="0.25">
      <c r="B2482" t="s">
        <v>133</v>
      </c>
      <c r="C2482" t="s">
        <v>3261</v>
      </c>
      <c r="D2482" t="s">
        <v>7094</v>
      </c>
      <c r="E2482" t="s">
        <v>7095</v>
      </c>
      <c r="F2482" t="s">
        <v>8350</v>
      </c>
      <c r="G2482" t="s">
        <v>3890</v>
      </c>
      <c r="H2482" t="s">
        <v>4476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2:30" x14ac:dyDescent="0.25">
      <c r="B2483" t="s">
        <v>133</v>
      </c>
      <c r="C2483" t="s">
        <v>3261</v>
      </c>
      <c r="D2483" t="s">
        <v>7097</v>
      </c>
      <c r="E2483" t="s">
        <v>7098</v>
      </c>
      <c r="F2483" t="s">
        <v>8351</v>
      </c>
      <c r="G2483" t="s">
        <v>3890</v>
      </c>
      <c r="H2483" t="s">
        <v>884</v>
      </c>
      <c r="J2483">
        <v>1</v>
      </c>
      <c r="K2483">
        <v>3.1462278217077255E-2</v>
      </c>
      <c r="L2483">
        <v>3.1462278217077255E-2</v>
      </c>
      <c r="M2483">
        <v>3.1462278217077255E-2</v>
      </c>
      <c r="N2483">
        <v>3.1462278217077255E-2</v>
      </c>
      <c r="O2483">
        <v>3.1462278217077255E-2</v>
      </c>
      <c r="P2483">
        <v>3.1462278217077255E-2</v>
      </c>
      <c r="Q2483">
        <v>3.1462278217077255E-2</v>
      </c>
      <c r="R2483">
        <v>3.1462278217077255E-2</v>
      </c>
      <c r="S2483">
        <v>3.1462278217077255E-2</v>
      </c>
      <c r="T2483">
        <v>3.1462278217077255E-2</v>
      </c>
      <c r="U2483">
        <v>3.1462278217077255E-2</v>
      </c>
      <c r="V2483">
        <v>3.1462278217077255E-2</v>
      </c>
      <c r="W2483">
        <v>3.1462278217077255E-2</v>
      </c>
      <c r="X2483">
        <v>3.1462278217077255E-2</v>
      </c>
      <c r="Y2483">
        <v>3.1462278217077255E-2</v>
      </c>
      <c r="Z2483">
        <v>3.1462278217077255E-2</v>
      </c>
      <c r="AA2483">
        <v>3.1462278217077255E-2</v>
      </c>
      <c r="AB2483">
        <v>3.1462278217077255E-2</v>
      </c>
      <c r="AC2483">
        <v>3.1462278217077255E-2</v>
      </c>
      <c r="AD2483">
        <v>3.1462278217077255E-2</v>
      </c>
    </row>
    <row r="2484" spans="2:30" x14ac:dyDescent="0.25">
      <c r="B2484" t="s">
        <v>133</v>
      </c>
      <c r="C2484" t="s">
        <v>3261</v>
      </c>
      <c r="D2484" t="s">
        <v>7100</v>
      </c>
      <c r="E2484" t="s">
        <v>7101</v>
      </c>
      <c r="F2484" t="s">
        <v>8352</v>
      </c>
      <c r="G2484" t="s">
        <v>3890</v>
      </c>
      <c r="H2484" t="s">
        <v>7078</v>
      </c>
      <c r="J2484">
        <v>1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  <c r="W2484" t="e">
        <v>#N/A</v>
      </c>
      <c r="X2484" t="e">
        <v>#N/A</v>
      </c>
      <c r="Y2484" t="e">
        <v>#N/A</v>
      </c>
      <c r="Z2484" t="e">
        <v>#N/A</v>
      </c>
      <c r="AA2484" t="e">
        <v>#N/A</v>
      </c>
      <c r="AB2484" t="e">
        <v>#N/A</v>
      </c>
      <c r="AC2484" t="e">
        <v>#N/A</v>
      </c>
      <c r="AD2484" t="e">
        <v>#N/A</v>
      </c>
    </row>
    <row r="2485" spans="2:30" x14ac:dyDescent="0.25">
      <c r="B2485" t="s">
        <v>133</v>
      </c>
      <c r="C2485" t="s">
        <v>3261</v>
      </c>
      <c r="D2485" t="s">
        <v>7103</v>
      </c>
      <c r="E2485" t="s">
        <v>7104</v>
      </c>
      <c r="F2485" t="s">
        <v>8353</v>
      </c>
      <c r="G2485" t="s">
        <v>3890</v>
      </c>
      <c r="H2485" t="s">
        <v>7082</v>
      </c>
      <c r="J2485">
        <v>1</v>
      </c>
      <c r="K2485">
        <v>17.093399168632743</v>
      </c>
      <c r="L2485">
        <v>18.164558263381714</v>
      </c>
      <c r="M2485">
        <v>19.625046708005698</v>
      </c>
      <c r="N2485">
        <v>19.335582542555347</v>
      </c>
      <c r="O2485">
        <v>20.145147566900832</v>
      </c>
      <c r="P2485">
        <v>21.396616032809217</v>
      </c>
      <c r="Q2485">
        <v>22.778580481929932</v>
      </c>
      <c r="R2485">
        <v>24.251237959003845</v>
      </c>
      <c r="S2485">
        <v>25.953300675727256</v>
      </c>
      <c r="T2485">
        <v>27.937864998266871</v>
      </c>
      <c r="U2485">
        <v>30.084512993071748</v>
      </c>
      <c r="V2485">
        <v>32.382008614704581</v>
      </c>
      <c r="W2485">
        <v>34.801431221443664</v>
      </c>
      <c r="X2485">
        <v>37.347143191031492</v>
      </c>
      <c r="Y2485">
        <v>40.010165184002858</v>
      </c>
      <c r="Z2485">
        <v>42.802796078230102</v>
      </c>
      <c r="AA2485">
        <v>45.725142911345095</v>
      </c>
      <c r="AB2485">
        <v>48.781996709719095</v>
      </c>
      <c r="AC2485">
        <v>51.979744326232307</v>
      </c>
      <c r="AD2485">
        <v>55.309305872774132</v>
      </c>
    </row>
    <row r="2486" spans="2:30" x14ac:dyDescent="0.25">
      <c r="B2486" t="s">
        <v>133</v>
      </c>
      <c r="C2486" t="s">
        <v>3261</v>
      </c>
      <c r="D2486" t="s">
        <v>7106</v>
      </c>
      <c r="E2486" t="s">
        <v>7107</v>
      </c>
      <c r="F2486" t="s">
        <v>8354</v>
      </c>
      <c r="G2486" t="s">
        <v>3890</v>
      </c>
      <c r="H2486" t="s">
        <v>7086</v>
      </c>
      <c r="J2486">
        <v>1</v>
      </c>
      <c r="K2486">
        <v>11.328900797350048</v>
      </c>
      <c r="L2486">
        <v>10.431293599417616</v>
      </c>
      <c r="M2486">
        <v>10.384930107060731</v>
      </c>
      <c r="N2486">
        <v>8.4025576431049362</v>
      </c>
      <c r="O2486">
        <v>9.2837853528539647</v>
      </c>
      <c r="P2486">
        <v>9.0128716278437704</v>
      </c>
      <c r="Q2486">
        <v>9.3467316486689587</v>
      </c>
      <c r="R2486">
        <v>9.8177714332667954</v>
      </c>
      <c r="S2486">
        <v>10.382134611873608</v>
      </c>
      <c r="T2486">
        <v>11.030196530876275</v>
      </c>
      <c r="U2486">
        <v>11.877718317769371</v>
      </c>
      <c r="V2486">
        <v>12.78479651565636</v>
      </c>
      <c r="W2486">
        <v>13.740012916237886</v>
      </c>
      <c r="X2486">
        <v>14.745089837373406</v>
      </c>
      <c r="Y2486">
        <v>15.796482130604909</v>
      </c>
      <c r="Z2486">
        <v>16.899045537058271</v>
      </c>
      <c r="AA2486">
        <v>18.052822316445024</v>
      </c>
      <c r="AB2486">
        <v>19.259704022126993</v>
      </c>
      <c r="AC2486">
        <v>20.522212258474688</v>
      </c>
      <c r="AD2486">
        <v>21.836762179246477</v>
      </c>
    </row>
    <row r="2487" spans="2:30" x14ac:dyDescent="0.25">
      <c r="B2487" t="s">
        <v>133</v>
      </c>
      <c r="C2487" t="s">
        <v>3261</v>
      </c>
      <c r="D2487" t="s">
        <v>7109</v>
      </c>
      <c r="E2487" t="s">
        <v>7110</v>
      </c>
      <c r="F2487" t="s">
        <v>8355</v>
      </c>
      <c r="G2487" t="s">
        <v>3890</v>
      </c>
      <c r="H2487" t="s">
        <v>7090</v>
      </c>
      <c r="J2487">
        <v>1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  <c r="W2487" t="e">
        <v>#N/A</v>
      </c>
      <c r="X2487" t="e">
        <v>#N/A</v>
      </c>
      <c r="Y2487" t="e">
        <v>#N/A</v>
      </c>
      <c r="Z2487" t="e">
        <v>#N/A</v>
      </c>
      <c r="AA2487" t="e">
        <v>#N/A</v>
      </c>
      <c r="AB2487" t="e">
        <v>#N/A</v>
      </c>
      <c r="AC2487" t="e">
        <v>#N/A</v>
      </c>
      <c r="AD2487" t="e">
        <v>#N/A</v>
      </c>
    </row>
    <row r="2488" spans="2:30" x14ac:dyDescent="0.25">
      <c r="B2488" t="s">
        <v>133</v>
      </c>
      <c r="C2488" t="s">
        <v>3261</v>
      </c>
      <c r="D2488" t="s">
        <v>7112</v>
      </c>
      <c r="E2488" t="s">
        <v>7113</v>
      </c>
      <c r="F2488" t="s">
        <v>8356</v>
      </c>
      <c r="G2488" t="s">
        <v>3890</v>
      </c>
      <c r="H2488" t="s">
        <v>4476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2:30" x14ac:dyDescent="0.25">
      <c r="B2489" t="s">
        <v>133</v>
      </c>
      <c r="C2489" t="s">
        <v>3261</v>
      </c>
      <c r="D2489" t="s">
        <v>7115</v>
      </c>
      <c r="E2489" t="s">
        <v>7116</v>
      </c>
      <c r="F2489" t="s">
        <v>8357</v>
      </c>
      <c r="G2489" t="s">
        <v>3890</v>
      </c>
      <c r="H2489" t="s">
        <v>884</v>
      </c>
      <c r="J2489">
        <v>1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  <c r="W2489" t="e">
        <v>#N/A</v>
      </c>
      <c r="X2489" t="e">
        <v>#N/A</v>
      </c>
      <c r="Y2489" t="e">
        <v>#N/A</v>
      </c>
      <c r="Z2489" t="e">
        <v>#N/A</v>
      </c>
      <c r="AA2489" t="e">
        <v>#N/A</v>
      </c>
      <c r="AB2489" t="e">
        <v>#N/A</v>
      </c>
      <c r="AC2489" t="e">
        <v>#N/A</v>
      </c>
      <c r="AD2489" t="e">
        <v>#N/A</v>
      </c>
    </row>
    <row r="2490" spans="2:30" x14ac:dyDescent="0.25">
      <c r="B2490" t="s">
        <v>133</v>
      </c>
      <c r="C2490" t="s">
        <v>3261</v>
      </c>
      <c r="D2490" t="s">
        <v>7118</v>
      </c>
      <c r="E2490" t="s">
        <v>7119</v>
      </c>
      <c r="F2490" t="s">
        <v>8358</v>
      </c>
      <c r="G2490" t="s">
        <v>3890</v>
      </c>
      <c r="H2490" t="s">
        <v>7078</v>
      </c>
      <c r="J2490">
        <v>1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  <c r="W2490" t="e">
        <v>#N/A</v>
      </c>
      <c r="X2490" t="e">
        <v>#N/A</v>
      </c>
      <c r="Y2490" t="e">
        <v>#N/A</v>
      </c>
      <c r="Z2490" t="e">
        <v>#N/A</v>
      </c>
      <c r="AA2490" t="e">
        <v>#N/A</v>
      </c>
      <c r="AB2490" t="e">
        <v>#N/A</v>
      </c>
      <c r="AC2490" t="e">
        <v>#N/A</v>
      </c>
      <c r="AD2490" t="e">
        <v>#N/A</v>
      </c>
    </row>
    <row r="2491" spans="2:30" x14ac:dyDescent="0.25">
      <c r="B2491" t="s">
        <v>133</v>
      </c>
      <c r="C2491" t="s">
        <v>3261</v>
      </c>
      <c r="D2491" t="s">
        <v>7121</v>
      </c>
      <c r="E2491" t="s">
        <v>7122</v>
      </c>
      <c r="F2491" t="s">
        <v>8359</v>
      </c>
      <c r="G2491" t="s">
        <v>3890</v>
      </c>
      <c r="H2491" t="s">
        <v>7082</v>
      </c>
      <c r="J2491">
        <v>1</v>
      </c>
      <c r="K2491">
        <v>8.7592273594097882</v>
      </c>
      <c r="L2491">
        <v>9.8483367689349723</v>
      </c>
      <c r="M2491">
        <v>11.872645748894794</v>
      </c>
      <c r="N2491">
        <v>12.165496369500795</v>
      </c>
      <c r="O2491">
        <v>12.451220798302455</v>
      </c>
      <c r="P2491">
        <v>12.787576079133844</v>
      </c>
      <c r="Q2491">
        <v>13.185926293726901</v>
      </c>
      <c r="R2491">
        <v>13.567516333534819</v>
      </c>
      <c r="S2491">
        <v>13.924630751853487</v>
      </c>
      <c r="T2491">
        <v>14.284805547580049</v>
      </c>
      <c r="U2491">
        <v>14.649307370291794</v>
      </c>
      <c r="V2491">
        <v>15.018063306158167</v>
      </c>
      <c r="W2491">
        <v>15.390998538298842</v>
      </c>
      <c r="X2491">
        <v>15.768036297169033</v>
      </c>
      <c r="Y2491">
        <v>16.149097798433552</v>
      </c>
      <c r="Z2491">
        <v>16.534102168271236</v>
      </c>
      <c r="AA2491">
        <v>16.922966356059909</v>
      </c>
      <c r="AB2491">
        <v>17.315605034396299</v>
      </c>
      <c r="AC2491">
        <v>17.711930486408583</v>
      </c>
      <c r="AD2491">
        <v>18.111852480319339</v>
      </c>
    </row>
    <row r="2492" spans="2:30" x14ac:dyDescent="0.25">
      <c r="B2492" t="s">
        <v>133</v>
      </c>
      <c r="C2492" t="s">
        <v>3261</v>
      </c>
      <c r="D2492" t="s">
        <v>7124</v>
      </c>
      <c r="E2492" t="s">
        <v>7125</v>
      </c>
      <c r="F2492" t="s">
        <v>8360</v>
      </c>
      <c r="G2492" t="s">
        <v>3890</v>
      </c>
      <c r="H2492" t="s">
        <v>7086</v>
      </c>
      <c r="J2492">
        <v>1</v>
      </c>
      <c r="K2492">
        <v>4.3415326674431149</v>
      </c>
      <c r="L2492">
        <v>4.6878851644380655</v>
      </c>
      <c r="M2492">
        <v>5.4012855181209103</v>
      </c>
      <c r="N2492">
        <v>4.7970431075413851</v>
      </c>
      <c r="O2492">
        <v>5.1193866689866239</v>
      </c>
      <c r="P2492">
        <v>4.9330654080764651</v>
      </c>
      <c r="Q2492">
        <v>4.9946480086541092</v>
      </c>
      <c r="R2492">
        <v>5.0914253757795098</v>
      </c>
      <c r="S2492">
        <v>5.1825691281617061</v>
      </c>
      <c r="T2492">
        <v>5.2688435912409322</v>
      </c>
      <c r="U2492">
        <v>5.4032873599148266</v>
      </c>
      <c r="V2492">
        <v>5.539300226379833</v>
      </c>
      <c r="W2492">
        <v>5.6768545949897167</v>
      </c>
      <c r="X2492">
        <v>5.8159221498725753</v>
      </c>
      <c r="Y2492">
        <v>5.9564738320161474</v>
      </c>
      <c r="Z2492">
        <v>6.0984798117169134</v>
      </c>
      <c r="AA2492">
        <v>6.2419094563745929</v>
      </c>
      <c r="AB2492">
        <v>6.3867312936152452</v>
      </c>
      <c r="AC2492">
        <v>6.5329129697273389</v>
      </c>
      <c r="AD2492">
        <v>6.680421203395241</v>
      </c>
    </row>
    <row r="2493" spans="2:30" x14ac:dyDescent="0.25">
      <c r="B2493" t="s">
        <v>133</v>
      </c>
      <c r="C2493" t="s">
        <v>3261</v>
      </c>
      <c r="D2493" t="s">
        <v>7127</v>
      </c>
      <c r="E2493" t="s">
        <v>7128</v>
      </c>
      <c r="F2493" t="s">
        <v>8361</v>
      </c>
      <c r="G2493" t="s">
        <v>3890</v>
      </c>
      <c r="H2493" t="s">
        <v>7090</v>
      </c>
      <c r="J2493">
        <v>1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  <c r="W2493" t="e">
        <v>#N/A</v>
      </c>
      <c r="X2493" t="e">
        <v>#N/A</v>
      </c>
      <c r="Y2493" t="e">
        <v>#N/A</v>
      </c>
      <c r="Z2493" t="e">
        <v>#N/A</v>
      </c>
      <c r="AA2493" t="e">
        <v>#N/A</v>
      </c>
      <c r="AB2493" t="e">
        <v>#N/A</v>
      </c>
      <c r="AC2493" t="e">
        <v>#N/A</v>
      </c>
      <c r="AD2493" t="e">
        <v>#N/A</v>
      </c>
    </row>
    <row r="2494" spans="2:30" x14ac:dyDescent="0.25">
      <c r="B2494" t="s">
        <v>133</v>
      </c>
      <c r="C2494" t="s">
        <v>3261</v>
      </c>
      <c r="D2494" t="s">
        <v>7130</v>
      </c>
      <c r="E2494" t="s">
        <v>7131</v>
      </c>
      <c r="F2494" t="s">
        <v>8362</v>
      </c>
      <c r="G2494" t="s">
        <v>3890</v>
      </c>
      <c r="H2494" t="s">
        <v>4476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</row>
    <row r="2495" spans="2:30" x14ac:dyDescent="0.25">
      <c r="B2495" t="s">
        <v>133</v>
      </c>
      <c r="C2495" t="s">
        <v>3261</v>
      </c>
      <c r="D2495" t="s">
        <v>7133</v>
      </c>
      <c r="E2495" t="s">
        <v>7134</v>
      </c>
      <c r="F2495" t="s">
        <v>8363</v>
      </c>
      <c r="G2495" t="s">
        <v>3890</v>
      </c>
      <c r="H2495" t="s">
        <v>884</v>
      </c>
      <c r="J2495">
        <v>1</v>
      </c>
      <c r="K2495">
        <v>0.38980710506439209</v>
      </c>
      <c r="L2495">
        <v>0.38980710506439209</v>
      </c>
      <c r="M2495">
        <v>0.38980710506439209</v>
      </c>
      <c r="N2495">
        <v>0.38980710506439209</v>
      </c>
      <c r="O2495">
        <v>0.38980710506439209</v>
      </c>
      <c r="P2495">
        <v>0.38980710506439209</v>
      </c>
      <c r="Q2495">
        <v>0.38980710506439209</v>
      </c>
      <c r="R2495">
        <v>0.38980710506439209</v>
      </c>
      <c r="S2495">
        <v>0.38980710506439209</v>
      </c>
      <c r="T2495">
        <v>0.38980710506439209</v>
      </c>
      <c r="U2495">
        <v>0.38980710506439209</v>
      </c>
      <c r="V2495">
        <v>0.38980710506439209</v>
      </c>
      <c r="W2495">
        <v>0.38980710506439209</v>
      </c>
      <c r="X2495">
        <v>0.38980710506439209</v>
      </c>
      <c r="Y2495">
        <v>0.38980710506439209</v>
      </c>
      <c r="Z2495">
        <v>0.38980710506439209</v>
      </c>
      <c r="AA2495">
        <v>0.38980710506439209</v>
      </c>
      <c r="AB2495">
        <v>0.38980710506439209</v>
      </c>
      <c r="AC2495">
        <v>0.38980710506439209</v>
      </c>
      <c r="AD2495">
        <v>0.38980710506439209</v>
      </c>
    </row>
    <row r="2496" spans="2:30" x14ac:dyDescent="0.25">
      <c r="B2496" t="s">
        <v>133</v>
      </c>
      <c r="C2496" t="s">
        <v>3261</v>
      </c>
      <c r="D2496" t="s">
        <v>7136</v>
      </c>
      <c r="E2496" t="s">
        <v>7137</v>
      </c>
      <c r="F2496" t="s">
        <v>8364</v>
      </c>
      <c r="G2496" t="s">
        <v>3890</v>
      </c>
      <c r="H2496" t="s">
        <v>7078</v>
      </c>
      <c r="J2496">
        <v>1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  <c r="W2496" t="e">
        <v>#N/A</v>
      </c>
      <c r="X2496" t="e">
        <v>#N/A</v>
      </c>
      <c r="Y2496" t="e">
        <v>#N/A</v>
      </c>
      <c r="Z2496" t="e">
        <v>#N/A</v>
      </c>
      <c r="AA2496" t="e">
        <v>#N/A</v>
      </c>
      <c r="AB2496" t="e">
        <v>#N/A</v>
      </c>
      <c r="AC2496" t="e">
        <v>#N/A</v>
      </c>
      <c r="AD2496" t="e">
        <v>#N/A</v>
      </c>
    </row>
    <row r="2497" spans="2:30" x14ac:dyDescent="0.25">
      <c r="B2497" t="s">
        <v>133</v>
      </c>
      <c r="C2497" t="s">
        <v>3261</v>
      </c>
      <c r="D2497" t="s">
        <v>7139</v>
      </c>
      <c r="E2497" t="s">
        <v>7140</v>
      </c>
      <c r="F2497" t="s">
        <v>8365</v>
      </c>
      <c r="G2497" t="s">
        <v>3890</v>
      </c>
      <c r="H2497" t="s">
        <v>7082</v>
      </c>
      <c r="J2497">
        <v>1</v>
      </c>
      <c r="K2497">
        <v>0.74072845747668814</v>
      </c>
      <c r="L2497">
        <v>0.86721354102799408</v>
      </c>
      <c r="M2497">
        <v>0.96364265512465508</v>
      </c>
      <c r="N2497">
        <v>0.9988957686311748</v>
      </c>
      <c r="O2497">
        <v>1.0339270684047732</v>
      </c>
      <c r="P2497">
        <v>1.0762198961506069</v>
      </c>
      <c r="Q2497">
        <v>1.1277638855092658</v>
      </c>
      <c r="R2497">
        <v>1.1783280880287157</v>
      </c>
      <c r="S2497">
        <v>1.2266700805639159</v>
      </c>
      <c r="T2497">
        <v>1.2763498867482865</v>
      </c>
      <c r="U2497">
        <v>1.3273714719702523</v>
      </c>
      <c r="V2497">
        <v>1.3797355811327254</v>
      </c>
      <c r="W2497">
        <v>1.4334408714602123</v>
      </c>
      <c r="X2497">
        <v>1.4884838304763481</v>
      </c>
      <c r="Y2497">
        <v>1.5448586963577673</v>
      </c>
      <c r="Z2497">
        <v>1.6025573810131351</v>
      </c>
      <c r="AA2497">
        <v>1.6615693962402645</v>
      </c>
      <c r="AB2497">
        <v>1.7218817833169799</v>
      </c>
      <c r="AC2497">
        <v>1.7834790463827501</v>
      </c>
      <c r="AD2497">
        <v>1.8463430899680089</v>
      </c>
    </row>
    <row r="2498" spans="2:30" x14ac:dyDescent="0.25">
      <c r="B2498" t="s">
        <v>133</v>
      </c>
      <c r="C2498" t="s">
        <v>3261</v>
      </c>
      <c r="D2498" t="s">
        <v>7142</v>
      </c>
      <c r="E2498" t="s">
        <v>7143</v>
      </c>
      <c r="F2498" t="s">
        <v>8366</v>
      </c>
      <c r="G2498" t="s">
        <v>3890</v>
      </c>
      <c r="H2498" t="s">
        <v>7086</v>
      </c>
      <c r="J2498">
        <v>1</v>
      </c>
      <c r="K2498">
        <v>0.27367377034005486</v>
      </c>
      <c r="L2498">
        <v>0.38155634577615954</v>
      </c>
      <c r="M2498">
        <v>0.43124175007426463</v>
      </c>
      <c r="N2498">
        <v>0.36505809917876048</v>
      </c>
      <c r="O2498">
        <v>0.40142729937355043</v>
      </c>
      <c r="P2498">
        <v>0.38086928737994213</v>
      </c>
      <c r="Q2498">
        <v>0.38844987055893182</v>
      </c>
      <c r="R2498">
        <v>0.40025158852473763</v>
      </c>
      <c r="S2498">
        <v>0.41156070572289422</v>
      </c>
      <c r="T2498">
        <v>0.4224506458058534</v>
      </c>
      <c r="U2498">
        <v>0.43933794438349538</v>
      </c>
      <c r="V2498">
        <v>0.45666959612132135</v>
      </c>
      <c r="W2498">
        <v>0.47444515658291136</v>
      </c>
      <c r="X2498">
        <v>0.49266346319683868</v>
      </c>
      <c r="Y2498">
        <v>0.51132260889512215</v>
      </c>
      <c r="Z2498">
        <v>0.53041991665366117</v>
      </c>
      <c r="AA2498">
        <v>0.54995191505146579</v>
      </c>
      <c r="AB2498">
        <v>0.56991431496640055</v>
      </c>
      <c r="AC2498">
        <v>0.59030198752560969</v>
      </c>
      <c r="AD2498">
        <v>0.61110894342875799</v>
      </c>
    </row>
    <row r="2499" spans="2:30" x14ac:dyDescent="0.25">
      <c r="B2499" t="s">
        <v>133</v>
      </c>
      <c r="C2499" t="s">
        <v>3261</v>
      </c>
      <c r="D2499" t="s">
        <v>7145</v>
      </c>
      <c r="E2499" t="s">
        <v>7146</v>
      </c>
      <c r="F2499" t="s">
        <v>8367</v>
      </c>
      <c r="G2499" t="s">
        <v>3890</v>
      </c>
      <c r="H2499" t="s">
        <v>7090</v>
      </c>
      <c r="J2499">
        <v>1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  <c r="W2499" t="e">
        <v>#N/A</v>
      </c>
      <c r="X2499" t="e">
        <v>#N/A</v>
      </c>
      <c r="Y2499" t="e">
        <v>#N/A</v>
      </c>
      <c r="Z2499" t="e">
        <v>#N/A</v>
      </c>
      <c r="AA2499" t="e">
        <v>#N/A</v>
      </c>
      <c r="AB2499" t="e">
        <v>#N/A</v>
      </c>
      <c r="AC2499" t="e">
        <v>#N/A</v>
      </c>
      <c r="AD2499" t="e">
        <v>#N/A</v>
      </c>
    </row>
    <row r="2500" spans="2:30" x14ac:dyDescent="0.25">
      <c r="B2500" t="s">
        <v>133</v>
      </c>
      <c r="C2500" t="s">
        <v>3261</v>
      </c>
      <c r="D2500" t="s">
        <v>7148</v>
      </c>
      <c r="E2500" t="s">
        <v>7149</v>
      </c>
      <c r="F2500" t="s">
        <v>8368</v>
      </c>
      <c r="G2500" t="s">
        <v>3890</v>
      </c>
      <c r="H2500" t="s">
        <v>4476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2:30" x14ac:dyDescent="0.25">
      <c r="B2501" t="s">
        <v>133</v>
      </c>
      <c r="C2501" t="s">
        <v>3261</v>
      </c>
      <c r="D2501" t="s">
        <v>7151</v>
      </c>
      <c r="E2501" t="s">
        <v>7152</v>
      </c>
      <c r="F2501" t="s">
        <v>8369</v>
      </c>
      <c r="G2501" t="s">
        <v>3890</v>
      </c>
      <c r="H2501" t="s">
        <v>884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2:30" x14ac:dyDescent="0.25">
      <c r="B2502" t="s">
        <v>133</v>
      </c>
      <c r="C2502" t="s">
        <v>3261</v>
      </c>
      <c r="D2502" t="s">
        <v>7154</v>
      </c>
      <c r="E2502" t="s">
        <v>7155</v>
      </c>
      <c r="F2502" t="s">
        <v>8370</v>
      </c>
      <c r="G2502" t="s">
        <v>3890</v>
      </c>
      <c r="H2502" t="s">
        <v>7078</v>
      </c>
      <c r="J2502">
        <v>1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  <c r="W2502" t="e">
        <v>#N/A</v>
      </c>
      <c r="X2502" t="e">
        <v>#N/A</v>
      </c>
      <c r="Y2502" t="e">
        <v>#N/A</v>
      </c>
      <c r="Z2502" t="e">
        <v>#N/A</v>
      </c>
      <c r="AA2502" t="e">
        <v>#N/A</v>
      </c>
      <c r="AB2502" t="e">
        <v>#N/A</v>
      </c>
      <c r="AC2502" t="e">
        <v>#N/A</v>
      </c>
      <c r="AD2502" t="e">
        <v>#N/A</v>
      </c>
    </row>
    <row r="2503" spans="2:30" x14ac:dyDescent="0.25">
      <c r="B2503" t="s">
        <v>133</v>
      </c>
      <c r="C2503" t="s">
        <v>3261</v>
      </c>
      <c r="D2503" t="s">
        <v>7157</v>
      </c>
      <c r="E2503" t="s">
        <v>7158</v>
      </c>
      <c r="F2503" t="s">
        <v>8371</v>
      </c>
      <c r="G2503" t="s">
        <v>3890</v>
      </c>
      <c r="H2503" t="s">
        <v>7160</v>
      </c>
      <c r="J2503">
        <v>1</v>
      </c>
      <c r="K2503">
        <v>5.4004408136823523</v>
      </c>
      <c r="L2503">
        <v>4.2974710728280368</v>
      </c>
      <c r="M2503">
        <v>3.7869687556145295</v>
      </c>
      <c r="N2503">
        <v>2.4509803921568629</v>
      </c>
      <c r="O2503">
        <v>2.4509803921568629</v>
      </c>
      <c r="P2503">
        <v>2.4509803921568629</v>
      </c>
      <c r="Q2503">
        <v>2.4509803921568629</v>
      </c>
      <c r="R2503">
        <v>2.4509803921568629</v>
      </c>
      <c r="S2503">
        <v>2.4509803921568629</v>
      </c>
      <c r="T2503">
        <v>2.4509803921568629</v>
      </c>
      <c r="U2503">
        <v>2.4509803921568629</v>
      </c>
      <c r="V2503">
        <v>2.4509803921568629</v>
      </c>
      <c r="W2503">
        <v>2.4509803921568629</v>
      </c>
      <c r="X2503">
        <v>2.4509803921568629</v>
      </c>
      <c r="Y2503">
        <v>2.4509803921568629</v>
      </c>
      <c r="Z2503">
        <v>2.4509803921568629</v>
      </c>
      <c r="AA2503">
        <v>2.4509803921568629</v>
      </c>
      <c r="AB2503">
        <v>2.4509803921568629</v>
      </c>
      <c r="AC2503">
        <v>2.4509803921568629</v>
      </c>
      <c r="AD2503">
        <v>2.4509803921568629</v>
      </c>
    </row>
    <row r="2504" spans="2:30" x14ac:dyDescent="0.25">
      <c r="B2504" t="s">
        <v>133</v>
      </c>
      <c r="C2504" t="s">
        <v>3261</v>
      </c>
      <c r="D2504" t="s">
        <v>7161</v>
      </c>
      <c r="E2504" t="s">
        <v>7162</v>
      </c>
      <c r="F2504" t="s">
        <v>8372</v>
      </c>
      <c r="G2504" t="s">
        <v>3890</v>
      </c>
      <c r="H2504" t="s">
        <v>7082</v>
      </c>
      <c r="J2504">
        <v>1</v>
      </c>
      <c r="K2504">
        <v>0.32188346580599997</v>
      </c>
      <c r="L2504">
        <v>0.30907468551335748</v>
      </c>
      <c r="M2504">
        <v>0.32742941030768441</v>
      </c>
      <c r="N2504">
        <v>0.41714299562181384</v>
      </c>
      <c r="O2504">
        <v>0.41853233544167368</v>
      </c>
      <c r="P2504">
        <v>0.42037537114824253</v>
      </c>
      <c r="Q2504">
        <v>0.42304891067540284</v>
      </c>
      <c r="R2504">
        <v>0.42581749885475445</v>
      </c>
      <c r="S2504">
        <v>0.42844057373942768</v>
      </c>
      <c r="T2504">
        <v>0.43132378821689515</v>
      </c>
      <c r="U2504">
        <v>0.43451735355254528</v>
      </c>
      <c r="V2504">
        <v>0.43802052103692163</v>
      </c>
      <c r="W2504">
        <v>0.44186115675546345</v>
      </c>
      <c r="X2504">
        <v>0.44604620340491274</v>
      </c>
      <c r="Y2504">
        <v>0.4505941987804567</v>
      </c>
      <c r="Z2504">
        <v>0.45551475744414072</v>
      </c>
      <c r="AA2504">
        <v>0.4608259823323354</v>
      </c>
      <c r="AB2504">
        <v>0.46655066981579063</v>
      </c>
      <c r="AC2504">
        <v>0.47269999343659175</v>
      </c>
      <c r="AD2504">
        <v>0.47929315727775429</v>
      </c>
    </row>
    <row r="2505" spans="2:30" x14ac:dyDescent="0.25">
      <c r="B2505" t="s">
        <v>133</v>
      </c>
      <c r="C2505" t="s">
        <v>3261</v>
      </c>
      <c r="D2505" t="s">
        <v>7164</v>
      </c>
      <c r="E2505" t="s">
        <v>7165</v>
      </c>
      <c r="F2505" t="s">
        <v>8373</v>
      </c>
      <c r="G2505" t="s">
        <v>3890</v>
      </c>
      <c r="H2505" t="s">
        <v>7086</v>
      </c>
      <c r="J2505">
        <v>1</v>
      </c>
      <c r="K2505">
        <v>4.3889209414219907</v>
      </c>
      <c r="L2505">
        <v>3.4729962285808278</v>
      </c>
      <c r="M2505">
        <v>3.661173095307015</v>
      </c>
      <c r="N2505">
        <v>4.3202910899507962</v>
      </c>
      <c r="O2505">
        <v>4.5858969522246671</v>
      </c>
      <c r="P2505">
        <v>4.2257295086863822</v>
      </c>
      <c r="Q2505">
        <v>4.1472954656628804</v>
      </c>
      <c r="R2505">
        <v>4.1210051163863186</v>
      </c>
      <c r="S2505">
        <v>4.0993766219984868</v>
      </c>
      <c r="T2505">
        <v>4.0755432147237256</v>
      </c>
      <c r="U2505">
        <v>4.1057189525106264</v>
      </c>
      <c r="V2505">
        <v>4.1388200956912833</v>
      </c>
      <c r="W2505">
        <v>4.1751099486289966</v>
      </c>
      <c r="X2505">
        <v>4.2146541122977261</v>
      </c>
      <c r="Y2505">
        <v>4.2576277488087557</v>
      </c>
      <c r="Z2505">
        <v>4.3041217053728742</v>
      </c>
      <c r="AA2505">
        <v>4.3543070351559576</v>
      </c>
      <c r="AB2505">
        <v>4.4083991392016486</v>
      </c>
      <c r="AC2505">
        <v>4.4665035953956886</v>
      </c>
      <c r="AD2505">
        <v>4.5288018615485859</v>
      </c>
    </row>
    <row r="2506" spans="2:30" x14ac:dyDescent="0.25">
      <c r="B2506" t="s">
        <v>133</v>
      </c>
      <c r="C2506" t="s">
        <v>3261</v>
      </c>
      <c r="D2506" t="s">
        <v>7167</v>
      </c>
      <c r="E2506" t="s">
        <v>7168</v>
      </c>
      <c r="F2506" t="s">
        <v>8374</v>
      </c>
      <c r="G2506" t="s">
        <v>3890</v>
      </c>
      <c r="H2506" t="s">
        <v>4476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2:30" x14ac:dyDescent="0.25">
      <c r="B2507" t="s">
        <v>133</v>
      </c>
      <c r="C2507" t="s">
        <v>3261</v>
      </c>
      <c r="D2507" t="s">
        <v>7170</v>
      </c>
      <c r="E2507" t="s">
        <v>7171</v>
      </c>
      <c r="F2507" t="s">
        <v>8375</v>
      </c>
      <c r="G2507" t="s">
        <v>3890</v>
      </c>
      <c r="H2507" t="s">
        <v>7078</v>
      </c>
      <c r="J2507">
        <v>1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  <c r="W2507" t="e">
        <v>#N/A</v>
      </c>
      <c r="X2507" t="e">
        <v>#N/A</v>
      </c>
      <c r="Y2507" t="e">
        <v>#N/A</v>
      </c>
      <c r="Z2507" t="e">
        <v>#N/A</v>
      </c>
      <c r="AA2507" t="e">
        <v>#N/A</v>
      </c>
      <c r="AB2507" t="e">
        <v>#N/A</v>
      </c>
      <c r="AC2507" t="e">
        <v>#N/A</v>
      </c>
      <c r="AD2507" t="e">
        <v>#N/A</v>
      </c>
    </row>
    <row r="2508" spans="2:30" x14ac:dyDescent="0.25">
      <c r="B2508" t="s">
        <v>133</v>
      </c>
      <c r="C2508" t="s">
        <v>3261</v>
      </c>
      <c r="D2508" t="s">
        <v>7173</v>
      </c>
      <c r="E2508" t="s">
        <v>7174</v>
      </c>
      <c r="F2508" t="s">
        <v>8376</v>
      </c>
      <c r="G2508" t="s">
        <v>3890</v>
      </c>
      <c r="H2508" t="s">
        <v>7082</v>
      </c>
      <c r="J2508">
        <v>1</v>
      </c>
      <c r="K2508">
        <v>0.4637672137728</v>
      </c>
      <c r="L2508">
        <v>0.39792308812516519</v>
      </c>
      <c r="M2508">
        <v>0.43807968256506025</v>
      </c>
      <c r="N2508">
        <v>0.45539144372591023</v>
      </c>
      <c r="O2508">
        <v>0.47249328611473107</v>
      </c>
      <c r="P2508">
        <v>0.49287018315998643</v>
      </c>
      <c r="Q2508">
        <v>0.51734449869533039</v>
      </c>
      <c r="R2508">
        <v>0.5411488016992192</v>
      </c>
      <c r="S2508">
        <v>0.56374026880622363</v>
      </c>
      <c r="T2508">
        <v>0.58682088394191312</v>
      </c>
      <c r="U2508">
        <v>0.61047490501407875</v>
      </c>
      <c r="V2508">
        <v>0.63470239672366058</v>
      </c>
      <c r="W2508">
        <v>0.65950299482287689</v>
      </c>
      <c r="X2508">
        <v>0.68487589963987638</v>
      </c>
      <c r="Y2508">
        <v>0.71081986871967007</v>
      </c>
      <c r="Z2508">
        <v>0.73733320850855688</v>
      </c>
      <c r="AA2508">
        <v>0.76441376501215852</v>
      </c>
      <c r="AB2508">
        <v>0.79205891335993706</v>
      </c>
      <c r="AC2508">
        <v>0.82026554621181647</v>
      </c>
      <c r="AD2508">
        <v>0.84903006094513367</v>
      </c>
    </row>
    <row r="2509" spans="2:30" x14ac:dyDescent="0.25">
      <c r="B2509" t="s">
        <v>133</v>
      </c>
      <c r="C2509" t="s">
        <v>3261</v>
      </c>
      <c r="D2509" t="s">
        <v>7176</v>
      </c>
      <c r="E2509" t="s">
        <v>7177</v>
      </c>
      <c r="F2509" t="s">
        <v>8377</v>
      </c>
      <c r="G2509" t="s">
        <v>3890</v>
      </c>
      <c r="H2509" t="s">
        <v>7086</v>
      </c>
      <c r="J2509">
        <v>1</v>
      </c>
      <c r="K2509">
        <v>3.2112892603922094</v>
      </c>
      <c r="L2509">
        <v>2.0618376055782233</v>
      </c>
      <c r="M2509">
        <v>1.963711542635125</v>
      </c>
      <c r="N2509">
        <v>2.0734284673921919</v>
      </c>
      <c r="O2509">
        <v>2.1707645000789553</v>
      </c>
      <c r="P2509">
        <v>2.2118737304513205</v>
      </c>
      <c r="Q2509">
        <v>2.2568741472875389</v>
      </c>
      <c r="R2509">
        <v>2.336561180963785</v>
      </c>
      <c r="S2509">
        <v>2.4269668290236366</v>
      </c>
      <c r="T2509">
        <v>2.5221201225048731</v>
      </c>
      <c r="U2509">
        <v>2.6237836524793252</v>
      </c>
      <c r="V2509">
        <v>2.7279119240365537</v>
      </c>
      <c r="W2509">
        <v>2.834503371661961</v>
      </c>
      <c r="X2509">
        <v>2.943554558415038</v>
      </c>
      <c r="Y2509">
        <v>3.055060144300541</v>
      </c>
      <c r="Z2509">
        <v>3.1690128505286643</v>
      </c>
      <c r="AA2509">
        <v>3.2854034193638468</v>
      </c>
      <c r="AB2509">
        <v>3.40422056927371</v>
      </c>
      <c r="AC2509">
        <v>3.5254509451014284</v>
      </c>
      <c r="AD2509">
        <v>3.6490790629960337</v>
      </c>
    </row>
    <row r="2510" spans="2:30" x14ac:dyDescent="0.25">
      <c r="B2510" t="s">
        <v>133</v>
      </c>
      <c r="C2510" t="s">
        <v>3261</v>
      </c>
      <c r="D2510" t="s">
        <v>7179</v>
      </c>
      <c r="E2510" t="s">
        <v>7180</v>
      </c>
      <c r="F2510" t="s">
        <v>8378</v>
      </c>
      <c r="G2510" t="s">
        <v>3890</v>
      </c>
      <c r="H2510" t="s">
        <v>7090</v>
      </c>
      <c r="J2510">
        <v>1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  <c r="W2510" t="e">
        <v>#N/A</v>
      </c>
      <c r="X2510" t="e">
        <v>#N/A</v>
      </c>
      <c r="Y2510" t="e">
        <v>#N/A</v>
      </c>
      <c r="Z2510" t="e">
        <v>#N/A</v>
      </c>
      <c r="AA2510" t="e">
        <v>#N/A</v>
      </c>
      <c r="AB2510" t="e">
        <v>#N/A</v>
      </c>
      <c r="AC2510" t="e">
        <v>#N/A</v>
      </c>
      <c r="AD2510" t="e">
        <v>#N/A</v>
      </c>
    </row>
    <row r="2511" spans="2:30" x14ac:dyDescent="0.25">
      <c r="B2511" t="s">
        <v>133</v>
      </c>
      <c r="C2511" t="s">
        <v>3261</v>
      </c>
      <c r="D2511" t="s">
        <v>7182</v>
      </c>
      <c r="E2511" t="s">
        <v>7183</v>
      </c>
      <c r="F2511" t="s">
        <v>8379</v>
      </c>
      <c r="G2511" t="s">
        <v>3890</v>
      </c>
      <c r="H2511" t="s">
        <v>4476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2:30" x14ac:dyDescent="0.25">
      <c r="B2512" t="s">
        <v>133</v>
      </c>
      <c r="C2512" t="s">
        <v>3261</v>
      </c>
      <c r="D2512" t="s">
        <v>7185</v>
      </c>
      <c r="E2512" t="s">
        <v>7186</v>
      </c>
      <c r="F2512" t="s">
        <v>8380</v>
      </c>
      <c r="G2512" t="s">
        <v>3890</v>
      </c>
      <c r="H2512" t="s">
        <v>7078</v>
      </c>
      <c r="J2512">
        <v>1</v>
      </c>
      <c r="K2512">
        <v>22.748523734833093</v>
      </c>
      <c r="L2512">
        <v>20.734316063112885</v>
      </c>
      <c r="M2512">
        <v>20.172373840271693</v>
      </c>
      <c r="N2512">
        <v>20.399377853331679</v>
      </c>
      <c r="O2512">
        <v>20.600749001389481</v>
      </c>
      <c r="P2512">
        <v>20.648807010553384</v>
      </c>
      <c r="Q2512">
        <v>20.683098104648398</v>
      </c>
      <c r="R2512">
        <v>20.811322806032202</v>
      </c>
      <c r="S2512">
        <v>20.981145026025391</v>
      </c>
      <c r="T2512">
        <v>21.164234353630714</v>
      </c>
      <c r="U2512">
        <v>21.36270902812899</v>
      </c>
      <c r="V2512">
        <v>21.569122352789062</v>
      </c>
      <c r="W2512">
        <v>21.783791918491982</v>
      </c>
      <c r="X2512">
        <v>22.007047947590266</v>
      </c>
      <c r="Y2512">
        <v>22.239233919970122</v>
      </c>
      <c r="Z2512">
        <v>22.480707024597837</v>
      </c>
      <c r="AA2512">
        <v>22.731834181620087</v>
      </c>
      <c r="AB2512">
        <v>22.993006424923227</v>
      </c>
      <c r="AC2512">
        <v>23.264625557958492</v>
      </c>
      <c r="AD2512">
        <v>23.547109456315169</v>
      </c>
    </row>
    <row r="2513" spans="2:30" x14ac:dyDescent="0.25">
      <c r="B2513" t="s">
        <v>133</v>
      </c>
      <c r="C2513" t="s">
        <v>3261</v>
      </c>
      <c r="D2513" t="s">
        <v>7188</v>
      </c>
      <c r="E2513" t="s">
        <v>7189</v>
      </c>
      <c r="F2513" t="s">
        <v>8381</v>
      </c>
      <c r="G2513" t="s">
        <v>3890</v>
      </c>
      <c r="H2513" t="s">
        <v>7082</v>
      </c>
      <c r="J2513">
        <v>1</v>
      </c>
      <c r="K2513">
        <v>8.0436035415600002E-2</v>
      </c>
      <c r="L2513">
        <v>8.2826328027928303E-2</v>
      </c>
      <c r="M2513">
        <v>0.11330860976480066</v>
      </c>
      <c r="N2513">
        <v>0.11412159141724208</v>
      </c>
      <c r="O2513">
        <v>0.11487524050064434</v>
      </c>
      <c r="P2513">
        <v>0.11581982025604542</v>
      </c>
      <c r="Q2513">
        <v>0.1169910005586642</v>
      </c>
      <c r="R2513">
        <v>0.11805078974817901</v>
      </c>
      <c r="S2513">
        <v>0.11897425274284208</v>
      </c>
      <c r="T2513">
        <v>0.11987712491385735</v>
      </c>
      <c r="U2513">
        <v>0.12076480283842975</v>
      </c>
      <c r="V2513">
        <v>0.12163721140263649</v>
      </c>
      <c r="W2513">
        <v>0.12249428500567361</v>
      </c>
      <c r="X2513">
        <v>0.12333596678715079</v>
      </c>
      <c r="Y2513">
        <v>0.12416220786644326</v>
      </c>
      <c r="Z2513">
        <v>0.12497296659523903</v>
      </c>
      <c r="AA2513">
        <v>0.12576820782419945</v>
      </c>
      <c r="AB2513">
        <v>0.12654790218444076</v>
      </c>
      <c r="AC2513">
        <v>0.12731202538435987</v>
      </c>
      <c r="AD2513">
        <v>0.12806055752215423</v>
      </c>
    </row>
    <row r="2514" spans="2:30" x14ac:dyDescent="0.25">
      <c r="B2514" t="s">
        <v>133</v>
      </c>
      <c r="C2514" t="s">
        <v>3261</v>
      </c>
      <c r="D2514" t="s">
        <v>7191</v>
      </c>
      <c r="E2514" t="s">
        <v>7192</v>
      </c>
      <c r="F2514" t="s">
        <v>8382</v>
      </c>
      <c r="G2514" t="s">
        <v>3890</v>
      </c>
      <c r="H2514" t="s">
        <v>7086</v>
      </c>
      <c r="J2514">
        <v>1</v>
      </c>
      <c r="K2514">
        <v>0.98637514452054165</v>
      </c>
      <c r="L2514">
        <v>0.97723979447097742</v>
      </c>
      <c r="M2514">
        <v>1.3660843335542761</v>
      </c>
      <c r="N2514">
        <v>1.3835118739348162</v>
      </c>
      <c r="O2514">
        <v>1.3971337415339518</v>
      </c>
      <c r="P2514">
        <v>1.3969305843117998</v>
      </c>
      <c r="Q2514">
        <v>1.3971645021213579</v>
      </c>
      <c r="R2514">
        <v>1.4048277045120772</v>
      </c>
      <c r="S2514">
        <v>1.4143894535822581</v>
      </c>
      <c r="T2514">
        <v>1.4243078082352829</v>
      </c>
      <c r="U2514">
        <v>1.4348546627755057</v>
      </c>
      <c r="V2514">
        <v>1.4452200959710706</v>
      </c>
      <c r="W2514">
        <v>1.4554033283927301</v>
      </c>
      <c r="X2514">
        <v>1.4654036844595677</v>
      </c>
      <c r="Y2514">
        <v>1.4752205834014356</v>
      </c>
      <c r="Z2514">
        <v>1.4848535303781714</v>
      </c>
      <c r="AA2514">
        <v>1.4943021077665002</v>
      </c>
      <c r="AB2514">
        <v>1.5035659666230312</v>
      </c>
      <c r="AC2514">
        <v>1.5126448183295649</v>
      </c>
      <c r="AD2514">
        <v>1.5215384264248681</v>
      </c>
    </row>
    <row r="2515" spans="2:30" x14ac:dyDescent="0.25">
      <c r="B2515" t="s">
        <v>133</v>
      </c>
      <c r="C2515" t="s">
        <v>3261</v>
      </c>
      <c r="D2515" t="s">
        <v>7194</v>
      </c>
      <c r="E2515" t="s">
        <v>7195</v>
      </c>
      <c r="F2515" t="s">
        <v>8383</v>
      </c>
      <c r="G2515" t="s">
        <v>3890</v>
      </c>
      <c r="H2515" t="s">
        <v>7090</v>
      </c>
      <c r="J2515">
        <v>1</v>
      </c>
      <c r="K2515">
        <v>0.470711993112783</v>
      </c>
      <c r="L2515">
        <v>0.47434382009544784</v>
      </c>
      <c r="M2515">
        <v>0.65551046518029188</v>
      </c>
      <c r="N2515">
        <v>0.67849379071023663</v>
      </c>
      <c r="O2515">
        <v>0.70162178859118229</v>
      </c>
      <c r="P2515">
        <v>0.72464836365196028</v>
      </c>
      <c r="Q2515">
        <v>0.7498797898843963</v>
      </c>
      <c r="R2515">
        <v>0.77680309650552604</v>
      </c>
      <c r="S2515">
        <v>0.80451182368938878</v>
      </c>
      <c r="T2515">
        <v>0.83338049599273345</v>
      </c>
      <c r="U2515">
        <v>0.86352034878729855</v>
      </c>
      <c r="V2515">
        <v>0.89486598694028763</v>
      </c>
      <c r="W2515">
        <v>0.92746713868391006</v>
      </c>
      <c r="X2515">
        <v>0.96137544188681545</v>
      </c>
      <c r="Y2515">
        <v>0.99664452368275558</v>
      </c>
      <c r="Z2515">
        <v>1.0333300581998346</v>
      </c>
      <c r="AA2515">
        <v>1.071489266040341</v>
      </c>
      <c r="AB2515">
        <v>1.1111827151581974</v>
      </c>
      <c r="AC2515">
        <v>1.1524726551379481</v>
      </c>
      <c r="AD2515">
        <v>1.1954236734461154</v>
      </c>
    </row>
    <row r="2516" spans="2:30" x14ac:dyDescent="0.25">
      <c r="B2516" t="s">
        <v>133</v>
      </c>
      <c r="C2516" t="s">
        <v>3261</v>
      </c>
      <c r="D2516" t="s">
        <v>7197</v>
      </c>
      <c r="E2516" t="s">
        <v>7198</v>
      </c>
      <c r="F2516" t="s">
        <v>8384</v>
      </c>
      <c r="G2516" t="s">
        <v>3890</v>
      </c>
      <c r="H2516" t="s">
        <v>7078</v>
      </c>
      <c r="J2516">
        <v>1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  <c r="W2516" t="e">
        <v>#N/A</v>
      </c>
      <c r="X2516" t="e">
        <v>#N/A</v>
      </c>
      <c r="Y2516" t="e">
        <v>#N/A</v>
      </c>
      <c r="Z2516" t="e">
        <v>#N/A</v>
      </c>
      <c r="AA2516" t="e">
        <v>#N/A</v>
      </c>
      <c r="AB2516" t="e">
        <v>#N/A</v>
      </c>
      <c r="AC2516" t="e">
        <v>#N/A</v>
      </c>
      <c r="AD2516" t="e">
        <v>#N/A</v>
      </c>
    </row>
    <row r="2517" spans="2:30" x14ac:dyDescent="0.25">
      <c r="B2517" t="s">
        <v>133</v>
      </c>
      <c r="C2517" t="s">
        <v>3261</v>
      </c>
      <c r="D2517" t="s">
        <v>7200</v>
      </c>
      <c r="E2517" t="s">
        <v>7201</v>
      </c>
      <c r="F2517" t="s">
        <v>8385</v>
      </c>
      <c r="G2517" t="s">
        <v>3890</v>
      </c>
      <c r="H2517" t="s">
        <v>7082</v>
      </c>
      <c r="J2517">
        <v>1</v>
      </c>
      <c r="K2517">
        <v>1.2327486599412001</v>
      </c>
      <c r="L2517">
        <v>1.1725498535410277</v>
      </c>
      <c r="M2517">
        <v>1.4033766257361235</v>
      </c>
      <c r="N2517">
        <v>1.4309089276484832</v>
      </c>
      <c r="O2517">
        <v>1.3887855603775396</v>
      </c>
      <c r="P2517">
        <v>1.3709239007009983</v>
      </c>
      <c r="Q2517">
        <v>1.405333502695209</v>
      </c>
      <c r="R2517">
        <v>1.4460673124581764</v>
      </c>
      <c r="S2517">
        <v>1.4809159686338571</v>
      </c>
      <c r="T2517">
        <v>1.5169720235909432</v>
      </c>
      <c r="U2517">
        <v>1.5559131246288957</v>
      </c>
      <c r="V2517">
        <v>1.6012953086123916</v>
      </c>
      <c r="W2517">
        <v>1.6529409425998396</v>
      </c>
      <c r="X2517">
        <v>1.7129466952684886</v>
      </c>
      <c r="Y2517">
        <v>1.7815671654478555</v>
      </c>
      <c r="Z2517">
        <v>1.861141002950899</v>
      </c>
      <c r="AA2517">
        <v>1.9534533709407098</v>
      </c>
      <c r="AB2517">
        <v>2.0611656660334066</v>
      </c>
      <c r="AC2517">
        <v>2.1873878738852857</v>
      </c>
      <c r="AD2517">
        <v>2.3139890053442147</v>
      </c>
    </row>
    <row r="2518" spans="2:30" x14ac:dyDescent="0.25">
      <c r="B2518" t="s">
        <v>133</v>
      </c>
      <c r="C2518" t="s">
        <v>3261</v>
      </c>
      <c r="D2518" t="s">
        <v>7203</v>
      </c>
      <c r="E2518" t="s">
        <v>7204</v>
      </c>
      <c r="F2518" t="s">
        <v>8386</v>
      </c>
      <c r="G2518" t="s">
        <v>3890</v>
      </c>
      <c r="H2518" t="s">
        <v>7086</v>
      </c>
      <c r="J2518">
        <v>1</v>
      </c>
      <c r="K2518">
        <v>10.729197716636946</v>
      </c>
      <c r="L2518">
        <v>7.9445750529416692</v>
      </c>
      <c r="M2518">
        <v>8.578088928148107</v>
      </c>
      <c r="N2518">
        <v>8.8593982840530714</v>
      </c>
      <c r="O2518">
        <v>8.6626865911711999</v>
      </c>
      <c r="P2518">
        <v>8.3877018488758033</v>
      </c>
      <c r="Q2518">
        <v>8.4009858835835729</v>
      </c>
      <c r="R2518">
        <v>8.5721925016772875</v>
      </c>
      <c r="S2518">
        <v>8.7577687002893185</v>
      </c>
      <c r="T2518">
        <v>8.9588025119718164</v>
      </c>
      <c r="U2518">
        <v>9.1887775071414239</v>
      </c>
      <c r="V2518">
        <v>9.4567916943165358</v>
      </c>
      <c r="W2518">
        <v>9.7617960241945987</v>
      </c>
      <c r="X2518">
        <v>10.116172821775946</v>
      </c>
      <c r="Y2518">
        <v>10.521425674864402</v>
      </c>
      <c r="Z2518">
        <v>10.991365979776536</v>
      </c>
      <c r="AA2518">
        <v>11.536536399119871</v>
      </c>
      <c r="AB2518">
        <v>12.17265437943861</v>
      </c>
      <c r="AC2518">
        <v>12.918086605731906</v>
      </c>
      <c r="AD2518">
        <v>13.665756646375034</v>
      </c>
    </row>
    <row r="2519" spans="2:30" x14ac:dyDescent="0.25">
      <c r="B2519" t="s">
        <v>133</v>
      </c>
      <c r="C2519" t="s">
        <v>3261</v>
      </c>
      <c r="D2519" t="s">
        <v>7206</v>
      </c>
      <c r="E2519" t="s">
        <v>7207</v>
      </c>
      <c r="F2519" t="s">
        <v>8387</v>
      </c>
      <c r="G2519" t="s">
        <v>3890</v>
      </c>
      <c r="H2519" t="s">
        <v>7090</v>
      </c>
      <c r="J2519">
        <v>1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  <c r="W2519" t="e">
        <v>#N/A</v>
      </c>
      <c r="X2519" t="e">
        <v>#N/A</v>
      </c>
      <c r="Y2519" t="e">
        <v>#N/A</v>
      </c>
      <c r="Z2519" t="e">
        <v>#N/A</v>
      </c>
      <c r="AA2519" t="e">
        <v>#N/A</v>
      </c>
      <c r="AB2519" t="e">
        <v>#N/A</v>
      </c>
      <c r="AC2519" t="e">
        <v>#N/A</v>
      </c>
      <c r="AD2519" t="e">
        <v>#N/A</v>
      </c>
    </row>
    <row r="2520" spans="2:30" x14ac:dyDescent="0.25">
      <c r="B2520" t="s">
        <v>133</v>
      </c>
      <c r="C2520" t="s">
        <v>3261</v>
      </c>
      <c r="D2520" t="s">
        <v>7209</v>
      </c>
      <c r="E2520" t="s">
        <v>7210</v>
      </c>
      <c r="F2520" t="s">
        <v>8388</v>
      </c>
      <c r="G2520" t="s">
        <v>3890</v>
      </c>
      <c r="H2520" t="s">
        <v>7212</v>
      </c>
      <c r="J2520">
        <v>1</v>
      </c>
      <c r="K2520">
        <v>11.934141046607984</v>
      </c>
      <c r="L2520">
        <v>9.8637389385673195</v>
      </c>
      <c r="M2520">
        <v>9.2724788787181698</v>
      </c>
      <c r="N2520">
        <v>9.3465329133906021</v>
      </c>
      <c r="O2520">
        <v>9.4062507450471351</v>
      </c>
      <c r="P2520">
        <v>9.3010918182266025</v>
      </c>
      <c r="Q2520">
        <v>9.1630818173852937</v>
      </c>
      <c r="R2520">
        <v>9.1104335154490101</v>
      </c>
      <c r="S2520">
        <v>9.0935178941482739</v>
      </c>
      <c r="T2520">
        <v>9.0824347550541678</v>
      </c>
      <c r="U2520">
        <v>9.0786598757442114</v>
      </c>
      <c r="V2520">
        <v>9.073723849886095</v>
      </c>
      <c r="W2520">
        <v>9.0678069195426865</v>
      </c>
      <c r="X2520">
        <v>9.0606305780844689</v>
      </c>
      <c r="Y2520">
        <v>9.0523445517797505</v>
      </c>
      <c r="Z2520">
        <v>9.042734168814949</v>
      </c>
      <c r="AA2520">
        <v>9.0317689603847953</v>
      </c>
      <c r="AB2520">
        <v>9.0193488829070567</v>
      </c>
      <c r="AC2520">
        <v>9.0054107227450775</v>
      </c>
      <c r="AD2520">
        <v>8.992779379311056</v>
      </c>
    </row>
    <row r="2521" spans="2:30" x14ac:dyDescent="0.25">
      <c r="B2521" t="s">
        <v>133</v>
      </c>
      <c r="C2521" t="s">
        <v>3261</v>
      </c>
      <c r="D2521" t="s">
        <v>7213</v>
      </c>
      <c r="E2521" t="s">
        <v>7214</v>
      </c>
      <c r="F2521" t="s">
        <v>8389</v>
      </c>
      <c r="G2521" t="s">
        <v>3890</v>
      </c>
      <c r="H2521" t="s">
        <v>5985</v>
      </c>
      <c r="J2521">
        <v>1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  <c r="W2521" t="e">
        <v>#N/A</v>
      </c>
      <c r="X2521" t="e">
        <v>#N/A</v>
      </c>
      <c r="Y2521" t="e">
        <v>#N/A</v>
      </c>
      <c r="Z2521" t="e">
        <v>#N/A</v>
      </c>
      <c r="AA2521" t="e">
        <v>#N/A</v>
      </c>
      <c r="AB2521" t="e">
        <v>#N/A</v>
      </c>
      <c r="AC2521" t="e">
        <v>#N/A</v>
      </c>
      <c r="AD2521" t="e">
        <v>#N/A</v>
      </c>
    </row>
    <row r="2522" spans="2:30" x14ac:dyDescent="0.25">
      <c r="B2522" t="s">
        <v>133</v>
      </c>
      <c r="C2522" t="s">
        <v>3261</v>
      </c>
      <c r="D2522" t="s">
        <v>7216</v>
      </c>
      <c r="E2522" t="s">
        <v>7217</v>
      </c>
      <c r="F2522" t="s">
        <v>8390</v>
      </c>
      <c r="G2522" t="s">
        <v>3890</v>
      </c>
      <c r="H2522" t="s">
        <v>4476</v>
      </c>
      <c r="J2522">
        <v>1</v>
      </c>
      <c r="K2522">
        <v>0.12645947806431773</v>
      </c>
      <c r="L2522">
        <v>0.12756450051444032</v>
      </c>
      <c r="M2522">
        <v>0.14359805819631091</v>
      </c>
      <c r="N2522">
        <v>0.14291779658104437</v>
      </c>
      <c r="O2522">
        <v>0.1470658453988665</v>
      </c>
      <c r="P2522">
        <v>0.14836126945545097</v>
      </c>
      <c r="Q2522">
        <v>0.14569060132266123</v>
      </c>
      <c r="R2522">
        <v>0.14331267541830933</v>
      </c>
      <c r="S2522">
        <v>0.14168447421085414</v>
      </c>
      <c r="T2522">
        <v>0.14011728751933397</v>
      </c>
      <c r="U2522">
        <v>0.13852389679989052</v>
      </c>
      <c r="V2522">
        <v>0.13666130347430691</v>
      </c>
      <c r="W2522">
        <v>0.13458124582457398</v>
      </c>
      <c r="X2522">
        <v>0.13221312065558435</v>
      </c>
      <c r="Y2522">
        <v>0.12959955836153667</v>
      </c>
      <c r="Z2522">
        <v>0.12668648101971544</v>
      </c>
      <c r="AA2522">
        <v>0.12346806235780568</v>
      </c>
      <c r="AB2522">
        <v>0.11991977087874954</v>
      </c>
      <c r="AC2522">
        <v>0.11602616034667598</v>
      </c>
      <c r="AD2522">
        <v>0.11252208877552253</v>
      </c>
    </row>
    <row r="2523" spans="2:30" x14ac:dyDescent="0.25">
      <c r="B2523" t="s">
        <v>133</v>
      </c>
      <c r="C2523" t="s">
        <v>3261</v>
      </c>
      <c r="D2523" t="s">
        <v>7219</v>
      </c>
      <c r="E2523" t="s">
        <v>7220</v>
      </c>
      <c r="F2523" t="s">
        <v>8391</v>
      </c>
      <c r="G2523" t="s">
        <v>3890</v>
      </c>
      <c r="H2523" t="s">
        <v>7078</v>
      </c>
      <c r="J2523">
        <v>1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  <c r="W2523" t="e">
        <v>#N/A</v>
      </c>
      <c r="X2523" t="e">
        <v>#N/A</v>
      </c>
      <c r="Y2523" t="e">
        <v>#N/A</v>
      </c>
      <c r="Z2523" t="e">
        <v>#N/A</v>
      </c>
      <c r="AA2523" t="e">
        <v>#N/A</v>
      </c>
      <c r="AB2523" t="e">
        <v>#N/A</v>
      </c>
      <c r="AC2523" t="e">
        <v>#N/A</v>
      </c>
      <c r="AD2523" t="e">
        <v>#N/A</v>
      </c>
    </row>
    <row r="2524" spans="2:30" x14ac:dyDescent="0.25">
      <c r="B2524" t="s">
        <v>133</v>
      </c>
      <c r="C2524" t="s">
        <v>3261</v>
      </c>
      <c r="D2524" t="s">
        <v>7222</v>
      </c>
      <c r="E2524" t="s">
        <v>7223</v>
      </c>
      <c r="F2524" t="s">
        <v>8392</v>
      </c>
      <c r="G2524" t="s">
        <v>3890</v>
      </c>
      <c r="H2524" t="s">
        <v>7160</v>
      </c>
      <c r="J2524">
        <v>1</v>
      </c>
      <c r="K2524">
        <v>3.5338787520243979</v>
      </c>
      <c r="L2524">
        <v>3.220263885788178</v>
      </c>
      <c r="M2524">
        <v>3.1807567006268043</v>
      </c>
      <c r="N2524">
        <v>3.1896625857961474</v>
      </c>
      <c r="O2524">
        <v>3.2171661421378506</v>
      </c>
      <c r="P2524">
        <v>3.2410686295181246</v>
      </c>
      <c r="Q2524">
        <v>3.2527970988980686</v>
      </c>
      <c r="R2524">
        <v>3.2614927638941014</v>
      </c>
      <c r="S2524">
        <v>3.2703770944315771</v>
      </c>
      <c r="T2524">
        <v>3.2788621681122594</v>
      </c>
      <c r="U2524">
        <v>3.2865607933126637</v>
      </c>
      <c r="V2524">
        <v>3.292538808234946</v>
      </c>
      <c r="W2524">
        <v>3.2969407042038128</v>
      </c>
      <c r="X2524">
        <v>3.2993384144998865</v>
      </c>
      <c r="Y2524">
        <v>3.2998419193943698</v>
      </c>
      <c r="Z2524">
        <v>3.2980909509286911</v>
      </c>
      <c r="AA2524">
        <v>3.2939580410078686</v>
      </c>
      <c r="AB2524">
        <v>3.2872196613192104</v>
      </c>
      <c r="AC2524">
        <v>3.2776977123692239</v>
      </c>
      <c r="AD2524">
        <v>3.2693158691876096</v>
      </c>
    </row>
    <row r="2525" spans="2:30" x14ac:dyDescent="0.25">
      <c r="B2525" t="s">
        <v>133</v>
      </c>
      <c r="C2525" t="s">
        <v>3261</v>
      </c>
      <c r="D2525" t="s">
        <v>7225</v>
      </c>
      <c r="E2525" t="s">
        <v>7226</v>
      </c>
      <c r="F2525" t="s">
        <v>8393</v>
      </c>
      <c r="G2525" t="s">
        <v>3890</v>
      </c>
      <c r="H2525" t="s">
        <v>7082</v>
      </c>
      <c r="J2525">
        <v>1</v>
      </c>
      <c r="K2525">
        <v>2.07346120236E-2</v>
      </c>
      <c r="L2525">
        <v>2.0285868083065432E-2</v>
      </c>
      <c r="M2525">
        <v>1.9772134898585956E-2</v>
      </c>
      <c r="N2525">
        <v>1.9035859948046196E-2</v>
      </c>
      <c r="O2525">
        <v>1.9422579074165315E-2</v>
      </c>
      <c r="P2525">
        <v>2.1329280058097252E-2</v>
      </c>
      <c r="Q2525">
        <v>2.3413353899107776E-2</v>
      </c>
      <c r="R2525">
        <v>2.5683290922500476E-2</v>
      </c>
      <c r="S2525">
        <v>2.8390849334554529E-2</v>
      </c>
      <c r="T2525">
        <v>3.1593746187351258E-2</v>
      </c>
      <c r="U2525">
        <v>3.506793832902242E-2</v>
      </c>
      <c r="V2525">
        <v>3.8798034922163702E-2</v>
      </c>
      <c r="W2525">
        <v>4.2764588673719107E-2</v>
      </c>
      <c r="X2525">
        <v>4.6948306438777461E-2</v>
      </c>
      <c r="Y2525">
        <v>5.1323169163651552E-2</v>
      </c>
      <c r="Z2525">
        <v>5.5929800254312441E-2</v>
      </c>
      <c r="AA2525">
        <v>6.0763121295548991E-2</v>
      </c>
      <c r="AB2525">
        <v>6.5817895828502393E-2</v>
      </c>
      <c r="AC2525">
        <v>7.1091293013425538E-2</v>
      </c>
      <c r="AD2525">
        <v>7.6489337131125379E-2</v>
      </c>
    </row>
    <row r="2526" spans="2:30" x14ac:dyDescent="0.25">
      <c r="B2526" t="s">
        <v>133</v>
      </c>
      <c r="C2526" t="s">
        <v>3261</v>
      </c>
      <c r="D2526" t="s">
        <v>7228</v>
      </c>
      <c r="E2526" t="s">
        <v>7229</v>
      </c>
      <c r="F2526" t="s">
        <v>8394</v>
      </c>
      <c r="G2526" t="s">
        <v>3890</v>
      </c>
      <c r="H2526" t="s">
        <v>7086</v>
      </c>
      <c r="J2526">
        <v>1</v>
      </c>
      <c r="K2526">
        <v>0.17417617957466655</v>
      </c>
      <c r="L2526">
        <v>0.13476865853381381</v>
      </c>
      <c r="M2526">
        <v>0.12044635266993034</v>
      </c>
      <c r="N2526">
        <v>0.11720132127436933</v>
      </c>
      <c r="O2526">
        <v>0.12020798509670462</v>
      </c>
      <c r="P2526">
        <v>0.12925593175052666</v>
      </c>
      <c r="Q2526">
        <v>0.13837958775842998</v>
      </c>
      <c r="R2526">
        <v>0.1502200469106533</v>
      </c>
      <c r="S2526">
        <v>0.1653239130986541</v>
      </c>
      <c r="T2526">
        <v>0.18335659929171219</v>
      </c>
      <c r="U2526">
        <v>0.20311697341829688</v>
      </c>
      <c r="V2526">
        <v>0.22429861913747171</v>
      </c>
      <c r="W2526">
        <v>0.24678871999002905</v>
      </c>
      <c r="X2526">
        <v>0.27048290997929619</v>
      </c>
      <c r="Y2526">
        <v>0.29523666571626578</v>
      </c>
      <c r="Z2526">
        <v>0.32129674770866906</v>
      </c>
      <c r="AA2526">
        <v>0.34864730086502566</v>
      </c>
      <c r="AB2526">
        <v>0.37727668398198339</v>
      </c>
      <c r="AC2526">
        <v>0.40719052391743948</v>
      </c>
      <c r="AD2526">
        <v>0.4377839299835265</v>
      </c>
    </row>
    <row r="2527" spans="2:30" x14ac:dyDescent="0.25">
      <c r="B2527" t="s">
        <v>133</v>
      </c>
      <c r="C2527" t="s">
        <v>3261</v>
      </c>
      <c r="D2527" t="s">
        <v>7231</v>
      </c>
      <c r="E2527" t="s">
        <v>7232</v>
      </c>
      <c r="F2527" t="s">
        <v>8395</v>
      </c>
      <c r="G2527" t="s">
        <v>3890</v>
      </c>
      <c r="H2527" t="s">
        <v>7090</v>
      </c>
      <c r="J2527">
        <v>1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  <c r="W2527" t="e">
        <v>#N/A</v>
      </c>
      <c r="X2527" t="e">
        <v>#N/A</v>
      </c>
      <c r="Y2527" t="e">
        <v>#N/A</v>
      </c>
      <c r="Z2527" t="e">
        <v>#N/A</v>
      </c>
      <c r="AA2527" t="e">
        <v>#N/A</v>
      </c>
      <c r="AB2527" t="e">
        <v>#N/A</v>
      </c>
      <c r="AC2527" t="e">
        <v>#N/A</v>
      </c>
      <c r="AD2527" t="e">
        <v>#N/A</v>
      </c>
    </row>
    <row r="2528" spans="2:30" x14ac:dyDescent="0.25">
      <c r="B2528" t="s">
        <v>133</v>
      </c>
      <c r="C2528" t="s">
        <v>3261</v>
      </c>
      <c r="D2528" t="s">
        <v>7234</v>
      </c>
      <c r="E2528" t="s">
        <v>7235</v>
      </c>
      <c r="F2528" t="s">
        <v>8396</v>
      </c>
      <c r="G2528" t="s">
        <v>3890</v>
      </c>
      <c r="H2528" t="s">
        <v>7078</v>
      </c>
      <c r="J2528">
        <v>1</v>
      </c>
      <c r="K2528">
        <v>16.392425627687448</v>
      </c>
      <c r="L2528">
        <v>14.09367816856089</v>
      </c>
      <c r="M2528">
        <v>13.279229897014005</v>
      </c>
      <c r="N2528">
        <v>12.815553445419873</v>
      </c>
      <c r="O2528">
        <v>13.071104167426984</v>
      </c>
      <c r="P2528">
        <v>13.372618758096797</v>
      </c>
      <c r="Q2528">
        <v>13.603200778249683</v>
      </c>
      <c r="R2528">
        <v>13.842164534380075</v>
      </c>
      <c r="S2528">
        <v>14.089843480191085</v>
      </c>
      <c r="T2528">
        <v>14.349665525737496</v>
      </c>
      <c r="U2528">
        <v>14.649817845737497</v>
      </c>
      <c r="V2528">
        <v>14.961976258537497</v>
      </c>
      <c r="W2528">
        <v>15.286621007849497</v>
      </c>
      <c r="X2528">
        <v>15.624251547133976</v>
      </c>
      <c r="Y2528">
        <v>15.975387307989836</v>
      </c>
      <c r="Z2528">
        <v>16.340568499279929</v>
      </c>
      <c r="AA2528">
        <v>16.720356938221627</v>
      </c>
      <c r="AB2528">
        <v>17.115336914720992</v>
      </c>
      <c r="AC2528">
        <v>17.526116090280333</v>
      </c>
      <c r="AD2528">
        <v>17.953326432862045</v>
      </c>
    </row>
    <row r="2529" spans="2:30" x14ac:dyDescent="0.25">
      <c r="B2529" t="s">
        <v>133</v>
      </c>
      <c r="C2529" t="s">
        <v>3261</v>
      </c>
      <c r="D2529" t="s">
        <v>7237</v>
      </c>
      <c r="E2529" t="s">
        <v>7238</v>
      </c>
      <c r="F2529" t="s">
        <v>8397</v>
      </c>
      <c r="G2529" t="s">
        <v>3890</v>
      </c>
      <c r="H2529" t="s">
        <v>7082</v>
      </c>
      <c r="J2529">
        <v>1</v>
      </c>
      <c r="K2529">
        <v>6.9059390313599991E-2</v>
      </c>
      <c r="L2529">
        <v>6.4623086170915042E-2</v>
      </c>
      <c r="M2529">
        <v>7.6825636347470722E-2</v>
      </c>
      <c r="N2529">
        <v>8.2613612343509196E-2</v>
      </c>
      <c r="O2529">
        <v>8.393965360857171E-2</v>
      </c>
      <c r="P2529">
        <v>8.5261902309808402E-2</v>
      </c>
      <c r="Q2529">
        <v>8.7450641271725596E-2</v>
      </c>
      <c r="R2529">
        <v>8.9554234089705073E-2</v>
      </c>
      <c r="S2529">
        <v>9.1536842493587303E-2</v>
      </c>
      <c r="T2529">
        <v>9.3520080623973406E-2</v>
      </c>
      <c r="U2529">
        <v>9.5290608477598807E-2</v>
      </c>
      <c r="V2529">
        <v>9.7065604041481776E-2</v>
      </c>
      <c r="W2529">
        <v>9.8844561385924623E-2</v>
      </c>
      <c r="X2529">
        <v>0.10062697903987067</v>
      </c>
      <c r="Y2529">
        <v>0.10241235956622304</v>
      </c>
      <c r="Z2529">
        <v>0.10420020909157315</v>
      </c>
      <c r="AA2529">
        <v>0.10599003679268053</v>
      </c>
      <c r="AB2529">
        <v>0.10778135434189404</v>
      </c>
      <c r="AC2529">
        <v>0.10957367531355508</v>
      </c>
      <c r="AD2529">
        <v>0.11136651455327028</v>
      </c>
    </row>
    <row r="2530" spans="2:30" x14ac:dyDescent="0.25">
      <c r="B2530" t="s">
        <v>133</v>
      </c>
      <c r="C2530" t="s">
        <v>3261</v>
      </c>
      <c r="D2530" t="s">
        <v>7240</v>
      </c>
      <c r="E2530" t="s">
        <v>7241</v>
      </c>
      <c r="F2530" t="s">
        <v>8398</v>
      </c>
      <c r="G2530" t="s">
        <v>3890</v>
      </c>
      <c r="H2530" t="s">
        <v>7086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2:30" x14ac:dyDescent="0.25">
      <c r="B2531" t="s">
        <v>133</v>
      </c>
      <c r="C2531" t="s">
        <v>3261</v>
      </c>
      <c r="D2531" t="s">
        <v>7243</v>
      </c>
      <c r="E2531" t="s">
        <v>7244</v>
      </c>
      <c r="F2531" t="s">
        <v>8399</v>
      </c>
      <c r="G2531" t="s">
        <v>3890</v>
      </c>
      <c r="H2531" t="s">
        <v>7090</v>
      </c>
      <c r="J2531">
        <v>1</v>
      </c>
      <c r="K2531">
        <v>0.34021994136974787</v>
      </c>
      <c r="L2531">
        <v>0.34014458604652181</v>
      </c>
      <c r="M2531">
        <v>0.42512733391564467</v>
      </c>
      <c r="N2531">
        <v>0.47599948329893271</v>
      </c>
      <c r="O2531">
        <v>0.50355153259611019</v>
      </c>
      <c r="P2531">
        <v>0.53251805901937221</v>
      </c>
      <c r="Q2531">
        <v>0.56862554817310806</v>
      </c>
      <c r="R2531">
        <v>0.60619976845002654</v>
      </c>
      <c r="S2531">
        <v>0.64502238112349075</v>
      </c>
      <c r="T2531">
        <v>0.685988085810048</v>
      </c>
      <c r="U2531">
        <v>0.72757695117647525</v>
      </c>
      <c r="V2531">
        <v>0.77142950479440542</v>
      </c>
      <c r="W2531">
        <v>0.81765714744337969</v>
      </c>
      <c r="X2531">
        <v>0.86637631680436056</v>
      </c>
      <c r="Y2531">
        <v>0.91770869508105413</v>
      </c>
      <c r="Z2531">
        <v>0.97178142349477992</v>
      </c>
      <c r="AA2531">
        <v>1.0287273237182966</v>
      </c>
      <c r="AB2531">
        <v>1.0886851262959711</v>
      </c>
      <c r="AC2531">
        <v>1.1517997060771119</v>
      </c>
      <c r="AD2531">
        <v>1.2182223246658683</v>
      </c>
    </row>
    <row r="2532" spans="2:30" x14ac:dyDescent="0.25">
      <c r="B2532" t="s">
        <v>133</v>
      </c>
      <c r="C2532" t="s">
        <v>3261</v>
      </c>
      <c r="D2532" t="s">
        <v>7246</v>
      </c>
      <c r="E2532" t="s">
        <v>7247</v>
      </c>
      <c r="F2532" t="s">
        <v>8400</v>
      </c>
      <c r="G2532" t="s">
        <v>3890</v>
      </c>
      <c r="H2532" t="s">
        <v>4476</v>
      </c>
      <c r="J2532">
        <v>1</v>
      </c>
      <c r="K2532">
        <v>0.14000000000000001</v>
      </c>
      <c r="L2532">
        <v>0.14000000000000001</v>
      </c>
      <c r="M2532">
        <v>0.14000000000000001</v>
      </c>
      <c r="N2532">
        <v>0.14000000000000001</v>
      </c>
      <c r="O2532">
        <v>0.14000000000000001</v>
      </c>
      <c r="P2532">
        <v>0.14000000000000001</v>
      </c>
      <c r="Q2532">
        <v>0.14000000000000001</v>
      </c>
      <c r="R2532">
        <v>0.14000000000000001</v>
      </c>
      <c r="S2532">
        <v>0.14000000000000001</v>
      </c>
      <c r="T2532">
        <v>0.14000000000000001</v>
      </c>
      <c r="U2532">
        <v>0.14000000000000001</v>
      </c>
      <c r="V2532">
        <v>0.14000000000000001</v>
      </c>
      <c r="W2532">
        <v>0.14000000000000001</v>
      </c>
      <c r="X2532">
        <v>0.14000000000000001</v>
      </c>
      <c r="Y2532">
        <v>0.14000000000000001</v>
      </c>
      <c r="Z2532">
        <v>0.14000000000000001</v>
      </c>
      <c r="AA2532">
        <v>0.14000000000000001</v>
      </c>
      <c r="AB2532">
        <v>0.14000000000000001</v>
      </c>
      <c r="AC2532">
        <v>0.14000000000000001</v>
      </c>
      <c r="AD2532">
        <v>0.14000000000000001</v>
      </c>
    </row>
    <row r="2533" spans="2:30" x14ac:dyDescent="0.25">
      <c r="B2533" t="s">
        <v>133</v>
      </c>
      <c r="C2533" t="s">
        <v>3261</v>
      </c>
      <c r="D2533" t="s">
        <v>7249</v>
      </c>
      <c r="E2533" t="s">
        <v>7250</v>
      </c>
      <c r="F2533" t="s">
        <v>8401</v>
      </c>
      <c r="G2533" t="s">
        <v>3890</v>
      </c>
      <c r="H2533" t="s">
        <v>7078</v>
      </c>
      <c r="J2533">
        <v>1</v>
      </c>
      <c r="K2533">
        <v>29.198994529643425</v>
      </c>
      <c r="L2533">
        <v>21.901513365214228</v>
      </c>
      <c r="M2533">
        <v>21.243362771297214</v>
      </c>
      <c r="N2533">
        <v>20.412162853462071</v>
      </c>
      <c r="O2533">
        <v>20.711511621360181</v>
      </c>
      <c r="P2533">
        <v>21.079215049380998</v>
      </c>
      <c r="Q2533">
        <v>21.330709657393001</v>
      </c>
      <c r="R2533">
        <v>21.590936560857443</v>
      </c>
      <c r="S2533">
        <v>21.86024218737267</v>
      </c>
      <c r="T2533">
        <v>22.1438471095036</v>
      </c>
      <c r="U2533">
        <v>22.486020754303599</v>
      </c>
      <c r="V2533">
        <v>22.841881344895601</v>
      </c>
      <c r="W2533">
        <v>23.211976359111283</v>
      </c>
      <c r="X2533">
        <v>23.596875173895587</v>
      </c>
      <c r="Y2533">
        <v>23.997169941271267</v>
      </c>
      <c r="Z2533">
        <v>24.413476499341975</v>
      </c>
      <c r="AA2533">
        <v>24.846435319735509</v>
      </c>
      <c r="AB2533">
        <v>25.296712492944785</v>
      </c>
      <c r="AC2533">
        <v>25.765000753082433</v>
      </c>
      <c r="AD2533">
        <v>26.252020543625587</v>
      </c>
    </row>
    <row r="2534" spans="2:30" x14ac:dyDescent="0.25">
      <c r="B2534" t="s">
        <v>133</v>
      </c>
      <c r="C2534" t="s">
        <v>3261</v>
      </c>
      <c r="D2534" t="s">
        <v>7252</v>
      </c>
      <c r="E2534" t="s">
        <v>7253</v>
      </c>
      <c r="F2534" t="s">
        <v>8402</v>
      </c>
      <c r="G2534" t="s">
        <v>3890</v>
      </c>
      <c r="H2534" t="s">
        <v>7082</v>
      </c>
      <c r="J2534">
        <v>1</v>
      </c>
      <c r="K2534">
        <v>6.858397079999999E-5</v>
      </c>
      <c r="L2534">
        <v>6.8580036717958112E-5</v>
      </c>
      <c r="M2534">
        <v>7.8460671290462932E-5</v>
      </c>
      <c r="N2534">
        <v>8.2832906860848496E-5</v>
      </c>
      <c r="O2534">
        <v>8.3484336923178609E-5</v>
      </c>
      <c r="P2534">
        <v>8.4071957938455815E-5</v>
      </c>
      <c r="Q2534">
        <v>8.5280257200442635E-5</v>
      </c>
      <c r="R2534">
        <v>8.6427028704826199E-5</v>
      </c>
      <c r="S2534">
        <v>8.7493938512133836E-5</v>
      </c>
      <c r="T2534">
        <v>8.8547866882130361E-5</v>
      </c>
      <c r="U2534">
        <v>8.9424957569430083E-5</v>
      </c>
      <c r="V2534">
        <v>9.0294521793758361E-5</v>
      </c>
      <c r="W2534">
        <v>9.1156439839580711E-5</v>
      </c>
      <c r="X2534">
        <v>9.201059765179075E-5</v>
      </c>
      <c r="Y2534">
        <v>9.2856886343157879E-5</v>
      </c>
      <c r="Z2534">
        <v>9.3695201703777883E-5</v>
      </c>
      <c r="AA2534">
        <v>9.4525443713318116E-5</v>
      </c>
      <c r="AB2534">
        <v>9.5347516056705107E-5</v>
      </c>
      <c r="AC2534">
        <v>9.6161325643775688E-5</v>
      </c>
      <c r="AD2534">
        <v>9.696678213329031E-5</v>
      </c>
    </row>
    <row r="2535" spans="2:30" x14ac:dyDescent="0.25">
      <c r="B2535" t="s">
        <v>133</v>
      </c>
      <c r="C2535" t="s">
        <v>3261</v>
      </c>
      <c r="D2535" t="s">
        <v>7255</v>
      </c>
      <c r="E2535" t="s">
        <v>7256</v>
      </c>
      <c r="F2535" t="s">
        <v>8403</v>
      </c>
      <c r="G2535" t="s">
        <v>3890</v>
      </c>
      <c r="H2535" t="s">
        <v>7086</v>
      </c>
      <c r="J2535">
        <v>1</v>
      </c>
      <c r="K2535">
        <v>1.029092562136108E-3</v>
      </c>
      <c r="L2535">
        <v>5.9793586442043016E-4</v>
      </c>
      <c r="M2535">
        <v>6.1554340106525726E-4</v>
      </c>
      <c r="N2535">
        <v>5.7055586813039118E-4</v>
      </c>
      <c r="O2535">
        <v>5.7716109671923838E-4</v>
      </c>
      <c r="P2535">
        <v>5.8759987403493325E-4</v>
      </c>
      <c r="Q2535">
        <v>5.9297811692145632E-4</v>
      </c>
      <c r="R2535">
        <v>5.9761888097207064E-4</v>
      </c>
      <c r="S2535">
        <v>6.0138498084958867E-4</v>
      </c>
      <c r="T2535">
        <v>6.05102085304453E-4</v>
      </c>
      <c r="U2535">
        <v>6.1109578591604034E-4</v>
      </c>
      <c r="V2535">
        <v>6.1703805357278248E-4</v>
      </c>
      <c r="W2535">
        <v>6.2292807018473424E-4</v>
      </c>
      <c r="X2535">
        <v>6.2876505634314043E-4</v>
      </c>
      <c r="Y2535">
        <v>6.3454826795452226E-4</v>
      </c>
      <c r="Z2535">
        <v>6.4027699288845142E-4</v>
      </c>
      <c r="AA2535">
        <v>6.4595054764442206E-4</v>
      </c>
      <c r="AB2535">
        <v>6.5156827404224424E-4</v>
      </c>
      <c r="AC2535">
        <v>6.5712953593952594E-4</v>
      </c>
      <c r="AD2535">
        <v>6.6263371597896224E-4</v>
      </c>
    </row>
    <row r="2536" spans="2:30" x14ac:dyDescent="0.25">
      <c r="B2536" t="s">
        <v>133</v>
      </c>
      <c r="C2536" t="s">
        <v>3261</v>
      </c>
      <c r="D2536" t="s">
        <v>7258</v>
      </c>
      <c r="E2536" t="s">
        <v>7259</v>
      </c>
      <c r="F2536" t="s">
        <v>8404</v>
      </c>
      <c r="G2536" t="s">
        <v>3890</v>
      </c>
      <c r="H2536" t="s">
        <v>7090</v>
      </c>
      <c r="J2536">
        <v>1</v>
      </c>
      <c r="K2536">
        <v>6.0751114835123953E-4</v>
      </c>
      <c r="L2536">
        <v>5.6047847968498791E-4</v>
      </c>
      <c r="M2536">
        <v>6.5209537887577244E-4</v>
      </c>
      <c r="N2536">
        <v>6.9887161434231172E-4</v>
      </c>
      <c r="O2536">
        <v>7.2724058854602906E-4</v>
      </c>
      <c r="P2536">
        <v>7.5689664758464548E-4</v>
      </c>
      <c r="Q2536">
        <v>7.9228930674950313E-4</v>
      </c>
      <c r="R2536">
        <v>8.2876699989524786E-4</v>
      </c>
      <c r="S2536">
        <v>8.6617171779514038E-4</v>
      </c>
      <c r="T2536">
        <v>9.0524501615225786E-4</v>
      </c>
      <c r="U2536">
        <v>9.4481057773534863E-4</v>
      </c>
      <c r="V2536">
        <v>9.8613013471795814E-4</v>
      </c>
      <c r="W2536">
        <v>1.0292799114653371E-3</v>
      </c>
      <c r="X2536">
        <v>1.0743392823009627E-3</v>
      </c>
      <c r="Y2536">
        <v>1.1213908913317908E-3</v>
      </c>
      <c r="Z2536">
        <v>1.1705207761759039E-3</v>
      </c>
      <c r="AA2536">
        <v>1.2218184956583791E-3</v>
      </c>
      <c r="AB2536">
        <v>1.2753772615354628E-3</v>
      </c>
      <c r="AC2536">
        <v>1.331294074300605E-3</v>
      </c>
      <c r="AD2536">
        <v>1.3896698631183342E-3</v>
      </c>
    </row>
    <row r="2537" spans="2:30" x14ac:dyDescent="0.25">
      <c r="B2537" t="s">
        <v>133</v>
      </c>
      <c r="C2537" t="s">
        <v>3261</v>
      </c>
      <c r="D2537" t="s">
        <v>7261</v>
      </c>
      <c r="E2537" t="s">
        <v>7262</v>
      </c>
      <c r="F2537" t="s">
        <v>8405</v>
      </c>
      <c r="G2537" t="s">
        <v>3890</v>
      </c>
      <c r="H2537" t="s">
        <v>7078</v>
      </c>
      <c r="J2537">
        <v>1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  <c r="W2537" t="e">
        <v>#N/A</v>
      </c>
      <c r="X2537" t="e">
        <v>#N/A</v>
      </c>
      <c r="Y2537" t="e">
        <v>#N/A</v>
      </c>
      <c r="Z2537" t="e">
        <v>#N/A</v>
      </c>
      <c r="AA2537" t="e">
        <v>#N/A</v>
      </c>
      <c r="AB2537" t="e">
        <v>#N/A</v>
      </c>
      <c r="AC2537" t="e">
        <v>#N/A</v>
      </c>
      <c r="AD2537" t="e">
        <v>#N/A</v>
      </c>
    </row>
    <row r="2538" spans="2:30" x14ac:dyDescent="0.25">
      <c r="B2538" t="s">
        <v>133</v>
      </c>
      <c r="C2538" t="s">
        <v>3261</v>
      </c>
      <c r="D2538" t="s">
        <v>7264</v>
      </c>
      <c r="E2538" t="s">
        <v>7265</v>
      </c>
      <c r="F2538" t="s">
        <v>8406</v>
      </c>
      <c r="G2538" t="s">
        <v>3890</v>
      </c>
      <c r="H2538" t="s">
        <v>7082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2:30" x14ac:dyDescent="0.25">
      <c r="B2539" t="s">
        <v>133</v>
      </c>
      <c r="C2539" t="s">
        <v>3261</v>
      </c>
      <c r="D2539" t="s">
        <v>7267</v>
      </c>
      <c r="E2539" t="s">
        <v>7268</v>
      </c>
      <c r="F2539" t="s">
        <v>8407</v>
      </c>
      <c r="G2539" t="s">
        <v>3890</v>
      </c>
      <c r="H2539" t="s">
        <v>7086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2:30" x14ac:dyDescent="0.25">
      <c r="B2540" t="s">
        <v>133</v>
      </c>
      <c r="C2540" t="s">
        <v>3261</v>
      </c>
      <c r="D2540" t="s">
        <v>7270</v>
      </c>
      <c r="E2540" t="s">
        <v>7271</v>
      </c>
      <c r="F2540" t="s">
        <v>8408</v>
      </c>
      <c r="G2540" t="s">
        <v>3890</v>
      </c>
      <c r="H2540" t="s">
        <v>7090</v>
      </c>
      <c r="J2540">
        <v>1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  <c r="W2540" t="e">
        <v>#N/A</v>
      </c>
      <c r="X2540" t="e">
        <v>#N/A</v>
      </c>
      <c r="Y2540" t="e">
        <v>#N/A</v>
      </c>
      <c r="Z2540" t="e">
        <v>#N/A</v>
      </c>
      <c r="AA2540" t="e">
        <v>#N/A</v>
      </c>
      <c r="AB2540" t="e">
        <v>#N/A</v>
      </c>
      <c r="AC2540" t="e">
        <v>#N/A</v>
      </c>
      <c r="AD2540" t="e">
        <v>#N/A</v>
      </c>
    </row>
    <row r="2541" spans="2:30" x14ac:dyDescent="0.25">
      <c r="B2541" t="s">
        <v>133</v>
      </c>
      <c r="C2541" t="s">
        <v>3261</v>
      </c>
      <c r="D2541" t="s">
        <v>7273</v>
      </c>
      <c r="E2541" t="s">
        <v>7274</v>
      </c>
      <c r="F2541" t="s">
        <v>8409</v>
      </c>
      <c r="G2541" t="s">
        <v>3890</v>
      </c>
      <c r="H2541" t="s">
        <v>7212</v>
      </c>
      <c r="J2541">
        <v>1</v>
      </c>
      <c r="K2541">
        <v>11.129497825391994</v>
      </c>
      <c r="L2541">
        <v>8.6161449725182102</v>
      </c>
      <c r="M2541">
        <v>7.5824162235258123</v>
      </c>
      <c r="N2541">
        <v>6.8902832363207906</v>
      </c>
      <c r="O2541">
        <v>6.9085851728340364</v>
      </c>
      <c r="P2541">
        <v>6.9633737531537587</v>
      </c>
      <c r="Q2541">
        <v>6.9373191142644348</v>
      </c>
      <c r="R2541">
        <v>6.9093867428146023</v>
      </c>
      <c r="S2541">
        <v>6.8795000210555131</v>
      </c>
      <c r="T2541">
        <v>6.8506579307463058</v>
      </c>
      <c r="U2541">
        <v>6.8506154435009314</v>
      </c>
      <c r="V2541">
        <v>6.8505738959570159</v>
      </c>
      <c r="W2541">
        <v>6.8505332609071869</v>
      </c>
      <c r="X2541">
        <v>6.8504935121037445</v>
      </c>
      <c r="Y2541">
        <v>6.8504546242323965</v>
      </c>
      <c r="Z2541">
        <v>6.85041657288635</v>
      </c>
      <c r="AA2541">
        <v>6.8503793345408033</v>
      </c>
      <c r="AB2541">
        <v>6.850342886527887</v>
      </c>
      <c r="AC2541">
        <v>6.8503072070121291</v>
      </c>
      <c r="AD2541">
        <v>6.8502722749664349</v>
      </c>
    </row>
    <row r="2542" spans="2:30" x14ac:dyDescent="0.25">
      <c r="B2542" t="s">
        <v>133</v>
      </c>
      <c r="C2542" t="s">
        <v>3261</v>
      </c>
      <c r="D2542" t="s">
        <v>7276</v>
      </c>
      <c r="E2542" t="s">
        <v>7277</v>
      </c>
      <c r="F2542" t="s">
        <v>8410</v>
      </c>
      <c r="G2542" t="s">
        <v>3890</v>
      </c>
      <c r="H2542" t="s">
        <v>5985</v>
      </c>
      <c r="J2542">
        <v>1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  <c r="W2542" t="e">
        <v>#N/A</v>
      </c>
      <c r="X2542" t="e">
        <v>#N/A</v>
      </c>
      <c r="Y2542" t="e">
        <v>#N/A</v>
      </c>
      <c r="Z2542" t="e">
        <v>#N/A</v>
      </c>
      <c r="AA2542" t="e">
        <v>#N/A</v>
      </c>
      <c r="AB2542" t="e">
        <v>#N/A</v>
      </c>
      <c r="AC2542" t="e">
        <v>#N/A</v>
      </c>
      <c r="AD2542" t="e">
        <v>#N/A</v>
      </c>
    </row>
    <row r="2543" spans="2:30" x14ac:dyDescent="0.25">
      <c r="B2543" t="s">
        <v>133</v>
      </c>
      <c r="C2543" t="s">
        <v>3261</v>
      </c>
      <c r="D2543" t="s">
        <v>7279</v>
      </c>
      <c r="E2543" t="s">
        <v>7280</v>
      </c>
      <c r="F2543" t="s">
        <v>8411</v>
      </c>
      <c r="G2543" t="s">
        <v>3890</v>
      </c>
      <c r="H2543" t="s">
        <v>4476</v>
      </c>
      <c r="J2543">
        <v>1</v>
      </c>
      <c r="K2543">
        <v>3.5576226080979117E-3</v>
      </c>
      <c r="L2543">
        <v>2.8513247618490883E-3</v>
      </c>
      <c r="M2543">
        <v>2.6616380243212096E-3</v>
      </c>
      <c r="N2543">
        <v>2.5108933686182619E-3</v>
      </c>
      <c r="O2543">
        <v>2.5272085754152519E-3</v>
      </c>
      <c r="P2543">
        <v>2.5500326446776292E-3</v>
      </c>
      <c r="Q2543">
        <v>2.5520588333246236E-3</v>
      </c>
      <c r="R2543">
        <v>2.5564611507088572E-3</v>
      </c>
      <c r="S2543">
        <v>2.563570572938996E-3</v>
      </c>
      <c r="T2543">
        <v>2.5723998753247011E-3</v>
      </c>
      <c r="U2543">
        <v>2.5890298876198666E-3</v>
      </c>
      <c r="V2543">
        <v>2.6070375413537695E-3</v>
      </c>
      <c r="W2543">
        <v>2.626452494797548E-3</v>
      </c>
      <c r="X2543">
        <v>2.6473061627102792E-3</v>
      </c>
      <c r="Y2543">
        <v>2.6696317655340134E-3</v>
      </c>
      <c r="Z2543">
        <v>2.6934643812052636E-3</v>
      </c>
      <c r="AA2543">
        <v>2.718840999727184E-3</v>
      </c>
      <c r="AB2543">
        <v>2.7458005806517494E-3</v>
      </c>
      <c r="AC2543">
        <v>2.7743841136271424E-3</v>
      </c>
      <c r="AD2543">
        <v>2.8046346821718874E-3</v>
      </c>
    </row>
    <row r="2544" spans="2:30" x14ac:dyDescent="0.25">
      <c r="B2544" t="s">
        <v>133</v>
      </c>
      <c r="C2544" t="s">
        <v>3261</v>
      </c>
      <c r="D2544" t="s">
        <v>7282</v>
      </c>
      <c r="E2544" t="s">
        <v>7283</v>
      </c>
      <c r="F2544" t="s">
        <v>8412</v>
      </c>
      <c r="G2544" t="s">
        <v>3890</v>
      </c>
      <c r="H2544" t="s">
        <v>7078</v>
      </c>
      <c r="J2544">
        <v>1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  <c r="W2544" t="e">
        <v>#N/A</v>
      </c>
      <c r="X2544" t="e">
        <v>#N/A</v>
      </c>
      <c r="Y2544" t="e">
        <v>#N/A</v>
      </c>
      <c r="Z2544" t="e">
        <v>#N/A</v>
      </c>
      <c r="AA2544" t="e">
        <v>#N/A</v>
      </c>
      <c r="AB2544" t="e">
        <v>#N/A</v>
      </c>
      <c r="AC2544" t="e">
        <v>#N/A</v>
      </c>
      <c r="AD2544" t="e">
        <v>#N/A</v>
      </c>
    </row>
    <row r="2545" spans="2:30" x14ac:dyDescent="0.25">
      <c r="B2545" t="s">
        <v>133</v>
      </c>
      <c r="C2545" t="s">
        <v>3261</v>
      </c>
      <c r="D2545" t="s">
        <v>7285</v>
      </c>
      <c r="E2545" t="s">
        <v>7286</v>
      </c>
      <c r="F2545" t="s">
        <v>8413</v>
      </c>
      <c r="G2545" t="s">
        <v>3890</v>
      </c>
      <c r="H2545" t="s">
        <v>7160</v>
      </c>
      <c r="J2545">
        <v>1</v>
      </c>
      <c r="K2545">
        <v>11.459860725238636</v>
      </c>
      <c r="L2545">
        <v>8.8261134458896162</v>
      </c>
      <c r="M2545">
        <v>7.7428525388590312</v>
      </c>
      <c r="N2545">
        <v>7.0518273251642007</v>
      </c>
      <c r="O2545">
        <v>7.070160947973041</v>
      </c>
      <c r="P2545">
        <v>7.1249351212688357</v>
      </c>
      <c r="Q2545">
        <v>7.0989931146117771</v>
      </c>
      <c r="R2545">
        <v>7.0711697267137019</v>
      </c>
      <c r="S2545">
        <v>7.0413877949045824</v>
      </c>
      <c r="T2545">
        <v>7.012646643709294</v>
      </c>
      <c r="U2545">
        <v>7.0126627809654458</v>
      </c>
      <c r="V2545">
        <v>7.0126785613097047</v>
      </c>
      <c r="W2545">
        <v>7.012693995075816</v>
      </c>
      <c r="X2545">
        <v>7.0127090922330266</v>
      </c>
      <c r="Y2545">
        <v>7.0127238623960633</v>
      </c>
      <c r="Z2545">
        <v>7.0127383148349676</v>
      </c>
      <c r="AA2545">
        <v>7.0127524584847976</v>
      </c>
      <c r="AB2545">
        <v>7.012766301955125</v>
      </c>
      <c r="AC2545">
        <v>7.0127798535393735</v>
      </c>
      <c r="AD2545">
        <v>7.0127931212239281</v>
      </c>
    </row>
    <row r="2546" spans="2:30" x14ac:dyDescent="0.25">
      <c r="B2546" t="s">
        <v>133</v>
      </c>
      <c r="C2546" t="s">
        <v>3261</v>
      </c>
      <c r="D2546" t="s">
        <v>7288</v>
      </c>
      <c r="E2546" t="s">
        <v>7289</v>
      </c>
      <c r="F2546" t="s">
        <v>8414</v>
      </c>
      <c r="G2546" t="s">
        <v>3890</v>
      </c>
      <c r="H2546" t="s">
        <v>7082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2:30" x14ac:dyDescent="0.25">
      <c r="B2547" t="s">
        <v>133</v>
      </c>
      <c r="C2547" t="s">
        <v>3261</v>
      </c>
      <c r="D2547" t="s">
        <v>7291</v>
      </c>
      <c r="E2547" t="s">
        <v>7292</v>
      </c>
      <c r="F2547" t="s">
        <v>8415</v>
      </c>
      <c r="G2547" t="s">
        <v>3890</v>
      </c>
      <c r="H2547" t="s">
        <v>7086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2:30" x14ac:dyDescent="0.25">
      <c r="B2548" t="s">
        <v>133</v>
      </c>
      <c r="C2548" t="s">
        <v>3261</v>
      </c>
      <c r="D2548" t="s">
        <v>7294</v>
      </c>
      <c r="E2548" t="s">
        <v>7295</v>
      </c>
      <c r="F2548" t="s">
        <v>8416</v>
      </c>
      <c r="G2548" t="s">
        <v>3890</v>
      </c>
      <c r="H2548" t="s">
        <v>7090</v>
      </c>
      <c r="J2548">
        <v>1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  <c r="W2548" t="e">
        <v>#N/A</v>
      </c>
      <c r="X2548" t="e">
        <v>#N/A</v>
      </c>
      <c r="Y2548" t="e">
        <v>#N/A</v>
      </c>
      <c r="Z2548" t="e">
        <v>#N/A</v>
      </c>
      <c r="AA2548" t="e">
        <v>#N/A</v>
      </c>
      <c r="AB2548" t="e">
        <v>#N/A</v>
      </c>
      <c r="AC2548" t="e">
        <v>#N/A</v>
      </c>
      <c r="AD2548" t="e">
        <v>#N/A</v>
      </c>
    </row>
    <row r="2549" spans="2:30" x14ac:dyDescent="0.25">
      <c r="B2549" t="s">
        <v>133</v>
      </c>
      <c r="C2549" t="s">
        <v>3261</v>
      </c>
      <c r="D2549" t="s">
        <v>7297</v>
      </c>
      <c r="E2549" t="s">
        <v>7298</v>
      </c>
      <c r="F2549" t="s">
        <v>8417</v>
      </c>
      <c r="G2549" t="s">
        <v>3890</v>
      </c>
      <c r="H2549" t="s">
        <v>7078</v>
      </c>
      <c r="J2549">
        <v>1</v>
      </c>
      <c r="K2549">
        <v>6.3657651756497291E-2</v>
      </c>
      <c r="L2549">
        <v>6.2227839357171119E-2</v>
      </c>
      <c r="M2549">
        <v>0.10710597699475878</v>
      </c>
      <c r="N2549">
        <v>0.10463798276974871</v>
      </c>
      <c r="O2549">
        <v>0.10654961486224911</v>
      </c>
      <c r="P2549">
        <v>0.10768613029465351</v>
      </c>
      <c r="Q2549">
        <v>0.10767610301039665</v>
      </c>
      <c r="R2549">
        <v>0.1073571738721998</v>
      </c>
      <c r="S2549">
        <v>0.10704426248060314</v>
      </c>
      <c r="T2549">
        <v>0.10679986559029916</v>
      </c>
      <c r="U2549">
        <v>0.10654996219488333</v>
      </c>
      <c r="V2549">
        <v>0.10630651882443917</v>
      </c>
      <c r="W2549">
        <v>0.10604886862205862</v>
      </c>
      <c r="X2549">
        <v>0.10578505921214379</v>
      </c>
      <c r="Y2549">
        <v>0.10550702606056485</v>
      </c>
      <c r="Z2549">
        <v>0.10522005397257674</v>
      </c>
      <c r="AA2549">
        <v>0.10492040200409505</v>
      </c>
      <c r="AB2549">
        <v>0.10460643816568688</v>
      </c>
      <c r="AC2549">
        <v>0.10427749978766443</v>
      </c>
      <c r="AD2549">
        <v>0.10391169263953905</v>
      </c>
    </row>
    <row r="2550" spans="2:30" x14ac:dyDescent="0.25">
      <c r="B2550" t="s">
        <v>133</v>
      </c>
      <c r="C2550" t="s">
        <v>3261</v>
      </c>
      <c r="D2550" t="s">
        <v>7300</v>
      </c>
      <c r="E2550" t="s">
        <v>7301</v>
      </c>
      <c r="F2550" t="s">
        <v>8418</v>
      </c>
      <c r="G2550" t="s">
        <v>3890</v>
      </c>
      <c r="H2550" t="s">
        <v>7082</v>
      </c>
      <c r="J2550">
        <v>1</v>
      </c>
      <c r="K2550">
        <v>99.833519124999995</v>
      </c>
      <c r="L2550">
        <v>96.467134733572721</v>
      </c>
      <c r="M2550">
        <v>108.07218043494078</v>
      </c>
      <c r="N2550">
        <v>120.63906671537571</v>
      </c>
      <c r="O2550">
        <v>126.8571991259778</v>
      </c>
      <c r="P2550">
        <v>128.91908550862945</v>
      </c>
      <c r="Q2550">
        <v>132.53622661235633</v>
      </c>
      <c r="R2550">
        <v>137.15464337819989</v>
      </c>
      <c r="S2550">
        <v>141.80651312167373</v>
      </c>
      <c r="T2550">
        <v>146.49447185321083</v>
      </c>
      <c r="U2550">
        <v>151.1688653926457</v>
      </c>
      <c r="V2550">
        <v>155.91851530858926</v>
      </c>
      <c r="W2550">
        <v>160.72723703650806</v>
      </c>
      <c r="X2550">
        <v>165.62329308632752</v>
      </c>
      <c r="Y2550">
        <v>170.59655685519297</v>
      </c>
      <c r="Z2550">
        <v>175.66010692134194</v>
      </c>
      <c r="AA2550">
        <v>180.80764706198289</v>
      </c>
      <c r="AB2550">
        <v>186.04671936791274</v>
      </c>
      <c r="AC2550">
        <v>191.38226332596105</v>
      </c>
      <c r="AD2550">
        <v>196.81807187336838</v>
      </c>
    </row>
    <row r="2551" spans="2:30" x14ac:dyDescent="0.25">
      <c r="B2551" t="s">
        <v>133</v>
      </c>
      <c r="C2551" t="s">
        <v>3261</v>
      </c>
      <c r="D2551" t="s">
        <v>7303</v>
      </c>
      <c r="E2551" t="s">
        <v>7304</v>
      </c>
      <c r="F2551" t="s">
        <v>8419</v>
      </c>
      <c r="G2551" t="s">
        <v>3890</v>
      </c>
      <c r="H2551" t="s">
        <v>7086</v>
      </c>
      <c r="J2551">
        <v>1</v>
      </c>
      <c r="K2551">
        <v>0</v>
      </c>
      <c r="L2551">
        <v>0</v>
      </c>
      <c r="M2551">
        <v>5.9594967971760955</v>
      </c>
      <c r="N2551">
        <v>6.6524810437909148</v>
      </c>
      <c r="O2551">
        <v>6.9953716936904815</v>
      </c>
      <c r="P2551">
        <v>7.109071678682926</v>
      </c>
      <c r="Q2551">
        <v>7.3085341188394946</v>
      </c>
      <c r="R2551">
        <v>7.5632105750125813</v>
      </c>
      <c r="S2551">
        <v>7.8197317511889226</v>
      </c>
      <c r="T2551">
        <v>8.0782430066614399</v>
      </c>
      <c r="U2551">
        <v>8.3360062276392259</v>
      </c>
      <c r="V2551">
        <v>8.5979193615082448</v>
      </c>
      <c r="W2551">
        <v>8.8630899319613405</v>
      </c>
      <c r="X2551">
        <v>9.1330764375566336</v>
      </c>
      <c r="Y2551">
        <v>9.4073204602346792</v>
      </c>
      <c r="Z2551">
        <v>9.6865432008151888</v>
      </c>
      <c r="AA2551">
        <v>9.9703974624579654</v>
      </c>
      <c r="AB2551">
        <v>10.259299143739012</v>
      </c>
      <c r="AC2551">
        <v>10.553520626096564</v>
      </c>
      <c r="AD2551">
        <v>10.85327106601517</v>
      </c>
    </row>
    <row r="2552" spans="2:30" x14ac:dyDescent="0.25">
      <c r="B2552" t="s">
        <v>133</v>
      </c>
      <c r="C2552" t="s">
        <v>3261</v>
      </c>
      <c r="D2552" t="s">
        <v>7306</v>
      </c>
      <c r="E2552" t="s">
        <v>7307</v>
      </c>
      <c r="F2552" t="s">
        <v>8420</v>
      </c>
      <c r="G2552" t="s">
        <v>3890</v>
      </c>
      <c r="H2552" t="s">
        <v>7090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2:30" x14ac:dyDescent="0.25">
      <c r="B2553" t="s">
        <v>133</v>
      </c>
      <c r="C2553" t="s">
        <v>3261</v>
      </c>
      <c r="D2553" t="s">
        <v>7309</v>
      </c>
      <c r="E2553" t="s">
        <v>7310</v>
      </c>
      <c r="F2553" t="s">
        <v>8421</v>
      </c>
      <c r="G2553" t="s">
        <v>3890</v>
      </c>
      <c r="H2553" t="s">
        <v>4476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2:30" x14ac:dyDescent="0.25">
      <c r="B2554" t="s">
        <v>133</v>
      </c>
      <c r="C2554" t="s">
        <v>3261</v>
      </c>
      <c r="D2554" t="s">
        <v>7312</v>
      </c>
      <c r="E2554" t="s">
        <v>7313</v>
      </c>
      <c r="F2554" t="s">
        <v>8422</v>
      </c>
      <c r="G2554" t="s">
        <v>3890</v>
      </c>
      <c r="H2554" t="s">
        <v>7078</v>
      </c>
      <c r="J2554">
        <v>1</v>
      </c>
      <c r="K2554">
        <v>6.7626534951170533E-2</v>
      </c>
      <c r="L2554">
        <v>5.8294065004879381E-2</v>
      </c>
      <c r="M2554">
        <v>0.11484730008447896</v>
      </c>
      <c r="N2554">
        <v>0.11227433382692197</v>
      </c>
      <c r="O2554">
        <v>0.11426727401333855</v>
      </c>
      <c r="P2554">
        <v>0.11550867484635895</v>
      </c>
      <c r="Q2554">
        <v>0.11549724374230612</v>
      </c>
      <c r="R2554">
        <v>0.11513366452476173</v>
      </c>
      <c r="S2554">
        <v>0.11478296064603342</v>
      </c>
      <c r="T2554">
        <v>0.11452816874018873</v>
      </c>
      <c r="U2554">
        <v>0.11426763611918908</v>
      </c>
      <c r="V2554">
        <v>0.11401383828958669</v>
      </c>
      <c r="W2554">
        <v>0.11374522936406331</v>
      </c>
      <c r="X2554">
        <v>0.11347019925934979</v>
      </c>
      <c r="Y2554">
        <v>0.1131803404297604</v>
      </c>
      <c r="Z2554">
        <v>0.11288116246095818</v>
      </c>
      <c r="AA2554">
        <v>0.1125687652940196</v>
      </c>
      <c r="AB2554">
        <v>0.11224144752555358</v>
      </c>
      <c r="AC2554">
        <v>0.11189851830031852</v>
      </c>
      <c r="AD2554">
        <v>0.11151715215312023</v>
      </c>
    </row>
    <row r="2555" spans="2:30" x14ac:dyDescent="0.25">
      <c r="B2555" t="s">
        <v>133</v>
      </c>
      <c r="C2555" t="s">
        <v>3261</v>
      </c>
      <c r="D2555" t="s">
        <v>7315</v>
      </c>
      <c r="E2555" t="s">
        <v>7316</v>
      </c>
      <c r="F2555" t="s">
        <v>8423</v>
      </c>
      <c r="G2555" t="s">
        <v>3890</v>
      </c>
      <c r="H2555" t="s">
        <v>7082</v>
      </c>
      <c r="J2555">
        <v>1</v>
      </c>
      <c r="K2555">
        <v>68.708736277</v>
      </c>
      <c r="L2555">
        <v>66.76799770747526</v>
      </c>
      <c r="M2555">
        <v>79.394826027249366</v>
      </c>
      <c r="N2555">
        <v>87.03373454001256</v>
      </c>
      <c r="O2555">
        <v>91.604417560870047</v>
      </c>
      <c r="P2555">
        <v>93.025919588011135</v>
      </c>
      <c r="Q2555">
        <v>95.552063206023107</v>
      </c>
      <c r="R2555">
        <v>98.882857495096403</v>
      </c>
      <c r="S2555">
        <v>102.27455392305374</v>
      </c>
      <c r="T2555">
        <v>105.68916210313284</v>
      </c>
      <c r="U2555">
        <v>109.07109978052702</v>
      </c>
      <c r="V2555">
        <v>112.50825565469347</v>
      </c>
      <c r="W2555">
        <v>115.98849193902825</v>
      </c>
      <c r="X2555">
        <v>119.53311359629578</v>
      </c>
      <c r="Y2555">
        <v>123.13454432304113</v>
      </c>
      <c r="Z2555">
        <v>126.8026773496772</v>
      </c>
      <c r="AA2555">
        <v>130.53281991083355</v>
      </c>
      <c r="AB2555">
        <v>134.33070418585973</v>
      </c>
      <c r="AC2555">
        <v>138.20010865873985</v>
      </c>
      <c r="AD2555">
        <v>142.14395365527432</v>
      </c>
    </row>
    <row r="2556" spans="2:30" x14ac:dyDescent="0.25">
      <c r="B2556" t="s">
        <v>133</v>
      </c>
      <c r="C2556" t="s">
        <v>3261</v>
      </c>
      <c r="D2556" t="s">
        <v>7318</v>
      </c>
      <c r="E2556" t="s">
        <v>7319</v>
      </c>
      <c r="F2556" t="s">
        <v>8424</v>
      </c>
      <c r="G2556" t="s">
        <v>3890</v>
      </c>
      <c r="H2556" t="s">
        <v>7086</v>
      </c>
      <c r="J2556">
        <v>1</v>
      </c>
      <c r="K2556">
        <v>0</v>
      </c>
      <c r="L2556">
        <v>0</v>
      </c>
      <c r="M2556">
        <v>4.3781221912755166</v>
      </c>
      <c r="N2556">
        <v>4.7993596515776975</v>
      </c>
      <c r="O2556">
        <v>5.0514038938062065</v>
      </c>
      <c r="P2556">
        <v>5.1297907343773232</v>
      </c>
      <c r="Q2556">
        <v>5.2690915677662815</v>
      </c>
      <c r="R2556">
        <v>5.4527637932909094</v>
      </c>
      <c r="S2556">
        <v>5.6397943863450903</v>
      </c>
      <c r="T2556">
        <v>5.8280884175277308</v>
      </c>
      <c r="U2556">
        <v>6.0145808772483234</v>
      </c>
      <c r="V2556">
        <v>6.2041182710628311</v>
      </c>
      <c r="W2556">
        <v>6.3960312768561662</v>
      </c>
      <c r="X2556">
        <v>6.5914947284925809</v>
      </c>
      <c r="Y2556">
        <v>6.7900908407845035</v>
      </c>
      <c r="Z2556">
        <v>6.9923651627781584</v>
      </c>
      <c r="AA2556">
        <v>7.1980589181623555</v>
      </c>
      <c r="AB2556">
        <v>7.4074882003511169</v>
      </c>
      <c r="AC2556">
        <v>7.6208613688233662</v>
      </c>
      <c r="AD2556">
        <v>7.8383394610651997</v>
      </c>
    </row>
    <row r="2557" spans="2:30" x14ac:dyDescent="0.25">
      <c r="B2557" t="s">
        <v>133</v>
      </c>
      <c r="C2557" t="s">
        <v>3261</v>
      </c>
      <c r="D2557" t="s">
        <v>7321</v>
      </c>
      <c r="E2557" t="s">
        <v>7322</v>
      </c>
      <c r="F2557" t="s">
        <v>8425</v>
      </c>
      <c r="G2557" t="s">
        <v>3890</v>
      </c>
      <c r="H2557" t="s">
        <v>7090</v>
      </c>
      <c r="J2557">
        <v>1</v>
      </c>
      <c r="K2557">
        <v>0.42863155785289786</v>
      </c>
      <c r="L2557">
        <v>0.39323252995311531</v>
      </c>
      <c r="M2557">
        <v>1.1197889450762379</v>
      </c>
      <c r="N2557">
        <v>1.200027753713045</v>
      </c>
      <c r="O2557">
        <v>1.2854685890495015</v>
      </c>
      <c r="P2557">
        <v>1.319598331330277</v>
      </c>
      <c r="Q2557">
        <v>1.3552982375316496</v>
      </c>
      <c r="R2557">
        <v>1.3981266700812593</v>
      </c>
      <c r="S2557">
        <v>1.4416777664260272</v>
      </c>
      <c r="T2557">
        <v>1.4865035673596028</v>
      </c>
      <c r="U2557">
        <v>1.5305803015067934</v>
      </c>
      <c r="V2557">
        <v>1.5753067800912963</v>
      </c>
      <c r="W2557">
        <v>1.6202098830592295</v>
      </c>
      <c r="X2557">
        <v>1.6656863776321973</v>
      </c>
      <c r="Y2557">
        <v>1.7114889037897638</v>
      </c>
      <c r="Z2557">
        <v>1.7578146553816423</v>
      </c>
      <c r="AA2557">
        <v>1.8045162907712995</v>
      </c>
      <c r="AB2557">
        <v>1.8516194525374541</v>
      </c>
      <c r="AC2557">
        <v>1.8991352932454755</v>
      </c>
      <c r="AD2557">
        <v>1.9466740763499841</v>
      </c>
    </row>
    <row r="2558" spans="2:30" x14ac:dyDescent="0.25">
      <c r="B2558" t="s">
        <v>133</v>
      </c>
      <c r="C2558" t="s">
        <v>3261</v>
      </c>
      <c r="D2558" t="s">
        <v>7324</v>
      </c>
      <c r="E2558" t="s">
        <v>7325</v>
      </c>
      <c r="F2558" t="s">
        <v>8426</v>
      </c>
      <c r="G2558" t="s">
        <v>3890</v>
      </c>
      <c r="H2558" t="s">
        <v>7212</v>
      </c>
      <c r="J2558">
        <v>1</v>
      </c>
      <c r="K2558">
        <v>6.1889964460773897E-2</v>
      </c>
      <c r="L2558">
        <v>0.85484887846197788</v>
      </c>
      <c r="M2558">
        <v>0.77837412984309851</v>
      </c>
      <c r="N2558">
        <v>0.68377147013993522</v>
      </c>
      <c r="O2558">
        <v>0.71005171916045995</v>
      </c>
      <c r="P2558">
        <v>0.67043581040015743</v>
      </c>
      <c r="Q2558">
        <v>0.65953683215986669</v>
      </c>
      <c r="R2558">
        <v>0.6540428633113976</v>
      </c>
      <c r="S2558">
        <v>0.64923835336346858</v>
      </c>
      <c r="T2558">
        <v>0.64401869609655971</v>
      </c>
      <c r="U2558">
        <v>0.64401869609655971</v>
      </c>
      <c r="V2558">
        <v>0.64401869609655971</v>
      </c>
      <c r="W2558">
        <v>0.64401869609655971</v>
      </c>
      <c r="X2558">
        <v>0.64401869609655971</v>
      </c>
      <c r="Y2558">
        <v>0.64401869609655971</v>
      </c>
      <c r="Z2558">
        <v>0.64401869609655971</v>
      </c>
      <c r="AA2558">
        <v>0.64401869609655971</v>
      </c>
      <c r="AB2558">
        <v>0.64401869609655971</v>
      </c>
      <c r="AC2558">
        <v>0.64401869609655971</v>
      </c>
      <c r="AD2558">
        <v>0.64401869609655971</v>
      </c>
    </row>
    <row r="2559" spans="2:30" x14ac:dyDescent="0.25">
      <c r="B2559" t="s">
        <v>133</v>
      </c>
      <c r="C2559" t="s">
        <v>3261</v>
      </c>
      <c r="D2559" t="s">
        <v>7327</v>
      </c>
      <c r="E2559" t="s">
        <v>7328</v>
      </c>
      <c r="F2559" t="s">
        <v>8427</v>
      </c>
      <c r="G2559" t="s">
        <v>3890</v>
      </c>
      <c r="H2559" t="s">
        <v>5985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2:30" x14ac:dyDescent="0.25">
      <c r="B2560" t="s">
        <v>133</v>
      </c>
      <c r="C2560" t="s">
        <v>3261</v>
      </c>
      <c r="D2560" t="s">
        <v>7330</v>
      </c>
      <c r="E2560" t="s">
        <v>7331</v>
      </c>
      <c r="F2560" t="s">
        <v>8428</v>
      </c>
      <c r="G2560" t="s">
        <v>3890</v>
      </c>
      <c r="H2560" t="s">
        <v>4476</v>
      </c>
      <c r="J2560">
        <v>1</v>
      </c>
      <c r="K2560">
        <v>3.3856610678590225E-3</v>
      </c>
      <c r="L2560">
        <v>0.11967884298467692</v>
      </c>
      <c r="M2560">
        <v>0.1089723781780338</v>
      </c>
      <c r="N2560">
        <v>9.5728005819590942E-2</v>
      </c>
      <c r="O2560">
        <v>9.9407240682464398E-2</v>
      </c>
      <c r="P2560">
        <v>9.3861013456022047E-2</v>
      </c>
      <c r="Q2560">
        <v>9.2335156502381346E-2</v>
      </c>
      <c r="R2560">
        <v>9.1566000863595676E-2</v>
      </c>
      <c r="S2560">
        <v>9.089336947088561E-2</v>
      </c>
      <c r="T2560">
        <v>9.0162617453518362E-2</v>
      </c>
      <c r="U2560">
        <v>9.0162617453518362E-2</v>
      </c>
      <c r="V2560">
        <v>9.0162617453518362E-2</v>
      </c>
      <c r="W2560">
        <v>9.0162617453518362E-2</v>
      </c>
      <c r="X2560">
        <v>9.0162617453518362E-2</v>
      </c>
      <c r="Y2560">
        <v>9.0162617453518362E-2</v>
      </c>
      <c r="Z2560">
        <v>9.0162617453518362E-2</v>
      </c>
      <c r="AA2560">
        <v>9.0162617453518362E-2</v>
      </c>
      <c r="AB2560">
        <v>9.0162617453518362E-2</v>
      </c>
      <c r="AC2560">
        <v>9.0162617453518362E-2</v>
      </c>
      <c r="AD2560">
        <v>9.0162617453518362E-2</v>
      </c>
    </row>
    <row r="2561" spans="2:30" x14ac:dyDescent="0.25">
      <c r="B2561" t="s">
        <v>133</v>
      </c>
      <c r="C2561" t="s">
        <v>3261</v>
      </c>
      <c r="D2561" t="s">
        <v>7333</v>
      </c>
      <c r="E2561" t="s">
        <v>7334</v>
      </c>
      <c r="F2561" t="s">
        <v>8429</v>
      </c>
      <c r="G2561" t="s">
        <v>3890</v>
      </c>
      <c r="H2561" t="s">
        <v>7078</v>
      </c>
      <c r="J2561">
        <v>1</v>
      </c>
      <c r="K2561">
        <v>6.5275625528632919E-2</v>
      </c>
      <c r="L2561">
        <v>0.97452772144665478</v>
      </c>
      <c r="M2561">
        <v>0.88734650802113235</v>
      </c>
      <c r="N2561">
        <v>0.77949947595952618</v>
      </c>
      <c r="O2561">
        <v>0.80945895984292437</v>
      </c>
      <c r="P2561">
        <v>0.76429682385617947</v>
      </c>
      <c r="Q2561">
        <v>0.75187198866224803</v>
      </c>
      <c r="R2561">
        <v>0.74560886417499328</v>
      </c>
      <c r="S2561">
        <v>0.74013172283435424</v>
      </c>
      <c r="T2561">
        <v>0.7341813135500781</v>
      </c>
      <c r="U2561">
        <v>0.7341813135500781</v>
      </c>
      <c r="V2561">
        <v>0.7341813135500781</v>
      </c>
      <c r="W2561">
        <v>0.7341813135500781</v>
      </c>
      <c r="X2561">
        <v>0.7341813135500781</v>
      </c>
      <c r="Y2561">
        <v>0.7341813135500781</v>
      </c>
      <c r="Z2561">
        <v>0.7341813135500781</v>
      </c>
      <c r="AA2561">
        <v>0.7341813135500781</v>
      </c>
      <c r="AB2561">
        <v>0.7341813135500781</v>
      </c>
      <c r="AC2561">
        <v>0.7341813135500781</v>
      </c>
      <c r="AD2561">
        <v>0.7341813135500781</v>
      </c>
    </row>
    <row r="2562" spans="2:30" x14ac:dyDescent="0.25">
      <c r="B2562" t="s">
        <v>133</v>
      </c>
      <c r="C2562" t="s">
        <v>3261</v>
      </c>
      <c r="D2562" t="s">
        <v>7336</v>
      </c>
      <c r="E2562" t="s">
        <v>7337</v>
      </c>
      <c r="F2562" t="s">
        <v>8430</v>
      </c>
      <c r="G2562" t="s">
        <v>3890</v>
      </c>
      <c r="H2562" t="s">
        <v>7160</v>
      </c>
      <c r="J2562">
        <v>1</v>
      </c>
      <c r="K2562">
        <v>6.2734904097379335E-2</v>
      </c>
      <c r="L2562">
        <v>0.41050214342490893</v>
      </c>
      <c r="M2562">
        <v>0.33510384881528493</v>
      </c>
      <c r="N2562">
        <v>0.33510384881528493</v>
      </c>
      <c r="O2562">
        <v>0.33510384881528493</v>
      </c>
      <c r="P2562">
        <v>0.33510384881528493</v>
      </c>
      <c r="Q2562">
        <v>0.33510384881528493</v>
      </c>
      <c r="R2562">
        <v>0.33510384881528493</v>
      </c>
      <c r="S2562">
        <v>0.33510384881528493</v>
      </c>
      <c r="T2562">
        <v>0.33510384881528493</v>
      </c>
      <c r="U2562">
        <v>0.33510384881528493</v>
      </c>
      <c r="V2562">
        <v>0.33510384881528493</v>
      </c>
      <c r="W2562">
        <v>0.33510384881528493</v>
      </c>
      <c r="X2562">
        <v>0.33510384881528493</v>
      </c>
      <c r="Y2562">
        <v>0.33510384881528493</v>
      </c>
      <c r="Z2562">
        <v>0.33510384881528493</v>
      </c>
      <c r="AA2562">
        <v>0.33510384881528493</v>
      </c>
      <c r="AB2562">
        <v>0.33510384881528493</v>
      </c>
      <c r="AC2562">
        <v>0.33510384881528493</v>
      </c>
      <c r="AD2562">
        <v>0.33510384881528493</v>
      </c>
    </row>
    <row r="2563" spans="2:30" x14ac:dyDescent="0.25">
      <c r="B2563" t="s">
        <v>133</v>
      </c>
      <c r="C2563" t="s">
        <v>3261</v>
      </c>
      <c r="D2563" t="s">
        <v>7339</v>
      </c>
      <c r="E2563" t="s">
        <v>7340</v>
      </c>
      <c r="F2563" t="s">
        <v>8431</v>
      </c>
      <c r="G2563" t="s">
        <v>3890</v>
      </c>
      <c r="H2563" t="s">
        <v>7082</v>
      </c>
      <c r="J2563">
        <v>1</v>
      </c>
      <c r="K2563">
        <v>0.51585213900000004</v>
      </c>
      <c r="L2563">
        <v>0.50679482500422857</v>
      </c>
      <c r="M2563">
        <v>0.5885357554420465</v>
      </c>
      <c r="N2563">
        <v>0.6574638290207534</v>
      </c>
      <c r="O2563">
        <v>0.72017712053827676</v>
      </c>
      <c r="P2563">
        <v>0.79324380414094009</v>
      </c>
      <c r="Q2563">
        <v>0.92586003424496721</v>
      </c>
      <c r="R2563">
        <v>1.1564081650009717</v>
      </c>
      <c r="S2563">
        <v>1.5761351555737493</v>
      </c>
      <c r="T2563">
        <v>2.3202273347356104</v>
      </c>
      <c r="U2563">
        <v>3.5738509236463418</v>
      </c>
      <c r="V2563">
        <v>5.5955611837361179</v>
      </c>
      <c r="W2563">
        <v>8.5990149435243612</v>
      </c>
      <c r="X2563">
        <v>12.8647237174815</v>
      </c>
      <c r="Y2563">
        <v>18.604588632212099</v>
      </c>
      <c r="Z2563">
        <v>26.143670993130364</v>
      </c>
      <c r="AA2563">
        <v>35.875917082275002</v>
      </c>
      <c r="AB2563">
        <v>48.269128513404802</v>
      </c>
      <c r="AC2563">
        <v>63.713074868623643</v>
      </c>
      <c r="AD2563">
        <v>81.456431390044202</v>
      </c>
    </row>
    <row r="2564" spans="2:30" x14ac:dyDescent="0.25">
      <c r="B2564" t="s">
        <v>133</v>
      </c>
      <c r="C2564" t="s">
        <v>3261</v>
      </c>
      <c r="D2564" t="s">
        <v>7342</v>
      </c>
      <c r="E2564" t="s">
        <v>7343</v>
      </c>
      <c r="F2564" t="s">
        <v>8432</v>
      </c>
      <c r="G2564" t="s">
        <v>3890</v>
      </c>
      <c r="H2564" t="s">
        <v>7086</v>
      </c>
      <c r="J2564">
        <v>1</v>
      </c>
      <c r="K2564">
        <v>0</v>
      </c>
      <c r="L2564">
        <v>0.22519262582431168</v>
      </c>
      <c r="M2564">
        <v>0.26088040970971249</v>
      </c>
      <c r="N2564">
        <v>0.22923634937166268</v>
      </c>
      <c r="O2564">
        <v>0.27002887761714728</v>
      </c>
      <c r="P2564">
        <v>0.26600000085762782</v>
      </c>
      <c r="Q2564">
        <v>0.30037953306961135</v>
      </c>
      <c r="R2564">
        <v>0.36882368050066794</v>
      </c>
      <c r="S2564">
        <v>0.49511843619713408</v>
      </c>
      <c r="T2564">
        <v>0.71675267276769028</v>
      </c>
      <c r="U2564">
        <v>1.1040156122842524</v>
      </c>
      <c r="V2564">
        <v>1.728551928526872</v>
      </c>
      <c r="W2564">
        <v>2.6563633880482276</v>
      </c>
      <c r="X2564">
        <v>3.9741041625015909</v>
      </c>
      <c r="Y2564">
        <v>5.7472336560507413</v>
      </c>
      <c r="Z2564">
        <v>8.0761681322147592</v>
      </c>
      <c r="AA2564">
        <v>11.08260344654666</v>
      </c>
      <c r="AB2564">
        <v>14.91105046311867</v>
      </c>
      <c r="AC2564">
        <v>19.681914792861299</v>
      </c>
      <c r="AD2564">
        <v>25.163101062933141</v>
      </c>
    </row>
    <row r="2565" spans="2:30" x14ac:dyDescent="0.25">
      <c r="B2565" t="s">
        <v>133</v>
      </c>
      <c r="C2565" t="s">
        <v>3261</v>
      </c>
      <c r="D2565" t="s">
        <v>7345</v>
      </c>
      <c r="E2565" t="s">
        <v>7346</v>
      </c>
      <c r="F2565" t="s">
        <v>8433</v>
      </c>
      <c r="G2565" t="s">
        <v>3890</v>
      </c>
      <c r="H2565" t="s">
        <v>7090</v>
      </c>
      <c r="J2565">
        <v>1</v>
      </c>
      <c r="K2565">
        <v>1.310636584915303E-3</v>
      </c>
      <c r="L2565">
        <v>6.0652618287127875E-2</v>
      </c>
      <c r="M2565">
        <v>6.4134140913325532E-2</v>
      </c>
      <c r="N2565">
        <v>6.2937701250669234E-2</v>
      </c>
      <c r="O2565">
        <v>7.1590820355352677E-2</v>
      </c>
      <c r="P2565">
        <v>7.4454667374378891E-2</v>
      </c>
      <c r="Q2565">
        <v>8.5489431161309193E-2</v>
      </c>
      <c r="R2565">
        <v>0.10588767103514807</v>
      </c>
      <c r="S2565">
        <v>0.14326023503161664</v>
      </c>
      <c r="T2565">
        <v>0.2091977695869634</v>
      </c>
      <c r="U2565">
        <v>0.32222775366462847</v>
      </c>
      <c r="V2565">
        <v>0.50451044244695609</v>
      </c>
      <c r="W2565">
        <v>0.77530969483007506</v>
      </c>
      <c r="X2565">
        <v>1.1599171631844893</v>
      </c>
      <c r="Y2565">
        <v>1.6774384077262166</v>
      </c>
      <c r="Z2565">
        <v>2.3571818065842582</v>
      </c>
      <c r="AA2565">
        <v>3.2346665876833067</v>
      </c>
      <c r="AB2565">
        <v>4.3520709689688335</v>
      </c>
      <c r="AC2565">
        <v>5.7445375961670901</v>
      </c>
      <c r="AD2565">
        <v>7.3443250625493226</v>
      </c>
    </row>
    <row r="2566" spans="2:30" x14ac:dyDescent="0.25">
      <c r="B2566" t="s">
        <v>133</v>
      </c>
      <c r="C2566" t="s">
        <v>3261</v>
      </c>
      <c r="D2566" t="s">
        <v>7348</v>
      </c>
      <c r="E2566" t="s">
        <v>7349</v>
      </c>
      <c r="F2566" t="s">
        <v>8434</v>
      </c>
      <c r="G2566" t="s">
        <v>3890</v>
      </c>
      <c r="H2566" t="s">
        <v>7086</v>
      </c>
      <c r="J2566">
        <v>1</v>
      </c>
      <c r="K2566">
        <v>38.65236853362601</v>
      </c>
      <c r="L2566">
        <v>33.805636575453228</v>
      </c>
      <c r="M2566">
        <v>46.099978575792285</v>
      </c>
      <c r="N2566">
        <v>44.718793110056261</v>
      </c>
      <c r="O2566">
        <v>47.042747668612506</v>
      </c>
      <c r="P2566">
        <v>46.104613073217116</v>
      </c>
      <c r="Q2566">
        <v>47.041445301800941</v>
      </c>
      <c r="R2566">
        <v>48.603608564181741</v>
      </c>
      <c r="S2566">
        <v>50.402958124318872</v>
      </c>
      <c r="T2566">
        <v>52.444816914424159</v>
      </c>
      <c r="U2566">
        <v>55.087355347882706</v>
      </c>
      <c r="V2566">
        <v>58.109603225046982</v>
      </c>
      <c r="W2566">
        <v>61.561287897522391</v>
      </c>
      <c r="X2566">
        <v>65.543253757733552</v>
      </c>
      <c r="Y2566">
        <v>70.114587810061238</v>
      </c>
      <c r="Z2566">
        <v>75.400633512770455</v>
      </c>
      <c r="AA2566">
        <v>81.532309466502454</v>
      </c>
      <c r="AB2566">
        <v>88.671730351793286</v>
      </c>
      <c r="AC2566">
        <v>96.960122643475302</v>
      </c>
      <c r="AD2566">
        <v>106.04272412234911</v>
      </c>
    </row>
    <row r="2567" spans="2:30" x14ac:dyDescent="0.25">
      <c r="B2567" t="s">
        <v>133</v>
      </c>
      <c r="C2567" t="s">
        <v>3261</v>
      </c>
      <c r="D2567" t="s">
        <v>7351</v>
      </c>
      <c r="E2567" t="s">
        <v>7352</v>
      </c>
      <c r="F2567" t="s">
        <v>8435</v>
      </c>
      <c r="G2567" t="s">
        <v>3890</v>
      </c>
      <c r="H2567" t="s">
        <v>7090</v>
      </c>
      <c r="J2567">
        <v>1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  <c r="W2567" t="e">
        <v>#N/A</v>
      </c>
      <c r="X2567" t="e">
        <v>#N/A</v>
      </c>
      <c r="Y2567" t="e">
        <v>#N/A</v>
      </c>
      <c r="Z2567" t="e">
        <v>#N/A</v>
      </c>
      <c r="AA2567" t="e">
        <v>#N/A</v>
      </c>
      <c r="AB2567" t="e">
        <v>#N/A</v>
      </c>
      <c r="AC2567" t="e">
        <v>#N/A</v>
      </c>
      <c r="AD2567" t="e">
        <v>#N/A</v>
      </c>
    </row>
    <row r="2568" spans="2:30" x14ac:dyDescent="0.25">
      <c r="B2568" t="s">
        <v>133</v>
      </c>
      <c r="C2568" t="s">
        <v>3261</v>
      </c>
      <c r="D2568" t="s">
        <v>7348</v>
      </c>
      <c r="E2568" t="s">
        <v>7354</v>
      </c>
      <c r="F2568" t="s">
        <v>8436</v>
      </c>
      <c r="G2568" t="s">
        <v>3890</v>
      </c>
      <c r="H2568" t="s">
        <v>7086</v>
      </c>
      <c r="J2568">
        <v>1</v>
      </c>
      <c r="K2568">
        <v>7.5366475799184818E-2</v>
      </c>
      <c r="L2568">
        <v>6.1805180284320277E-2</v>
      </c>
      <c r="M2568">
        <v>8.122792209540465E-2</v>
      </c>
      <c r="N2568">
        <v>7.6948440538852261E-2</v>
      </c>
      <c r="O2568">
        <v>7.7541393329836825E-2</v>
      </c>
      <c r="P2568">
        <v>7.2904128756297343E-2</v>
      </c>
      <c r="Q2568">
        <v>7.0958765800450394E-2</v>
      </c>
      <c r="R2568">
        <v>6.9469807630689343E-2</v>
      </c>
      <c r="S2568">
        <v>6.8463334033280573E-2</v>
      </c>
      <c r="T2568">
        <v>6.7946924659750926E-2</v>
      </c>
      <c r="U2568">
        <v>6.8109007654107892E-2</v>
      </c>
      <c r="V2568">
        <v>6.8597175725227943E-2</v>
      </c>
      <c r="W2568">
        <v>6.9421201718517886E-2</v>
      </c>
      <c r="X2568">
        <v>7.0641360333673228E-2</v>
      </c>
      <c r="Y2568">
        <v>7.2261454904571643E-2</v>
      </c>
      <c r="Z2568">
        <v>7.4346634849882062E-2</v>
      </c>
      <c r="AA2568">
        <v>7.6952888802981206E-2</v>
      </c>
      <c r="AB2568">
        <v>8.0151231518333102E-2</v>
      </c>
      <c r="AC2568">
        <v>8.3978688413020378E-2</v>
      </c>
      <c r="AD2568">
        <v>8.8049910195196451E-2</v>
      </c>
    </row>
    <row r="2569" spans="2:30" x14ac:dyDescent="0.25">
      <c r="B2569" t="s">
        <v>133</v>
      </c>
      <c r="C2569" t="s">
        <v>3261</v>
      </c>
      <c r="D2569" t="s">
        <v>7351</v>
      </c>
      <c r="E2569" t="s">
        <v>7356</v>
      </c>
      <c r="F2569" t="s">
        <v>8437</v>
      </c>
      <c r="G2569" t="s">
        <v>3890</v>
      </c>
      <c r="H2569" t="s">
        <v>7090</v>
      </c>
      <c r="J2569">
        <v>1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  <c r="W2569" t="e">
        <v>#N/A</v>
      </c>
      <c r="X2569" t="e">
        <v>#N/A</v>
      </c>
      <c r="Y2569" t="e">
        <v>#N/A</v>
      </c>
      <c r="Z2569" t="e">
        <v>#N/A</v>
      </c>
      <c r="AA2569" t="e">
        <v>#N/A</v>
      </c>
      <c r="AB2569" t="e">
        <v>#N/A</v>
      </c>
      <c r="AC2569" t="e">
        <v>#N/A</v>
      </c>
      <c r="AD2569" t="e">
        <v>#N/A</v>
      </c>
    </row>
    <row r="2570" spans="2:30" x14ac:dyDescent="0.25">
      <c r="B2570" t="s">
        <v>133</v>
      </c>
      <c r="C2570" t="s">
        <v>3263</v>
      </c>
      <c r="D2570" t="s">
        <v>3887</v>
      </c>
      <c r="E2570" t="s">
        <v>3888</v>
      </c>
      <c r="F2570" t="s">
        <v>8438</v>
      </c>
      <c r="G2570" t="s">
        <v>3890</v>
      </c>
      <c r="H2570" t="s">
        <v>3891</v>
      </c>
      <c r="I2570" t="s">
        <v>3892</v>
      </c>
      <c r="J2570">
        <v>2</v>
      </c>
      <c r="K2570">
        <v>0</v>
      </c>
      <c r="L2570">
        <v>0</v>
      </c>
      <c r="M2570">
        <v>0</v>
      </c>
      <c r="N2570">
        <v>0</v>
      </c>
      <c r="O2570">
        <v>0.17963999999999999</v>
      </c>
      <c r="P2570">
        <v>0.17704</v>
      </c>
      <c r="Q2570">
        <v>0.17330000000000001</v>
      </c>
      <c r="R2570">
        <v>0.16961000000000001</v>
      </c>
      <c r="S2570">
        <v>0.16547000000000001</v>
      </c>
      <c r="T2570">
        <v>0.16109000000000001</v>
      </c>
      <c r="U2570">
        <v>0.15684000000000001</v>
      </c>
      <c r="V2570">
        <v>0.15256</v>
      </c>
      <c r="W2570">
        <v>0.14832000000000001</v>
      </c>
      <c r="X2570">
        <v>0.14412</v>
      </c>
      <c r="Y2570">
        <v>0.13997999999999999</v>
      </c>
      <c r="Z2570">
        <v>0.13585</v>
      </c>
      <c r="AA2570">
        <v>0.13173000000000001</v>
      </c>
      <c r="AB2570">
        <v>0.12756000000000001</v>
      </c>
      <c r="AC2570">
        <v>0.1235</v>
      </c>
      <c r="AD2570">
        <v>0.11978</v>
      </c>
    </row>
    <row r="2571" spans="2:30" x14ac:dyDescent="0.25">
      <c r="B2571" t="s">
        <v>133</v>
      </c>
      <c r="C2571" t="s">
        <v>3263</v>
      </c>
      <c r="D2571" t="s">
        <v>3364</v>
      </c>
      <c r="E2571" t="s">
        <v>1403</v>
      </c>
      <c r="F2571" t="s">
        <v>8439</v>
      </c>
      <c r="G2571" t="s">
        <v>3890</v>
      </c>
      <c r="H2571" t="s">
        <v>1397</v>
      </c>
      <c r="I2571" t="s">
        <v>3894</v>
      </c>
      <c r="J2571">
        <v>2</v>
      </c>
      <c r="K2571">
        <v>0</v>
      </c>
      <c r="L2571">
        <v>0</v>
      </c>
      <c r="M2571">
        <v>0</v>
      </c>
      <c r="N2571">
        <v>0</v>
      </c>
      <c r="O2571">
        <v>10</v>
      </c>
      <c r="P2571">
        <v>14</v>
      </c>
      <c r="Q2571">
        <v>18</v>
      </c>
      <c r="R2571">
        <v>22</v>
      </c>
      <c r="S2571">
        <v>26</v>
      </c>
      <c r="T2571">
        <v>30</v>
      </c>
      <c r="U2571">
        <v>34</v>
      </c>
      <c r="V2571">
        <v>38</v>
      </c>
      <c r="W2571">
        <v>42</v>
      </c>
      <c r="X2571">
        <v>46</v>
      </c>
      <c r="Y2571">
        <v>50</v>
      </c>
      <c r="Z2571">
        <v>54</v>
      </c>
      <c r="AA2571">
        <v>58</v>
      </c>
      <c r="AB2571">
        <v>62</v>
      </c>
      <c r="AC2571">
        <v>66</v>
      </c>
      <c r="AD2571">
        <v>70</v>
      </c>
    </row>
    <row r="2572" spans="2:30" x14ac:dyDescent="0.25">
      <c r="B2572" t="s">
        <v>133</v>
      </c>
      <c r="C2572" t="s">
        <v>3263</v>
      </c>
      <c r="D2572" t="s">
        <v>3369</v>
      </c>
      <c r="E2572" t="s">
        <v>3370</v>
      </c>
      <c r="F2572" t="s">
        <v>8440</v>
      </c>
      <c r="G2572" t="s">
        <v>3890</v>
      </c>
      <c r="H2572" t="s">
        <v>3896</v>
      </c>
      <c r="I2572" t="s">
        <v>3894</v>
      </c>
      <c r="J2572">
        <v>2</v>
      </c>
      <c r="K2572">
        <v>0</v>
      </c>
      <c r="L2572">
        <v>0</v>
      </c>
      <c r="M2572">
        <v>0</v>
      </c>
      <c r="N2572">
        <v>0</v>
      </c>
      <c r="O2572">
        <v>1.796</v>
      </c>
      <c r="P2572">
        <v>2.4790000000000001</v>
      </c>
      <c r="Q2572">
        <v>3.1190000000000002</v>
      </c>
      <c r="R2572">
        <v>3.7309999999999999</v>
      </c>
      <c r="S2572">
        <v>4.3019999999999996</v>
      </c>
      <c r="T2572">
        <v>4.8330000000000002</v>
      </c>
      <c r="U2572">
        <v>5.3330000000000002</v>
      </c>
      <c r="V2572">
        <v>5.7969999999999997</v>
      </c>
      <c r="W2572">
        <v>6.23</v>
      </c>
      <c r="X2572">
        <v>6.6289999999999996</v>
      </c>
      <c r="Y2572">
        <v>6.9989999999999997</v>
      </c>
      <c r="Z2572">
        <v>7.3360000000000003</v>
      </c>
      <c r="AA2572">
        <v>7.64</v>
      </c>
      <c r="AB2572">
        <v>7.9080000000000004</v>
      </c>
      <c r="AC2572">
        <v>8.1509999999999998</v>
      </c>
      <c r="AD2572">
        <v>8.3849999999999998</v>
      </c>
    </row>
    <row r="2573" spans="2:30" x14ac:dyDescent="0.25">
      <c r="B2573" t="s">
        <v>133</v>
      </c>
      <c r="C2573" t="s">
        <v>3263</v>
      </c>
      <c r="D2573" t="s">
        <v>3897</v>
      </c>
      <c r="E2573" t="s">
        <v>1404</v>
      </c>
      <c r="F2573" t="s">
        <v>8441</v>
      </c>
      <c r="G2573" t="s">
        <v>3890</v>
      </c>
      <c r="H2573" t="s">
        <v>1401</v>
      </c>
      <c r="I2573" t="s">
        <v>3894</v>
      </c>
      <c r="J2573">
        <v>2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2:30" x14ac:dyDescent="0.25">
      <c r="B2574" t="s">
        <v>133</v>
      </c>
      <c r="C2574" t="s">
        <v>3263</v>
      </c>
      <c r="D2574" t="s">
        <v>3899</v>
      </c>
      <c r="E2574" t="s">
        <v>3900</v>
      </c>
      <c r="F2574" t="s">
        <v>8442</v>
      </c>
      <c r="G2574" t="s">
        <v>3890</v>
      </c>
      <c r="H2574" t="s">
        <v>3891</v>
      </c>
      <c r="I2574" t="s">
        <v>3892</v>
      </c>
      <c r="J2574">
        <v>2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2:30" x14ac:dyDescent="0.25">
      <c r="B2575" t="s">
        <v>133</v>
      </c>
      <c r="C2575" t="s">
        <v>3263</v>
      </c>
      <c r="D2575" t="s">
        <v>3902</v>
      </c>
      <c r="E2575" t="s">
        <v>3903</v>
      </c>
      <c r="F2575" t="s">
        <v>8443</v>
      </c>
      <c r="G2575" t="s">
        <v>3890</v>
      </c>
      <c r="H2575" t="s">
        <v>3891</v>
      </c>
      <c r="I2575" t="s">
        <v>3892</v>
      </c>
      <c r="J2575">
        <v>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2:30" x14ac:dyDescent="0.25">
      <c r="B2576" t="s">
        <v>133</v>
      </c>
      <c r="C2576" t="s">
        <v>3263</v>
      </c>
      <c r="D2576" t="s">
        <v>3905</v>
      </c>
      <c r="E2576" t="s">
        <v>3906</v>
      </c>
      <c r="F2576" t="s">
        <v>8444</v>
      </c>
      <c r="G2576" t="s">
        <v>3890</v>
      </c>
      <c r="H2576" t="s">
        <v>3891</v>
      </c>
      <c r="I2576" t="s">
        <v>3892</v>
      </c>
      <c r="J2576">
        <v>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2:30" x14ac:dyDescent="0.25">
      <c r="B2577" t="s">
        <v>133</v>
      </c>
      <c r="C2577" t="s">
        <v>3263</v>
      </c>
      <c r="D2577" t="s">
        <v>3908</v>
      </c>
      <c r="E2577" t="s">
        <v>3909</v>
      </c>
      <c r="F2577" t="s">
        <v>8445</v>
      </c>
      <c r="G2577" t="s">
        <v>3890</v>
      </c>
      <c r="H2577" t="s">
        <v>3891</v>
      </c>
      <c r="I2577" t="s">
        <v>3892</v>
      </c>
      <c r="J2577">
        <v>2</v>
      </c>
      <c r="K2577">
        <v>0</v>
      </c>
      <c r="L2577">
        <v>0</v>
      </c>
      <c r="M2577">
        <v>0</v>
      </c>
      <c r="N2577">
        <v>0</v>
      </c>
      <c r="O2577">
        <v>0.17963999999999999</v>
      </c>
      <c r="P2577">
        <v>0.17704</v>
      </c>
      <c r="Q2577">
        <v>0.17330000000000001</v>
      </c>
      <c r="R2577">
        <v>0.16961000000000001</v>
      </c>
      <c r="S2577">
        <v>0.16547000000000001</v>
      </c>
      <c r="T2577">
        <v>0.16109000000000001</v>
      </c>
      <c r="U2577">
        <v>0.15684000000000001</v>
      </c>
      <c r="V2577">
        <v>0.15256</v>
      </c>
      <c r="W2577">
        <v>0.14832000000000001</v>
      </c>
      <c r="X2577">
        <v>0.14412</v>
      </c>
      <c r="Y2577">
        <v>0.13997999999999999</v>
      </c>
      <c r="Z2577">
        <v>0.13585</v>
      </c>
      <c r="AA2577">
        <v>0.13173000000000001</v>
      </c>
      <c r="AB2577">
        <v>0.12756000000000001</v>
      </c>
      <c r="AC2577">
        <v>0.1235</v>
      </c>
      <c r="AD2577">
        <v>0.11978</v>
      </c>
    </row>
    <row r="2578" spans="2:30" x14ac:dyDescent="0.25">
      <c r="B2578" t="s">
        <v>133</v>
      </c>
      <c r="C2578" t="s">
        <v>3263</v>
      </c>
      <c r="D2578" t="s">
        <v>3911</v>
      </c>
      <c r="E2578" t="s">
        <v>3912</v>
      </c>
      <c r="F2578" t="s">
        <v>8446</v>
      </c>
      <c r="G2578" t="s">
        <v>3890</v>
      </c>
      <c r="H2578" t="s">
        <v>3891</v>
      </c>
      <c r="I2578" t="s">
        <v>3892</v>
      </c>
      <c r="J2578">
        <v>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2:30" x14ac:dyDescent="0.25">
      <c r="B2579" t="s">
        <v>133</v>
      </c>
      <c r="C2579" t="s">
        <v>3263</v>
      </c>
      <c r="D2579" t="s">
        <v>3914</v>
      </c>
      <c r="E2579" t="s">
        <v>3915</v>
      </c>
      <c r="F2579" t="s">
        <v>8447</v>
      </c>
      <c r="G2579" t="s">
        <v>3890</v>
      </c>
      <c r="H2579" t="s">
        <v>3917</v>
      </c>
      <c r="I2579" t="s">
        <v>3892</v>
      </c>
      <c r="J2579">
        <v>2</v>
      </c>
      <c r="K2579">
        <v>6.651E-2</v>
      </c>
      <c r="L2579">
        <v>3.7600000000000001E-2</v>
      </c>
      <c r="M2579">
        <v>2.3990000000000001E-2</v>
      </c>
      <c r="N2579">
        <v>4.3920000000000001E-2</v>
      </c>
      <c r="O2579">
        <v>4.24E-2</v>
      </c>
      <c r="P2579">
        <v>4.829E-2</v>
      </c>
      <c r="Q2579">
        <v>5.5350000000000003E-2</v>
      </c>
      <c r="R2579">
        <v>5.2269999999999997E-2</v>
      </c>
      <c r="S2579">
        <v>4.8419999999999998E-2</v>
      </c>
      <c r="T2579">
        <v>4.7890000000000002E-2</v>
      </c>
      <c r="U2579">
        <v>4.7359999999999999E-2</v>
      </c>
      <c r="V2579">
        <v>4.6820000000000001E-2</v>
      </c>
      <c r="W2579">
        <v>4.6289999999999998E-2</v>
      </c>
      <c r="X2579">
        <v>4.5760000000000002E-2</v>
      </c>
      <c r="Y2579">
        <v>4.5229999999999999E-2</v>
      </c>
      <c r="Z2579">
        <v>4.4699999999999997E-2</v>
      </c>
      <c r="AA2579">
        <v>4.4170000000000001E-2</v>
      </c>
      <c r="AB2579">
        <v>4.3639999999999998E-2</v>
      </c>
      <c r="AC2579">
        <v>4.3099999999999999E-2</v>
      </c>
      <c r="AD2579">
        <v>4.2569999999999997E-2</v>
      </c>
    </row>
    <row r="2580" spans="2:30" x14ac:dyDescent="0.25">
      <c r="B2580" t="s">
        <v>133</v>
      </c>
      <c r="C2580" t="s">
        <v>3263</v>
      </c>
      <c r="D2580" t="s">
        <v>3918</v>
      </c>
      <c r="E2580" t="s">
        <v>3919</v>
      </c>
      <c r="F2580" t="s">
        <v>8448</v>
      </c>
      <c r="G2580" t="s">
        <v>3890</v>
      </c>
      <c r="H2580" t="s">
        <v>3917</v>
      </c>
      <c r="I2580" t="s">
        <v>3892</v>
      </c>
      <c r="J2580">
        <v>2</v>
      </c>
      <c r="K2580">
        <v>0</v>
      </c>
      <c r="L2580">
        <v>0</v>
      </c>
      <c r="M2580">
        <v>0</v>
      </c>
      <c r="N2580">
        <v>0</v>
      </c>
      <c r="O2580">
        <v>-8.1999999999999998E-4</v>
      </c>
      <c r="P2580">
        <v>-1.34E-3</v>
      </c>
      <c r="Q2580">
        <v>-1.5499999999999999E-3</v>
      </c>
      <c r="R2580">
        <v>-1.9499999999999999E-3</v>
      </c>
      <c r="S2580">
        <v>-2.2000000000000001E-3</v>
      </c>
      <c r="T2580">
        <v>-2.4299999999999999E-3</v>
      </c>
      <c r="U2580">
        <v>-2.7299999999999998E-3</v>
      </c>
      <c r="V2580">
        <v>-2.96E-3</v>
      </c>
      <c r="W2580">
        <v>-3.14E-3</v>
      </c>
      <c r="X2580">
        <v>-3.3E-3</v>
      </c>
      <c r="Y2580">
        <v>-3.46E-3</v>
      </c>
      <c r="Z2580">
        <v>-3.62E-3</v>
      </c>
      <c r="AA2580">
        <v>-3.7599999999999999E-3</v>
      </c>
      <c r="AB2580">
        <v>-3.8899999999999998E-3</v>
      </c>
      <c r="AC2580">
        <v>-3.6900000000000001E-3</v>
      </c>
      <c r="AD2580">
        <v>-3.3600000000000001E-3</v>
      </c>
    </row>
    <row r="2581" spans="2:30" x14ac:dyDescent="0.25">
      <c r="B2581" t="s">
        <v>133</v>
      </c>
      <c r="C2581" t="s">
        <v>3263</v>
      </c>
      <c r="D2581" t="s">
        <v>3921</v>
      </c>
      <c r="E2581" t="s">
        <v>3922</v>
      </c>
      <c r="F2581" t="s">
        <v>8449</v>
      </c>
      <c r="G2581" t="s">
        <v>3890</v>
      </c>
      <c r="H2581" t="s">
        <v>3917</v>
      </c>
      <c r="I2581" t="s">
        <v>3892</v>
      </c>
      <c r="J2581">
        <v>2</v>
      </c>
      <c r="K2581">
        <v>0</v>
      </c>
      <c r="L2581">
        <v>0</v>
      </c>
      <c r="M2581">
        <v>0</v>
      </c>
      <c r="N2581">
        <v>0</v>
      </c>
      <c r="O2581">
        <v>1.7000000000000001E-4</v>
      </c>
      <c r="P2581">
        <v>2.0000000000000001E-4</v>
      </c>
      <c r="Q2581">
        <v>2.4000000000000001E-4</v>
      </c>
      <c r="R2581">
        <v>2.7999999999999998E-4</v>
      </c>
      <c r="S2581">
        <v>3.3E-4</v>
      </c>
      <c r="T2581">
        <v>3.8000000000000002E-4</v>
      </c>
      <c r="U2581">
        <v>4.2999999999999999E-4</v>
      </c>
      <c r="V2581">
        <v>4.8999999999999998E-4</v>
      </c>
      <c r="W2581">
        <v>5.2999999999999998E-4</v>
      </c>
      <c r="X2581">
        <v>5.8E-4</v>
      </c>
      <c r="Y2581">
        <v>6.2E-4</v>
      </c>
      <c r="Z2581">
        <v>6.6E-4</v>
      </c>
      <c r="AA2581">
        <v>6.9999999999999999E-4</v>
      </c>
      <c r="AB2581">
        <v>7.3999999999999999E-4</v>
      </c>
      <c r="AC2581">
        <v>7.2000000000000005E-4</v>
      </c>
      <c r="AD2581">
        <v>6.9999999999999999E-4</v>
      </c>
    </row>
    <row r="2582" spans="2:30" x14ac:dyDescent="0.25">
      <c r="B2582" t="s">
        <v>133</v>
      </c>
      <c r="C2582" t="s">
        <v>3263</v>
      </c>
      <c r="D2582" t="s">
        <v>3924</v>
      </c>
      <c r="E2582" t="s">
        <v>3925</v>
      </c>
      <c r="F2582" t="s">
        <v>8450</v>
      </c>
      <c r="G2582" t="s">
        <v>3890</v>
      </c>
      <c r="H2582" t="s">
        <v>3917</v>
      </c>
      <c r="I2582" t="s">
        <v>3892</v>
      </c>
      <c r="J2582">
        <v>2</v>
      </c>
      <c r="K2582">
        <v>0</v>
      </c>
      <c r="L2582">
        <v>0</v>
      </c>
      <c r="M2582">
        <v>0</v>
      </c>
      <c r="N2582">
        <v>0</v>
      </c>
      <c r="O2582">
        <v>6.8000000000000005E-4</v>
      </c>
      <c r="P2582">
        <v>8.7000000000000001E-4</v>
      </c>
      <c r="Q2582">
        <v>1.07E-3</v>
      </c>
      <c r="R2582">
        <v>1.25E-3</v>
      </c>
      <c r="S2582">
        <v>1.5200000000000001E-3</v>
      </c>
      <c r="T2582">
        <v>1.81E-3</v>
      </c>
      <c r="U2582">
        <v>2.16E-3</v>
      </c>
      <c r="V2582">
        <v>2.5200000000000001E-3</v>
      </c>
      <c r="W2582">
        <v>3.0000000000000001E-3</v>
      </c>
      <c r="X2582">
        <v>3.4299999999999999E-3</v>
      </c>
      <c r="Y2582">
        <v>3.8999999999999998E-3</v>
      </c>
      <c r="Z2582">
        <v>4.3299999999999996E-3</v>
      </c>
      <c r="AA2582">
        <v>4.7600000000000003E-3</v>
      </c>
      <c r="AB2582">
        <v>5.1999999999999998E-3</v>
      </c>
      <c r="AC2582">
        <v>5.3800000000000002E-3</v>
      </c>
      <c r="AD2582">
        <v>5.5399999999999998E-3</v>
      </c>
    </row>
    <row r="2583" spans="2:30" x14ac:dyDescent="0.25">
      <c r="B2583" t="s">
        <v>133</v>
      </c>
      <c r="C2583" t="s">
        <v>3263</v>
      </c>
      <c r="D2583" t="s">
        <v>3927</v>
      </c>
      <c r="E2583" t="s">
        <v>3928</v>
      </c>
      <c r="F2583" t="s">
        <v>8451</v>
      </c>
      <c r="G2583" t="s">
        <v>3890</v>
      </c>
      <c r="H2583" t="s">
        <v>3917</v>
      </c>
      <c r="I2583" t="s">
        <v>3892</v>
      </c>
      <c r="J2583">
        <v>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2:30" x14ac:dyDescent="0.25">
      <c r="B2584" t="s">
        <v>133</v>
      </c>
      <c r="C2584" t="s">
        <v>3263</v>
      </c>
      <c r="D2584" t="s">
        <v>3930</v>
      </c>
      <c r="E2584" t="s">
        <v>3931</v>
      </c>
      <c r="F2584" t="s">
        <v>8452</v>
      </c>
      <c r="G2584" t="s">
        <v>3890</v>
      </c>
      <c r="H2584" t="s">
        <v>3917</v>
      </c>
      <c r="I2584" t="s">
        <v>3892</v>
      </c>
      <c r="J2584">
        <v>2</v>
      </c>
      <c r="K2584">
        <v>0</v>
      </c>
      <c r="L2584">
        <v>0</v>
      </c>
      <c r="M2584">
        <v>0</v>
      </c>
      <c r="N2584">
        <v>0</v>
      </c>
      <c r="O2584">
        <v>6.9999999999999994E-5</v>
      </c>
      <c r="P2584">
        <v>1.2999999999999999E-4</v>
      </c>
      <c r="Q2584">
        <v>1.9000000000000001E-4</v>
      </c>
      <c r="R2584">
        <v>2.3000000000000001E-4</v>
      </c>
      <c r="S2584">
        <v>2.7E-4</v>
      </c>
      <c r="T2584">
        <v>3.2000000000000003E-4</v>
      </c>
      <c r="U2584">
        <v>3.6999999999999999E-4</v>
      </c>
      <c r="V2584">
        <v>4.0999999999999999E-4</v>
      </c>
      <c r="W2584">
        <v>4.6999999999999999E-4</v>
      </c>
      <c r="X2584">
        <v>5.0000000000000001E-4</v>
      </c>
      <c r="Y2584">
        <v>5.5000000000000003E-4</v>
      </c>
      <c r="Z2584">
        <v>5.9999999999999995E-4</v>
      </c>
      <c r="AA2584">
        <v>6.4000000000000005E-4</v>
      </c>
      <c r="AB2584">
        <v>6.8000000000000005E-4</v>
      </c>
      <c r="AC2584">
        <v>6.8999999999999997E-4</v>
      </c>
      <c r="AD2584">
        <v>6.8999999999999997E-4</v>
      </c>
    </row>
    <row r="2585" spans="2:30" x14ac:dyDescent="0.25">
      <c r="B2585" t="s">
        <v>133</v>
      </c>
      <c r="C2585" t="s">
        <v>3263</v>
      </c>
      <c r="D2585" t="s">
        <v>3933</v>
      </c>
      <c r="E2585" t="s">
        <v>3934</v>
      </c>
      <c r="F2585" t="s">
        <v>8453</v>
      </c>
      <c r="G2585" t="s">
        <v>3890</v>
      </c>
      <c r="H2585" t="s">
        <v>3917</v>
      </c>
      <c r="I2585" t="s">
        <v>3892</v>
      </c>
      <c r="J2585">
        <v>2</v>
      </c>
      <c r="K2585">
        <v>6.651E-2</v>
      </c>
      <c r="L2585">
        <v>3.7600000000000001E-2</v>
      </c>
      <c r="M2585">
        <v>2.3990000000000001E-2</v>
      </c>
      <c r="N2585">
        <v>4.3920000000000001E-2</v>
      </c>
      <c r="O2585">
        <v>4.2499999999999996E-2</v>
      </c>
      <c r="P2585">
        <v>4.8149999999999998E-2</v>
      </c>
      <c r="Q2585">
        <v>5.5300000000000002E-2</v>
      </c>
      <c r="R2585">
        <v>5.2080000000000001E-2</v>
      </c>
      <c r="S2585">
        <v>4.8339999999999994E-2</v>
      </c>
      <c r="T2585">
        <v>4.7969999999999999E-2</v>
      </c>
      <c r="U2585">
        <v>4.7590000000000007E-2</v>
      </c>
      <c r="V2585">
        <v>4.7280000000000003E-2</v>
      </c>
      <c r="W2585">
        <v>4.7150000000000004E-2</v>
      </c>
      <c r="X2585">
        <v>4.6970000000000005E-2</v>
      </c>
      <c r="Y2585">
        <v>4.6840000000000007E-2</v>
      </c>
      <c r="Z2585">
        <v>4.6670000000000003E-2</v>
      </c>
      <c r="AA2585">
        <v>4.6510000000000003E-2</v>
      </c>
      <c r="AB2585">
        <v>4.6369999999999995E-2</v>
      </c>
      <c r="AC2585">
        <v>4.6200000000000005E-2</v>
      </c>
      <c r="AD2585">
        <v>4.6139999999999994E-2</v>
      </c>
    </row>
    <row r="2586" spans="2:30" x14ac:dyDescent="0.25">
      <c r="B2586" t="s">
        <v>133</v>
      </c>
      <c r="C2586" t="s">
        <v>3263</v>
      </c>
      <c r="D2586" t="s">
        <v>3936</v>
      </c>
      <c r="E2586" t="s">
        <v>3437</v>
      </c>
      <c r="F2586" t="s">
        <v>8454</v>
      </c>
      <c r="G2586" t="s">
        <v>3890</v>
      </c>
      <c r="H2586" t="s">
        <v>2308</v>
      </c>
      <c r="I2586" t="s">
        <v>3938</v>
      </c>
      <c r="J2586">
        <v>1</v>
      </c>
      <c r="K2586">
        <v>-31.97</v>
      </c>
      <c r="L2586">
        <v>-26.57</v>
      </c>
      <c r="M2586">
        <v>-38.700000000000003</v>
      </c>
      <c r="N2586">
        <v>-37.520000000000003</v>
      </c>
      <c r="O2586">
        <v>-39.340000000000003</v>
      </c>
      <c r="P2586">
        <v>-38.21</v>
      </c>
      <c r="Q2586">
        <v>-38.520000000000003</v>
      </c>
      <c r="R2586">
        <v>-39.229999999999997</v>
      </c>
      <c r="S2586">
        <v>-39.94</v>
      </c>
      <c r="T2586">
        <v>-40.520000000000003</v>
      </c>
      <c r="U2586">
        <v>-41.25</v>
      </c>
      <c r="V2586">
        <v>-41.92</v>
      </c>
      <c r="W2586">
        <v>-42.48</v>
      </c>
      <c r="X2586">
        <v>-42.9</v>
      </c>
      <c r="Y2586">
        <v>-43.07</v>
      </c>
      <c r="Z2586">
        <v>-43.04</v>
      </c>
      <c r="AA2586">
        <v>-42.79</v>
      </c>
      <c r="AB2586">
        <v>-42.3</v>
      </c>
      <c r="AC2586">
        <v>-41.94</v>
      </c>
      <c r="AD2586">
        <v>-43.65</v>
      </c>
    </row>
    <row r="2587" spans="2:30" x14ac:dyDescent="0.25">
      <c r="B2587" t="s">
        <v>133</v>
      </c>
      <c r="C2587" t="s">
        <v>3263</v>
      </c>
      <c r="D2587" t="s">
        <v>3939</v>
      </c>
      <c r="E2587" t="s">
        <v>3443</v>
      </c>
      <c r="F2587" t="s">
        <v>8455</v>
      </c>
      <c r="G2587" t="s">
        <v>3890</v>
      </c>
      <c r="H2587" t="s">
        <v>2308</v>
      </c>
      <c r="I2587" t="s">
        <v>3938</v>
      </c>
      <c r="J2587">
        <v>2</v>
      </c>
      <c r="K2587">
        <v>-31.97</v>
      </c>
      <c r="L2587">
        <v>-26.57</v>
      </c>
      <c r="M2587">
        <v>-38.700000000000003</v>
      </c>
      <c r="N2587">
        <v>-37.520000000000003</v>
      </c>
      <c r="O2587">
        <v>-37.950000000000003</v>
      </c>
      <c r="P2587">
        <v>-36.51</v>
      </c>
      <c r="Q2587">
        <v>-36.35</v>
      </c>
      <c r="R2587">
        <v>-36.43</v>
      </c>
      <c r="S2587">
        <v>-36.51</v>
      </c>
      <c r="T2587">
        <v>-36.409999999999997</v>
      </c>
      <c r="U2587">
        <v>-36.36</v>
      </c>
      <c r="V2587">
        <v>-36.200000000000003</v>
      </c>
      <c r="W2587">
        <v>-35.9</v>
      </c>
      <c r="X2587">
        <v>-35.44</v>
      </c>
      <c r="Y2587">
        <v>-34.69</v>
      </c>
      <c r="Z2587">
        <v>-33.729999999999997</v>
      </c>
      <c r="AA2587">
        <v>-32.5</v>
      </c>
      <c r="AB2587">
        <v>-31.02</v>
      </c>
      <c r="AC2587">
        <v>-29.6</v>
      </c>
      <c r="AD2587">
        <v>-30.17</v>
      </c>
    </row>
    <row r="2588" spans="2:30" x14ac:dyDescent="0.25">
      <c r="B2588" t="s">
        <v>133</v>
      </c>
      <c r="C2588" t="s">
        <v>3263</v>
      </c>
      <c r="D2588" t="s">
        <v>3941</v>
      </c>
      <c r="E2588" t="s">
        <v>3942</v>
      </c>
      <c r="F2588" t="s">
        <v>8456</v>
      </c>
      <c r="G2588" t="s">
        <v>3890</v>
      </c>
      <c r="H2588" t="s">
        <v>2308</v>
      </c>
      <c r="I2588" t="s">
        <v>3892</v>
      </c>
      <c r="J2588">
        <v>1</v>
      </c>
      <c r="K2588">
        <v>-5.8450000000000002E-2</v>
      </c>
      <c r="L2588">
        <v>-4.6809999999999997E-2</v>
      </c>
      <c r="M2588">
        <v>-6.6600000000000006E-2</v>
      </c>
      <c r="N2588">
        <v>-6.1839999999999999E-2</v>
      </c>
      <c r="O2588">
        <v>-6.2210000000000001E-2</v>
      </c>
      <c r="P2588">
        <v>-5.7639999999999997E-2</v>
      </c>
      <c r="Q2588">
        <v>-5.5050000000000002E-2</v>
      </c>
      <c r="R2588">
        <v>-5.3289999999999997E-2</v>
      </c>
      <c r="S2588">
        <v>-5.1740000000000001E-2</v>
      </c>
      <c r="T2588">
        <v>-5.0090000000000003E-2</v>
      </c>
      <c r="U2588">
        <v>-4.87E-2</v>
      </c>
      <c r="V2588">
        <v>-4.727E-2</v>
      </c>
      <c r="W2588">
        <v>-4.5780000000000001E-2</v>
      </c>
      <c r="X2588">
        <v>-4.4209999999999999E-2</v>
      </c>
      <c r="Y2588">
        <v>-4.2470000000000001E-2</v>
      </c>
      <c r="Z2588">
        <v>-4.0629999999999999E-2</v>
      </c>
      <c r="AA2588">
        <v>-3.8679999999999999E-2</v>
      </c>
      <c r="AB2588">
        <v>-3.6630000000000003E-2</v>
      </c>
      <c r="AC2588">
        <v>-3.483E-2</v>
      </c>
      <c r="AD2588">
        <v>-3.4759999999999999E-2</v>
      </c>
    </row>
    <row r="2589" spans="2:30" x14ac:dyDescent="0.25">
      <c r="B2589" t="s">
        <v>133</v>
      </c>
      <c r="C2589" t="s">
        <v>3263</v>
      </c>
      <c r="D2589" t="s">
        <v>3944</v>
      </c>
      <c r="E2589" t="s">
        <v>3945</v>
      </c>
      <c r="F2589" t="s">
        <v>8457</v>
      </c>
      <c r="G2589" t="s">
        <v>3890</v>
      </c>
      <c r="H2589" t="s">
        <v>2308</v>
      </c>
      <c r="I2589" t="s">
        <v>3892</v>
      </c>
      <c r="J2589">
        <v>2</v>
      </c>
      <c r="K2589">
        <v>-5.8450000000000002E-2</v>
      </c>
      <c r="L2589">
        <v>-4.6809999999999997E-2</v>
      </c>
      <c r="M2589">
        <v>-6.6600000000000006E-2</v>
      </c>
      <c r="N2589">
        <v>-6.1839999999999999E-2</v>
      </c>
      <c r="O2589">
        <v>-0.06</v>
      </c>
      <c r="P2589">
        <v>-5.5070000000000001E-2</v>
      </c>
      <c r="Q2589">
        <v>-5.1950000000000003E-2</v>
      </c>
      <c r="R2589">
        <v>-4.9489999999999999E-2</v>
      </c>
      <c r="S2589">
        <v>-4.7300000000000002E-2</v>
      </c>
      <c r="T2589">
        <v>-4.5019999999999998E-2</v>
      </c>
      <c r="U2589">
        <v>-4.292E-2</v>
      </c>
      <c r="V2589">
        <v>-4.0829999999999998E-2</v>
      </c>
      <c r="W2589">
        <v>-3.8699999999999998E-2</v>
      </c>
      <c r="X2589">
        <v>-3.6519999999999997E-2</v>
      </c>
      <c r="Y2589">
        <v>-3.4209999999999997E-2</v>
      </c>
      <c r="Z2589">
        <v>-3.1829999999999997E-2</v>
      </c>
      <c r="AA2589">
        <v>-2.938E-2</v>
      </c>
      <c r="AB2589">
        <v>-2.6870000000000002E-2</v>
      </c>
      <c r="AC2589">
        <v>-2.4580000000000001E-2</v>
      </c>
      <c r="AD2589">
        <v>-2.4029999999999999E-2</v>
      </c>
    </row>
    <row r="2590" spans="2:30" x14ac:dyDescent="0.25">
      <c r="B2590" t="s">
        <v>133</v>
      </c>
      <c r="C2590" t="s">
        <v>3263</v>
      </c>
      <c r="D2590" t="s">
        <v>3947</v>
      </c>
      <c r="E2590" t="s">
        <v>3948</v>
      </c>
      <c r="F2590" t="s">
        <v>8458</v>
      </c>
      <c r="J2590">
        <v>2</v>
      </c>
      <c r="K2590">
        <v>0</v>
      </c>
      <c r="L2590">
        <v>8.3095691245232972E-7</v>
      </c>
      <c r="M2590">
        <v>8.1147168027456695E-7</v>
      </c>
      <c r="N2590">
        <v>7.5167731247022251E-7</v>
      </c>
      <c r="O2590">
        <v>1.5390872904962952E-3</v>
      </c>
      <c r="P2590">
        <v>1.5442334186385603E-3</v>
      </c>
      <c r="Q2590">
        <v>1.849550401172774E-3</v>
      </c>
      <c r="R2590">
        <v>2.3368053394478838E-3</v>
      </c>
      <c r="S2590">
        <v>2.813683997185415E-3</v>
      </c>
      <c r="T2590">
        <v>3.2798728933881097E-3</v>
      </c>
      <c r="U2590">
        <v>3.8216943971055156E-3</v>
      </c>
      <c r="V2590">
        <v>4.3433726504375422E-3</v>
      </c>
      <c r="W2590">
        <v>4.8501024120895866E-3</v>
      </c>
      <c r="X2590">
        <v>5.342548677677729E-3</v>
      </c>
      <c r="Y2590">
        <v>5.8224074055573741E-3</v>
      </c>
      <c r="Z2590">
        <v>6.2896822684357159E-3</v>
      </c>
      <c r="AA2590">
        <v>6.7462069488761489E-3</v>
      </c>
      <c r="AB2590">
        <v>7.1826332869164081E-3</v>
      </c>
      <c r="AC2590">
        <v>7.6493331055776034E-3</v>
      </c>
      <c r="AD2590">
        <v>8.1072690801588798E-3</v>
      </c>
    </row>
    <row r="2591" spans="2:30" x14ac:dyDescent="0.25">
      <c r="B2591" t="s">
        <v>133</v>
      </c>
      <c r="C2591" t="s">
        <v>3263</v>
      </c>
      <c r="D2591" t="s">
        <v>3950</v>
      </c>
      <c r="E2591" t="s">
        <v>3951</v>
      </c>
      <c r="F2591" t="s">
        <v>8459</v>
      </c>
      <c r="J2591">
        <v>2</v>
      </c>
      <c r="K2591">
        <v>0</v>
      </c>
      <c r="L2591">
        <v>0</v>
      </c>
      <c r="M2591">
        <v>0</v>
      </c>
      <c r="N2591">
        <v>0</v>
      </c>
      <c r="O2591">
        <v>3.7436407373129628E-3</v>
      </c>
      <c r="P2591">
        <v>5.1071106526381724E-3</v>
      </c>
      <c r="Q2591">
        <v>6.4231409277496288E-3</v>
      </c>
      <c r="R2591">
        <v>7.6810592323144746E-3</v>
      </c>
      <c r="S2591">
        <v>8.9223858205450882E-3</v>
      </c>
      <c r="T2591">
        <v>1.0153200027767215E-2</v>
      </c>
      <c r="U2591">
        <v>1.1352432886198759E-2</v>
      </c>
      <c r="V2591">
        <v>1.2546731103579139E-2</v>
      </c>
      <c r="W2591">
        <v>1.3737093892432819E-2</v>
      </c>
      <c r="X2591">
        <v>1.4932843266114312E-2</v>
      </c>
      <c r="Y2591">
        <v>1.6135372103729593E-2</v>
      </c>
      <c r="Z2591">
        <v>1.7358215910357026E-2</v>
      </c>
      <c r="AA2591">
        <v>1.860828758710369E-2</v>
      </c>
      <c r="AB2591">
        <v>1.9901878430935844E-2</v>
      </c>
      <c r="AC2591">
        <v>2.1221727218444553E-2</v>
      </c>
      <c r="AD2591">
        <v>2.2528781258613528E-2</v>
      </c>
    </row>
    <row r="2592" spans="2:30" x14ac:dyDescent="0.25">
      <c r="B2592" t="s">
        <v>133</v>
      </c>
      <c r="C2592" t="s">
        <v>3263</v>
      </c>
      <c r="D2592" t="s">
        <v>3953</v>
      </c>
      <c r="E2592" t="s">
        <v>3954</v>
      </c>
      <c r="F2592" t="s">
        <v>8460</v>
      </c>
      <c r="J2592">
        <v>2</v>
      </c>
      <c r="K2592">
        <v>0</v>
      </c>
      <c r="L2592">
        <v>0</v>
      </c>
      <c r="M2592">
        <v>0</v>
      </c>
      <c r="N2592">
        <v>0</v>
      </c>
      <c r="O2592">
        <v>1.4633404853566004E-3</v>
      </c>
      <c r="P2592">
        <v>1.9130051304721864E-3</v>
      </c>
      <c r="Q2592">
        <v>2.3733056012839918E-3</v>
      </c>
      <c r="R2592">
        <v>2.8094209905492784E-3</v>
      </c>
      <c r="S2592">
        <v>3.2213523732721474E-3</v>
      </c>
      <c r="T2592">
        <v>3.606809668495864E-3</v>
      </c>
      <c r="U2592">
        <v>3.9734292040300677E-3</v>
      </c>
      <c r="V2592">
        <v>4.3345590934979403E-3</v>
      </c>
      <c r="W2592">
        <v>4.6952864036135071E-3</v>
      </c>
      <c r="X2592">
        <v>5.0648964384192533E-3</v>
      </c>
      <c r="Y2592">
        <v>5.4473039400418019E-3</v>
      </c>
      <c r="Z2592">
        <v>5.8532561494289417E-3</v>
      </c>
      <c r="AA2592">
        <v>6.2903697452737772E-3</v>
      </c>
      <c r="AB2592">
        <v>6.7748058692901139E-3</v>
      </c>
      <c r="AC2592">
        <v>7.2889312046253568E-3</v>
      </c>
      <c r="AD2592">
        <v>7.7990506906664243E-3</v>
      </c>
    </row>
    <row r="2593" spans="2:30" x14ac:dyDescent="0.25">
      <c r="B2593" t="s">
        <v>133</v>
      </c>
      <c r="C2593" t="s">
        <v>3263</v>
      </c>
      <c r="D2593" t="s">
        <v>3956</v>
      </c>
      <c r="E2593" t="s">
        <v>3957</v>
      </c>
      <c r="F2593" t="s">
        <v>8461</v>
      </c>
      <c r="J2593">
        <v>2</v>
      </c>
      <c r="K2593">
        <v>0</v>
      </c>
      <c r="L2593">
        <v>0</v>
      </c>
      <c r="M2593">
        <v>0</v>
      </c>
      <c r="N2593">
        <v>0</v>
      </c>
      <c r="O2593">
        <v>7.9084790597809995E-4</v>
      </c>
      <c r="P2593">
        <v>1.1415479980017294E-3</v>
      </c>
      <c r="Q2593">
        <v>1.4989312996769343E-3</v>
      </c>
      <c r="R2593">
        <v>1.8733114244097961E-3</v>
      </c>
      <c r="S2593">
        <v>2.2885412184364671E-3</v>
      </c>
      <c r="T2593">
        <v>2.7492727555713335E-3</v>
      </c>
      <c r="U2593">
        <v>3.2377633707167857E-3</v>
      </c>
      <c r="V2593">
        <v>3.7511183604329195E-3</v>
      </c>
      <c r="W2593">
        <v>4.282747037781579E-3</v>
      </c>
      <c r="X2593">
        <v>4.830175005434546E-3</v>
      </c>
      <c r="Y2593">
        <v>5.3891903913114826E-3</v>
      </c>
      <c r="Z2593">
        <v>5.9607826508531383E-3</v>
      </c>
      <c r="AA2593">
        <v>6.5429490100223382E-3</v>
      </c>
      <c r="AB2593">
        <v>7.1344004706497726E-3</v>
      </c>
      <c r="AC2593">
        <v>7.7342430341657414E-3</v>
      </c>
      <c r="AD2593">
        <v>8.3361239693955352E-3</v>
      </c>
    </row>
    <row r="2594" spans="2:30" x14ac:dyDescent="0.25">
      <c r="B2594" t="s">
        <v>133</v>
      </c>
      <c r="C2594" t="s">
        <v>3263</v>
      </c>
      <c r="D2594" t="s">
        <v>3959</v>
      </c>
      <c r="E2594" t="s">
        <v>3960</v>
      </c>
      <c r="F2594" t="s">
        <v>8462</v>
      </c>
      <c r="J2594">
        <v>2</v>
      </c>
      <c r="K2594">
        <v>0</v>
      </c>
      <c r="L2594">
        <v>0</v>
      </c>
      <c r="M2594">
        <v>0</v>
      </c>
      <c r="N2594">
        <v>0</v>
      </c>
      <c r="O2594">
        <v>3.5511101024776696E-4</v>
      </c>
      <c r="P2594">
        <v>4.8248011632620223E-4</v>
      </c>
      <c r="Q2594">
        <v>5.9961506685637976E-4</v>
      </c>
      <c r="R2594">
        <v>7.0941797924620371E-4</v>
      </c>
      <c r="S2594">
        <v>8.1305755359336218E-4</v>
      </c>
      <c r="T2594">
        <v>9.099982061361873E-4</v>
      </c>
      <c r="U2594">
        <v>1.0007162091062497E-3</v>
      </c>
      <c r="V2594">
        <v>1.0856068974293429E-3</v>
      </c>
      <c r="W2594">
        <v>1.1650784262994076E-3</v>
      </c>
      <c r="X2594">
        <v>1.2395674095398059E-3</v>
      </c>
      <c r="Y2594">
        <v>1.3093962959118389E-3</v>
      </c>
      <c r="Z2594">
        <v>1.3749167819566734E-3</v>
      </c>
      <c r="AA2594">
        <v>1.43640686274428E-3</v>
      </c>
      <c r="AB2594">
        <v>1.4941688460993585E-3</v>
      </c>
      <c r="AC2594">
        <v>1.5484827679848468E-3</v>
      </c>
      <c r="AD2594">
        <v>1.5995851879845155E-3</v>
      </c>
    </row>
    <row r="2595" spans="2:30" x14ac:dyDescent="0.25">
      <c r="B2595" t="s">
        <v>133</v>
      </c>
      <c r="C2595" t="s">
        <v>3263</v>
      </c>
      <c r="D2595" t="s">
        <v>3962</v>
      </c>
      <c r="E2595" t="s">
        <v>3963</v>
      </c>
      <c r="F2595" t="s">
        <v>8463</v>
      </c>
      <c r="J2595">
        <v>2</v>
      </c>
      <c r="K2595">
        <v>0</v>
      </c>
      <c r="L2595">
        <v>0</v>
      </c>
      <c r="M2595">
        <v>0</v>
      </c>
      <c r="N2595">
        <v>0</v>
      </c>
      <c r="O2595">
        <v>1.1343413357304956E-3</v>
      </c>
      <c r="P2595">
        <v>1.5700774078380552E-3</v>
      </c>
      <c r="Q2595">
        <v>1.9512889599323233E-3</v>
      </c>
      <c r="R2595">
        <v>2.2889088381091958E-3</v>
      </c>
      <c r="S2595">
        <v>2.5994346752431095E-3</v>
      </c>
      <c r="T2595">
        <v>2.8871193975638304E-3</v>
      </c>
      <c r="U2595">
        <v>3.1405241023456571E-3</v>
      </c>
      <c r="V2595">
        <v>3.375446752218935E-3</v>
      </c>
      <c r="W2595">
        <v>3.5939820247383276E-3</v>
      </c>
      <c r="X2595">
        <v>3.7982044127207065E-3</v>
      </c>
      <c r="Y2595">
        <v>3.9894814764644682E-3</v>
      </c>
      <c r="Z2595">
        <v>4.1692603281182714E-3</v>
      </c>
      <c r="AA2595">
        <v>4.3385619690632952E-3</v>
      </c>
      <c r="AB2595">
        <v>4.4985032448965987E-3</v>
      </c>
      <c r="AC2595">
        <v>4.6500702116686063E-3</v>
      </c>
      <c r="AD2595">
        <v>4.7940214105670498E-3</v>
      </c>
    </row>
    <row r="2596" spans="2:30" x14ac:dyDescent="0.25">
      <c r="B2596" t="s">
        <v>133</v>
      </c>
      <c r="C2596" t="s">
        <v>3263</v>
      </c>
      <c r="D2596" t="s">
        <v>3965</v>
      </c>
      <c r="E2596" t="s">
        <v>3966</v>
      </c>
      <c r="F2596" t="s">
        <v>8464</v>
      </c>
      <c r="G2596" t="s">
        <v>3890</v>
      </c>
      <c r="H2596" t="s">
        <v>3968</v>
      </c>
      <c r="I2596" t="s">
        <v>3969</v>
      </c>
      <c r="J2596">
        <v>1</v>
      </c>
      <c r="K2596">
        <v>6.3</v>
      </c>
      <c r="L2596">
        <v>6.34</v>
      </c>
      <c r="M2596">
        <v>6.37</v>
      </c>
      <c r="N2596">
        <v>6.41</v>
      </c>
      <c r="O2596">
        <v>6.45</v>
      </c>
      <c r="P2596">
        <v>6.5</v>
      </c>
      <c r="Q2596">
        <v>6.55</v>
      </c>
      <c r="R2596">
        <v>6.6</v>
      </c>
      <c r="S2596">
        <v>6.65</v>
      </c>
      <c r="T2596">
        <v>6.7</v>
      </c>
      <c r="U2596">
        <v>6.74</v>
      </c>
      <c r="V2596">
        <v>6.79</v>
      </c>
      <c r="W2596">
        <v>6.83</v>
      </c>
      <c r="X2596">
        <v>6.88</v>
      </c>
      <c r="Y2596">
        <v>6.92</v>
      </c>
      <c r="Z2596">
        <v>6.97</v>
      </c>
      <c r="AA2596">
        <v>7.01</v>
      </c>
      <c r="AB2596">
        <v>7.05</v>
      </c>
      <c r="AC2596">
        <v>7.09</v>
      </c>
      <c r="AD2596">
        <v>7.14</v>
      </c>
    </row>
    <row r="2597" spans="2:30" x14ac:dyDescent="0.25">
      <c r="B2597" t="s">
        <v>133</v>
      </c>
      <c r="C2597" t="s">
        <v>3263</v>
      </c>
      <c r="D2597" t="s">
        <v>3970</v>
      </c>
      <c r="E2597" t="s">
        <v>3971</v>
      </c>
      <c r="F2597" t="s">
        <v>8465</v>
      </c>
      <c r="G2597" t="s">
        <v>3890</v>
      </c>
      <c r="H2597" t="s">
        <v>3917</v>
      </c>
      <c r="I2597" t="s">
        <v>3938</v>
      </c>
      <c r="J2597">
        <v>1</v>
      </c>
      <c r="K2597">
        <v>546.97091999999998</v>
      </c>
      <c r="L2597">
        <v>567.53857000000005</v>
      </c>
      <c r="M2597">
        <v>581.15269000000001</v>
      </c>
      <c r="N2597">
        <v>606.67916000000002</v>
      </c>
      <c r="O2597">
        <v>632.40057999999999</v>
      </c>
      <c r="P2597">
        <v>662.94057999999995</v>
      </c>
      <c r="Q2597">
        <v>699.63643999999999</v>
      </c>
      <c r="R2597">
        <v>736.20367999999996</v>
      </c>
      <c r="S2597">
        <v>771.84974999999997</v>
      </c>
      <c r="T2597">
        <v>808.8116</v>
      </c>
      <c r="U2597">
        <v>847.11364000000003</v>
      </c>
      <c r="V2597">
        <v>886.77935000000002</v>
      </c>
      <c r="W2597">
        <v>927.83114</v>
      </c>
      <c r="X2597">
        <v>970.29029000000003</v>
      </c>
      <c r="Y2597">
        <v>1014.17682</v>
      </c>
      <c r="Z2597">
        <v>1059.5094099999999</v>
      </c>
      <c r="AA2597">
        <v>1106.30528</v>
      </c>
      <c r="AB2597">
        <v>1154.5800999999999</v>
      </c>
      <c r="AC2597">
        <v>1204.3479</v>
      </c>
      <c r="AD2597">
        <v>1255.6209100000001</v>
      </c>
    </row>
    <row r="2598" spans="2:30" x14ac:dyDescent="0.25">
      <c r="B2598" t="s">
        <v>133</v>
      </c>
      <c r="C2598" t="s">
        <v>3263</v>
      </c>
      <c r="D2598" t="s">
        <v>3973</v>
      </c>
      <c r="E2598" t="s">
        <v>3974</v>
      </c>
      <c r="F2598" t="s">
        <v>8466</v>
      </c>
      <c r="G2598" t="s">
        <v>3890</v>
      </c>
      <c r="H2598" t="s">
        <v>3917</v>
      </c>
      <c r="I2598" t="s">
        <v>3938</v>
      </c>
      <c r="J2598">
        <v>2</v>
      </c>
      <c r="K2598">
        <v>546.97091999999998</v>
      </c>
      <c r="L2598">
        <v>567.53857000000005</v>
      </c>
      <c r="M2598">
        <v>581.15269000000001</v>
      </c>
      <c r="N2598">
        <v>606.67916000000002</v>
      </c>
      <c r="O2598">
        <v>632.40057999999999</v>
      </c>
      <c r="P2598">
        <v>663.00606000000005</v>
      </c>
      <c r="Q2598">
        <v>699.54751999999996</v>
      </c>
      <c r="R2598">
        <v>736.16485999999998</v>
      </c>
      <c r="S2598">
        <v>771.70663000000002</v>
      </c>
      <c r="T2598">
        <v>808.74476000000004</v>
      </c>
      <c r="U2598">
        <v>847.16731000000004</v>
      </c>
      <c r="V2598">
        <v>886.97047999999995</v>
      </c>
      <c r="W2598">
        <v>928.24271999999996</v>
      </c>
      <c r="X2598">
        <v>971.09036000000003</v>
      </c>
      <c r="Y2598">
        <v>1015.35444</v>
      </c>
      <c r="Z2598">
        <v>1061.14669</v>
      </c>
      <c r="AA2598">
        <v>1108.38714</v>
      </c>
      <c r="AB2598">
        <v>1157.1711600000001</v>
      </c>
      <c r="AC2598">
        <v>1207.50567</v>
      </c>
      <c r="AD2598">
        <v>1259.3538599999999</v>
      </c>
    </row>
    <row r="2599" spans="2:30" x14ac:dyDescent="0.25">
      <c r="B2599" t="s">
        <v>133</v>
      </c>
      <c r="C2599" t="s">
        <v>3263</v>
      </c>
      <c r="D2599" t="s">
        <v>3976</v>
      </c>
      <c r="E2599" t="s">
        <v>3977</v>
      </c>
      <c r="F2599" t="s">
        <v>8467</v>
      </c>
      <c r="G2599" t="s">
        <v>3890</v>
      </c>
      <c r="H2599" t="s">
        <v>3979</v>
      </c>
      <c r="I2599" t="s">
        <v>3980</v>
      </c>
      <c r="J2599">
        <v>1</v>
      </c>
      <c r="K2599">
        <v>103.6</v>
      </c>
      <c r="L2599">
        <v>105.2</v>
      </c>
      <c r="M2599">
        <v>106.6</v>
      </c>
      <c r="N2599">
        <v>107.9</v>
      </c>
      <c r="O2599">
        <v>110.05800000000001</v>
      </c>
      <c r="P2599">
        <v>112.25915999999999</v>
      </c>
      <c r="Q2599">
        <v>114.50434300000001</v>
      </c>
      <c r="R2599">
        <v>116.79443000000001</v>
      </c>
      <c r="S2599">
        <v>120.29826300000001</v>
      </c>
      <c r="T2599">
        <v>125.110193</v>
      </c>
      <c r="U2599">
        <v>130.11460017919998</v>
      </c>
      <c r="V2599">
        <v>135.31918362393597</v>
      </c>
      <c r="W2599">
        <v>140.73195038396412</v>
      </c>
      <c r="X2599">
        <v>146.36122779099622</v>
      </c>
      <c r="Y2599">
        <v>152.21567626997654</v>
      </c>
      <c r="Z2599">
        <v>158.3043026628097</v>
      </c>
      <c r="AA2599">
        <v>164.63647408503755</v>
      </c>
      <c r="AB2599">
        <v>171.22193233678314</v>
      </c>
      <c r="AC2599">
        <v>178.07080889013233</v>
      </c>
      <c r="AD2599">
        <v>185.19364047601059</v>
      </c>
    </row>
    <row r="2600" spans="2:30" x14ac:dyDescent="0.25">
      <c r="B2600" t="s">
        <v>133</v>
      </c>
      <c r="C2600" t="s">
        <v>3263</v>
      </c>
      <c r="D2600" t="s">
        <v>3981</v>
      </c>
      <c r="E2600" t="s">
        <v>3982</v>
      </c>
      <c r="F2600" t="s">
        <v>8468</v>
      </c>
      <c r="G2600" t="s">
        <v>3890</v>
      </c>
      <c r="H2600" t="s">
        <v>3984</v>
      </c>
      <c r="I2600" t="s">
        <v>3985</v>
      </c>
      <c r="J2600">
        <v>1</v>
      </c>
      <c r="K2600">
        <v>400.91199999999998</v>
      </c>
      <c r="L2600">
        <v>412.10500000000002</v>
      </c>
      <c r="M2600">
        <v>450.92399999999998</v>
      </c>
      <c r="N2600">
        <v>467.51499999999999</v>
      </c>
      <c r="O2600">
        <v>473.64800000000002</v>
      </c>
      <c r="P2600">
        <v>484.76299999999998</v>
      </c>
      <c r="Q2600">
        <v>501.10399999999998</v>
      </c>
      <c r="R2600">
        <v>518.13900000000001</v>
      </c>
      <c r="S2600">
        <v>535.62300000000005</v>
      </c>
      <c r="T2600">
        <v>555.04300000000001</v>
      </c>
      <c r="U2600">
        <v>576.99900000000002</v>
      </c>
      <c r="V2600">
        <v>601.28700000000003</v>
      </c>
      <c r="W2600">
        <v>626.83100000000002</v>
      </c>
      <c r="X2600">
        <v>653.74699999999996</v>
      </c>
      <c r="Y2600">
        <v>682.01</v>
      </c>
      <c r="Z2600">
        <v>711.827</v>
      </c>
      <c r="AA2600">
        <v>743.30399999999997</v>
      </c>
      <c r="AB2600">
        <v>776.60500000000002</v>
      </c>
      <c r="AC2600">
        <v>811.92499999999995</v>
      </c>
      <c r="AD2600">
        <v>848.15700000000004</v>
      </c>
    </row>
    <row r="2601" spans="2:30" x14ac:dyDescent="0.25">
      <c r="B2601" t="s">
        <v>133</v>
      </c>
      <c r="C2601" t="s">
        <v>3263</v>
      </c>
      <c r="D2601" t="s">
        <v>3387</v>
      </c>
      <c r="E2601" t="s">
        <v>3388</v>
      </c>
      <c r="F2601" t="s">
        <v>8469</v>
      </c>
      <c r="G2601" t="s">
        <v>3890</v>
      </c>
      <c r="H2601" t="s">
        <v>3984</v>
      </c>
      <c r="I2601" t="s">
        <v>3985</v>
      </c>
      <c r="J2601">
        <v>1</v>
      </c>
      <c r="K2601">
        <v>400.91199999999998</v>
      </c>
      <c r="L2601">
        <v>412.10500000000002</v>
      </c>
      <c r="M2601">
        <v>450.92399999999998</v>
      </c>
      <c r="N2601">
        <v>467.51499999999999</v>
      </c>
      <c r="O2601">
        <v>473.64800000000002</v>
      </c>
      <c r="P2601">
        <v>484.76299999999998</v>
      </c>
      <c r="Q2601">
        <v>501.10399999999998</v>
      </c>
      <c r="R2601">
        <v>518.13900000000001</v>
      </c>
      <c r="S2601">
        <v>535.62300000000005</v>
      </c>
      <c r="T2601">
        <v>555.04300000000001</v>
      </c>
      <c r="U2601">
        <v>576.99900000000002</v>
      </c>
      <c r="V2601">
        <v>601.28700000000003</v>
      </c>
      <c r="W2601">
        <v>626.83100000000002</v>
      </c>
      <c r="X2601">
        <v>653.74699999999996</v>
      </c>
      <c r="Y2601">
        <v>682.01</v>
      </c>
      <c r="Z2601">
        <v>711.827</v>
      </c>
      <c r="AA2601">
        <v>743.30399999999997</v>
      </c>
      <c r="AB2601">
        <v>776.60500000000002</v>
      </c>
      <c r="AC2601">
        <v>811.92499999999995</v>
      </c>
      <c r="AD2601">
        <v>848.15700000000004</v>
      </c>
    </row>
    <row r="2602" spans="2:30" x14ac:dyDescent="0.25">
      <c r="B2602" t="s">
        <v>133</v>
      </c>
      <c r="C2602" t="s">
        <v>3263</v>
      </c>
      <c r="D2602" t="s">
        <v>3987</v>
      </c>
      <c r="E2602" t="s">
        <v>3988</v>
      </c>
      <c r="F2602" t="s">
        <v>8470</v>
      </c>
      <c r="G2602" t="s">
        <v>3890</v>
      </c>
      <c r="H2602" t="s">
        <v>3984</v>
      </c>
      <c r="I2602" t="s">
        <v>3985</v>
      </c>
      <c r="J2602">
        <v>1</v>
      </c>
      <c r="K2602">
        <v>213.93899999999999</v>
      </c>
      <c r="L2602">
        <v>210.13300000000001</v>
      </c>
      <c r="M2602">
        <v>236.548</v>
      </c>
      <c r="N2602">
        <v>245.53200000000001</v>
      </c>
      <c r="O2602">
        <v>247.51599999999999</v>
      </c>
      <c r="P2602">
        <v>253.84700000000001</v>
      </c>
      <c r="Q2602">
        <v>264.06900000000002</v>
      </c>
      <c r="R2602">
        <v>274.96899999999999</v>
      </c>
      <c r="S2602">
        <v>286.428</v>
      </c>
      <c r="T2602">
        <v>299.23</v>
      </c>
      <c r="U2602">
        <v>312.89699999999999</v>
      </c>
      <c r="V2602">
        <v>327.613</v>
      </c>
      <c r="W2602">
        <v>343.27600000000001</v>
      </c>
      <c r="X2602">
        <v>359.99200000000002</v>
      </c>
      <c r="Y2602">
        <v>377.72500000000002</v>
      </c>
      <c r="Z2602">
        <v>396.67399999999998</v>
      </c>
      <c r="AA2602">
        <v>416.93299999999999</v>
      </c>
      <c r="AB2602">
        <v>438.654</v>
      </c>
      <c r="AC2602">
        <v>462.02199999999999</v>
      </c>
      <c r="AD2602">
        <v>485.91800000000001</v>
      </c>
    </row>
    <row r="2603" spans="2:30" x14ac:dyDescent="0.25">
      <c r="B2603" t="s">
        <v>133</v>
      </c>
      <c r="C2603" t="s">
        <v>3263</v>
      </c>
      <c r="D2603" t="s">
        <v>3375</v>
      </c>
      <c r="E2603" t="s">
        <v>3376</v>
      </c>
      <c r="F2603" t="s">
        <v>8471</v>
      </c>
      <c r="G2603" t="s">
        <v>3890</v>
      </c>
      <c r="H2603" t="s">
        <v>3984</v>
      </c>
      <c r="I2603" t="s">
        <v>3985</v>
      </c>
      <c r="J2603">
        <v>1</v>
      </c>
      <c r="K2603">
        <v>52.2</v>
      </c>
      <c r="L2603">
        <v>56.902999999999999</v>
      </c>
      <c r="M2603">
        <v>67.058999999999997</v>
      </c>
      <c r="N2603">
        <v>72.5</v>
      </c>
      <c r="O2603">
        <v>74.569000000000003</v>
      </c>
      <c r="P2603">
        <v>76.989999999999995</v>
      </c>
      <c r="Q2603">
        <v>79.929000000000002</v>
      </c>
      <c r="R2603">
        <v>82.77</v>
      </c>
      <c r="S2603">
        <v>85.453999999999994</v>
      </c>
      <c r="T2603">
        <v>88.177000000000007</v>
      </c>
      <c r="U2603">
        <v>90.929000000000002</v>
      </c>
      <c r="V2603">
        <v>93.73</v>
      </c>
      <c r="W2603">
        <v>96.58</v>
      </c>
      <c r="X2603">
        <v>99.477999999999994</v>
      </c>
      <c r="Y2603">
        <v>102.42400000000001</v>
      </c>
      <c r="Z2603">
        <v>105.41800000000001</v>
      </c>
      <c r="AA2603">
        <v>108.459</v>
      </c>
      <c r="AB2603">
        <v>111.547</v>
      </c>
      <c r="AC2603">
        <v>114.681</v>
      </c>
      <c r="AD2603">
        <v>117.86</v>
      </c>
    </row>
    <row r="2604" spans="2:30" x14ac:dyDescent="0.25">
      <c r="B2604" t="s">
        <v>133</v>
      </c>
      <c r="C2604" t="s">
        <v>3263</v>
      </c>
      <c r="D2604" t="s">
        <v>3991</v>
      </c>
      <c r="E2604" t="s">
        <v>3992</v>
      </c>
      <c r="F2604" t="s">
        <v>8472</v>
      </c>
      <c r="G2604" t="s">
        <v>3890</v>
      </c>
      <c r="H2604" t="s">
        <v>3984</v>
      </c>
      <c r="I2604" t="s">
        <v>3985</v>
      </c>
      <c r="J2604">
        <v>1</v>
      </c>
      <c r="K2604">
        <v>41.563000000000002</v>
      </c>
      <c r="L2604">
        <v>43.505000000000003</v>
      </c>
      <c r="M2604">
        <v>44.234000000000002</v>
      </c>
      <c r="N2604">
        <v>44.884999999999998</v>
      </c>
      <c r="O2604">
        <v>45.613999999999997</v>
      </c>
      <c r="P2604">
        <v>46.396000000000001</v>
      </c>
      <c r="Q2604">
        <v>47.423999999999999</v>
      </c>
      <c r="R2604">
        <v>48.524000000000001</v>
      </c>
      <c r="S2604">
        <v>49.628</v>
      </c>
      <c r="T2604">
        <v>50.838000000000001</v>
      </c>
      <c r="U2604">
        <v>52.454999999999998</v>
      </c>
      <c r="V2604">
        <v>54.396999999999998</v>
      </c>
      <c r="W2604">
        <v>56.406999999999996</v>
      </c>
      <c r="X2604">
        <v>58.485999999999997</v>
      </c>
      <c r="Y2604">
        <v>60.637999999999998</v>
      </c>
      <c r="Z2604">
        <v>62.863999999999997</v>
      </c>
      <c r="AA2604">
        <v>65.165999999999997</v>
      </c>
      <c r="AB2604">
        <v>67.548000000000002</v>
      </c>
      <c r="AC2604">
        <v>70.012</v>
      </c>
      <c r="AD2604">
        <v>72.56</v>
      </c>
    </row>
    <row r="2605" spans="2:30" x14ac:dyDescent="0.25">
      <c r="B2605" t="s">
        <v>133</v>
      </c>
      <c r="C2605" t="s">
        <v>3263</v>
      </c>
      <c r="D2605" t="s">
        <v>3994</v>
      </c>
      <c r="E2605" t="s">
        <v>3995</v>
      </c>
      <c r="F2605" t="s">
        <v>8473</v>
      </c>
      <c r="G2605" t="s">
        <v>3890</v>
      </c>
      <c r="H2605" t="s">
        <v>3984</v>
      </c>
      <c r="I2605" t="s">
        <v>3985</v>
      </c>
      <c r="J2605">
        <v>1</v>
      </c>
      <c r="K2605">
        <v>93.209000000000003</v>
      </c>
      <c r="L2605">
        <v>101.56399999999999</v>
      </c>
      <c r="M2605">
        <v>103.083</v>
      </c>
      <c r="N2605">
        <v>104.59699999999999</v>
      </c>
      <c r="O2605">
        <v>105.94799999999999</v>
      </c>
      <c r="P2605">
        <v>107.53100000000001</v>
      </c>
      <c r="Q2605">
        <v>109.682</v>
      </c>
      <c r="R2605">
        <v>111.875</v>
      </c>
      <c r="S2605">
        <v>114.113</v>
      </c>
      <c r="T2605">
        <v>116.798</v>
      </c>
      <c r="U2605">
        <v>120.718</v>
      </c>
      <c r="V2605">
        <v>125.54600000000001</v>
      </c>
      <c r="W2605">
        <v>130.56800000000001</v>
      </c>
      <c r="X2605">
        <v>135.791</v>
      </c>
      <c r="Y2605">
        <v>141.22300000000001</v>
      </c>
      <c r="Z2605">
        <v>146.87200000000001</v>
      </c>
      <c r="AA2605">
        <v>152.74600000000001</v>
      </c>
      <c r="AB2605">
        <v>158.85599999999999</v>
      </c>
      <c r="AC2605">
        <v>165.21</v>
      </c>
      <c r="AD2605">
        <v>171.81899999999999</v>
      </c>
    </row>
    <row r="2606" spans="2:30" x14ac:dyDescent="0.25">
      <c r="B2606" t="s">
        <v>133</v>
      </c>
      <c r="C2606" t="s">
        <v>3263</v>
      </c>
      <c r="D2606" t="s">
        <v>3997</v>
      </c>
      <c r="E2606" t="s">
        <v>3998</v>
      </c>
      <c r="F2606" t="s">
        <v>8474</v>
      </c>
      <c r="G2606" t="s">
        <v>3890</v>
      </c>
      <c r="H2606" t="s">
        <v>3984</v>
      </c>
      <c r="I2606" t="s">
        <v>3985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2:30" x14ac:dyDescent="0.25">
      <c r="B2607" t="s">
        <v>133</v>
      </c>
      <c r="C2607" t="s">
        <v>3263</v>
      </c>
      <c r="D2607" t="s">
        <v>4000</v>
      </c>
      <c r="E2607" t="s">
        <v>3341</v>
      </c>
      <c r="F2607" t="s">
        <v>8475</v>
      </c>
      <c r="G2607" t="s">
        <v>3890</v>
      </c>
      <c r="H2607" t="s">
        <v>3984</v>
      </c>
      <c r="I2607" t="s">
        <v>4002</v>
      </c>
      <c r="J2607">
        <v>1</v>
      </c>
      <c r="K2607">
        <v>307.637</v>
      </c>
      <c r="L2607">
        <v>315.625</v>
      </c>
      <c r="M2607">
        <v>350.60500000000002</v>
      </c>
      <c r="N2607">
        <v>364.72300000000001</v>
      </c>
      <c r="O2607">
        <v>369.17599999999999</v>
      </c>
      <c r="P2607">
        <v>378.15499999999997</v>
      </c>
      <c r="Q2607">
        <v>391.94499999999999</v>
      </c>
      <c r="R2607">
        <v>406.36399999999998</v>
      </c>
      <c r="S2607">
        <v>421.24599999999998</v>
      </c>
      <c r="T2607">
        <v>437.51900000000001</v>
      </c>
      <c r="U2607">
        <v>455.45699999999999</v>
      </c>
      <c r="V2607">
        <v>475.30500000000001</v>
      </c>
      <c r="W2607">
        <v>496.25400000000002</v>
      </c>
      <c r="X2607">
        <v>518.41399999999999</v>
      </c>
      <c r="Y2607">
        <v>541.75400000000002</v>
      </c>
      <c r="Z2607">
        <v>566.47799999999995</v>
      </c>
      <c r="AA2607">
        <v>592.68200000000002</v>
      </c>
      <c r="AB2607">
        <v>620.52499999999998</v>
      </c>
      <c r="AC2607">
        <v>650.19399999999996</v>
      </c>
      <c r="AD2607">
        <v>680.58399999999995</v>
      </c>
    </row>
    <row r="2608" spans="2:30" x14ac:dyDescent="0.25">
      <c r="B2608" t="s">
        <v>133</v>
      </c>
      <c r="C2608" t="s">
        <v>3263</v>
      </c>
      <c r="D2608" t="s">
        <v>3292</v>
      </c>
      <c r="E2608" t="s">
        <v>3293</v>
      </c>
      <c r="F2608" t="s">
        <v>8476</v>
      </c>
      <c r="G2608" t="s">
        <v>3890</v>
      </c>
      <c r="H2608" t="s">
        <v>3984</v>
      </c>
      <c r="I2608" t="s">
        <v>4002</v>
      </c>
      <c r="J2608">
        <v>1</v>
      </c>
      <c r="K2608">
        <v>210.916</v>
      </c>
      <c r="L2608">
        <v>207.072</v>
      </c>
      <c r="M2608">
        <v>233.316</v>
      </c>
      <c r="N2608">
        <v>242.24799999999999</v>
      </c>
      <c r="O2608">
        <v>244.22</v>
      </c>
      <c r="P2608">
        <v>250.51400000000001</v>
      </c>
      <c r="Q2608">
        <v>260.67700000000002</v>
      </c>
      <c r="R2608">
        <v>271.51400000000001</v>
      </c>
      <c r="S2608">
        <v>282.90699999999998</v>
      </c>
      <c r="T2608">
        <v>295.63499999999999</v>
      </c>
      <c r="U2608">
        <v>309.23700000000002</v>
      </c>
      <c r="V2608">
        <v>323.88299999999998</v>
      </c>
      <c r="W2608">
        <v>339.46899999999999</v>
      </c>
      <c r="X2608">
        <v>356.10300000000001</v>
      </c>
      <c r="Y2608">
        <v>373.74799999999999</v>
      </c>
      <c r="Z2608">
        <v>392.60300000000001</v>
      </c>
      <c r="AA2608">
        <v>412.76</v>
      </c>
      <c r="AB2608">
        <v>434.37099999999998</v>
      </c>
      <c r="AC2608">
        <v>457.61900000000003</v>
      </c>
      <c r="AD2608">
        <v>481.39299999999997</v>
      </c>
    </row>
    <row r="2609" spans="2:30" x14ac:dyDescent="0.25">
      <c r="B2609" t="s">
        <v>133</v>
      </c>
      <c r="C2609" t="s">
        <v>3263</v>
      </c>
      <c r="D2609" t="s">
        <v>4004</v>
      </c>
      <c r="E2609" t="s">
        <v>4005</v>
      </c>
      <c r="F2609" t="s">
        <v>8477</v>
      </c>
      <c r="G2609" t="s">
        <v>3890</v>
      </c>
      <c r="H2609" t="s">
        <v>3984</v>
      </c>
      <c r="I2609" t="s">
        <v>4002</v>
      </c>
      <c r="J2609">
        <v>1</v>
      </c>
      <c r="K2609">
        <v>6.7770000000000001</v>
      </c>
      <c r="L2609">
        <v>6.3419999999999996</v>
      </c>
      <c r="M2609">
        <v>7.54</v>
      </c>
      <c r="N2609">
        <v>8.1080000000000005</v>
      </c>
      <c r="O2609">
        <v>8.2379999999999995</v>
      </c>
      <c r="P2609">
        <v>8.3670000000000009</v>
      </c>
      <c r="Q2609">
        <v>8.5820000000000007</v>
      </c>
      <c r="R2609">
        <v>8.7880000000000003</v>
      </c>
      <c r="S2609">
        <v>8.9830000000000005</v>
      </c>
      <c r="T2609">
        <v>9.1769999999999996</v>
      </c>
      <c r="U2609">
        <v>9.3510000000000009</v>
      </c>
      <c r="V2609">
        <v>9.5250000000000004</v>
      </c>
      <c r="W2609">
        <v>9.6999999999999993</v>
      </c>
      <c r="X2609">
        <v>9.875</v>
      </c>
      <c r="Y2609">
        <v>10.050000000000001</v>
      </c>
      <c r="Z2609">
        <v>10.225</v>
      </c>
      <c r="AA2609">
        <v>10.401</v>
      </c>
      <c r="AB2609">
        <v>10.576000000000001</v>
      </c>
      <c r="AC2609">
        <v>10.752000000000001</v>
      </c>
      <c r="AD2609">
        <v>10.928000000000001</v>
      </c>
    </row>
    <row r="2610" spans="2:30" x14ac:dyDescent="0.25">
      <c r="B2610" t="s">
        <v>133</v>
      </c>
      <c r="C2610" t="s">
        <v>3263</v>
      </c>
      <c r="D2610" t="s">
        <v>4007</v>
      </c>
      <c r="E2610" t="s">
        <v>4008</v>
      </c>
      <c r="F2610" t="s">
        <v>8478</v>
      </c>
      <c r="G2610" t="s">
        <v>3890</v>
      </c>
      <c r="H2610" t="s">
        <v>3984</v>
      </c>
      <c r="I2610" t="s">
        <v>4002</v>
      </c>
      <c r="J2610">
        <v>1</v>
      </c>
      <c r="K2610">
        <v>98.35</v>
      </c>
      <c r="L2610">
        <v>91.561000000000007</v>
      </c>
      <c r="M2610">
        <v>108.026</v>
      </c>
      <c r="N2610">
        <v>110.483</v>
      </c>
      <c r="O2610">
        <v>109.17700000000001</v>
      </c>
      <c r="P2610">
        <v>109.47</v>
      </c>
      <c r="Q2610">
        <v>112.87</v>
      </c>
      <c r="R2610">
        <v>116.583</v>
      </c>
      <c r="S2610">
        <v>119.92400000000001</v>
      </c>
      <c r="T2610">
        <v>123.384</v>
      </c>
      <c r="U2610">
        <v>127.047</v>
      </c>
      <c r="V2610">
        <v>131.107</v>
      </c>
      <c r="W2610">
        <v>135.553</v>
      </c>
      <c r="X2610">
        <v>140.499</v>
      </c>
      <c r="Y2610">
        <v>145.958</v>
      </c>
      <c r="Z2610">
        <v>152.05799999999999</v>
      </c>
      <c r="AA2610">
        <v>158.898</v>
      </c>
      <c r="AB2610">
        <v>166.62200000000001</v>
      </c>
      <c r="AC2610">
        <v>175.40100000000001</v>
      </c>
      <c r="AD2610">
        <v>184.23699999999999</v>
      </c>
    </row>
    <row r="2611" spans="2:30" x14ac:dyDescent="0.25">
      <c r="B2611" t="s">
        <v>133</v>
      </c>
      <c r="C2611" t="s">
        <v>3263</v>
      </c>
      <c r="D2611" t="s">
        <v>4010</v>
      </c>
      <c r="E2611" t="s">
        <v>4011</v>
      </c>
      <c r="F2611" t="s">
        <v>8479</v>
      </c>
      <c r="G2611" t="s">
        <v>3890</v>
      </c>
      <c r="H2611" t="s">
        <v>3984</v>
      </c>
      <c r="I2611" t="s">
        <v>4002</v>
      </c>
      <c r="J2611">
        <v>1</v>
      </c>
      <c r="K2611">
        <v>24.14</v>
      </c>
      <c r="L2611">
        <v>23.181999999999999</v>
      </c>
      <c r="M2611">
        <v>24.550999999999998</v>
      </c>
      <c r="N2611">
        <v>31.274000000000001</v>
      </c>
      <c r="O2611">
        <v>31.376000000000001</v>
      </c>
      <c r="P2611">
        <v>31.510999999999999</v>
      </c>
      <c r="Q2611">
        <v>31.709</v>
      </c>
      <c r="R2611">
        <v>31.913</v>
      </c>
      <c r="S2611">
        <v>32.106999999999999</v>
      </c>
      <c r="T2611">
        <v>32.320999999999998</v>
      </c>
      <c r="U2611">
        <v>32.558</v>
      </c>
      <c r="V2611">
        <v>32.817999999999998</v>
      </c>
      <c r="W2611">
        <v>33.103000000000002</v>
      </c>
      <c r="X2611">
        <v>33.414000000000001</v>
      </c>
      <c r="Y2611">
        <v>33.753</v>
      </c>
      <c r="Z2611">
        <v>34.119</v>
      </c>
      <c r="AA2611">
        <v>34.515000000000001</v>
      </c>
      <c r="AB2611">
        <v>34.942</v>
      </c>
      <c r="AC2611">
        <v>35.401000000000003</v>
      </c>
      <c r="AD2611">
        <v>35.893000000000001</v>
      </c>
    </row>
    <row r="2612" spans="2:30" x14ac:dyDescent="0.25">
      <c r="B2612" t="s">
        <v>133</v>
      </c>
      <c r="C2612" t="s">
        <v>3263</v>
      </c>
      <c r="D2612" t="s">
        <v>4013</v>
      </c>
      <c r="E2612" t="s">
        <v>4014</v>
      </c>
      <c r="F2612" t="s">
        <v>8480</v>
      </c>
      <c r="G2612" t="s">
        <v>3890</v>
      </c>
      <c r="H2612" t="s">
        <v>3984</v>
      </c>
      <c r="I2612" t="s">
        <v>4002</v>
      </c>
      <c r="J2612">
        <v>1</v>
      </c>
      <c r="K2612">
        <v>20.114000000000001</v>
      </c>
      <c r="L2612">
        <v>19.417999999999999</v>
      </c>
      <c r="M2612">
        <v>19.018999999999998</v>
      </c>
      <c r="N2612">
        <v>18.347000000000001</v>
      </c>
      <c r="O2612">
        <v>18.707999999999998</v>
      </c>
      <c r="P2612">
        <v>20.507000000000001</v>
      </c>
      <c r="Q2612">
        <v>22.451000000000001</v>
      </c>
      <c r="R2612">
        <v>24.555</v>
      </c>
      <c r="S2612">
        <v>27.065000000000001</v>
      </c>
      <c r="T2612">
        <v>30.032</v>
      </c>
      <c r="U2612">
        <v>33.237000000000002</v>
      </c>
      <c r="V2612">
        <v>36.664000000000001</v>
      </c>
      <c r="W2612">
        <v>40.293999999999997</v>
      </c>
      <c r="X2612">
        <v>44.106999999999999</v>
      </c>
      <c r="Y2612">
        <v>48.079000000000001</v>
      </c>
      <c r="Z2612">
        <v>52.244</v>
      </c>
      <c r="AA2612">
        <v>56.597000000000001</v>
      </c>
      <c r="AB2612">
        <v>61.13</v>
      </c>
      <c r="AC2612">
        <v>65.838999999999999</v>
      </c>
      <c r="AD2612">
        <v>70.632999999999996</v>
      </c>
    </row>
    <row r="2613" spans="2:30" x14ac:dyDescent="0.25">
      <c r="B2613" t="s">
        <v>133</v>
      </c>
      <c r="C2613" t="s">
        <v>3263</v>
      </c>
      <c r="D2613" t="s">
        <v>4016</v>
      </c>
      <c r="E2613" t="s">
        <v>4017</v>
      </c>
      <c r="F2613" t="s">
        <v>8481</v>
      </c>
      <c r="G2613" t="s">
        <v>3890</v>
      </c>
      <c r="H2613" t="s">
        <v>3984</v>
      </c>
      <c r="I2613" t="s">
        <v>4002</v>
      </c>
      <c r="J2613">
        <v>1</v>
      </c>
      <c r="K2613">
        <v>44.502000000000002</v>
      </c>
      <c r="L2613">
        <v>47.332999999999998</v>
      </c>
      <c r="M2613">
        <v>51.197000000000003</v>
      </c>
      <c r="N2613">
        <v>50.457000000000001</v>
      </c>
      <c r="O2613">
        <v>52.56</v>
      </c>
      <c r="P2613">
        <v>55.807000000000002</v>
      </c>
      <c r="Q2613">
        <v>59.393999999999998</v>
      </c>
      <c r="R2613">
        <v>63.215000000000003</v>
      </c>
      <c r="S2613">
        <v>67.629000000000005</v>
      </c>
      <c r="T2613">
        <v>72.774000000000001</v>
      </c>
      <c r="U2613">
        <v>78.337999999999994</v>
      </c>
      <c r="V2613">
        <v>84.293000000000006</v>
      </c>
      <c r="W2613">
        <v>90.563000000000002</v>
      </c>
      <c r="X2613">
        <v>97.16</v>
      </c>
      <c r="Y2613">
        <v>104.06</v>
      </c>
      <c r="Z2613">
        <v>111.29600000000001</v>
      </c>
      <c r="AA2613">
        <v>118.867</v>
      </c>
      <c r="AB2613">
        <v>126.78700000000001</v>
      </c>
      <c r="AC2613">
        <v>135.071</v>
      </c>
      <c r="AD2613">
        <v>143.696</v>
      </c>
    </row>
    <row r="2614" spans="2:30" x14ac:dyDescent="0.25">
      <c r="B2614" t="s">
        <v>133</v>
      </c>
      <c r="C2614" t="s">
        <v>3263</v>
      </c>
      <c r="D2614" t="s">
        <v>4019</v>
      </c>
      <c r="E2614" t="s">
        <v>4020</v>
      </c>
      <c r="F2614" t="s">
        <v>8482</v>
      </c>
      <c r="G2614" t="s">
        <v>3890</v>
      </c>
      <c r="H2614" t="s">
        <v>3984</v>
      </c>
      <c r="I2614" t="s">
        <v>4002</v>
      </c>
      <c r="J2614">
        <v>1</v>
      </c>
      <c r="K2614">
        <v>15.176</v>
      </c>
      <c r="L2614">
        <v>17.062999999999999</v>
      </c>
      <c r="M2614">
        <v>20.57</v>
      </c>
      <c r="N2614">
        <v>21.077999999999999</v>
      </c>
      <c r="O2614">
        <v>21.573</v>
      </c>
      <c r="P2614">
        <v>22.155999999999999</v>
      </c>
      <c r="Q2614">
        <v>22.846</v>
      </c>
      <c r="R2614">
        <v>23.507000000000001</v>
      </c>
      <c r="S2614">
        <v>24.126000000000001</v>
      </c>
      <c r="T2614">
        <v>24.75</v>
      </c>
      <c r="U2614">
        <v>25.381</v>
      </c>
      <c r="V2614">
        <v>26.02</v>
      </c>
      <c r="W2614">
        <v>26.666</v>
      </c>
      <c r="X2614">
        <v>27.32</v>
      </c>
      <c r="Y2614">
        <v>27.98</v>
      </c>
      <c r="Z2614">
        <v>28.646999999999998</v>
      </c>
      <c r="AA2614">
        <v>29.321000000000002</v>
      </c>
      <c r="AB2614">
        <v>30.001000000000001</v>
      </c>
      <c r="AC2614">
        <v>30.687999999999999</v>
      </c>
      <c r="AD2614">
        <v>31.381</v>
      </c>
    </row>
    <row r="2615" spans="2:30" x14ac:dyDescent="0.25">
      <c r="B2615" t="s">
        <v>133</v>
      </c>
      <c r="C2615" t="s">
        <v>3263</v>
      </c>
      <c r="D2615" t="s">
        <v>4022</v>
      </c>
      <c r="E2615" t="s">
        <v>4023</v>
      </c>
      <c r="F2615" t="s">
        <v>8483</v>
      </c>
      <c r="G2615" t="s">
        <v>3890</v>
      </c>
      <c r="H2615" t="s">
        <v>3984</v>
      </c>
      <c r="I2615" t="s">
        <v>4002</v>
      </c>
      <c r="J2615">
        <v>1</v>
      </c>
      <c r="K2615">
        <v>1.855</v>
      </c>
      <c r="L2615">
        <v>2.1720000000000002</v>
      </c>
      <c r="M2615">
        <v>2.4140000000000001</v>
      </c>
      <c r="N2615">
        <v>2.5019999999999998</v>
      </c>
      <c r="O2615">
        <v>2.59</v>
      </c>
      <c r="P2615">
        <v>2.6960000000000002</v>
      </c>
      <c r="Q2615">
        <v>2.8250000000000002</v>
      </c>
      <c r="R2615">
        <v>2.9510000000000001</v>
      </c>
      <c r="S2615">
        <v>3.0720000000000001</v>
      </c>
      <c r="T2615">
        <v>3.1970000000000001</v>
      </c>
      <c r="U2615">
        <v>3.3250000000000002</v>
      </c>
      <c r="V2615">
        <v>3.456</v>
      </c>
      <c r="W2615">
        <v>3.59</v>
      </c>
      <c r="X2615">
        <v>3.7280000000000002</v>
      </c>
      <c r="Y2615">
        <v>3.8690000000000002</v>
      </c>
      <c r="Z2615">
        <v>4.0140000000000002</v>
      </c>
      <c r="AA2615">
        <v>4.1619999999999999</v>
      </c>
      <c r="AB2615">
        <v>4.3129999999999997</v>
      </c>
      <c r="AC2615">
        <v>4.4669999999999996</v>
      </c>
      <c r="AD2615">
        <v>4.625</v>
      </c>
    </row>
    <row r="2616" spans="2:30" x14ac:dyDescent="0.25">
      <c r="B2616" t="s">
        <v>133</v>
      </c>
      <c r="C2616" t="s">
        <v>3263</v>
      </c>
      <c r="D2616" t="s">
        <v>3316</v>
      </c>
      <c r="E2616" t="s">
        <v>3317</v>
      </c>
      <c r="F2616" t="s">
        <v>8484</v>
      </c>
      <c r="G2616" t="s">
        <v>3890</v>
      </c>
      <c r="H2616" t="s">
        <v>3984</v>
      </c>
      <c r="I2616" t="s">
        <v>4002</v>
      </c>
      <c r="J2616">
        <v>1</v>
      </c>
      <c r="K2616">
        <v>82.215000000000003</v>
      </c>
      <c r="L2616">
        <v>78.528000000000006</v>
      </c>
      <c r="M2616">
        <v>90.745999999999995</v>
      </c>
      <c r="N2616">
        <v>95.173000000000002</v>
      </c>
      <c r="O2616">
        <v>92.543999999999997</v>
      </c>
      <c r="P2616">
        <v>91.198999999999998</v>
      </c>
      <c r="Q2616">
        <v>92.68</v>
      </c>
      <c r="R2616">
        <v>94.536000000000001</v>
      </c>
      <c r="S2616">
        <v>96.091999999999999</v>
      </c>
      <c r="T2616">
        <v>97.725999999999999</v>
      </c>
      <c r="U2616">
        <v>99.531000000000006</v>
      </c>
      <c r="V2616">
        <v>101.702</v>
      </c>
      <c r="W2616">
        <v>104.23099999999999</v>
      </c>
      <c r="X2616">
        <v>107.23399999999999</v>
      </c>
      <c r="Y2616">
        <v>110.72499999999999</v>
      </c>
      <c r="Z2616">
        <v>114.83499999999999</v>
      </c>
      <c r="AA2616">
        <v>119.66200000000001</v>
      </c>
      <c r="AB2616">
        <v>125.354</v>
      </c>
      <c r="AC2616">
        <v>132.08099999999999</v>
      </c>
      <c r="AD2616">
        <v>138.85300000000001</v>
      </c>
    </row>
    <row r="2617" spans="2:30" x14ac:dyDescent="0.25">
      <c r="B2617" t="s">
        <v>133</v>
      </c>
      <c r="C2617" t="s">
        <v>3263</v>
      </c>
      <c r="D2617" t="s">
        <v>3352</v>
      </c>
      <c r="E2617" t="s">
        <v>3353</v>
      </c>
      <c r="F2617" t="s">
        <v>8485</v>
      </c>
      <c r="G2617" t="s">
        <v>3890</v>
      </c>
      <c r="H2617" t="s">
        <v>3984</v>
      </c>
      <c r="I2617" t="s">
        <v>4002</v>
      </c>
      <c r="J2617">
        <v>1</v>
      </c>
      <c r="K2617">
        <v>52.970999999999997</v>
      </c>
      <c r="L2617">
        <v>52.003</v>
      </c>
      <c r="M2617">
        <v>51.097000000000001</v>
      </c>
      <c r="N2617">
        <v>49.530999999999999</v>
      </c>
      <c r="O2617">
        <v>51.664000000000001</v>
      </c>
      <c r="P2617">
        <v>56.411999999999999</v>
      </c>
      <c r="Q2617">
        <v>61.591999999999999</v>
      </c>
      <c r="R2617">
        <v>67.200999999999993</v>
      </c>
      <c r="S2617">
        <v>73.864999999999995</v>
      </c>
      <c r="T2617">
        <v>81.745000000000005</v>
      </c>
      <c r="U2617">
        <v>90.299000000000007</v>
      </c>
      <c r="V2617">
        <v>99.477999999999994</v>
      </c>
      <c r="W2617">
        <v>109.19</v>
      </c>
      <c r="X2617">
        <v>119.425</v>
      </c>
      <c r="Y2617">
        <v>130.13200000000001</v>
      </c>
      <c r="Z2617">
        <v>141.38200000000001</v>
      </c>
      <c r="AA2617">
        <v>153.16800000000001</v>
      </c>
      <c r="AB2617">
        <v>165.49600000000001</v>
      </c>
      <c r="AC2617">
        <v>178.37700000000001</v>
      </c>
      <c r="AD2617">
        <v>191.69200000000001</v>
      </c>
    </row>
    <row r="2618" spans="2:30" x14ac:dyDescent="0.25">
      <c r="B2618" t="s">
        <v>133</v>
      </c>
      <c r="C2618" t="s">
        <v>3263</v>
      </c>
      <c r="D2618" t="s">
        <v>3328</v>
      </c>
      <c r="E2618" t="s">
        <v>3329</v>
      </c>
      <c r="F2618" t="s">
        <v>8486</v>
      </c>
      <c r="G2618" t="s">
        <v>3890</v>
      </c>
      <c r="H2618" t="s">
        <v>3984</v>
      </c>
      <c r="I2618" t="s">
        <v>4002</v>
      </c>
      <c r="J2618">
        <v>1</v>
      </c>
      <c r="K2618">
        <v>15.803000000000001</v>
      </c>
      <c r="L2618">
        <v>17.407</v>
      </c>
      <c r="M2618">
        <v>21.786000000000001</v>
      </c>
      <c r="N2618">
        <v>22.128</v>
      </c>
      <c r="O2618">
        <v>22.457000000000001</v>
      </c>
      <c r="P2618">
        <v>22.846</v>
      </c>
      <c r="Q2618">
        <v>23.306999999999999</v>
      </c>
      <c r="R2618">
        <v>23.741</v>
      </c>
      <c r="S2618">
        <v>24.14</v>
      </c>
      <c r="T2618">
        <v>24.538</v>
      </c>
      <c r="U2618">
        <v>24.936</v>
      </c>
      <c r="V2618">
        <v>25.335000000000001</v>
      </c>
      <c r="W2618">
        <v>25.734000000000002</v>
      </c>
      <c r="X2618">
        <v>26.132999999999999</v>
      </c>
      <c r="Y2618">
        <v>26.533000000000001</v>
      </c>
      <c r="Z2618">
        <v>26.931999999999999</v>
      </c>
      <c r="AA2618">
        <v>27.331</v>
      </c>
      <c r="AB2618">
        <v>27.731000000000002</v>
      </c>
      <c r="AC2618">
        <v>28.129000000000001</v>
      </c>
      <c r="AD2618">
        <v>28.527999999999999</v>
      </c>
    </row>
    <row r="2619" spans="2:30" x14ac:dyDescent="0.25">
      <c r="B2619" t="s">
        <v>133</v>
      </c>
      <c r="C2619" t="s">
        <v>3263</v>
      </c>
      <c r="D2619" t="s">
        <v>3304</v>
      </c>
      <c r="E2619" t="s">
        <v>3305</v>
      </c>
      <c r="F2619" t="s">
        <v>8487</v>
      </c>
      <c r="G2619" t="s">
        <v>3890</v>
      </c>
      <c r="H2619" t="s">
        <v>3984</v>
      </c>
      <c r="I2619" t="s">
        <v>4002</v>
      </c>
      <c r="J2619">
        <v>1</v>
      </c>
      <c r="K2619">
        <v>59.633000000000003</v>
      </c>
      <c r="L2619">
        <v>58.865000000000002</v>
      </c>
      <c r="M2619">
        <v>69.37</v>
      </c>
      <c r="N2619">
        <v>74.998999999999995</v>
      </c>
      <c r="O2619">
        <v>77.138999999999996</v>
      </c>
      <c r="P2619">
        <v>79.643000000000001</v>
      </c>
      <c r="Q2619">
        <v>82.683999999999997</v>
      </c>
      <c r="R2619">
        <v>85.623000000000005</v>
      </c>
      <c r="S2619">
        <v>88.399000000000001</v>
      </c>
      <c r="T2619">
        <v>91.215999999999994</v>
      </c>
      <c r="U2619">
        <v>94.063000000000002</v>
      </c>
      <c r="V2619">
        <v>96.96</v>
      </c>
      <c r="W2619">
        <v>99.908000000000001</v>
      </c>
      <c r="X2619">
        <v>102.907</v>
      </c>
      <c r="Y2619">
        <v>105.95399999999999</v>
      </c>
      <c r="Z2619">
        <v>109.051</v>
      </c>
      <c r="AA2619">
        <v>112.197</v>
      </c>
      <c r="AB2619">
        <v>115.39100000000001</v>
      </c>
      <c r="AC2619">
        <v>118.633</v>
      </c>
      <c r="AD2619">
        <v>121.922</v>
      </c>
    </row>
    <row r="2620" spans="2:30" x14ac:dyDescent="0.25">
      <c r="B2620" t="s">
        <v>133</v>
      </c>
      <c r="C2620" t="s">
        <v>3263</v>
      </c>
      <c r="D2620" t="s">
        <v>4029</v>
      </c>
      <c r="E2620" t="s">
        <v>4030</v>
      </c>
      <c r="F2620" t="s">
        <v>8488</v>
      </c>
      <c r="G2620" t="s">
        <v>3890</v>
      </c>
      <c r="H2620" t="s">
        <v>3984</v>
      </c>
      <c r="I2620" t="s">
        <v>4002</v>
      </c>
      <c r="J2620">
        <v>1</v>
      </c>
      <c r="K2620">
        <v>0.29399999999999998</v>
      </c>
      <c r="L2620">
        <v>0.26800000000000002</v>
      </c>
      <c r="M2620">
        <v>0.317</v>
      </c>
      <c r="N2620">
        <v>0.41699999999999998</v>
      </c>
      <c r="O2620">
        <v>0.41599999999999998</v>
      </c>
      <c r="P2620">
        <v>0.41499999999999998</v>
      </c>
      <c r="Q2620">
        <v>0.41399999999999998</v>
      </c>
      <c r="R2620">
        <v>0.41199999999999998</v>
      </c>
      <c r="S2620">
        <v>0.41099999999999998</v>
      </c>
      <c r="T2620">
        <v>0.41</v>
      </c>
      <c r="U2620">
        <v>0.40899999999999997</v>
      </c>
      <c r="V2620">
        <v>0.40799999999999997</v>
      </c>
      <c r="W2620">
        <v>0.40600000000000003</v>
      </c>
      <c r="X2620">
        <v>0.40500000000000003</v>
      </c>
      <c r="Y2620">
        <v>0.40400000000000003</v>
      </c>
      <c r="Z2620">
        <v>0.40300000000000002</v>
      </c>
      <c r="AA2620">
        <v>0.40100000000000002</v>
      </c>
      <c r="AB2620">
        <v>0.4</v>
      </c>
      <c r="AC2620">
        <v>0.39900000000000002</v>
      </c>
      <c r="AD2620">
        <v>0.39800000000000002</v>
      </c>
    </row>
    <row r="2621" spans="2:30" x14ac:dyDescent="0.25">
      <c r="B2621" t="s">
        <v>133</v>
      </c>
      <c r="C2621" t="s">
        <v>3263</v>
      </c>
      <c r="D2621" t="s">
        <v>4032</v>
      </c>
      <c r="E2621" t="s">
        <v>4033</v>
      </c>
      <c r="F2621" t="s">
        <v>8489</v>
      </c>
      <c r="G2621" t="s">
        <v>3890</v>
      </c>
      <c r="H2621" t="s">
        <v>3984</v>
      </c>
      <c r="I2621" t="s">
        <v>3985</v>
      </c>
      <c r="J2621">
        <v>2</v>
      </c>
      <c r="K2621">
        <v>400.91199999999998</v>
      </c>
      <c r="L2621">
        <v>412.10199999999998</v>
      </c>
      <c r="M2621">
        <v>450.92099999999999</v>
      </c>
      <c r="N2621">
        <v>467.512</v>
      </c>
      <c r="O2621">
        <v>461.35500000000002</v>
      </c>
      <c r="P2621">
        <v>471.52</v>
      </c>
      <c r="Q2621">
        <v>484.11799999999999</v>
      </c>
      <c r="R2621">
        <v>495.61500000000001</v>
      </c>
      <c r="S2621">
        <v>507.45400000000001</v>
      </c>
      <c r="T2621">
        <v>520.98900000000003</v>
      </c>
      <c r="U2621">
        <v>536.07000000000005</v>
      </c>
      <c r="V2621">
        <v>553.33699999999999</v>
      </c>
      <c r="W2621">
        <v>571.69500000000005</v>
      </c>
      <c r="X2621">
        <v>591.26099999999997</v>
      </c>
      <c r="Y2621">
        <v>611.98099999999999</v>
      </c>
      <c r="Z2621">
        <v>634.06700000000001</v>
      </c>
      <c r="AA2621">
        <v>657.59699999999998</v>
      </c>
      <c r="AB2621">
        <v>682.83</v>
      </c>
      <c r="AC2621">
        <v>709.40700000000004</v>
      </c>
      <c r="AD2621">
        <v>736.61300000000006</v>
      </c>
    </row>
    <row r="2622" spans="2:30" x14ac:dyDescent="0.25">
      <c r="B2622" t="s">
        <v>133</v>
      </c>
      <c r="C2622" t="s">
        <v>3263</v>
      </c>
      <c r="D2622" t="s">
        <v>3393</v>
      </c>
      <c r="E2622" t="s">
        <v>3394</v>
      </c>
      <c r="F2622" t="s">
        <v>8490</v>
      </c>
      <c r="G2622" t="s">
        <v>3890</v>
      </c>
      <c r="H2622" t="s">
        <v>3984</v>
      </c>
      <c r="I2622" t="s">
        <v>3985</v>
      </c>
      <c r="J2622">
        <v>2</v>
      </c>
      <c r="K2622">
        <v>400.91199999999998</v>
      </c>
      <c r="L2622">
        <v>412.10199999999998</v>
      </c>
      <c r="M2622">
        <v>450.92099999999999</v>
      </c>
      <c r="N2622">
        <v>467.512</v>
      </c>
      <c r="O2622">
        <v>461.35500000000002</v>
      </c>
      <c r="P2622">
        <v>471.52</v>
      </c>
      <c r="Q2622">
        <v>484.11799999999999</v>
      </c>
      <c r="R2622">
        <v>495.61500000000001</v>
      </c>
      <c r="S2622">
        <v>507.45400000000001</v>
      </c>
      <c r="T2622">
        <v>520.98900000000003</v>
      </c>
      <c r="U2622">
        <v>536.07000000000005</v>
      </c>
      <c r="V2622">
        <v>553.33699999999999</v>
      </c>
      <c r="W2622">
        <v>571.69500000000005</v>
      </c>
      <c r="X2622">
        <v>591.26099999999997</v>
      </c>
      <c r="Y2622">
        <v>611.98099999999999</v>
      </c>
      <c r="Z2622">
        <v>634.06700000000001</v>
      </c>
      <c r="AA2622">
        <v>657.59699999999998</v>
      </c>
      <c r="AB2622">
        <v>682.83</v>
      </c>
      <c r="AC2622">
        <v>709.40700000000004</v>
      </c>
      <c r="AD2622">
        <v>736.61300000000006</v>
      </c>
    </row>
    <row r="2623" spans="2:30" x14ac:dyDescent="0.25">
      <c r="B2623" t="s">
        <v>133</v>
      </c>
      <c r="C2623" t="s">
        <v>3263</v>
      </c>
      <c r="D2623" t="s">
        <v>4036</v>
      </c>
      <c r="E2623" t="s">
        <v>4037</v>
      </c>
      <c r="F2623" t="s">
        <v>8491</v>
      </c>
      <c r="G2623" t="s">
        <v>3890</v>
      </c>
      <c r="H2623" t="s">
        <v>3984</v>
      </c>
      <c r="I2623" t="s">
        <v>3985</v>
      </c>
      <c r="J2623">
        <v>2</v>
      </c>
      <c r="K2623">
        <v>213.93899999999999</v>
      </c>
      <c r="L2623">
        <v>210.13</v>
      </c>
      <c r="M2623">
        <v>236.54499999999999</v>
      </c>
      <c r="N2623">
        <v>245.529</v>
      </c>
      <c r="O2623">
        <v>240.447</v>
      </c>
      <c r="P2623">
        <v>245.72200000000001</v>
      </c>
      <c r="Q2623">
        <v>253.69399999999999</v>
      </c>
      <c r="R2623">
        <v>261.17200000000003</v>
      </c>
      <c r="S2623">
        <v>269.11599999999999</v>
      </c>
      <c r="T2623">
        <v>278.10899999999998</v>
      </c>
      <c r="U2623">
        <v>287.25900000000001</v>
      </c>
      <c r="V2623">
        <v>297.24799999999999</v>
      </c>
      <c r="W2623">
        <v>307.96800000000002</v>
      </c>
      <c r="X2623">
        <v>319.53199999999998</v>
      </c>
      <c r="Y2623">
        <v>331.88799999999998</v>
      </c>
      <c r="Z2623">
        <v>345.24400000000003</v>
      </c>
      <c r="AA2623">
        <v>359.67099999999999</v>
      </c>
      <c r="AB2623">
        <v>375.42500000000001</v>
      </c>
      <c r="AC2623">
        <v>392.13499999999999</v>
      </c>
      <c r="AD2623">
        <v>409.07799999999997</v>
      </c>
    </row>
    <row r="2624" spans="2:30" x14ac:dyDescent="0.25">
      <c r="B2624" t="s">
        <v>133</v>
      </c>
      <c r="C2624" t="s">
        <v>3263</v>
      </c>
      <c r="D2624" t="s">
        <v>3381</v>
      </c>
      <c r="E2624" t="s">
        <v>3382</v>
      </c>
      <c r="F2624" t="s">
        <v>8492</v>
      </c>
      <c r="G2624" t="s">
        <v>3890</v>
      </c>
      <c r="H2624" t="s">
        <v>3984</v>
      </c>
      <c r="I2624" t="s">
        <v>3985</v>
      </c>
      <c r="J2624">
        <v>2</v>
      </c>
      <c r="K2624">
        <v>52.2</v>
      </c>
      <c r="L2624">
        <v>56.902999999999999</v>
      </c>
      <c r="M2624">
        <v>67.058999999999997</v>
      </c>
      <c r="N2624">
        <v>72.5</v>
      </c>
      <c r="O2624">
        <v>69.346000000000004</v>
      </c>
      <c r="P2624">
        <v>71.870999999999995</v>
      </c>
      <c r="Q2624">
        <v>73.316999999999993</v>
      </c>
      <c r="R2624">
        <v>74.043999999999997</v>
      </c>
      <c r="S2624">
        <v>74.596999999999994</v>
      </c>
      <c r="T2624">
        <v>75.245000000000005</v>
      </c>
      <c r="U2624">
        <v>75.64</v>
      </c>
      <c r="V2624">
        <v>76.146000000000001</v>
      </c>
      <c r="W2624">
        <v>76.75</v>
      </c>
      <c r="X2624">
        <v>77.447000000000003</v>
      </c>
      <c r="Y2624">
        <v>78.224999999999994</v>
      </c>
      <c r="Z2624">
        <v>79.078000000000003</v>
      </c>
      <c r="AA2624">
        <v>79.998000000000005</v>
      </c>
      <c r="AB2624">
        <v>80.980999999999995</v>
      </c>
      <c r="AC2624">
        <v>82.025999999999996</v>
      </c>
      <c r="AD2624">
        <v>83.128</v>
      </c>
    </row>
    <row r="2625" spans="2:30" x14ac:dyDescent="0.25">
      <c r="B2625" t="s">
        <v>133</v>
      </c>
      <c r="C2625" t="s">
        <v>3263</v>
      </c>
      <c r="D2625" t="s">
        <v>4040</v>
      </c>
      <c r="E2625" t="s">
        <v>4041</v>
      </c>
      <c r="F2625" t="s">
        <v>8493</v>
      </c>
      <c r="G2625" t="s">
        <v>3890</v>
      </c>
      <c r="H2625" t="s">
        <v>3984</v>
      </c>
      <c r="I2625" t="s">
        <v>3985</v>
      </c>
      <c r="J2625">
        <v>2</v>
      </c>
      <c r="K2625">
        <v>41.563000000000002</v>
      </c>
      <c r="L2625">
        <v>43.505000000000003</v>
      </c>
      <c r="M2625">
        <v>44.234000000000002</v>
      </c>
      <c r="N2625">
        <v>44.884999999999998</v>
      </c>
      <c r="O2625">
        <v>45.613999999999997</v>
      </c>
      <c r="P2625">
        <v>46.396000000000001</v>
      </c>
      <c r="Q2625">
        <v>47.424999999999997</v>
      </c>
      <c r="R2625">
        <v>48.523000000000003</v>
      </c>
      <c r="S2625">
        <v>49.628</v>
      </c>
      <c r="T2625">
        <v>50.835999999999999</v>
      </c>
      <c r="U2625">
        <v>52.454000000000001</v>
      </c>
      <c r="V2625">
        <v>54.396999999999998</v>
      </c>
      <c r="W2625">
        <v>56.408000000000001</v>
      </c>
      <c r="X2625">
        <v>58.49</v>
      </c>
      <c r="Y2625">
        <v>60.645000000000003</v>
      </c>
      <c r="Z2625">
        <v>62.874000000000002</v>
      </c>
      <c r="AA2625">
        <v>65.180999999999997</v>
      </c>
      <c r="AB2625">
        <v>67.566999999999993</v>
      </c>
      <c r="AC2625">
        <v>70.034999999999997</v>
      </c>
      <c r="AD2625">
        <v>72.587999999999994</v>
      </c>
    </row>
    <row r="2626" spans="2:30" x14ac:dyDescent="0.25">
      <c r="B2626" t="s">
        <v>133</v>
      </c>
      <c r="C2626" t="s">
        <v>3263</v>
      </c>
      <c r="D2626" t="s">
        <v>4043</v>
      </c>
      <c r="E2626" t="s">
        <v>4044</v>
      </c>
      <c r="F2626" t="s">
        <v>8494</v>
      </c>
      <c r="G2626" t="s">
        <v>3890</v>
      </c>
      <c r="H2626" t="s">
        <v>3984</v>
      </c>
      <c r="I2626" t="s">
        <v>3985</v>
      </c>
      <c r="J2626">
        <v>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2:30" x14ac:dyDescent="0.25">
      <c r="B2627" t="s">
        <v>133</v>
      </c>
      <c r="C2627" t="s">
        <v>3263</v>
      </c>
      <c r="D2627" t="s">
        <v>4046</v>
      </c>
      <c r="E2627" t="s">
        <v>4047</v>
      </c>
      <c r="F2627" t="s">
        <v>8495</v>
      </c>
      <c r="G2627" t="s">
        <v>3890</v>
      </c>
      <c r="H2627" t="s">
        <v>3984</v>
      </c>
      <c r="I2627" t="s">
        <v>3985</v>
      </c>
      <c r="J2627">
        <v>2</v>
      </c>
      <c r="K2627">
        <v>93.209000000000003</v>
      </c>
      <c r="L2627">
        <v>101.56399999999999</v>
      </c>
      <c r="M2627">
        <v>103.083</v>
      </c>
      <c r="N2627">
        <v>104.59699999999999</v>
      </c>
      <c r="O2627">
        <v>105.94799999999999</v>
      </c>
      <c r="P2627">
        <v>107.53100000000001</v>
      </c>
      <c r="Q2627">
        <v>109.682</v>
      </c>
      <c r="R2627">
        <v>111.875</v>
      </c>
      <c r="S2627">
        <v>114.113</v>
      </c>
      <c r="T2627">
        <v>116.798</v>
      </c>
      <c r="U2627">
        <v>120.718</v>
      </c>
      <c r="V2627">
        <v>125.54600000000001</v>
      </c>
      <c r="W2627">
        <v>130.56800000000001</v>
      </c>
      <c r="X2627">
        <v>135.791</v>
      </c>
      <c r="Y2627">
        <v>141.22300000000001</v>
      </c>
      <c r="Z2627">
        <v>146.87200000000001</v>
      </c>
      <c r="AA2627">
        <v>152.74600000000001</v>
      </c>
      <c r="AB2627">
        <v>158.85599999999999</v>
      </c>
      <c r="AC2627">
        <v>165.21</v>
      </c>
      <c r="AD2627">
        <v>171.81899999999999</v>
      </c>
    </row>
    <row r="2628" spans="2:30" x14ac:dyDescent="0.25">
      <c r="B2628" t="s">
        <v>133</v>
      </c>
      <c r="C2628" t="s">
        <v>3263</v>
      </c>
      <c r="D2628" t="s">
        <v>4049</v>
      </c>
      <c r="E2628" t="s">
        <v>3347</v>
      </c>
      <c r="F2628" t="s">
        <v>8496</v>
      </c>
      <c r="G2628" t="s">
        <v>3890</v>
      </c>
      <c r="H2628" t="s">
        <v>3984</v>
      </c>
      <c r="I2628" t="s">
        <v>4002</v>
      </c>
      <c r="J2628">
        <v>2</v>
      </c>
      <c r="K2628">
        <v>307.637</v>
      </c>
      <c r="L2628">
        <v>315.62200000000001</v>
      </c>
      <c r="M2628">
        <v>350.60199999999998</v>
      </c>
      <c r="N2628">
        <v>364.72</v>
      </c>
      <c r="O2628">
        <v>358.14499999999998</v>
      </c>
      <c r="P2628">
        <v>366.15600000000001</v>
      </c>
      <c r="Q2628">
        <v>376.565</v>
      </c>
      <c r="R2628">
        <v>385.96199999999999</v>
      </c>
      <c r="S2628">
        <v>395.71600000000001</v>
      </c>
      <c r="T2628">
        <v>406.61200000000002</v>
      </c>
      <c r="U2628">
        <v>418.25200000000001</v>
      </c>
      <c r="V2628">
        <v>431.642</v>
      </c>
      <c r="W2628">
        <v>445.95699999999999</v>
      </c>
      <c r="X2628">
        <v>461.30799999999999</v>
      </c>
      <c r="Y2628">
        <v>477.63900000000001</v>
      </c>
      <c r="Z2628">
        <v>495.161</v>
      </c>
      <c r="AA2628">
        <v>513.94200000000001</v>
      </c>
      <c r="AB2628">
        <v>534.23800000000006</v>
      </c>
      <c r="AC2628">
        <v>555.68600000000004</v>
      </c>
      <c r="AD2628">
        <v>577.57000000000005</v>
      </c>
    </row>
    <row r="2629" spans="2:30" x14ac:dyDescent="0.25">
      <c r="B2629" t="s">
        <v>133</v>
      </c>
      <c r="C2629" t="s">
        <v>3263</v>
      </c>
      <c r="D2629" t="s">
        <v>3298</v>
      </c>
      <c r="E2629" t="s">
        <v>3299</v>
      </c>
      <c r="F2629" t="s">
        <v>8497</v>
      </c>
      <c r="G2629" t="s">
        <v>3890</v>
      </c>
      <c r="H2629" t="s">
        <v>3984</v>
      </c>
      <c r="I2629" t="s">
        <v>4002</v>
      </c>
      <c r="J2629">
        <v>2</v>
      </c>
      <c r="K2629">
        <v>210.916</v>
      </c>
      <c r="L2629">
        <v>207.06800000000001</v>
      </c>
      <c r="M2629">
        <v>233.31299999999999</v>
      </c>
      <c r="N2629">
        <v>242.245</v>
      </c>
      <c r="O2629">
        <v>237.191</v>
      </c>
      <c r="P2629">
        <v>242.43600000000001</v>
      </c>
      <c r="Q2629">
        <v>250.36099999999999</v>
      </c>
      <c r="R2629">
        <v>257.79500000000002</v>
      </c>
      <c r="S2629">
        <v>265.69200000000001</v>
      </c>
      <c r="T2629">
        <v>274.63299999999998</v>
      </c>
      <c r="U2629">
        <v>283.74400000000003</v>
      </c>
      <c r="V2629">
        <v>293.68799999999999</v>
      </c>
      <c r="W2629">
        <v>304.36</v>
      </c>
      <c r="X2629">
        <v>315.87099999999998</v>
      </c>
      <c r="Y2629">
        <v>328.16800000000001</v>
      </c>
      <c r="Z2629">
        <v>341.46100000000001</v>
      </c>
      <c r="AA2629">
        <v>355.81900000000002</v>
      </c>
      <c r="AB2629">
        <v>371.49599999999998</v>
      </c>
      <c r="AC2629">
        <v>388.12299999999999</v>
      </c>
      <c r="AD2629">
        <v>404.98099999999999</v>
      </c>
    </row>
    <row r="2630" spans="2:30" x14ac:dyDescent="0.25">
      <c r="B2630" t="s">
        <v>133</v>
      </c>
      <c r="C2630" t="s">
        <v>3263</v>
      </c>
      <c r="D2630" t="s">
        <v>4052</v>
      </c>
      <c r="E2630" t="s">
        <v>4053</v>
      </c>
      <c r="F2630" t="s">
        <v>8498</v>
      </c>
      <c r="G2630" t="s">
        <v>3890</v>
      </c>
      <c r="H2630" t="s">
        <v>3984</v>
      </c>
      <c r="I2630" t="s">
        <v>4002</v>
      </c>
      <c r="J2630">
        <v>2</v>
      </c>
      <c r="K2630">
        <v>6.7770000000000001</v>
      </c>
      <c r="L2630">
        <v>6.3419999999999996</v>
      </c>
      <c r="M2630">
        <v>7.54</v>
      </c>
      <c r="N2630">
        <v>8.1080000000000005</v>
      </c>
      <c r="O2630">
        <v>7.63</v>
      </c>
      <c r="P2630">
        <v>7.5419999999999998</v>
      </c>
      <c r="Q2630">
        <v>7.5289999999999999</v>
      </c>
      <c r="R2630">
        <v>7.5119999999999996</v>
      </c>
      <c r="S2630">
        <v>7.4870000000000001</v>
      </c>
      <c r="T2630">
        <v>7.4649999999999999</v>
      </c>
      <c r="U2630">
        <v>7.4359999999999999</v>
      </c>
      <c r="V2630">
        <v>7.4119999999999999</v>
      </c>
      <c r="W2630">
        <v>7.3920000000000003</v>
      </c>
      <c r="X2630">
        <v>7.3769999999999998</v>
      </c>
      <c r="Y2630">
        <v>7.3659999999999997</v>
      </c>
      <c r="Z2630">
        <v>7.359</v>
      </c>
      <c r="AA2630">
        <v>7.3550000000000004</v>
      </c>
      <c r="AB2630">
        <v>7.3550000000000004</v>
      </c>
      <c r="AC2630">
        <v>7.3579999999999997</v>
      </c>
      <c r="AD2630">
        <v>7.3650000000000002</v>
      </c>
    </row>
    <row r="2631" spans="2:30" x14ac:dyDescent="0.25">
      <c r="B2631" t="s">
        <v>133</v>
      </c>
      <c r="C2631" t="s">
        <v>3263</v>
      </c>
      <c r="D2631" t="s">
        <v>4055</v>
      </c>
      <c r="E2631" t="s">
        <v>4056</v>
      </c>
      <c r="F2631" t="s">
        <v>8499</v>
      </c>
      <c r="G2631" t="s">
        <v>3890</v>
      </c>
      <c r="H2631" t="s">
        <v>3984</v>
      </c>
      <c r="I2631" t="s">
        <v>4002</v>
      </c>
      <c r="J2631">
        <v>2</v>
      </c>
      <c r="K2631">
        <v>98.35</v>
      </c>
      <c r="L2631">
        <v>91.561999999999998</v>
      </c>
      <c r="M2631">
        <v>108.027</v>
      </c>
      <c r="N2631">
        <v>110.485</v>
      </c>
      <c r="O2631">
        <v>107.438</v>
      </c>
      <c r="P2631">
        <v>106.419</v>
      </c>
      <c r="Q2631">
        <v>109.248</v>
      </c>
      <c r="R2631">
        <v>112.113</v>
      </c>
      <c r="S2631">
        <v>114.752</v>
      </c>
      <c r="T2631">
        <v>117.413</v>
      </c>
      <c r="U2631">
        <v>120.24299999999999</v>
      </c>
      <c r="V2631">
        <v>123.489</v>
      </c>
      <c r="W2631">
        <v>127.173</v>
      </c>
      <c r="X2631">
        <v>131.417</v>
      </c>
      <c r="Y2631">
        <v>136.22499999999999</v>
      </c>
      <c r="Z2631">
        <v>141.75299999999999</v>
      </c>
      <c r="AA2631">
        <v>148.089</v>
      </c>
      <c r="AB2631">
        <v>155.48500000000001</v>
      </c>
      <c r="AC2631">
        <v>163.56800000000001</v>
      </c>
      <c r="AD2631">
        <v>171.71299999999999</v>
      </c>
    </row>
    <row r="2632" spans="2:30" x14ac:dyDescent="0.25">
      <c r="B2632" t="s">
        <v>133</v>
      </c>
      <c r="C2632" t="s">
        <v>3263</v>
      </c>
      <c r="D2632" t="s">
        <v>4058</v>
      </c>
      <c r="E2632" t="s">
        <v>4059</v>
      </c>
      <c r="F2632" t="s">
        <v>8500</v>
      </c>
      <c r="G2632" t="s">
        <v>3890</v>
      </c>
      <c r="H2632" t="s">
        <v>3984</v>
      </c>
      <c r="I2632" t="s">
        <v>4002</v>
      </c>
      <c r="J2632">
        <v>2</v>
      </c>
      <c r="K2632">
        <v>24.14</v>
      </c>
      <c r="L2632">
        <v>23.177</v>
      </c>
      <c r="M2632">
        <v>24.545999999999999</v>
      </c>
      <c r="N2632">
        <v>31.27</v>
      </c>
      <c r="O2632">
        <v>29.646000000000001</v>
      </c>
      <c r="P2632">
        <v>31.631</v>
      </c>
      <c r="Q2632">
        <v>31.899000000000001</v>
      </c>
      <c r="R2632">
        <v>31.425999999999998</v>
      </c>
      <c r="S2632">
        <v>30.914000000000001</v>
      </c>
      <c r="T2632">
        <v>30.504000000000001</v>
      </c>
      <c r="U2632">
        <v>29.707999999999998</v>
      </c>
      <c r="V2632">
        <v>29.004999999999999</v>
      </c>
      <c r="W2632">
        <v>28.381</v>
      </c>
      <c r="X2632">
        <v>27.823</v>
      </c>
      <c r="Y2632">
        <v>27.321999999999999</v>
      </c>
      <c r="Z2632">
        <v>26.870999999999999</v>
      </c>
      <c r="AA2632">
        <v>26.463999999999999</v>
      </c>
      <c r="AB2632">
        <v>26.097000000000001</v>
      </c>
      <c r="AC2632">
        <v>25.766999999999999</v>
      </c>
      <c r="AD2632">
        <v>25.47</v>
      </c>
    </row>
    <row r="2633" spans="2:30" x14ac:dyDescent="0.25">
      <c r="B2633" t="s">
        <v>133</v>
      </c>
      <c r="C2633" t="s">
        <v>3263</v>
      </c>
      <c r="D2633" t="s">
        <v>4061</v>
      </c>
      <c r="E2633" t="s">
        <v>4062</v>
      </c>
      <c r="F2633" t="s">
        <v>8501</v>
      </c>
      <c r="G2633" t="s">
        <v>3890</v>
      </c>
      <c r="H2633" t="s">
        <v>3984</v>
      </c>
      <c r="I2633" t="s">
        <v>4002</v>
      </c>
      <c r="J2633">
        <v>2</v>
      </c>
      <c r="K2633">
        <v>20.114000000000001</v>
      </c>
      <c r="L2633">
        <v>19.417999999999999</v>
      </c>
      <c r="M2633">
        <v>19.018999999999998</v>
      </c>
      <c r="N2633">
        <v>18.347000000000001</v>
      </c>
      <c r="O2633">
        <v>18.175999999999998</v>
      </c>
      <c r="P2633">
        <v>19.681999999999999</v>
      </c>
      <c r="Q2633">
        <v>21.283999999999999</v>
      </c>
      <c r="R2633">
        <v>22.988</v>
      </c>
      <c r="S2633">
        <v>25.013999999999999</v>
      </c>
      <c r="T2633">
        <v>27.393000000000001</v>
      </c>
      <c r="U2633">
        <v>29.908999999999999</v>
      </c>
      <c r="V2633">
        <v>32.540999999999997</v>
      </c>
      <c r="W2633">
        <v>35.270000000000003</v>
      </c>
      <c r="X2633">
        <v>38.075000000000003</v>
      </c>
      <c r="Y2633">
        <v>40.933999999999997</v>
      </c>
      <c r="Z2633">
        <v>43.875999999999998</v>
      </c>
      <c r="AA2633">
        <v>46.890999999999998</v>
      </c>
      <c r="AB2633">
        <v>49.972000000000001</v>
      </c>
      <c r="AC2633">
        <v>53.113999999999997</v>
      </c>
      <c r="AD2633">
        <v>56.246000000000002</v>
      </c>
    </row>
    <row r="2634" spans="2:30" x14ac:dyDescent="0.25">
      <c r="B2634" t="s">
        <v>133</v>
      </c>
      <c r="C2634" t="s">
        <v>3263</v>
      </c>
      <c r="D2634" t="s">
        <v>4064</v>
      </c>
      <c r="E2634" t="s">
        <v>4065</v>
      </c>
      <c r="F2634" t="s">
        <v>8502</v>
      </c>
      <c r="G2634" t="s">
        <v>3890</v>
      </c>
      <c r="H2634" t="s">
        <v>3984</v>
      </c>
      <c r="I2634" t="s">
        <v>4002</v>
      </c>
      <c r="J2634">
        <v>2</v>
      </c>
      <c r="K2634">
        <v>44.502000000000002</v>
      </c>
      <c r="L2634">
        <v>47.332999999999998</v>
      </c>
      <c r="M2634">
        <v>51.197000000000003</v>
      </c>
      <c r="N2634">
        <v>50.457000000000001</v>
      </c>
      <c r="O2634">
        <v>51.192</v>
      </c>
      <c r="P2634">
        <v>53.756999999999998</v>
      </c>
      <c r="Q2634">
        <v>56.570999999999998</v>
      </c>
      <c r="R2634">
        <v>59.524000000000001</v>
      </c>
      <c r="S2634">
        <v>62.929000000000002</v>
      </c>
      <c r="T2634">
        <v>66.884</v>
      </c>
      <c r="U2634">
        <v>71.08</v>
      </c>
      <c r="V2634">
        <v>75.463999999999999</v>
      </c>
      <c r="W2634">
        <v>79.944000000000003</v>
      </c>
      <c r="X2634">
        <v>84.537000000000006</v>
      </c>
      <c r="Y2634">
        <v>89.222999999999999</v>
      </c>
      <c r="Z2634">
        <v>94.03</v>
      </c>
      <c r="AA2634">
        <v>98.959000000000003</v>
      </c>
      <c r="AB2634">
        <v>104.02200000000001</v>
      </c>
      <c r="AC2634">
        <v>109.232</v>
      </c>
      <c r="AD2634">
        <v>114.57</v>
      </c>
    </row>
    <row r="2635" spans="2:30" x14ac:dyDescent="0.25">
      <c r="B2635" t="s">
        <v>133</v>
      </c>
      <c r="C2635" t="s">
        <v>3263</v>
      </c>
      <c r="D2635" t="s">
        <v>4067</v>
      </c>
      <c r="E2635" t="s">
        <v>4068</v>
      </c>
      <c r="F2635" t="s">
        <v>8503</v>
      </c>
      <c r="G2635" t="s">
        <v>3890</v>
      </c>
      <c r="H2635" t="s">
        <v>3984</v>
      </c>
      <c r="I2635" t="s">
        <v>4002</v>
      </c>
      <c r="J2635">
        <v>2</v>
      </c>
      <c r="K2635">
        <v>15.176</v>
      </c>
      <c r="L2635">
        <v>17.062999999999999</v>
      </c>
      <c r="M2635">
        <v>20.57</v>
      </c>
      <c r="N2635">
        <v>21.077999999999999</v>
      </c>
      <c r="O2635">
        <v>20.52</v>
      </c>
      <c r="P2635">
        <v>20.71</v>
      </c>
      <c r="Q2635">
        <v>21.006</v>
      </c>
      <c r="R2635">
        <v>21.282</v>
      </c>
      <c r="S2635">
        <v>21.524999999999999</v>
      </c>
      <c r="T2635">
        <v>21.777999999999999</v>
      </c>
      <c r="U2635">
        <v>22.044</v>
      </c>
      <c r="V2635">
        <v>22.321000000000002</v>
      </c>
      <c r="W2635">
        <v>22.609000000000002</v>
      </c>
      <c r="X2635">
        <v>22.908999999999999</v>
      </c>
      <c r="Y2635">
        <v>23.22</v>
      </c>
      <c r="Z2635">
        <v>23.542000000000002</v>
      </c>
      <c r="AA2635">
        <v>23.873999999999999</v>
      </c>
      <c r="AB2635">
        <v>24.216999999999999</v>
      </c>
      <c r="AC2635">
        <v>24.568999999999999</v>
      </c>
      <c r="AD2635">
        <v>24.93</v>
      </c>
    </row>
    <row r="2636" spans="2:30" x14ac:dyDescent="0.25">
      <c r="B2636" t="s">
        <v>133</v>
      </c>
      <c r="C2636" t="s">
        <v>3263</v>
      </c>
      <c r="D2636" t="s">
        <v>4070</v>
      </c>
      <c r="E2636" t="s">
        <v>4071</v>
      </c>
      <c r="F2636" t="s">
        <v>8504</v>
      </c>
      <c r="G2636" t="s">
        <v>3890</v>
      </c>
      <c r="H2636" t="s">
        <v>3984</v>
      </c>
      <c r="I2636" t="s">
        <v>4002</v>
      </c>
      <c r="J2636">
        <v>2</v>
      </c>
      <c r="K2636">
        <v>1.855</v>
      </c>
      <c r="L2636">
        <v>2.1720000000000002</v>
      </c>
      <c r="M2636">
        <v>2.4140000000000001</v>
      </c>
      <c r="N2636">
        <v>2.5019999999999998</v>
      </c>
      <c r="O2636">
        <v>2.59</v>
      </c>
      <c r="P2636">
        <v>2.6960000000000002</v>
      </c>
      <c r="Q2636">
        <v>2.8250000000000002</v>
      </c>
      <c r="R2636">
        <v>2.9510000000000001</v>
      </c>
      <c r="S2636">
        <v>3.0720000000000001</v>
      </c>
      <c r="T2636">
        <v>3.1960000000000002</v>
      </c>
      <c r="U2636">
        <v>3.3239999999999998</v>
      </c>
      <c r="V2636">
        <v>3.456</v>
      </c>
      <c r="W2636">
        <v>3.5920000000000001</v>
      </c>
      <c r="X2636">
        <v>3.7330000000000001</v>
      </c>
      <c r="Y2636">
        <v>3.879</v>
      </c>
      <c r="Z2636">
        <v>4.03</v>
      </c>
      <c r="AA2636">
        <v>4.1859999999999999</v>
      </c>
      <c r="AB2636">
        <v>4.3470000000000004</v>
      </c>
      <c r="AC2636">
        <v>4.5149999999999997</v>
      </c>
      <c r="AD2636">
        <v>4.6879999999999997</v>
      </c>
    </row>
    <row r="2637" spans="2:30" x14ac:dyDescent="0.25">
      <c r="B2637" t="s">
        <v>133</v>
      </c>
      <c r="C2637" t="s">
        <v>3263</v>
      </c>
      <c r="D2637" t="s">
        <v>3322</v>
      </c>
      <c r="E2637" t="s">
        <v>3323</v>
      </c>
      <c r="F2637" t="s">
        <v>8505</v>
      </c>
      <c r="G2637" t="s">
        <v>3890</v>
      </c>
      <c r="H2637" t="s">
        <v>3984</v>
      </c>
      <c r="I2637" t="s">
        <v>4002</v>
      </c>
      <c r="J2637">
        <v>2</v>
      </c>
      <c r="K2637">
        <v>82.215000000000003</v>
      </c>
      <c r="L2637">
        <v>78.525000000000006</v>
      </c>
      <c r="M2637">
        <v>90.742999999999995</v>
      </c>
      <c r="N2637">
        <v>95.17</v>
      </c>
      <c r="O2637">
        <v>92.542000000000002</v>
      </c>
      <c r="P2637">
        <v>90.585999999999999</v>
      </c>
      <c r="Q2637">
        <v>92.247</v>
      </c>
      <c r="R2637">
        <v>94.013999999999996</v>
      </c>
      <c r="S2637">
        <v>95.631</v>
      </c>
      <c r="T2637">
        <v>97.241</v>
      </c>
      <c r="U2637">
        <v>98.998000000000005</v>
      </c>
      <c r="V2637">
        <v>101.15300000000001</v>
      </c>
      <c r="W2637">
        <v>103.72499999999999</v>
      </c>
      <c r="X2637">
        <v>106.83499999999999</v>
      </c>
      <c r="Y2637">
        <v>110.491</v>
      </c>
      <c r="Z2637">
        <v>114.84399999999999</v>
      </c>
      <c r="AA2637">
        <v>119.98399999999999</v>
      </c>
      <c r="AB2637">
        <v>126.16200000000001</v>
      </c>
      <c r="AC2637">
        <v>133.006</v>
      </c>
      <c r="AD2637">
        <v>139.89500000000001</v>
      </c>
    </row>
    <row r="2638" spans="2:30" x14ac:dyDescent="0.25">
      <c r="B2638" t="s">
        <v>133</v>
      </c>
      <c r="C2638" t="s">
        <v>3263</v>
      </c>
      <c r="D2638" t="s">
        <v>3358</v>
      </c>
      <c r="E2638" t="s">
        <v>3359</v>
      </c>
      <c r="F2638" t="s">
        <v>8506</v>
      </c>
      <c r="G2638" t="s">
        <v>3890</v>
      </c>
      <c r="H2638" t="s">
        <v>3984</v>
      </c>
      <c r="I2638" t="s">
        <v>4002</v>
      </c>
      <c r="J2638">
        <v>2</v>
      </c>
      <c r="K2638">
        <v>52.970999999999997</v>
      </c>
      <c r="L2638">
        <v>52.003</v>
      </c>
      <c r="M2638">
        <v>51.097000000000001</v>
      </c>
      <c r="N2638">
        <v>49.530999999999999</v>
      </c>
      <c r="O2638">
        <v>50.012999999999998</v>
      </c>
      <c r="P2638">
        <v>54.055999999999997</v>
      </c>
      <c r="Q2638">
        <v>58.261000000000003</v>
      </c>
      <c r="R2638">
        <v>62.688000000000002</v>
      </c>
      <c r="S2638">
        <v>67.938999999999993</v>
      </c>
      <c r="T2638">
        <v>74.120999999999995</v>
      </c>
      <c r="U2638">
        <v>80.668999999999997</v>
      </c>
      <c r="V2638">
        <v>87.537000000000006</v>
      </c>
      <c r="W2638">
        <v>94.611000000000004</v>
      </c>
      <c r="X2638">
        <v>101.884</v>
      </c>
      <c r="Y2638">
        <v>109.312</v>
      </c>
      <c r="Z2638">
        <v>116.95399999999999</v>
      </c>
      <c r="AA2638">
        <v>124.80200000000001</v>
      </c>
      <c r="AB2638">
        <v>132.85900000000001</v>
      </c>
      <c r="AC2638">
        <v>141.13200000000001</v>
      </c>
      <c r="AD2638">
        <v>149.529</v>
      </c>
    </row>
    <row r="2639" spans="2:30" x14ac:dyDescent="0.25">
      <c r="B2639" t="s">
        <v>133</v>
      </c>
      <c r="C2639" t="s">
        <v>3263</v>
      </c>
      <c r="D2639" t="s">
        <v>3334</v>
      </c>
      <c r="E2639" t="s">
        <v>3335</v>
      </c>
      <c r="F2639" t="s">
        <v>8507</v>
      </c>
      <c r="G2639" t="s">
        <v>3890</v>
      </c>
      <c r="H2639" t="s">
        <v>3984</v>
      </c>
      <c r="I2639" t="s">
        <v>4002</v>
      </c>
      <c r="J2639">
        <v>2</v>
      </c>
      <c r="K2639">
        <v>15.803000000000001</v>
      </c>
      <c r="L2639">
        <v>17.407</v>
      </c>
      <c r="M2639">
        <v>21.786000000000001</v>
      </c>
      <c r="N2639">
        <v>22.128</v>
      </c>
      <c r="O2639">
        <v>22.457000000000001</v>
      </c>
      <c r="P2639">
        <v>22.847000000000001</v>
      </c>
      <c r="Q2639">
        <v>23.306000000000001</v>
      </c>
      <c r="R2639">
        <v>23.74</v>
      </c>
      <c r="S2639">
        <v>24.137</v>
      </c>
      <c r="T2639">
        <v>24.533999999999999</v>
      </c>
      <c r="U2639">
        <v>24.933</v>
      </c>
      <c r="V2639">
        <v>25.334</v>
      </c>
      <c r="W2639">
        <v>25.738</v>
      </c>
      <c r="X2639">
        <v>26.146999999999998</v>
      </c>
      <c r="Y2639">
        <v>26.559000000000001</v>
      </c>
      <c r="Z2639">
        <v>26.977</v>
      </c>
      <c r="AA2639">
        <v>27.398</v>
      </c>
      <c r="AB2639">
        <v>27.824999999999999</v>
      </c>
      <c r="AC2639">
        <v>28.256</v>
      </c>
      <c r="AD2639">
        <v>28.692</v>
      </c>
    </row>
    <row r="2640" spans="2:30" x14ac:dyDescent="0.25">
      <c r="B2640" t="s">
        <v>133</v>
      </c>
      <c r="C2640" t="s">
        <v>3263</v>
      </c>
      <c r="D2640" t="s">
        <v>3310</v>
      </c>
      <c r="E2640" t="s">
        <v>3311</v>
      </c>
      <c r="F2640" t="s">
        <v>8508</v>
      </c>
      <c r="G2640" t="s">
        <v>3890</v>
      </c>
      <c r="H2640" t="s">
        <v>3984</v>
      </c>
      <c r="I2640" t="s">
        <v>4002</v>
      </c>
      <c r="J2640">
        <v>2</v>
      </c>
      <c r="K2640">
        <v>59.633000000000003</v>
      </c>
      <c r="L2640">
        <v>58.865000000000002</v>
      </c>
      <c r="M2640">
        <v>69.37</v>
      </c>
      <c r="N2640">
        <v>74.998999999999995</v>
      </c>
      <c r="O2640">
        <v>71.736000000000004</v>
      </c>
      <c r="P2640">
        <v>74.347999999999999</v>
      </c>
      <c r="Q2640">
        <v>75.843999999999994</v>
      </c>
      <c r="R2640">
        <v>76.596000000000004</v>
      </c>
      <c r="S2640">
        <v>77.168000000000006</v>
      </c>
      <c r="T2640">
        <v>77.837999999999994</v>
      </c>
      <c r="U2640">
        <v>78.245999999999995</v>
      </c>
      <c r="V2640">
        <v>78.77</v>
      </c>
      <c r="W2640">
        <v>79.394999999999996</v>
      </c>
      <c r="X2640">
        <v>80.117000000000004</v>
      </c>
      <c r="Y2640">
        <v>80.921000000000006</v>
      </c>
      <c r="Z2640">
        <v>81.802999999999997</v>
      </c>
      <c r="AA2640">
        <v>82.754999999999995</v>
      </c>
      <c r="AB2640">
        <v>83.772000000000006</v>
      </c>
      <c r="AC2640">
        <v>84.852999999999994</v>
      </c>
      <c r="AD2640">
        <v>85.992000000000004</v>
      </c>
    </row>
    <row r="2641" spans="2:30" x14ac:dyDescent="0.25">
      <c r="B2641" t="s">
        <v>133</v>
      </c>
      <c r="C2641" t="s">
        <v>3263</v>
      </c>
      <c r="D2641" t="s">
        <v>4077</v>
      </c>
      <c r="E2641" t="s">
        <v>4078</v>
      </c>
      <c r="F2641" t="s">
        <v>8509</v>
      </c>
      <c r="G2641" t="s">
        <v>3890</v>
      </c>
      <c r="H2641" t="s">
        <v>3984</v>
      </c>
      <c r="I2641" t="s">
        <v>4002</v>
      </c>
      <c r="J2641">
        <v>2</v>
      </c>
      <c r="K2641">
        <v>0.29399999999999998</v>
      </c>
      <c r="L2641">
        <v>0.26800000000000002</v>
      </c>
      <c r="M2641">
        <v>0.317</v>
      </c>
      <c r="N2641">
        <v>0.41699999999999998</v>
      </c>
      <c r="O2641">
        <v>0.443</v>
      </c>
      <c r="P2641">
        <v>0.6</v>
      </c>
      <c r="Q2641">
        <v>0.70199999999999996</v>
      </c>
      <c r="R2641">
        <v>0.75800000000000001</v>
      </c>
      <c r="S2641">
        <v>0.81699999999999995</v>
      </c>
      <c r="T2641">
        <v>0.89900000000000002</v>
      </c>
      <c r="U2641">
        <v>0.89700000000000002</v>
      </c>
      <c r="V2641">
        <v>0.89400000000000002</v>
      </c>
      <c r="W2641">
        <v>0.89100000000000001</v>
      </c>
      <c r="X2641">
        <v>0.88800000000000001</v>
      </c>
      <c r="Y2641">
        <v>0.88600000000000001</v>
      </c>
      <c r="Z2641">
        <v>0.88300000000000001</v>
      </c>
      <c r="AA2641">
        <v>0.88100000000000001</v>
      </c>
      <c r="AB2641">
        <v>0.878</v>
      </c>
      <c r="AC2641">
        <v>0.875</v>
      </c>
      <c r="AD2641">
        <v>0.873</v>
      </c>
    </row>
    <row r="2642" spans="2:30" x14ac:dyDescent="0.25">
      <c r="B2642" t="s">
        <v>133</v>
      </c>
      <c r="C2642" t="s">
        <v>3263</v>
      </c>
      <c r="D2642" t="s">
        <v>4080</v>
      </c>
      <c r="E2642" t="s">
        <v>4081</v>
      </c>
      <c r="F2642" t="s">
        <v>8510</v>
      </c>
      <c r="G2642" t="s">
        <v>3890</v>
      </c>
      <c r="H2642" t="s">
        <v>4083</v>
      </c>
      <c r="I2642" t="s">
        <v>4002</v>
      </c>
      <c r="J2642" t="s">
        <v>4084</v>
      </c>
      <c r="K2642">
        <v>0</v>
      </c>
      <c r="L2642">
        <v>0</v>
      </c>
      <c r="M2642">
        <v>0</v>
      </c>
      <c r="N2642">
        <v>0</v>
      </c>
      <c r="O2642">
        <v>-0.03</v>
      </c>
      <c r="P2642">
        <v>-3.2000000000000001E-2</v>
      </c>
      <c r="Q2642">
        <v>-3.9E-2</v>
      </c>
      <c r="R2642">
        <v>-0.05</v>
      </c>
      <c r="S2642">
        <v>-6.0999999999999999E-2</v>
      </c>
      <c r="T2642">
        <v>-7.0999999999999994E-2</v>
      </c>
      <c r="U2642">
        <v>-8.2000000000000003E-2</v>
      </c>
      <c r="V2642">
        <v>-9.1999999999999998E-2</v>
      </c>
      <c r="W2642">
        <v>-0.10100000000000001</v>
      </c>
      <c r="X2642">
        <v>-0.11</v>
      </c>
      <c r="Y2642">
        <v>-0.11799999999999999</v>
      </c>
      <c r="Z2642">
        <v>-0.126</v>
      </c>
      <c r="AA2642">
        <v>-0.13300000000000001</v>
      </c>
      <c r="AB2642">
        <v>-0.13900000000000001</v>
      </c>
      <c r="AC2642">
        <v>-0.14499999999999999</v>
      </c>
      <c r="AD2642">
        <v>-0.151</v>
      </c>
    </row>
    <row r="2643" spans="2:30" x14ac:dyDescent="0.25">
      <c r="B2643" t="s">
        <v>133</v>
      </c>
      <c r="C2643" t="s">
        <v>3263</v>
      </c>
      <c r="D2643" t="s">
        <v>4085</v>
      </c>
      <c r="E2643" t="s">
        <v>4086</v>
      </c>
      <c r="F2643" t="s">
        <v>8511</v>
      </c>
      <c r="G2643" t="s">
        <v>3890</v>
      </c>
      <c r="H2643" t="s">
        <v>3984</v>
      </c>
      <c r="I2643" t="s">
        <v>3985</v>
      </c>
      <c r="J2643">
        <v>1</v>
      </c>
      <c r="K2643">
        <v>400.91199999999998</v>
      </c>
      <c r="L2643">
        <v>412.10500000000002</v>
      </c>
      <c r="M2643">
        <v>450.92399999999998</v>
      </c>
      <c r="N2643">
        <v>467.51499999999999</v>
      </c>
      <c r="O2643">
        <v>473.64800000000002</v>
      </c>
      <c r="P2643">
        <v>484.76299999999998</v>
      </c>
      <c r="Q2643">
        <v>501.10399999999998</v>
      </c>
      <c r="R2643">
        <v>518.13900000000001</v>
      </c>
      <c r="S2643">
        <v>535.62300000000005</v>
      </c>
      <c r="T2643">
        <v>555.04300000000001</v>
      </c>
      <c r="U2643">
        <v>576.99900000000002</v>
      </c>
      <c r="V2643">
        <v>601.28700000000003</v>
      </c>
      <c r="W2643">
        <v>626.83100000000002</v>
      </c>
      <c r="X2643">
        <v>653.74699999999996</v>
      </c>
      <c r="Y2643">
        <v>682.01</v>
      </c>
      <c r="Z2643">
        <v>711.827</v>
      </c>
      <c r="AA2643">
        <v>743.30399999999997</v>
      </c>
      <c r="AB2643">
        <v>776.60500000000002</v>
      </c>
      <c r="AC2643">
        <v>811.92499999999995</v>
      </c>
      <c r="AD2643">
        <v>848.15700000000004</v>
      </c>
    </row>
    <row r="2644" spans="2:30" x14ac:dyDescent="0.25">
      <c r="B2644" t="s">
        <v>133</v>
      </c>
      <c r="C2644" t="s">
        <v>3263</v>
      </c>
      <c r="D2644" t="s">
        <v>3340</v>
      </c>
      <c r="E2644" t="s">
        <v>3341</v>
      </c>
      <c r="F2644" t="s">
        <v>8475</v>
      </c>
      <c r="G2644" t="s">
        <v>3890</v>
      </c>
      <c r="H2644" t="s">
        <v>3984</v>
      </c>
      <c r="I2644" t="s">
        <v>4002</v>
      </c>
      <c r="J2644">
        <v>1</v>
      </c>
      <c r="K2644">
        <v>307.637</v>
      </c>
      <c r="L2644">
        <v>315.625</v>
      </c>
      <c r="M2644">
        <v>350.60500000000002</v>
      </c>
      <c r="N2644">
        <v>364.72300000000001</v>
      </c>
      <c r="O2644">
        <v>369.17599999999999</v>
      </c>
      <c r="P2644">
        <v>378.15499999999997</v>
      </c>
      <c r="Q2644">
        <v>391.94499999999999</v>
      </c>
      <c r="R2644">
        <v>406.36399999999998</v>
      </c>
      <c r="S2644">
        <v>421.24599999999998</v>
      </c>
      <c r="T2644">
        <v>437.51900000000001</v>
      </c>
      <c r="U2644">
        <v>455.45699999999999</v>
      </c>
      <c r="V2644">
        <v>475.30500000000001</v>
      </c>
      <c r="W2644">
        <v>496.25400000000002</v>
      </c>
      <c r="X2644">
        <v>518.41399999999999</v>
      </c>
      <c r="Y2644">
        <v>541.75400000000002</v>
      </c>
      <c r="Z2644">
        <v>566.47799999999995</v>
      </c>
      <c r="AA2644">
        <v>592.68200000000002</v>
      </c>
      <c r="AB2644">
        <v>620.52499999999998</v>
      </c>
      <c r="AC2644">
        <v>650.19399999999996</v>
      </c>
      <c r="AD2644">
        <v>680.58399999999995</v>
      </c>
    </row>
    <row r="2645" spans="2:30" x14ac:dyDescent="0.25">
      <c r="B2645" t="s">
        <v>133</v>
      </c>
      <c r="C2645" t="s">
        <v>3263</v>
      </c>
      <c r="D2645" t="s">
        <v>4088</v>
      </c>
      <c r="E2645" t="s">
        <v>4089</v>
      </c>
      <c r="F2645" t="s">
        <v>8512</v>
      </c>
      <c r="G2645" t="s">
        <v>3890</v>
      </c>
      <c r="H2645" t="s">
        <v>3984</v>
      </c>
      <c r="I2645" t="s">
        <v>3985</v>
      </c>
      <c r="J2645">
        <v>1</v>
      </c>
      <c r="K2645">
        <v>53.088000000000001</v>
      </c>
      <c r="L2645">
        <v>55.677999999999997</v>
      </c>
      <c r="M2645">
        <v>56.591999999999999</v>
      </c>
      <c r="N2645">
        <v>57.34</v>
      </c>
      <c r="O2645">
        <v>58.082999999999998</v>
      </c>
      <c r="P2645">
        <v>59.234000000000002</v>
      </c>
      <c r="Q2645">
        <v>60.427999999999997</v>
      </c>
      <c r="R2645">
        <v>61.667000000000002</v>
      </c>
      <c r="S2645">
        <v>62.921999999999997</v>
      </c>
      <c r="T2645">
        <v>64.748000000000005</v>
      </c>
      <c r="U2645">
        <v>67.185000000000002</v>
      </c>
      <c r="V2645">
        <v>69.716999999999999</v>
      </c>
      <c r="W2645">
        <v>72.346999999999994</v>
      </c>
      <c r="X2645">
        <v>75.078000000000003</v>
      </c>
      <c r="Y2645">
        <v>77.915000000000006</v>
      </c>
      <c r="Z2645">
        <v>80.858999999999995</v>
      </c>
      <c r="AA2645">
        <v>83.917000000000002</v>
      </c>
      <c r="AB2645">
        <v>87.093000000000004</v>
      </c>
      <c r="AC2645">
        <v>90.39</v>
      </c>
      <c r="AD2645">
        <v>93.814999999999998</v>
      </c>
    </row>
    <row r="2646" spans="2:30" x14ac:dyDescent="0.25">
      <c r="B2646" t="s">
        <v>133</v>
      </c>
      <c r="C2646" t="s">
        <v>3263</v>
      </c>
      <c r="D2646" t="s">
        <v>4091</v>
      </c>
      <c r="E2646" t="s">
        <v>4092</v>
      </c>
      <c r="F2646" t="s">
        <v>8513</v>
      </c>
      <c r="G2646" t="s">
        <v>3890</v>
      </c>
      <c r="H2646" t="s">
        <v>3984</v>
      </c>
      <c r="I2646" t="s">
        <v>3985</v>
      </c>
      <c r="J2646">
        <v>1</v>
      </c>
      <c r="K2646">
        <v>28.488</v>
      </c>
      <c r="L2646">
        <v>28.577000000000002</v>
      </c>
      <c r="M2646">
        <v>29.32</v>
      </c>
      <c r="N2646">
        <v>29.875</v>
      </c>
      <c r="O2646">
        <v>30.367999999999999</v>
      </c>
      <c r="P2646">
        <v>30.834</v>
      </c>
      <c r="Q2646">
        <v>31.558</v>
      </c>
      <c r="R2646">
        <v>32.325000000000003</v>
      </c>
      <c r="S2646">
        <v>33.095999999999997</v>
      </c>
      <c r="T2646">
        <v>33.832000000000001</v>
      </c>
      <c r="U2646">
        <v>34.822000000000003</v>
      </c>
      <c r="V2646">
        <v>36.127000000000002</v>
      </c>
      <c r="W2646">
        <v>37.479999999999997</v>
      </c>
      <c r="X2646">
        <v>38.883000000000003</v>
      </c>
      <c r="Y2646">
        <v>40.335999999999999</v>
      </c>
      <c r="Z2646">
        <v>41.841999999999999</v>
      </c>
      <c r="AA2646">
        <v>43.404000000000003</v>
      </c>
      <c r="AB2646">
        <v>45.023000000000003</v>
      </c>
      <c r="AC2646">
        <v>46.703000000000003</v>
      </c>
      <c r="AD2646">
        <v>48.438000000000002</v>
      </c>
    </row>
    <row r="2647" spans="2:30" x14ac:dyDescent="0.25">
      <c r="B2647" t="s">
        <v>133</v>
      </c>
      <c r="C2647" t="s">
        <v>3263</v>
      </c>
      <c r="D2647" t="s">
        <v>4094</v>
      </c>
      <c r="E2647" t="s">
        <v>4095</v>
      </c>
      <c r="F2647" t="s">
        <v>8514</v>
      </c>
      <c r="G2647" t="s">
        <v>3890</v>
      </c>
      <c r="H2647" t="s">
        <v>3984</v>
      </c>
      <c r="I2647" t="s">
        <v>3985</v>
      </c>
      <c r="J2647">
        <v>1</v>
      </c>
      <c r="K2647">
        <v>11.699</v>
      </c>
      <c r="L2647">
        <v>12.225</v>
      </c>
      <c r="M2647">
        <v>14.407</v>
      </c>
      <c r="N2647">
        <v>15.576000000000001</v>
      </c>
      <c r="O2647">
        <v>16.02</v>
      </c>
      <c r="P2647">
        <v>16.54</v>
      </c>
      <c r="Q2647">
        <v>17.172000000000001</v>
      </c>
      <c r="R2647">
        <v>17.782</v>
      </c>
      <c r="S2647">
        <v>18.359000000000002</v>
      </c>
      <c r="T2647">
        <v>18.943999999999999</v>
      </c>
      <c r="U2647">
        <v>19.535</v>
      </c>
      <c r="V2647">
        <v>20.137</v>
      </c>
      <c r="W2647">
        <v>20.748999999999999</v>
      </c>
      <c r="X2647">
        <v>21.372</v>
      </c>
      <c r="Y2647">
        <v>22.004999999999999</v>
      </c>
      <c r="Z2647">
        <v>22.648</v>
      </c>
      <c r="AA2647">
        <v>23.300999999999998</v>
      </c>
      <c r="AB2647">
        <v>23.965</v>
      </c>
      <c r="AC2647">
        <v>24.638000000000002</v>
      </c>
      <c r="AD2647">
        <v>25.321000000000002</v>
      </c>
    </row>
    <row r="2648" spans="2:30" x14ac:dyDescent="0.25">
      <c r="B2648" t="s">
        <v>133</v>
      </c>
      <c r="C2648" t="s">
        <v>3263</v>
      </c>
      <c r="D2648" t="s">
        <v>4097</v>
      </c>
      <c r="E2648" t="s">
        <v>4098</v>
      </c>
      <c r="F2648" t="s">
        <v>8515</v>
      </c>
      <c r="G2648" t="s">
        <v>3890</v>
      </c>
      <c r="H2648" t="s">
        <v>3984</v>
      </c>
      <c r="I2648" t="s">
        <v>3985</v>
      </c>
      <c r="J2648">
        <v>2</v>
      </c>
      <c r="K2648">
        <v>400.91199999999998</v>
      </c>
      <c r="L2648">
        <v>412.10199999999998</v>
      </c>
      <c r="M2648">
        <v>450.92099999999999</v>
      </c>
      <c r="N2648">
        <v>467.512</v>
      </c>
      <c r="O2648">
        <v>461.35500000000002</v>
      </c>
      <c r="P2648">
        <v>471.52</v>
      </c>
      <c r="Q2648">
        <v>484.11799999999999</v>
      </c>
      <c r="R2648">
        <v>495.61500000000001</v>
      </c>
      <c r="S2648">
        <v>507.45400000000001</v>
      </c>
      <c r="T2648">
        <v>520.98900000000003</v>
      </c>
      <c r="U2648">
        <v>536.07000000000005</v>
      </c>
      <c r="V2648">
        <v>553.33699999999999</v>
      </c>
      <c r="W2648">
        <v>571.69500000000005</v>
      </c>
      <c r="X2648">
        <v>591.26099999999997</v>
      </c>
      <c r="Y2648">
        <v>611.98099999999999</v>
      </c>
      <c r="Z2648">
        <v>634.06700000000001</v>
      </c>
      <c r="AA2648">
        <v>657.59699999999998</v>
      </c>
      <c r="AB2648">
        <v>682.83</v>
      </c>
      <c r="AC2648">
        <v>709.40700000000004</v>
      </c>
      <c r="AD2648">
        <v>736.61300000000006</v>
      </c>
    </row>
    <row r="2649" spans="2:30" x14ac:dyDescent="0.25">
      <c r="B2649" t="s">
        <v>133</v>
      </c>
      <c r="C2649" t="s">
        <v>3263</v>
      </c>
      <c r="D2649" t="s">
        <v>3346</v>
      </c>
      <c r="E2649" t="s">
        <v>3347</v>
      </c>
      <c r="F2649" t="s">
        <v>8496</v>
      </c>
      <c r="G2649" t="s">
        <v>3890</v>
      </c>
      <c r="H2649" t="s">
        <v>3984</v>
      </c>
      <c r="I2649" t="s">
        <v>4002</v>
      </c>
      <c r="J2649">
        <v>2</v>
      </c>
      <c r="K2649">
        <v>307.637</v>
      </c>
      <c r="L2649">
        <v>315.62200000000001</v>
      </c>
      <c r="M2649">
        <v>350.60199999999998</v>
      </c>
      <c r="N2649">
        <v>364.72</v>
      </c>
      <c r="O2649">
        <v>358.14499999999998</v>
      </c>
      <c r="P2649">
        <v>366.15600000000001</v>
      </c>
      <c r="Q2649">
        <v>376.565</v>
      </c>
      <c r="R2649">
        <v>385.96199999999999</v>
      </c>
      <c r="S2649">
        <v>395.71600000000001</v>
      </c>
      <c r="T2649">
        <v>406.61200000000002</v>
      </c>
      <c r="U2649">
        <v>418.25200000000001</v>
      </c>
      <c r="V2649">
        <v>431.642</v>
      </c>
      <c r="W2649">
        <v>445.95699999999999</v>
      </c>
      <c r="X2649">
        <v>461.30799999999999</v>
      </c>
      <c r="Y2649">
        <v>477.63900000000001</v>
      </c>
      <c r="Z2649">
        <v>495.161</v>
      </c>
      <c r="AA2649">
        <v>513.94200000000001</v>
      </c>
      <c r="AB2649">
        <v>534.23800000000006</v>
      </c>
      <c r="AC2649">
        <v>555.68600000000004</v>
      </c>
      <c r="AD2649">
        <v>577.57000000000005</v>
      </c>
    </row>
    <row r="2650" spans="2:30" x14ac:dyDescent="0.25">
      <c r="B2650" t="s">
        <v>133</v>
      </c>
      <c r="C2650" t="s">
        <v>3263</v>
      </c>
      <c r="D2650" t="s">
        <v>4100</v>
      </c>
      <c r="E2650" t="s">
        <v>4101</v>
      </c>
      <c r="F2650" t="s">
        <v>8516</v>
      </c>
      <c r="G2650" t="s">
        <v>3890</v>
      </c>
      <c r="H2650" t="s">
        <v>3984</v>
      </c>
      <c r="I2650" t="s">
        <v>3985</v>
      </c>
      <c r="J2650">
        <v>2</v>
      </c>
      <c r="K2650">
        <v>53.088000000000001</v>
      </c>
      <c r="L2650">
        <v>55.677999999999997</v>
      </c>
      <c r="M2650">
        <v>56.591999999999999</v>
      </c>
      <c r="N2650">
        <v>57.34</v>
      </c>
      <c r="O2650">
        <v>58.067</v>
      </c>
      <c r="P2650">
        <v>59.216999999999999</v>
      </c>
      <c r="Q2650">
        <v>60.406999999999996</v>
      </c>
      <c r="R2650">
        <v>61.637999999999998</v>
      </c>
      <c r="S2650">
        <v>62.887</v>
      </c>
      <c r="T2650">
        <v>64.706000000000003</v>
      </c>
      <c r="U2650">
        <v>67.135000000000005</v>
      </c>
      <c r="V2650">
        <v>69.661000000000001</v>
      </c>
      <c r="W2650">
        <v>72.284000000000006</v>
      </c>
      <c r="X2650">
        <v>75.009</v>
      </c>
      <c r="Y2650">
        <v>77.840999999999994</v>
      </c>
      <c r="Z2650">
        <v>80.78</v>
      </c>
      <c r="AA2650">
        <v>83.832999999999998</v>
      </c>
      <c r="AB2650">
        <v>87.004000000000005</v>
      </c>
      <c r="AC2650">
        <v>90.296999999999997</v>
      </c>
      <c r="AD2650">
        <v>93.716999999999999</v>
      </c>
    </row>
    <row r="2651" spans="2:30" x14ac:dyDescent="0.25">
      <c r="B2651" t="s">
        <v>133</v>
      </c>
      <c r="C2651" t="s">
        <v>3263</v>
      </c>
      <c r="D2651" t="s">
        <v>4103</v>
      </c>
      <c r="E2651" t="s">
        <v>4104</v>
      </c>
      <c r="F2651" t="s">
        <v>8517</v>
      </c>
      <c r="G2651" t="s">
        <v>3890</v>
      </c>
      <c r="H2651" t="s">
        <v>3984</v>
      </c>
      <c r="I2651" t="s">
        <v>3985</v>
      </c>
      <c r="J2651">
        <v>2</v>
      </c>
      <c r="K2651">
        <v>28.488</v>
      </c>
      <c r="L2651">
        <v>28.577000000000002</v>
      </c>
      <c r="M2651">
        <v>29.32</v>
      </c>
      <c r="N2651">
        <v>29.875</v>
      </c>
      <c r="O2651">
        <v>30.245000000000001</v>
      </c>
      <c r="P2651">
        <v>30.707000000000001</v>
      </c>
      <c r="Q2651">
        <v>31.393999999999998</v>
      </c>
      <c r="R2651">
        <v>32.106999999999999</v>
      </c>
      <c r="S2651">
        <v>32.823999999999998</v>
      </c>
      <c r="T2651">
        <v>33.505000000000003</v>
      </c>
      <c r="U2651">
        <v>34.432000000000002</v>
      </c>
      <c r="V2651">
        <v>35.674999999999997</v>
      </c>
      <c r="W2651">
        <v>36.965000000000003</v>
      </c>
      <c r="X2651">
        <v>38.305</v>
      </c>
      <c r="Y2651">
        <v>39.695</v>
      </c>
      <c r="Z2651">
        <v>41.137999999999998</v>
      </c>
      <c r="AA2651">
        <v>42.634999999999998</v>
      </c>
      <c r="AB2651">
        <v>44.19</v>
      </c>
      <c r="AC2651">
        <v>45.802</v>
      </c>
      <c r="AD2651">
        <v>47.468000000000004</v>
      </c>
    </row>
    <row r="2652" spans="2:30" x14ac:dyDescent="0.25">
      <c r="B2652" t="s">
        <v>133</v>
      </c>
      <c r="C2652" t="s">
        <v>3263</v>
      </c>
      <c r="D2652" t="s">
        <v>4106</v>
      </c>
      <c r="E2652" t="s">
        <v>4107</v>
      </c>
      <c r="F2652" t="s">
        <v>8518</v>
      </c>
      <c r="G2652" t="s">
        <v>3890</v>
      </c>
      <c r="H2652" t="s">
        <v>3984</v>
      </c>
      <c r="I2652" t="s">
        <v>3985</v>
      </c>
      <c r="J2652">
        <v>2</v>
      </c>
      <c r="K2652">
        <v>11.699</v>
      </c>
      <c r="L2652">
        <v>12.225</v>
      </c>
      <c r="M2652">
        <v>14.407</v>
      </c>
      <c r="N2652">
        <v>15.576000000000001</v>
      </c>
      <c r="O2652">
        <v>14.898</v>
      </c>
      <c r="P2652">
        <v>15.441000000000001</v>
      </c>
      <c r="Q2652">
        <v>15.750999999999999</v>
      </c>
      <c r="R2652">
        <v>15.907</v>
      </c>
      <c r="S2652">
        <v>16.026</v>
      </c>
      <c r="T2652">
        <v>16.164999999999999</v>
      </c>
      <c r="U2652">
        <v>16.25</v>
      </c>
      <c r="V2652">
        <v>16.359000000000002</v>
      </c>
      <c r="W2652">
        <v>16.489000000000001</v>
      </c>
      <c r="X2652">
        <v>16.638999999999999</v>
      </c>
      <c r="Y2652">
        <v>16.806000000000001</v>
      </c>
      <c r="Z2652">
        <v>16.989000000000001</v>
      </c>
      <c r="AA2652">
        <v>17.187000000000001</v>
      </c>
      <c r="AB2652">
        <v>17.398</v>
      </c>
      <c r="AC2652">
        <v>17.622</v>
      </c>
      <c r="AD2652">
        <v>17.859000000000002</v>
      </c>
    </row>
    <row r="2653" spans="2:30" x14ac:dyDescent="0.25">
      <c r="B2653" t="s">
        <v>133</v>
      </c>
      <c r="C2653" t="s">
        <v>3263</v>
      </c>
      <c r="D2653" t="s">
        <v>4109</v>
      </c>
      <c r="E2653" t="s">
        <v>4110</v>
      </c>
      <c r="F2653" t="s">
        <v>8519</v>
      </c>
      <c r="G2653" t="s">
        <v>3890</v>
      </c>
      <c r="H2653" t="s">
        <v>3984</v>
      </c>
      <c r="I2653" t="s">
        <v>3985</v>
      </c>
      <c r="J2653">
        <v>1</v>
      </c>
      <c r="K2653">
        <v>53.088000000000001</v>
      </c>
      <c r="L2653">
        <v>55.677999999999997</v>
      </c>
      <c r="M2653">
        <v>56.591999999999999</v>
      </c>
      <c r="N2653">
        <v>57.34</v>
      </c>
      <c r="O2653">
        <v>58.082999999999998</v>
      </c>
      <c r="P2653">
        <v>59.234000000000002</v>
      </c>
      <c r="Q2653">
        <v>60.427999999999997</v>
      </c>
      <c r="R2653">
        <v>61.667000000000002</v>
      </c>
      <c r="S2653">
        <v>62.921999999999997</v>
      </c>
      <c r="T2653">
        <v>64.748000000000005</v>
      </c>
      <c r="U2653">
        <v>67.185000000000002</v>
      </c>
      <c r="V2653">
        <v>69.716999999999999</v>
      </c>
      <c r="W2653">
        <v>72.346999999999994</v>
      </c>
      <c r="X2653">
        <v>75.078000000000003</v>
      </c>
      <c r="Y2653">
        <v>77.915000000000006</v>
      </c>
      <c r="Z2653">
        <v>80.858999999999995</v>
      </c>
      <c r="AA2653">
        <v>83.917000000000002</v>
      </c>
      <c r="AB2653">
        <v>87.093000000000004</v>
      </c>
      <c r="AC2653">
        <v>90.39</v>
      </c>
      <c r="AD2653">
        <v>93.814999999999998</v>
      </c>
    </row>
    <row r="2654" spans="2:30" x14ac:dyDescent="0.25">
      <c r="B2654" t="s">
        <v>133</v>
      </c>
      <c r="C2654" t="s">
        <v>3263</v>
      </c>
      <c r="D2654" t="s">
        <v>4112</v>
      </c>
      <c r="E2654" t="s">
        <v>4113</v>
      </c>
      <c r="F2654" t="s">
        <v>8520</v>
      </c>
      <c r="G2654" t="s">
        <v>3890</v>
      </c>
      <c r="H2654" t="s">
        <v>3984</v>
      </c>
      <c r="I2654" t="s">
        <v>3985</v>
      </c>
      <c r="J2654">
        <v>1</v>
      </c>
      <c r="K2654">
        <v>53.088000000000001</v>
      </c>
      <c r="L2654">
        <v>55.677999999999997</v>
      </c>
      <c r="M2654">
        <v>56.591999999999999</v>
      </c>
      <c r="N2654">
        <v>57.34</v>
      </c>
      <c r="O2654">
        <v>58.082999999999998</v>
      </c>
      <c r="P2654">
        <v>59.234000000000002</v>
      </c>
      <c r="Q2654">
        <v>60.427999999999997</v>
      </c>
      <c r="R2654">
        <v>61.667000000000002</v>
      </c>
      <c r="S2654">
        <v>62.921999999999997</v>
      </c>
      <c r="T2654">
        <v>64.748000000000005</v>
      </c>
      <c r="U2654">
        <v>67.185000000000002</v>
      </c>
      <c r="V2654">
        <v>69.716999999999999</v>
      </c>
      <c r="W2654">
        <v>72.346999999999994</v>
      </c>
      <c r="X2654">
        <v>75.078000000000003</v>
      </c>
      <c r="Y2654">
        <v>77.915000000000006</v>
      </c>
      <c r="Z2654">
        <v>80.858999999999995</v>
      </c>
      <c r="AA2654">
        <v>83.917000000000002</v>
      </c>
      <c r="AB2654">
        <v>87.093000000000004</v>
      </c>
      <c r="AC2654">
        <v>90.39</v>
      </c>
      <c r="AD2654">
        <v>93.814999999999998</v>
      </c>
    </row>
    <row r="2655" spans="2:30" x14ac:dyDescent="0.25">
      <c r="B2655" t="s">
        <v>133</v>
      </c>
      <c r="C2655" t="s">
        <v>3263</v>
      </c>
      <c r="D2655" t="s">
        <v>4115</v>
      </c>
      <c r="E2655" t="s">
        <v>4116</v>
      </c>
      <c r="F2655" t="s">
        <v>8521</v>
      </c>
      <c r="G2655" t="s">
        <v>3890</v>
      </c>
      <c r="H2655" t="s">
        <v>3984</v>
      </c>
      <c r="I2655" t="s">
        <v>3985</v>
      </c>
      <c r="J2655">
        <v>1</v>
      </c>
      <c r="K2655">
        <v>1.9179999999999999</v>
      </c>
      <c r="L2655">
        <v>1.9239999999999999</v>
      </c>
      <c r="M2655">
        <v>1.95</v>
      </c>
      <c r="N2655">
        <v>1.9530000000000001</v>
      </c>
      <c r="O2655">
        <v>1.9530000000000001</v>
      </c>
      <c r="P2655">
        <v>1.9550000000000001</v>
      </c>
      <c r="Q2655">
        <v>1.9590000000000001</v>
      </c>
      <c r="R2655">
        <v>1.9630000000000001</v>
      </c>
      <c r="S2655">
        <v>1.9670000000000001</v>
      </c>
      <c r="T2655">
        <v>1.9710000000000001</v>
      </c>
      <c r="U2655">
        <v>1.96</v>
      </c>
      <c r="V2655">
        <v>1.95</v>
      </c>
      <c r="W2655">
        <v>1.9410000000000001</v>
      </c>
      <c r="X2655">
        <v>1.931</v>
      </c>
      <c r="Y2655">
        <v>1.9219999999999999</v>
      </c>
      <c r="Z2655">
        <v>1.913</v>
      </c>
      <c r="AA2655">
        <v>1.903</v>
      </c>
      <c r="AB2655">
        <v>1.895</v>
      </c>
      <c r="AC2655">
        <v>1.887</v>
      </c>
      <c r="AD2655">
        <v>1.879</v>
      </c>
    </row>
    <row r="2656" spans="2:30" x14ac:dyDescent="0.25">
      <c r="B2656" t="s">
        <v>133</v>
      </c>
      <c r="C2656" t="s">
        <v>3263</v>
      </c>
      <c r="D2656" t="s">
        <v>4118</v>
      </c>
      <c r="E2656" t="s">
        <v>4119</v>
      </c>
      <c r="F2656" t="s">
        <v>8522</v>
      </c>
      <c r="G2656" t="s">
        <v>3890</v>
      </c>
      <c r="H2656" t="s">
        <v>3984</v>
      </c>
      <c r="I2656" t="s">
        <v>3985</v>
      </c>
      <c r="J2656">
        <v>1</v>
      </c>
      <c r="K2656">
        <v>0.16600000000000001</v>
      </c>
      <c r="L2656">
        <v>0.16600000000000001</v>
      </c>
      <c r="M2656">
        <v>0.19500000000000001</v>
      </c>
      <c r="N2656">
        <v>0.21099999999999999</v>
      </c>
      <c r="O2656">
        <v>0.217</v>
      </c>
      <c r="P2656">
        <v>0.224</v>
      </c>
      <c r="Q2656">
        <v>0.23300000000000001</v>
      </c>
      <c r="R2656">
        <v>0.24099999999999999</v>
      </c>
      <c r="S2656">
        <v>0.249</v>
      </c>
      <c r="T2656">
        <v>0.25700000000000001</v>
      </c>
      <c r="U2656">
        <v>0.26500000000000001</v>
      </c>
      <c r="V2656">
        <v>0.27300000000000002</v>
      </c>
      <c r="W2656">
        <v>0.28199999999999997</v>
      </c>
      <c r="X2656">
        <v>0.28999999999999998</v>
      </c>
      <c r="Y2656">
        <v>0.29899999999999999</v>
      </c>
      <c r="Z2656">
        <v>0.307</v>
      </c>
      <c r="AA2656">
        <v>0.316</v>
      </c>
      <c r="AB2656">
        <v>0.32500000000000001</v>
      </c>
      <c r="AC2656">
        <v>0.33400000000000002</v>
      </c>
      <c r="AD2656">
        <v>0.34399999999999997</v>
      </c>
    </row>
    <row r="2657" spans="2:30" x14ac:dyDescent="0.25">
      <c r="B2657" t="s">
        <v>133</v>
      </c>
      <c r="C2657" t="s">
        <v>3263</v>
      </c>
      <c r="D2657" t="s">
        <v>4121</v>
      </c>
      <c r="E2657" t="s">
        <v>4122</v>
      </c>
      <c r="F2657" t="s">
        <v>8523</v>
      </c>
      <c r="G2657" t="s">
        <v>3890</v>
      </c>
      <c r="H2657" t="s">
        <v>3984</v>
      </c>
      <c r="I2657" t="s">
        <v>3985</v>
      </c>
      <c r="J2657">
        <v>1</v>
      </c>
      <c r="K2657">
        <v>15.788</v>
      </c>
      <c r="L2657">
        <v>17.709</v>
      </c>
      <c r="M2657">
        <v>18.013999999999999</v>
      </c>
      <c r="N2657">
        <v>18.257999999999999</v>
      </c>
      <c r="O2657">
        <v>18.544</v>
      </c>
      <c r="P2657">
        <v>18.939</v>
      </c>
      <c r="Q2657">
        <v>19.359000000000002</v>
      </c>
      <c r="R2657">
        <v>19.808</v>
      </c>
      <c r="S2657">
        <v>20.257999999999999</v>
      </c>
      <c r="T2657">
        <v>20.86</v>
      </c>
      <c r="U2657">
        <v>21.634</v>
      </c>
      <c r="V2657">
        <v>22.434999999999999</v>
      </c>
      <c r="W2657">
        <v>23.263999999999999</v>
      </c>
      <c r="X2657">
        <v>24.122</v>
      </c>
      <c r="Y2657">
        <v>25.009</v>
      </c>
      <c r="Z2657">
        <v>25.927</v>
      </c>
      <c r="AA2657">
        <v>26.876999999999999</v>
      </c>
      <c r="AB2657">
        <v>27.859000000000002</v>
      </c>
      <c r="AC2657">
        <v>28.875</v>
      </c>
      <c r="AD2657">
        <v>29.925999999999998</v>
      </c>
    </row>
    <row r="2658" spans="2:30" x14ac:dyDescent="0.25">
      <c r="B2658" t="s">
        <v>133</v>
      </c>
      <c r="C2658" t="s">
        <v>3263</v>
      </c>
      <c r="D2658" t="s">
        <v>4124</v>
      </c>
      <c r="E2658" t="s">
        <v>4125</v>
      </c>
      <c r="F2658" t="s">
        <v>8524</v>
      </c>
      <c r="G2658" t="s">
        <v>3890</v>
      </c>
      <c r="H2658" t="s">
        <v>3984</v>
      </c>
      <c r="I2658" t="s">
        <v>3985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2:30" x14ac:dyDescent="0.25">
      <c r="B2659" t="s">
        <v>133</v>
      </c>
      <c r="C2659" t="s">
        <v>3263</v>
      </c>
      <c r="D2659" t="s">
        <v>4127</v>
      </c>
      <c r="E2659" t="s">
        <v>4128</v>
      </c>
      <c r="F2659" t="s">
        <v>8525</v>
      </c>
      <c r="G2659" t="s">
        <v>3890</v>
      </c>
      <c r="H2659" t="s">
        <v>3984</v>
      </c>
      <c r="I2659" t="s">
        <v>3985</v>
      </c>
      <c r="J2659">
        <v>1</v>
      </c>
      <c r="K2659">
        <v>35.125999999999998</v>
      </c>
      <c r="L2659">
        <v>35.771999999999998</v>
      </c>
      <c r="M2659">
        <v>36.325000000000003</v>
      </c>
      <c r="N2659">
        <v>36.808</v>
      </c>
      <c r="O2659">
        <v>37.256999999999998</v>
      </c>
      <c r="P2659">
        <v>38.002000000000002</v>
      </c>
      <c r="Q2659">
        <v>38.762</v>
      </c>
      <c r="R2659">
        <v>39.537999999999997</v>
      </c>
      <c r="S2659">
        <v>40.328000000000003</v>
      </c>
      <c r="T2659">
        <v>41.537999999999997</v>
      </c>
      <c r="U2659">
        <v>43.2</v>
      </c>
      <c r="V2659">
        <v>44.927999999999997</v>
      </c>
      <c r="W2659">
        <v>46.725000000000001</v>
      </c>
      <c r="X2659">
        <v>48.594000000000001</v>
      </c>
      <c r="Y2659">
        <v>50.536999999999999</v>
      </c>
      <c r="Z2659">
        <v>52.558999999999997</v>
      </c>
      <c r="AA2659">
        <v>54.661000000000001</v>
      </c>
      <c r="AB2659">
        <v>56.847999999999999</v>
      </c>
      <c r="AC2659">
        <v>59.122</v>
      </c>
      <c r="AD2659">
        <v>61.487000000000002</v>
      </c>
    </row>
    <row r="2660" spans="2:30" x14ac:dyDescent="0.25">
      <c r="B2660" t="s">
        <v>133</v>
      </c>
      <c r="C2660" t="s">
        <v>3263</v>
      </c>
      <c r="D2660" t="s">
        <v>4130</v>
      </c>
      <c r="E2660" t="s">
        <v>4131</v>
      </c>
      <c r="F2660" t="s">
        <v>8526</v>
      </c>
      <c r="G2660" t="s">
        <v>3890</v>
      </c>
      <c r="H2660" t="s">
        <v>3984</v>
      </c>
      <c r="I2660" t="s">
        <v>3985</v>
      </c>
      <c r="J2660">
        <v>1</v>
      </c>
      <c r="K2660">
        <v>8.8999999999999996E-2</v>
      </c>
      <c r="L2660">
        <v>0.107</v>
      </c>
      <c r="M2660">
        <v>0.108</v>
      </c>
      <c r="N2660">
        <v>0.11</v>
      </c>
      <c r="O2660">
        <v>0.112</v>
      </c>
      <c r="P2660">
        <v>0.113</v>
      </c>
      <c r="Q2660">
        <v>0.115</v>
      </c>
      <c r="R2660">
        <v>0.11700000000000001</v>
      </c>
      <c r="S2660">
        <v>0.12</v>
      </c>
      <c r="T2660">
        <v>0.122</v>
      </c>
      <c r="U2660">
        <v>0.126</v>
      </c>
      <c r="V2660">
        <v>0.13100000000000001</v>
      </c>
      <c r="W2660">
        <v>0.13600000000000001</v>
      </c>
      <c r="X2660">
        <v>0.14199999999999999</v>
      </c>
      <c r="Y2660">
        <v>0.14699999999999999</v>
      </c>
      <c r="Z2660">
        <v>0.153</v>
      </c>
      <c r="AA2660">
        <v>0.159</v>
      </c>
      <c r="AB2660">
        <v>0.16600000000000001</v>
      </c>
      <c r="AC2660">
        <v>0.17199999999999999</v>
      </c>
      <c r="AD2660">
        <v>0.17899999999999999</v>
      </c>
    </row>
    <row r="2661" spans="2:30" x14ac:dyDescent="0.25">
      <c r="B2661" t="s">
        <v>133</v>
      </c>
      <c r="C2661" t="s">
        <v>3263</v>
      </c>
      <c r="D2661" t="s">
        <v>4133</v>
      </c>
      <c r="E2661" t="s">
        <v>4134</v>
      </c>
      <c r="F2661" t="s">
        <v>8527</v>
      </c>
      <c r="G2661" t="s">
        <v>3890</v>
      </c>
      <c r="H2661" t="s">
        <v>3984</v>
      </c>
      <c r="I2661" t="s">
        <v>3985</v>
      </c>
      <c r="J2661">
        <v>1</v>
      </c>
      <c r="K2661">
        <v>20.780999999999999</v>
      </c>
      <c r="L2661">
        <v>20.295000000000002</v>
      </c>
      <c r="M2661">
        <v>22.867000000000001</v>
      </c>
      <c r="N2661">
        <v>23.742999999999999</v>
      </c>
      <c r="O2661">
        <v>23.936</v>
      </c>
      <c r="P2661">
        <v>24.553000000000001</v>
      </c>
      <c r="Q2661">
        <v>25.548999999999999</v>
      </c>
      <c r="R2661">
        <v>26.611000000000001</v>
      </c>
      <c r="S2661">
        <v>27.728000000000002</v>
      </c>
      <c r="T2661">
        <v>28.975000000000001</v>
      </c>
      <c r="U2661">
        <v>30.308</v>
      </c>
      <c r="V2661">
        <v>31.744</v>
      </c>
      <c r="W2661">
        <v>33.271000000000001</v>
      </c>
      <c r="X2661">
        <v>34.902000000000001</v>
      </c>
      <c r="Y2661">
        <v>36.631</v>
      </c>
      <c r="Z2661">
        <v>38.478999999999999</v>
      </c>
      <c r="AA2661">
        <v>40.454999999999998</v>
      </c>
      <c r="AB2661">
        <v>42.573</v>
      </c>
      <c r="AC2661">
        <v>44.850999999999999</v>
      </c>
      <c r="AD2661">
        <v>47.180999999999997</v>
      </c>
    </row>
    <row r="2662" spans="2:30" x14ac:dyDescent="0.25">
      <c r="B2662" t="s">
        <v>133</v>
      </c>
      <c r="C2662" t="s">
        <v>3263</v>
      </c>
      <c r="D2662" t="s">
        <v>4136</v>
      </c>
      <c r="E2662" t="s">
        <v>4137</v>
      </c>
      <c r="F2662" t="s">
        <v>8528</v>
      </c>
      <c r="G2662" t="s">
        <v>3890</v>
      </c>
      <c r="H2662" t="s">
        <v>3984</v>
      </c>
      <c r="I2662" t="s">
        <v>3985</v>
      </c>
      <c r="J2662">
        <v>2</v>
      </c>
      <c r="K2662">
        <v>53.088000000000001</v>
      </c>
      <c r="L2662">
        <v>55.677999999999997</v>
      </c>
      <c r="M2662">
        <v>56.591999999999999</v>
      </c>
      <c r="N2662">
        <v>57.34</v>
      </c>
      <c r="O2662">
        <v>58.067</v>
      </c>
      <c r="P2662">
        <v>59.216999999999999</v>
      </c>
      <c r="Q2662">
        <v>60.406999999999996</v>
      </c>
      <c r="R2662">
        <v>61.637999999999998</v>
      </c>
      <c r="S2662">
        <v>62.887</v>
      </c>
      <c r="T2662">
        <v>64.706000000000003</v>
      </c>
      <c r="U2662">
        <v>67.135000000000005</v>
      </c>
      <c r="V2662">
        <v>69.661000000000001</v>
      </c>
      <c r="W2662">
        <v>72.284000000000006</v>
      </c>
      <c r="X2662">
        <v>75.009</v>
      </c>
      <c r="Y2662">
        <v>77.840999999999994</v>
      </c>
      <c r="Z2662">
        <v>80.78</v>
      </c>
      <c r="AA2662">
        <v>83.832999999999998</v>
      </c>
      <c r="AB2662">
        <v>87.004000000000005</v>
      </c>
      <c r="AC2662">
        <v>90.296999999999997</v>
      </c>
      <c r="AD2662">
        <v>93.716999999999999</v>
      </c>
    </row>
    <row r="2663" spans="2:30" x14ac:dyDescent="0.25">
      <c r="B2663" t="s">
        <v>133</v>
      </c>
      <c r="C2663" t="s">
        <v>3263</v>
      </c>
      <c r="D2663" t="s">
        <v>4139</v>
      </c>
      <c r="E2663" t="s">
        <v>4140</v>
      </c>
      <c r="F2663" t="s">
        <v>8529</v>
      </c>
      <c r="G2663" t="s">
        <v>3890</v>
      </c>
      <c r="H2663" t="s">
        <v>3984</v>
      </c>
      <c r="I2663" t="s">
        <v>3985</v>
      </c>
      <c r="J2663">
        <v>2</v>
      </c>
      <c r="K2663">
        <v>53.088000000000001</v>
      </c>
      <c r="L2663">
        <v>55.677999999999997</v>
      </c>
      <c r="M2663">
        <v>56.591999999999999</v>
      </c>
      <c r="N2663">
        <v>57.34</v>
      </c>
      <c r="O2663">
        <v>58.067</v>
      </c>
      <c r="P2663">
        <v>59.216999999999999</v>
      </c>
      <c r="Q2663">
        <v>60.406999999999996</v>
      </c>
      <c r="R2663">
        <v>61.637999999999998</v>
      </c>
      <c r="S2663">
        <v>62.887</v>
      </c>
      <c r="T2663">
        <v>64.706000000000003</v>
      </c>
      <c r="U2663">
        <v>67.135000000000005</v>
      </c>
      <c r="V2663">
        <v>69.661000000000001</v>
      </c>
      <c r="W2663">
        <v>72.284000000000006</v>
      </c>
      <c r="X2663">
        <v>75.009</v>
      </c>
      <c r="Y2663">
        <v>77.840999999999994</v>
      </c>
      <c r="Z2663">
        <v>80.78</v>
      </c>
      <c r="AA2663">
        <v>83.832999999999998</v>
      </c>
      <c r="AB2663">
        <v>87.004000000000005</v>
      </c>
      <c r="AC2663">
        <v>90.296999999999997</v>
      </c>
      <c r="AD2663">
        <v>93.716999999999999</v>
      </c>
    </row>
    <row r="2664" spans="2:30" x14ac:dyDescent="0.25">
      <c r="B2664" t="s">
        <v>133</v>
      </c>
      <c r="C2664" t="s">
        <v>3263</v>
      </c>
      <c r="D2664" t="s">
        <v>4142</v>
      </c>
      <c r="E2664" t="s">
        <v>4143</v>
      </c>
      <c r="F2664" t="s">
        <v>8530</v>
      </c>
      <c r="G2664" t="s">
        <v>3890</v>
      </c>
      <c r="H2664" t="s">
        <v>3984</v>
      </c>
      <c r="I2664" t="s">
        <v>3985</v>
      </c>
      <c r="J2664">
        <v>2</v>
      </c>
      <c r="K2664">
        <v>1.9179999999999999</v>
      </c>
      <c r="L2664">
        <v>1.9239999999999999</v>
      </c>
      <c r="M2664">
        <v>1.95</v>
      </c>
      <c r="N2664">
        <v>1.9530000000000001</v>
      </c>
      <c r="O2664">
        <v>1.952</v>
      </c>
      <c r="P2664">
        <v>1.9530000000000001</v>
      </c>
      <c r="Q2664">
        <v>1.956</v>
      </c>
      <c r="R2664">
        <v>1.96</v>
      </c>
      <c r="S2664">
        <v>1.9630000000000001</v>
      </c>
      <c r="T2664">
        <v>1.966</v>
      </c>
      <c r="U2664">
        <v>1.956</v>
      </c>
      <c r="V2664">
        <v>1.9450000000000001</v>
      </c>
      <c r="W2664">
        <v>1.9350000000000001</v>
      </c>
      <c r="X2664">
        <v>1.925</v>
      </c>
      <c r="Y2664">
        <v>1.9159999999999999</v>
      </c>
      <c r="Z2664">
        <v>1.9059999999999999</v>
      </c>
      <c r="AA2664">
        <v>1.8959999999999999</v>
      </c>
      <c r="AB2664">
        <v>1.887</v>
      </c>
      <c r="AC2664">
        <v>1.879</v>
      </c>
      <c r="AD2664">
        <v>1.871</v>
      </c>
    </row>
    <row r="2665" spans="2:30" x14ac:dyDescent="0.25">
      <c r="B2665" t="s">
        <v>133</v>
      </c>
      <c r="C2665" t="s">
        <v>3263</v>
      </c>
      <c r="D2665" t="s">
        <v>4145</v>
      </c>
      <c r="E2665" t="s">
        <v>4146</v>
      </c>
      <c r="F2665" t="s">
        <v>8531</v>
      </c>
      <c r="G2665" t="s">
        <v>3890</v>
      </c>
      <c r="H2665" t="s">
        <v>3984</v>
      </c>
      <c r="I2665" t="s">
        <v>3985</v>
      </c>
      <c r="J2665">
        <v>2</v>
      </c>
      <c r="K2665">
        <v>0.16600000000000001</v>
      </c>
      <c r="L2665">
        <v>0.16600000000000001</v>
      </c>
      <c r="M2665">
        <v>0.19500000000000001</v>
      </c>
      <c r="N2665">
        <v>0.21099999999999999</v>
      </c>
      <c r="O2665">
        <v>0.20200000000000001</v>
      </c>
      <c r="P2665">
        <v>0.21</v>
      </c>
      <c r="Q2665">
        <v>0.214</v>
      </c>
      <c r="R2665">
        <v>0.216</v>
      </c>
      <c r="S2665">
        <v>0.217</v>
      </c>
      <c r="T2665">
        <v>0.219</v>
      </c>
      <c r="U2665">
        <v>0.221</v>
      </c>
      <c r="V2665">
        <v>0.222</v>
      </c>
      <c r="W2665">
        <v>0.224</v>
      </c>
      <c r="X2665">
        <v>0.22600000000000001</v>
      </c>
      <c r="Y2665">
        <v>0.22800000000000001</v>
      </c>
      <c r="Z2665">
        <v>0.23100000000000001</v>
      </c>
      <c r="AA2665">
        <v>0.23300000000000001</v>
      </c>
      <c r="AB2665">
        <v>0.23599999999999999</v>
      </c>
      <c r="AC2665">
        <v>0.23899999999999999</v>
      </c>
      <c r="AD2665">
        <v>0.24199999999999999</v>
      </c>
    </row>
    <row r="2666" spans="2:30" x14ac:dyDescent="0.25">
      <c r="B2666" t="s">
        <v>133</v>
      </c>
      <c r="C2666" t="s">
        <v>3263</v>
      </c>
      <c r="D2666" t="s">
        <v>4121</v>
      </c>
      <c r="E2666" t="s">
        <v>4148</v>
      </c>
      <c r="F2666" t="s">
        <v>8532</v>
      </c>
      <c r="G2666" t="s">
        <v>3890</v>
      </c>
      <c r="H2666" t="s">
        <v>3984</v>
      </c>
      <c r="I2666" t="s">
        <v>3985</v>
      </c>
      <c r="J2666">
        <v>2</v>
      </c>
      <c r="K2666">
        <v>15.788</v>
      </c>
      <c r="L2666">
        <v>17.709</v>
      </c>
      <c r="M2666">
        <v>18.013999999999999</v>
      </c>
      <c r="N2666">
        <v>18.257999999999999</v>
      </c>
      <c r="O2666">
        <v>18.544</v>
      </c>
      <c r="P2666">
        <v>18.939</v>
      </c>
      <c r="Q2666">
        <v>19.359000000000002</v>
      </c>
      <c r="R2666">
        <v>19.806999999999999</v>
      </c>
      <c r="S2666">
        <v>20.257999999999999</v>
      </c>
      <c r="T2666">
        <v>20.859000000000002</v>
      </c>
      <c r="U2666">
        <v>21.634</v>
      </c>
      <c r="V2666">
        <v>22.434999999999999</v>
      </c>
      <c r="W2666">
        <v>23.265000000000001</v>
      </c>
      <c r="X2666">
        <v>24.123000000000001</v>
      </c>
      <c r="Y2666">
        <v>25.012</v>
      </c>
      <c r="Z2666">
        <v>25.931999999999999</v>
      </c>
      <c r="AA2666">
        <v>26.882999999999999</v>
      </c>
      <c r="AB2666">
        <v>27.867000000000001</v>
      </c>
      <c r="AC2666">
        <v>28.885000000000002</v>
      </c>
      <c r="AD2666">
        <v>29.937999999999999</v>
      </c>
    </row>
    <row r="2667" spans="2:30" x14ac:dyDescent="0.25">
      <c r="B2667" t="s">
        <v>133</v>
      </c>
      <c r="C2667" t="s">
        <v>3263</v>
      </c>
      <c r="D2667" t="s">
        <v>4150</v>
      </c>
      <c r="E2667" t="s">
        <v>4151</v>
      </c>
      <c r="F2667" t="s">
        <v>8533</v>
      </c>
      <c r="G2667" t="s">
        <v>3890</v>
      </c>
      <c r="H2667" t="s">
        <v>3984</v>
      </c>
      <c r="I2667" t="s">
        <v>3985</v>
      </c>
      <c r="J2667">
        <v>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2:30" x14ac:dyDescent="0.25">
      <c r="B2668" t="s">
        <v>133</v>
      </c>
      <c r="C2668" t="s">
        <v>3263</v>
      </c>
      <c r="D2668" t="s">
        <v>4153</v>
      </c>
      <c r="E2668" t="s">
        <v>4154</v>
      </c>
      <c r="F2668" t="s">
        <v>8534</v>
      </c>
      <c r="G2668" t="s">
        <v>3890</v>
      </c>
      <c r="H2668" t="s">
        <v>3984</v>
      </c>
      <c r="I2668" t="s">
        <v>3985</v>
      </c>
      <c r="J2668">
        <v>2</v>
      </c>
      <c r="K2668">
        <v>35.125999999999998</v>
      </c>
      <c r="L2668">
        <v>35.771999999999998</v>
      </c>
      <c r="M2668">
        <v>36.325000000000003</v>
      </c>
      <c r="N2668">
        <v>36.808</v>
      </c>
      <c r="O2668">
        <v>37.256999999999998</v>
      </c>
      <c r="P2668">
        <v>38.002000000000002</v>
      </c>
      <c r="Q2668">
        <v>38.762</v>
      </c>
      <c r="R2668">
        <v>39.537999999999997</v>
      </c>
      <c r="S2668">
        <v>40.328000000000003</v>
      </c>
      <c r="T2668">
        <v>41.537999999999997</v>
      </c>
      <c r="U2668">
        <v>43.2</v>
      </c>
      <c r="V2668">
        <v>44.927999999999997</v>
      </c>
      <c r="W2668">
        <v>46.725000000000001</v>
      </c>
      <c r="X2668">
        <v>48.594000000000001</v>
      </c>
      <c r="Y2668">
        <v>50.536999999999999</v>
      </c>
      <c r="Z2668">
        <v>52.558999999999997</v>
      </c>
      <c r="AA2668">
        <v>54.661000000000001</v>
      </c>
      <c r="AB2668">
        <v>56.847999999999999</v>
      </c>
      <c r="AC2668">
        <v>59.122</v>
      </c>
      <c r="AD2668">
        <v>61.487000000000002</v>
      </c>
    </row>
    <row r="2669" spans="2:30" x14ac:dyDescent="0.25">
      <c r="B2669" t="s">
        <v>133</v>
      </c>
      <c r="C2669" t="s">
        <v>3263</v>
      </c>
      <c r="D2669" t="s">
        <v>4156</v>
      </c>
      <c r="E2669" t="s">
        <v>4157</v>
      </c>
      <c r="F2669" t="s">
        <v>8535</v>
      </c>
      <c r="G2669" t="s">
        <v>3890</v>
      </c>
      <c r="H2669" t="s">
        <v>3984</v>
      </c>
      <c r="I2669" t="s">
        <v>3985</v>
      </c>
      <c r="J2669">
        <v>2</v>
      </c>
      <c r="K2669">
        <v>8.8999999999999996E-2</v>
      </c>
      <c r="L2669">
        <v>0.107</v>
      </c>
      <c r="M2669">
        <v>0.108</v>
      </c>
      <c r="N2669">
        <v>0.11</v>
      </c>
      <c r="O2669">
        <v>0.112</v>
      </c>
      <c r="P2669">
        <v>0.113</v>
      </c>
      <c r="Q2669">
        <v>0.115</v>
      </c>
      <c r="R2669">
        <v>0.11700000000000001</v>
      </c>
      <c r="S2669">
        <v>0.12</v>
      </c>
      <c r="T2669">
        <v>0.122</v>
      </c>
      <c r="U2669">
        <v>0.126</v>
      </c>
      <c r="V2669">
        <v>0.13100000000000001</v>
      </c>
      <c r="W2669">
        <v>0.13600000000000001</v>
      </c>
      <c r="X2669">
        <v>0.14199999999999999</v>
      </c>
      <c r="Y2669">
        <v>0.14699999999999999</v>
      </c>
      <c r="Z2669">
        <v>0.153</v>
      </c>
      <c r="AA2669">
        <v>0.159</v>
      </c>
      <c r="AB2669">
        <v>0.16600000000000001</v>
      </c>
      <c r="AC2669">
        <v>0.17199999999999999</v>
      </c>
      <c r="AD2669">
        <v>0.17899999999999999</v>
      </c>
    </row>
    <row r="2670" spans="2:30" x14ac:dyDescent="0.25">
      <c r="B2670" t="s">
        <v>133</v>
      </c>
      <c r="C2670" t="s">
        <v>3263</v>
      </c>
      <c r="D2670" t="s">
        <v>4159</v>
      </c>
      <c r="E2670" t="s">
        <v>4160</v>
      </c>
      <c r="F2670" t="s">
        <v>8536</v>
      </c>
      <c r="G2670" t="s">
        <v>3890</v>
      </c>
      <c r="H2670" t="s">
        <v>3984</v>
      </c>
      <c r="I2670" t="s">
        <v>3985</v>
      </c>
      <c r="J2670">
        <v>2</v>
      </c>
      <c r="K2670" s="190">
        <v>20.780999999999999</v>
      </c>
      <c r="L2670">
        <v>20.295000000000002</v>
      </c>
      <c r="M2670">
        <v>22.867000000000001</v>
      </c>
      <c r="N2670">
        <v>23.742999999999999</v>
      </c>
      <c r="O2670">
        <v>23.936</v>
      </c>
      <c r="P2670">
        <v>24.553000000000001</v>
      </c>
      <c r="Q2670">
        <v>25.548999999999999</v>
      </c>
      <c r="R2670">
        <v>26.611000000000001</v>
      </c>
      <c r="S2670">
        <v>27.728000000000002</v>
      </c>
      <c r="T2670">
        <v>28.975000000000001</v>
      </c>
      <c r="U2670">
        <v>30.308</v>
      </c>
      <c r="V2670">
        <v>31.744</v>
      </c>
      <c r="W2670">
        <v>33.271000000000001</v>
      </c>
      <c r="X2670">
        <v>34.902000000000001</v>
      </c>
      <c r="Y2670">
        <v>36.631</v>
      </c>
      <c r="Z2670">
        <v>38.478999999999999</v>
      </c>
      <c r="AA2670">
        <v>40.454999999999998</v>
      </c>
      <c r="AB2670">
        <v>42.573</v>
      </c>
      <c r="AC2670">
        <v>44.850999999999999</v>
      </c>
      <c r="AD2670">
        <v>47.180999999999997</v>
      </c>
    </row>
    <row r="2671" spans="2:30" x14ac:dyDescent="0.25">
      <c r="B2671" t="s">
        <v>133</v>
      </c>
      <c r="C2671" t="s">
        <v>3263</v>
      </c>
      <c r="D2671" t="s">
        <v>4162</v>
      </c>
      <c r="E2671" t="s">
        <v>4163</v>
      </c>
      <c r="F2671" t="s">
        <v>8537</v>
      </c>
      <c r="G2671" t="s">
        <v>3890</v>
      </c>
      <c r="H2671" t="s">
        <v>3984</v>
      </c>
      <c r="I2671" t="s">
        <v>4165</v>
      </c>
      <c r="J2671">
        <v>1</v>
      </c>
      <c r="K2671">
        <v>100</v>
      </c>
      <c r="L2671">
        <v>102.79199</v>
      </c>
      <c r="M2671">
        <v>112.47463999999999</v>
      </c>
      <c r="N2671">
        <v>116.61282</v>
      </c>
      <c r="O2671">
        <v>118.14263</v>
      </c>
      <c r="P2671">
        <v>120.9152</v>
      </c>
      <c r="Q2671">
        <v>124.99099</v>
      </c>
      <c r="R2671">
        <v>129.24015</v>
      </c>
      <c r="S2671">
        <v>133.60122999999999</v>
      </c>
      <c r="T2671">
        <v>138.44519</v>
      </c>
      <c r="U2671">
        <v>143.92158000000001</v>
      </c>
      <c r="V2671">
        <v>149.97976</v>
      </c>
      <c r="W2671">
        <v>156.35128</v>
      </c>
      <c r="X2671">
        <v>163.06502</v>
      </c>
      <c r="Y2671">
        <v>170.11463000000001</v>
      </c>
      <c r="Z2671">
        <v>177.55208999999999</v>
      </c>
      <c r="AA2671">
        <v>185.40349000000001</v>
      </c>
      <c r="AB2671">
        <v>193.70976999999999</v>
      </c>
      <c r="AC2671">
        <v>202.51954000000001</v>
      </c>
      <c r="AD2671">
        <v>211.55708000000001</v>
      </c>
    </row>
    <row r="2672" spans="2:30" x14ac:dyDescent="0.25">
      <c r="B2672" t="s">
        <v>133</v>
      </c>
      <c r="C2672" t="s">
        <v>3263</v>
      </c>
      <c r="D2672" t="s">
        <v>4166</v>
      </c>
      <c r="E2672" t="s">
        <v>4167</v>
      </c>
      <c r="F2672" t="s">
        <v>8538</v>
      </c>
      <c r="G2672" t="s">
        <v>3890</v>
      </c>
      <c r="H2672" t="s">
        <v>3984</v>
      </c>
      <c r="I2672" t="s">
        <v>4165</v>
      </c>
      <c r="J2672">
        <v>2</v>
      </c>
      <c r="K2672">
        <v>100</v>
      </c>
      <c r="L2672">
        <v>102.79121000000001</v>
      </c>
      <c r="M2672">
        <v>112.47389</v>
      </c>
      <c r="N2672">
        <v>116.61208000000001</v>
      </c>
      <c r="O2672">
        <v>115.07647</v>
      </c>
      <c r="P2672">
        <v>117.61184</v>
      </c>
      <c r="Q2672">
        <v>120.75414000000001</v>
      </c>
      <c r="R2672">
        <v>123.62192</v>
      </c>
      <c r="S2672">
        <v>126.57492999999999</v>
      </c>
      <c r="T2672">
        <v>129.95094</v>
      </c>
      <c r="U2672">
        <v>133.71277000000001</v>
      </c>
      <c r="V2672">
        <v>138.01974000000001</v>
      </c>
      <c r="W2672">
        <v>142.59873999999999</v>
      </c>
      <c r="X2672">
        <v>147.47900999999999</v>
      </c>
      <c r="Y2672">
        <v>152.64718999999999</v>
      </c>
      <c r="Z2672">
        <v>158.15633</v>
      </c>
      <c r="AA2672">
        <v>164.02529999999999</v>
      </c>
      <c r="AB2672">
        <v>170.31927999999999</v>
      </c>
      <c r="AC2672">
        <v>176.94847999999999</v>
      </c>
      <c r="AD2672">
        <v>183.73443</v>
      </c>
    </row>
    <row r="2673" spans="2:30" x14ac:dyDescent="0.25">
      <c r="B2673" t="s">
        <v>133</v>
      </c>
      <c r="C2673" t="s">
        <v>3263</v>
      </c>
      <c r="D2673" t="s">
        <v>4169</v>
      </c>
      <c r="E2673" t="s">
        <v>4170</v>
      </c>
      <c r="F2673" t="s">
        <v>8539</v>
      </c>
      <c r="G2673" t="s">
        <v>3890</v>
      </c>
      <c r="H2673" t="s">
        <v>4172</v>
      </c>
      <c r="I2673" t="s">
        <v>3892</v>
      </c>
      <c r="J2673">
        <v>2</v>
      </c>
      <c r="K2673">
        <v>0</v>
      </c>
      <c r="L2673">
        <v>0</v>
      </c>
      <c r="M2673">
        <v>0</v>
      </c>
      <c r="N2673">
        <v>0</v>
      </c>
      <c r="O2673">
        <v>-2.5999999999999999E-2</v>
      </c>
      <c r="P2673">
        <v>-2.7E-2</v>
      </c>
      <c r="Q2673">
        <v>-3.4000000000000002E-2</v>
      </c>
      <c r="R2673">
        <v>-4.2999999999999997E-2</v>
      </c>
      <c r="S2673">
        <v>-5.2999999999999999E-2</v>
      </c>
      <c r="T2673">
        <v>-6.0999999999999999E-2</v>
      </c>
      <c r="U2673">
        <v>-7.0999999999999994E-2</v>
      </c>
      <c r="V2673">
        <v>-0.08</v>
      </c>
      <c r="W2673">
        <v>-8.7999999999999995E-2</v>
      </c>
      <c r="X2673">
        <v>-9.6000000000000002E-2</v>
      </c>
      <c r="Y2673">
        <v>-0.10299999999999999</v>
      </c>
      <c r="Z2673">
        <v>-0.109</v>
      </c>
      <c r="AA2673">
        <v>-0.115</v>
      </c>
      <c r="AB2673">
        <v>-0.121</v>
      </c>
      <c r="AC2673">
        <v>-0.126</v>
      </c>
      <c r="AD2673">
        <v>-0.13200000000000001</v>
      </c>
    </row>
    <row r="2674" spans="2:30" x14ac:dyDescent="0.25">
      <c r="B2674" t="s">
        <v>133</v>
      </c>
      <c r="C2674" t="s">
        <v>3263</v>
      </c>
      <c r="D2674" t="s">
        <v>4173</v>
      </c>
      <c r="E2674" t="s">
        <v>4174</v>
      </c>
      <c r="F2674" t="s">
        <v>8540</v>
      </c>
      <c r="G2674" t="s">
        <v>3890</v>
      </c>
      <c r="H2674" t="s">
        <v>4176</v>
      </c>
      <c r="I2674" t="s">
        <v>2538</v>
      </c>
      <c r="J2674">
        <v>1</v>
      </c>
      <c r="K2674" t="s">
        <v>475</v>
      </c>
    </row>
    <row r="2675" spans="2:30" x14ac:dyDescent="0.25">
      <c r="B2675" t="s">
        <v>133</v>
      </c>
      <c r="D2675" t="s">
        <v>477</v>
      </c>
      <c r="E2675" t="s">
        <v>4177</v>
      </c>
      <c r="F2675" t="s">
        <v>8541</v>
      </c>
      <c r="G2675" t="s">
        <v>3890</v>
      </c>
      <c r="H2675" t="s">
        <v>4179</v>
      </c>
      <c r="I2675" t="s">
        <v>2538</v>
      </c>
      <c r="J2675">
        <v>1</v>
      </c>
      <c r="K2675">
        <v>1</v>
      </c>
    </row>
    <row r="2676" spans="2:30" x14ac:dyDescent="0.25">
      <c r="B2676" t="s">
        <v>133</v>
      </c>
      <c r="C2676" t="s">
        <v>3263</v>
      </c>
      <c r="D2676" t="s">
        <v>4180</v>
      </c>
      <c r="E2676" t="s">
        <v>4181</v>
      </c>
      <c r="F2676" t="s">
        <v>8542</v>
      </c>
      <c r="G2676" t="s">
        <v>3890</v>
      </c>
      <c r="H2676" t="s">
        <v>4183</v>
      </c>
      <c r="I2676" t="s">
        <v>2538</v>
      </c>
      <c r="J2676">
        <v>1</v>
      </c>
      <c r="K2676" t="e">
        <v>#VALUE!</v>
      </c>
    </row>
    <row r="2677" spans="2:30" x14ac:dyDescent="0.25">
      <c r="B2677" t="s">
        <v>133</v>
      </c>
      <c r="C2677" t="s">
        <v>3263</v>
      </c>
      <c r="D2677" t="s">
        <v>4184</v>
      </c>
      <c r="E2677" t="s">
        <v>4185</v>
      </c>
      <c r="F2677" t="s">
        <v>8543</v>
      </c>
      <c r="G2677" t="s">
        <v>3890</v>
      </c>
      <c r="H2677" t="s">
        <v>4187</v>
      </c>
      <c r="I2677" t="s">
        <v>2538</v>
      </c>
      <c r="J2677">
        <v>1</v>
      </c>
      <c r="K2677" t="e">
        <v>#VALUE!</v>
      </c>
    </row>
    <row r="2678" spans="2:30" x14ac:dyDescent="0.25">
      <c r="B2678" t="s">
        <v>133</v>
      </c>
      <c r="C2678" t="s">
        <v>3263</v>
      </c>
      <c r="D2678" t="s">
        <v>4188</v>
      </c>
      <c r="E2678" t="s">
        <v>4189</v>
      </c>
      <c r="F2678" t="s">
        <v>8544</v>
      </c>
      <c r="G2678" t="s">
        <v>3890</v>
      </c>
      <c r="H2678" t="s">
        <v>4191</v>
      </c>
      <c r="I2678" t="s">
        <v>4165</v>
      </c>
      <c r="J2678">
        <v>1</v>
      </c>
      <c r="K2678" t="e">
        <v>#VALUE!</v>
      </c>
      <c r="L2678" t="e">
        <v>#VALUE!</v>
      </c>
      <c r="M2678" t="e">
        <v>#VALUE!</v>
      </c>
      <c r="N2678" t="e">
        <v>#VALUE!</v>
      </c>
      <c r="O2678" t="e">
        <v>#VALUE!</v>
      </c>
      <c r="P2678" t="e">
        <v>#VALUE!</v>
      </c>
      <c r="Q2678" t="e">
        <v>#VALUE!</v>
      </c>
      <c r="R2678" t="e">
        <v>#VALUE!</v>
      </c>
      <c r="S2678" t="e">
        <v>#VALUE!</v>
      </c>
      <c r="T2678" t="e">
        <v>#VALUE!</v>
      </c>
      <c r="U2678" t="e">
        <v>#VALUE!</v>
      </c>
      <c r="V2678" t="e">
        <v>#VALUE!</v>
      </c>
      <c r="W2678" t="e">
        <v>#VALUE!</v>
      </c>
      <c r="X2678" t="e">
        <v>#VALUE!</v>
      </c>
      <c r="Y2678" t="e">
        <v>#VALUE!</v>
      </c>
      <c r="Z2678" t="e">
        <v>#VALUE!</v>
      </c>
      <c r="AA2678" t="e">
        <v>#VALUE!</v>
      </c>
      <c r="AB2678" t="e">
        <v>#VALUE!</v>
      </c>
      <c r="AC2678" t="e">
        <v>#VALUE!</v>
      </c>
      <c r="AD2678" t="e">
        <v>#VALUE!</v>
      </c>
    </row>
    <row r="2679" spans="2:30" x14ac:dyDescent="0.25">
      <c r="B2679" t="s">
        <v>133</v>
      </c>
      <c r="C2679" t="s">
        <v>3263</v>
      </c>
      <c r="D2679" t="s">
        <v>4192</v>
      </c>
      <c r="E2679" t="s">
        <v>4193</v>
      </c>
      <c r="F2679" t="s">
        <v>8545</v>
      </c>
      <c r="G2679" t="s">
        <v>3890</v>
      </c>
      <c r="H2679" t="s">
        <v>4195</v>
      </c>
      <c r="I2679" t="s">
        <v>4165</v>
      </c>
      <c r="J2679">
        <v>1</v>
      </c>
      <c r="K2679" t="s">
        <v>138</v>
      </c>
      <c r="L2679" t="s">
        <v>138</v>
      </c>
      <c r="M2679" t="s">
        <v>138</v>
      </c>
      <c r="N2679" t="s">
        <v>138</v>
      </c>
      <c r="O2679" t="s">
        <v>138</v>
      </c>
      <c r="P2679" t="s">
        <v>138</v>
      </c>
      <c r="Q2679" t="s">
        <v>138</v>
      </c>
      <c r="R2679" t="s">
        <v>138</v>
      </c>
      <c r="S2679" t="s">
        <v>138</v>
      </c>
      <c r="T2679" t="s">
        <v>138</v>
      </c>
      <c r="U2679" t="s">
        <v>138</v>
      </c>
      <c r="V2679" t="s">
        <v>138</v>
      </c>
      <c r="W2679" t="s">
        <v>138</v>
      </c>
      <c r="X2679" t="s">
        <v>138</v>
      </c>
      <c r="Y2679" t="s">
        <v>138</v>
      </c>
      <c r="Z2679" t="s">
        <v>138</v>
      </c>
      <c r="AA2679" t="s">
        <v>138</v>
      </c>
      <c r="AB2679" t="s">
        <v>138</v>
      </c>
      <c r="AC2679" t="s">
        <v>138</v>
      </c>
      <c r="AD2679" t="s">
        <v>138</v>
      </c>
    </row>
    <row r="2680" spans="2:30" x14ac:dyDescent="0.25">
      <c r="B2680" t="s">
        <v>133</v>
      </c>
      <c r="C2680" t="s">
        <v>3263</v>
      </c>
      <c r="D2680" t="s">
        <v>4196</v>
      </c>
      <c r="E2680" t="s">
        <v>4197</v>
      </c>
      <c r="F2680" t="s">
        <v>8546</v>
      </c>
      <c r="G2680" t="s">
        <v>3890</v>
      </c>
      <c r="H2680" t="s">
        <v>4199</v>
      </c>
      <c r="I2680" t="s">
        <v>4200</v>
      </c>
      <c r="J2680">
        <v>1</v>
      </c>
      <c r="K2680" t="e">
        <v>#VALUE!</v>
      </c>
      <c r="L2680" t="e">
        <v>#VALUE!</v>
      </c>
      <c r="M2680" t="e">
        <v>#VALUE!</v>
      </c>
      <c r="N2680" t="e">
        <v>#VALUE!</v>
      </c>
      <c r="O2680" t="e">
        <v>#VALUE!</v>
      </c>
      <c r="P2680" t="e">
        <v>#VALUE!</v>
      </c>
      <c r="Q2680" t="e">
        <v>#VALUE!</v>
      </c>
      <c r="R2680" t="e">
        <v>#VALUE!</v>
      </c>
      <c r="S2680" t="e">
        <v>#VALUE!</v>
      </c>
      <c r="T2680" t="e">
        <v>#VALUE!</v>
      </c>
      <c r="U2680" t="e">
        <v>#VALUE!</v>
      </c>
      <c r="V2680" t="e">
        <v>#VALUE!</v>
      </c>
      <c r="W2680" t="e">
        <v>#VALUE!</v>
      </c>
      <c r="X2680" t="e">
        <v>#VALUE!</v>
      </c>
      <c r="Y2680" t="e">
        <v>#VALUE!</v>
      </c>
      <c r="Z2680" t="e">
        <v>#VALUE!</v>
      </c>
      <c r="AA2680" t="e">
        <v>#VALUE!</v>
      </c>
      <c r="AB2680" t="e">
        <v>#VALUE!</v>
      </c>
      <c r="AC2680" t="e">
        <v>#VALUE!</v>
      </c>
      <c r="AD2680" t="e">
        <v>#VALUE!</v>
      </c>
    </row>
    <row r="2681" spans="2:30" x14ac:dyDescent="0.25">
      <c r="B2681" t="s">
        <v>133</v>
      </c>
      <c r="C2681" t="s">
        <v>3263</v>
      </c>
      <c r="D2681" t="s">
        <v>4201</v>
      </c>
      <c r="E2681" t="s">
        <v>4202</v>
      </c>
      <c r="F2681" t="s">
        <v>8547</v>
      </c>
      <c r="G2681" t="s">
        <v>3890</v>
      </c>
      <c r="H2681" t="s">
        <v>4204</v>
      </c>
      <c r="I2681" t="s">
        <v>4200</v>
      </c>
      <c r="J2681">
        <v>1</v>
      </c>
      <c r="K2681" t="s">
        <v>138</v>
      </c>
      <c r="L2681" t="s">
        <v>138</v>
      </c>
      <c r="M2681" t="s">
        <v>138</v>
      </c>
      <c r="N2681" t="s">
        <v>138</v>
      </c>
      <c r="O2681" t="s">
        <v>138</v>
      </c>
      <c r="P2681" t="s">
        <v>138</v>
      </c>
      <c r="Q2681" t="s">
        <v>138</v>
      </c>
      <c r="R2681" t="s">
        <v>138</v>
      </c>
      <c r="S2681" t="s">
        <v>138</v>
      </c>
      <c r="T2681" t="s">
        <v>138</v>
      </c>
      <c r="U2681" t="s">
        <v>138</v>
      </c>
      <c r="V2681" t="s">
        <v>138</v>
      </c>
      <c r="W2681" t="s">
        <v>138</v>
      </c>
      <c r="X2681" t="s">
        <v>138</v>
      </c>
      <c r="Y2681" t="s">
        <v>138</v>
      </c>
      <c r="Z2681" t="s">
        <v>138</v>
      </c>
      <c r="AA2681" t="s">
        <v>138</v>
      </c>
      <c r="AB2681" t="s">
        <v>138</v>
      </c>
      <c r="AC2681" t="s">
        <v>138</v>
      </c>
      <c r="AD2681" t="s">
        <v>138</v>
      </c>
    </row>
    <row r="2682" spans="2:30" x14ac:dyDescent="0.25">
      <c r="B2682" t="s">
        <v>133</v>
      </c>
      <c r="C2682" t="s">
        <v>3263</v>
      </c>
      <c r="D2682" t="s">
        <v>4205</v>
      </c>
      <c r="E2682" t="s">
        <v>4206</v>
      </c>
      <c r="F2682" t="s">
        <v>8548</v>
      </c>
      <c r="G2682" t="s">
        <v>3890</v>
      </c>
      <c r="H2682" t="s">
        <v>4208</v>
      </c>
      <c r="I2682" t="s">
        <v>4209</v>
      </c>
      <c r="J2682">
        <v>1</v>
      </c>
      <c r="K2682" t="e">
        <v>#VALUE!</v>
      </c>
    </row>
    <row r="2683" spans="2:30" x14ac:dyDescent="0.25">
      <c r="B2683" t="s">
        <v>133</v>
      </c>
      <c r="C2683" t="s">
        <v>3263</v>
      </c>
      <c r="D2683" t="s">
        <v>4210</v>
      </c>
      <c r="E2683" t="s">
        <v>4211</v>
      </c>
      <c r="F2683" t="s">
        <v>8549</v>
      </c>
      <c r="G2683" t="s">
        <v>3890</v>
      </c>
      <c r="H2683" t="s">
        <v>4213</v>
      </c>
      <c r="I2683" t="s">
        <v>4209</v>
      </c>
      <c r="J2683">
        <v>1</v>
      </c>
      <c r="K2683" t="e">
        <v>#VALUE!</v>
      </c>
    </row>
    <row r="2684" spans="2:30" x14ac:dyDescent="0.25">
      <c r="B2684" t="s">
        <v>133</v>
      </c>
      <c r="C2684" t="s">
        <v>3263</v>
      </c>
      <c r="D2684" t="s">
        <v>4214</v>
      </c>
      <c r="E2684" t="s">
        <v>4215</v>
      </c>
      <c r="F2684" t="s">
        <v>8550</v>
      </c>
      <c r="G2684" t="s">
        <v>3890</v>
      </c>
      <c r="H2684" t="s">
        <v>4217</v>
      </c>
      <c r="I2684" t="s">
        <v>4209</v>
      </c>
      <c r="J2684">
        <v>1</v>
      </c>
      <c r="K2684" t="e">
        <v>#VALUE!</v>
      </c>
    </row>
    <row r="2685" spans="2:30" x14ac:dyDescent="0.25">
      <c r="B2685" t="s">
        <v>133</v>
      </c>
      <c r="C2685" t="s">
        <v>3263</v>
      </c>
      <c r="D2685" t="s">
        <v>4218</v>
      </c>
      <c r="E2685" t="s">
        <v>4219</v>
      </c>
      <c r="F2685" t="s">
        <v>8551</v>
      </c>
      <c r="G2685" t="s">
        <v>3890</v>
      </c>
      <c r="K2685">
        <v>377.96</v>
      </c>
      <c r="L2685">
        <v>205.55</v>
      </c>
      <c r="M2685">
        <v>583.5</v>
      </c>
      <c r="N2685">
        <v>0.03</v>
      </c>
    </row>
    <row r="2686" spans="2:30" x14ac:dyDescent="0.25">
      <c r="B2686" t="s">
        <v>133</v>
      </c>
      <c r="C2686" t="s">
        <v>3263</v>
      </c>
      <c r="D2686" t="s">
        <v>4221</v>
      </c>
      <c r="E2686" t="s">
        <v>4222</v>
      </c>
      <c r="F2686" t="s">
        <v>8552</v>
      </c>
      <c r="G2686" t="s">
        <v>3890</v>
      </c>
      <c r="K2686">
        <v>635.9</v>
      </c>
      <c r="L2686">
        <v>492.6</v>
      </c>
      <c r="M2686">
        <v>1128.51</v>
      </c>
      <c r="N2686">
        <v>0.01</v>
      </c>
    </row>
    <row r="2687" spans="2:30" x14ac:dyDescent="0.25">
      <c r="B2687" t="s">
        <v>133</v>
      </c>
      <c r="C2687" t="s">
        <v>3263</v>
      </c>
      <c r="D2687" t="s">
        <v>4224</v>
      </c>
      <c r="E2687" t="s">
        <v>4225</v>
      </c>
      <c r="F2687" t="s">
        <v>8553</v>
      </c>
      <c r="G2687" t="s">
        <v>3890</v>
      </c>
      <c r="K2687">
        <v>0</v>
      </c>
      <c r="L2687">
        <v>54.95</v>
      </c>
      <c r="M2687">
        <v>54.95</v>
      </c>
      <c r="N2687">
        <v>0.03</v>
      </c>
    </row>
    <row r="2688" spans="2:30" x14ac:dyDescent="0.25">
      <c r="B2688" t="s">
        <v>133</v>
      </c>
      <c r="C2688" t="s">
        <v>3263</v>
      </c>
      <c r="D2688" t="s">
        <v>4227</v>
      </c>
      <c r="E2688" t="s">
        <v>4228</v>
      </c>
      <c r="F2688" t="s">
        <v>8554</v>
      </c>
      <c r="G2688" t="s">
        <v>3890</v>
      </c>
      <c r="K2688">
        <v>159.22</v>
      </c>
      <c r="L2688">
        <v>26.04</v>
      </c>
      <c r="M2688">
        <v>185.25</v>
      </c>
      <c r="N2688">
        <v>0.12</v>
      </c>
    </row>
    <row r="2689" spans="2:30" x14ac:dyDescent="0.25">
      <c r="B2689" t="s">
        <v>133</v>
      </c>
      <c r="C2689" t="s">
        <v>3263</v>
      </c>
      <c r="D2689" t="s">
        <v>4230</v>
      </c>
      <c r="E2689" t="s">
        <v>4231</v>
      </c>
      <c r="F2689" t="s">
        <v>8555</v>
      </c>
      <c r="G2689" t="s">
        <v>3890</v>
      </c>
      <c r="K2689">
        <v>0</v>
      </c>
      <c r="L2689">
        <v>2.34</v>
      </c>
      <c r="M2689">
        <v>2.34</v>
      </c>
      <c r="N2689">
        <v>0.01</v>
      </c>
    </row>
    <row r="2690" spans="2:30" x14ac:dyDescent="0.25">
      <c r="B2690" t="s">
        <v>133</v>
      </c>
      <c r="C2690" t="s">
        <v>3263</v>
      </c>
      <c r="D2690" t="s">
        <v>4233</v>
      </c>
      <c r="E2690" t="s">
        <v>4234</v>
      </c>
      <c r="F2690" t="s">
        <v>8556</v>
      </c>
      <c r="G2690" t="s">
        <v>3890</v>
      </c>
      <c r="K2690">
        <v>9.7799999999999994</v>
      </c>
      <c r="L2690">
        <v>21.23</v>
      </c>
      <c r="M2690">
        <v>31.01</v>
      </c>
      <c r="N2690">
        <v>0.26</v>
      </c>
    </row>
    <row r="2691" spans="2:30" x14ac:dyDescent="0.25">
      <c r="B2691" t="s">
        <v>133</v>
      </c>
      <c r="C2691" t="s">
        <v>3263</v>
      </c>
      <c r="D2691" t="s">
        <v>4236</v>
      </c>
      <c r="E2691" t="s">
        <v>4237</v>
      </c>
      <c r="F2691" t="s">
        <v>8557</v>
      </c>
      <c r="G2691" t="s">
        <v>3890</v>
      </c>
      <c r="K2691">
        <v>0</v>
      </c>
      <c r="L2691">
        <v>46.09</v>
      </c>
      <c r="M2691">
        <v>46.09</v>
      </c>
      <c r="N2691">
        <v>0.36</v>
      </c>
    </row>
    <row r="2692" spans="2:30" x14ac:dyDescent="0.25">
      <c r="B2692" t="s">
        <v>133</v>
      </c>
      <c r="C2692" t="s">
        <v>3263</v>
      </c>
      <c r="D2692" t="s">
        <v>4239</v>
      </c>
      <c r="E2692" t="s">
        <v>4240</v>
      </c>
      <c r="F2692" t="s">
        <v>8558</v>
      </c>
      <c r="G2692" t="s">
        <v>3890</v>
      </c>
      <c r="K2692">
        <v>0</v>
      </c>
      <c r="L2692">
        <v>48.78</v>
      </c>
      <c r="M2692">
        <v>48.78</v>
      </c>
      <c r="N2692">
        <v>0.05</v>
      </c>
    </row>
    <row r="2693" spans="2:30" x14ac:dyDescent="0.25">
      <c r="B2693" t="s">
        <v>133</v>
      </c>
      <c r="C2693" t="s">
        <v>3263</v>
      </c>
      <c r="D2693" t="s">
        <v>4242</v>
      </c>
      <c r="E2693" t="s">
        <v>4243</v>
      </c>
      <c r="F2693" t="s">
        <v>8559</v>
      </c>
      <c r="G2693" t="s">
        <v>3890</v>
      </c>
      <c r="K2693">
        <v>0</v>
      </c>
      <c r="L2693">
        <v>0</v>
      </c>
      <c r="M2693">
        <v>0</v>
      </c>
      <c r="N2693">
        <v>0.06</v>
      </c>
    </row>
    <row r="2694" spans="2:30" x14ac:dyDescent="0.25">
      <c r="B2694" t="s">
        <v>133</v>
      </c>
      <c r="C2694" t="s">
        <v>3263</v>
      </c>
      <c r="D2694" t="s">
        <v>4245</v>
      </c>
      <c r="E2694" t="s">
        <v>4246</v>
      </c>
      <c r="F2694" t="s">
        <v>8560</v>
      </c>
      <c r="G2694" t="s">
        <v>3890</v>
      </c>
      <c r="K2694">
        <v>7.0000000000000007E-2</v>
      </c>
      <c r="L2694">
        <v>0.41</v>
      </c>
      <c r="M2694">
        <v>820.06</v>
      </c>
      <c r="N2694">
        <v>7.0000000000000007E-2</v>
      </c>
      <c r="O2694">
        <v>0.41</v>
      </c>
    </row>
    <row r="2695" spans="2:30" x14ac:dyDescent="0.25">
      <c r="B2695" t="s">
        <v>133</v>
      </c>
      <c r="C2695" t="s">
        <v>3263</v>
      </c>
      <c r="D2695" t="s">
        <v>4248</v>
      </c>
      <c r="E2695" t="s">
        <v>4234</v>
      </c>
      <c r="F2695" t="s">
        <v>8556</v>
      </c>
      <c r="G2695" t="s">
        <v>3890</v>
      </c>
      <c r="K2695">
        <v>0.26</v>
      </c>
      <c r="L2695">
        <v>0</v>
      </c>
      <c r="M2695">
        <v>31.01</v>
      </c>
      <c r="N2695">
        <v>0.33</v>
      </c>
      <c r="O2695">
        <v>0.41</v>
      </c>
    </row>
    <row r="2696" spans="2:30" x14ac:dyDescent="0.25">
      <c r="B2696" t="s">
        <v>133</v>
      </c>
      <c r="C2696" t="s">
        <v>3263</v>
      </c>
      <c r="D2696" t="s">
        <v>4249</v>
      </c>
      <c r="E2696" t="s">
        <v>4225</v>
      </c>
      <c r="F2696" t="s">
        <v>8553</v>
      </c>
      <c r="G2696" t="s">
        <v>3890</v>
      </c>
      <c r="K2696">
        <v>0.03</v>
      </c>
      <c r="L2696">
        <v>0</v>
      </c>
      <c r="M2696">
        <v>54.95</v>
      </c>
      <c r="N2696">
        <v>0.36</v>
      </c>
      <c r="O2696">
        <v>0.41</v>
      </c>
    </row>
    <row r="2697" spans="2:30" x14ac:dyDescent="0.25">
      <c r="B2697" t="s">
        <v>133</v>
      </c>
      <c r="C2697" t="s">
        <v>3263</v>
      </c>
      <c r="D2697" t="s">
        <v>4250</v>
      </c>
      <c r="E2697" t="s">
        <v>4228</v>
      </c>
      <c r="F2697" t="s">
        <v>8554</v>
      </c>
      <c r="G2697" t="s">
        <v>3890</v>
      </c>
      <c r="K2697">
        <v>0.12</v>
      </c>
      <c r="L2697">
        <v>0.32</v>
      </c>
      <c r="M2697">
        <v>185.25</v>
      </c>
      <c r="N2697">
        <v>0.48</v>
      </c>
      <c r="O2697">
        <v>0.73</v>
      </c>
    </row>
    <row r="2698" spans="2:30" x14ac:dyDescent="0.25">
      <c r="B2698" t="s">
        <v>133</v>
      </c>
      <c r="C2698" t="s">
        <v>3263</v>
      </c>
      <c r="D2698" t="s">
        <v>4251</v>
      </c>
      <c r="E2698" t="s">
        <v>4219</v>
      </c>
      <c r="F2698" t="s">
        <v>8551</v>
      </c>
      <c r="G2698" t="s">
        <v>3890</v>
      </c>
      <c r="K2698">
        <v>0.03</v>
      </c>
      <c r="L2698">
        <v>0.16</v>
      </c>
      <c r="M2698">
        <v>583.5</v>
      </c>
      <c r="N2698">
        <v>0.51</v>
      </c>
      <c r="O2698">
        <v>0.89</v>
      </c>
    </row>
    <row r="2699" spans="2:30" x14ac:dyDescent="0.25">
      <c r="B2699" t="s">
        <v>133</v>
      </c>
      <c r="C2699" t="s">
        <v>3263</v>
      </c>
      <c r="D2699" t="s">
        <v>4252</v>
      </c>
      <c r="E2699" t="s">
        <v>4222</v>
      </c>
      <c r="F2699" t="s">
        <v>8552</v>
      </c>
      <c r="G2699" t="s">
        <v>3890</v>
      </c>
      <c r="K2699">
        <v>0.01</v>
      </c>
      <c r="L2699">
        <v>7.0000000000000007E-2</v>
      </c>
      <c r="M2699">
        <v>1128.51</v>
      </c>
      <c r="N2699">
        <v>0.52</v>
      </c>
      <c r="O2699">
        <v>0.96</v>
      </c>
    </row>
    <row r="2700" spans="2:30" x14ac:dyDescent="0.25">
      <c r="B2700" t="s">
        <v>133</v>
      </c>
      <c r="C2700" t="s">
        <v>3263</v>
      </c>
      <c r="D2700" t="s">
        <v>4253</v>
      </c>
      <c r="E2700" t="s">
        <v>4254</v>
      </c>
      <c r="F2700" t="s">
        <v>8561</v>
      </c>
      <c r="G2700" t="s">
        <v>3890</v>
      </c>
      <c r="K2700">
        <v>0.06</v>
      </c>
      <c r="L2700">
        <v>0</v>
      </c>
      <c r="M2700">
        <v>0</v>
      </c>
      <c r="N2700">
        <v>0.58000000000000007</v>
      </c>
      <c r="O2700">
        <v>0.96</v>
      </c>
    </row>
    <row r="2701" spans="2:30" x14ac:dyDescent="0.25">
      <c r="B2701" t="s">
        <v>133</v>
      </c>
      <c r="C2701" t="s">
        <v>3263</v>
      </c>
      <c r="D2701" t="s">
        <v>4256</v>
      </c>
      <c r="E2701" t="s">
        <v>4240</v>
      </c>
      <c r="F2701" t="s">
        <v>8558</v>
      </c>
      <c r="G2701" t="s">
        <v>3890</v>
      </c>
      <c r="K2701">
        <v>0.05</v>
      </c>
      <c r="L2701">
        <v>48.78</v>
      </c>
      <c r="M2701">
        <v>48.78</v>
      </c>
      <c r="N2701">
        <v>0.63000000000000012</v>
      </c>
      <c r="O2701">
        <v>49.74</v>
      </c>
    </row>
    <row r="2702" spans="2:30" x14ac:dyDescent="0.25">
      <c r="B2702" t="s">
        <v>133</v>
      </c>
      <c r="C2702" t="s">
        <v>3263</v>
      </c>
      <c r="D2702" t="s">
        <v>4257</v>
      </c>
      <c r="E2702" t="s">
        <v>4231</v>
      </c>
      <c r="F2702" t="s">
        <v>8555</v>
      </c>
      <c r="G2702" t="s">
        <v>3890</v>
      </c>
      <c r="K2702">
        <v>0.01</v>
      </c>
      <c r="L2702">
        <v>0</v>
      </c>
      <c r="M2702">
        <v>2.34</v>
      </c>
      <c r="N2702">
        <v>0.64000000000000012</v>
      </c>
      <c r="O2702">
        <v>49.74</v>
      </c>
    </row>
    <row r="2703" spans="2:30" x14ac:dyDescent="0.25">
      <c r="B2703" t="s">
        <v>133</v>
      </c>
      <c r="C2703" t="s">
        <v>3263</v>
      </c>
      <c r="D2703" t="s">
        <v>4258</v>
      </c>
      <c r="E2703" t="s">
        <v>4237</v>
      </c>
      <c r="F2703" t="s">
        <v>8557</v>
      </c>
      <c r="G2703" t="s">
        <v>3890</v>
      </c>
      <c r="K2703">
        <v>0.36</v>
      </c>
      <c r="L2703">
        <v>0.04</v>
      </c>
      <c r="M2703">
        <v>46.09</v>
      </c>
      <c r="N2703">
        <v>1</v>
      </c>
      <c r="O2703">
        <v>49.78</v>
      </c>
    </row>
    <row r="2704" spans="2:30" x14ac:dyDescent="0.25">
      <c r="B2704" t="s">
        <v>133</v>
      </c>
      <c r="C2704" t="s">
        <v>3263</v>
      </c>
      <c r="D2704" t="s">
        <v>4259</v>
      </c>
      <c r="E2704" t="s">
        <v>4260</v>
      </c>
      <c r="F2704" t="s">
        <v>8562</v>
      </c>
      <c r="G2704" t="s">
        <v>3890</v>
      </c>
      <c r="H2704" t="s">
        <v>4262</v>
      </c>
      <c r="I2704" t="s">
        <v>4263</v>
      </c>
      <c r="J2704">
        <v>1</v>
      </c>
      <c r="K2704">
        <v>6.3E-2</v>
      </c>
      <c r="L2704">
        <v>5.8000000000000003E-2</v>
      </c>
      <c r="M2704">
        <v>4.9000000000000002E-2</v>
      </c>
      <c r="N2704">
        <v>4.7E-2</v>
      </c>
      <c r="O2704">
        <v>4.9000000000000002E-2</v>
      </c>
      <c r="P2704">
        <v>0.05</v>
      </c>
      <c r="Q2704">
        <v>0.05</v>
      </c>
      <c r="R2704">
        <v>0.05</v>
      </c>
      <c r="S2704">
        <v>4.9000000000000002E-2</v>
      </c>
      <c r="T2704">
        <v>4.9000000000000002E-2</v>
      </c>
      <c r="U2704">
        <v>4.9000000000000002E-2</v>
      </c>
      <c r="V2704">
        <v>4.9000000000000002E-2</v>
      </c>
      <c r="W2704">
        <v>4.8000000000000001E-2</v>
      </c>
      <c r="X2704">
        <v>4.8000000000000001E-2</v>
      </c>
      <c r="Y2704">
        <v>4.8000000000000001E-2</v>
      </c>
      <c r="Z2704">
        <v>4.7E-2</v>
      </c>
      <c r="AA2704">
        <v>4.7E-2</v>
      </c>
      <c r="AB2704">
        <v>4.7E-2</v>
      </c>
      <c r="AC2704">
        <v>4.7E-2</v>
      </c>
      <c r="AD2704">
        <v>4.5999999999999999E-2</v>
      </c>
    </row>
    <row r="2705" spans="2:30" x14ac:dyDescent="0.25">
      <c r="B2705" t="s">
        <v>133</v>
      </c>
      <c r="C2705" t="s">
        <v>3263</v>
      </c>
      <c r="D2705" t="s">
        <v>4264</v>
      </c>
      <c r="E2705" t="s">
        <v>4265</v>
      </c>
      <c r="F2705" t="s">
        <v>8563</v>
      </c>
      <c r="G2705" t="s">
        <v>3890</v>
      </c>
      <c r="H2705" t="s">
        <v>4262</v>
      </c>
      <c r="I2705" t="s">
        <v>4267</v>
      </c>
      <c r="J2705">
        <v>1</v>
      </c>
      <c r="K2705">
        <v>11.478</v>
      </c>
      <c r="L2705">
        <v>8.8379999999999992</v>
      </c>
      <c r="M2705">
        <v>7.7530000000000001</v>
      </c>
      <c r="N2705">
        <v>7.06</v>
      </c>
      <c r="O2705">
        <v>7.0789999999999997</v>
      </c>
      <c r="P2705">
        <v>7.133</v>
      </c>
      <c r="Q2705">
        <v>7.1070000000000002</v>
      </c>
      <c r="R2705">
        <v>7.0789999999999997</v>
      </c>
      <c r="S2705">
        <v>7.05</v>
      </c>
      <c r="T2705">
        <v>7.0209999999999999</v>
      </c>
      <c r="U2705">
        <v>7.0209999999999999</v>
      </c>
      <c r="V2705">
        <v>7.0209999999999999</v>
      </c>
      <c r="W2705">
        <v>7.0209999999999999</v>
      </c>
      <c r="X2705">
        <v>7.02</v>
      </c>
      <c r="Y2705">
        <v>7.02</v>
      </c>
      <c r="Z2705">
        <v>7.02</v>
      </c>
      <c r="AA2705">
        <v>7.02</v>
      </c>
      <c r="AB2705">
        <v>7.02</v>
      </c>
      <c r="AC2705">
        <v>7.02</v>
      </c>
      <c r="AD2705">
        <v>7.02</v>
      </c>
    </row>
    <row r="2706" spans="2:30" x14ac:dyDescent="0.25">
      <c r="B2706" t="s">
        <v>133</v>
      </c>
      <c r="C2706" t="s">
        <v>3263</v>
      </c>
      <c r="D2706" t="s">
        <v>4268</v>
      </c>
      <c r="E2706" t="s">
        <v>4269</v>
      </c>
      <c r="F2706" t="s">
        <v>8564</v>
      </c>
      <c r="G2706" t="s">
        <v>3890</v>
      </c>
      <c r="H2706" t="s">
        <v>4262</v>
      </c>
      <c r="I2706" t="s">
        <v>4267</v>
      </c>
      <c r="J2706">
        <v>1</v>
      </c>
      <c r="K2706">
        <v>3.5339999999999998</v>
      </c>
      <c r="L2706">
        <v>3.22</v>
      </c>
      <c r="M2706">
        <v>3.181</v>
      </c>
      <c r="N2706">
        <v>3.19</v>
      </c>
      <c r="O2706">
        <v>3.2170000000000001</v>
      </c>
      <c r="P2706">
        <v>3.2410000000000001</v>
      </c>
      <c r="Q2706">
        <v>3.2530000000000001</v>
      </c>
      <c r="R2706">
        <v>3.2610000000000001</v>
      </c>
      <c r="S2706">
        <v>3.27</v>
      </c>
      <c r="T2706">
        <v>3.2789999999999999</v>
      </c>
      <c r="U2706">
        <v>3.2869999999999999</v>
      </c>
      <c r="V2706">
        <v>3.2930000000000001</v>
      </c>
      <c r="W2706">
        <v>3.2970000000000002</v>
      </c>
      <c r="X2706">
        <v>3.2989999999999999</v>
      </c>
      <c r="Y2706">
        <v>3.3</v>
      </c>
      <c r="Z2706">
        <v>3.298</v>
      </c>
      <c r="AA2706">
        <v>3.294</v>
      </c>
      <c r="AB2706">
        <v>3.2869999999999999</v>
      </c>
      <c r="AC2706">
        <v>3.278</v>
      </c>
      <c r="AD2706">
        <v>3.2690000000000001</v>
      </c>
    </row>
    <row r="2707" spans="2:30" x14ac:dyDescent="0.25">
      <c r="B2707" t="s">
        <v>133</v>
      </c>
      <c r="C2707" t="s">
        <v>3263</v>
      </c>
      <c r="D2707" t="s">
        <v>4271</v>
      </c>
      <c r="E2707" t="s">
        <v>4272</v>
      </c>
      <c r="F2707" t="s">
        <v>8565</v>
      </c>
      <c r="G2707" t="s">
        <v>3890</v>
      </c>
      <c r="H2707" t="s">
        <v>4262</v>
      </c>
      <c r="I2707" t="s">
        <v>4274</v>
      </c>
      <c r="J2707">
        <v>1</v>
      </c>
      <c r="K2707">
        <v>33.051000000000002</v>
      </c>
      <c r="L2707">
        <v>26.300999999999998</v>
      </c>
      <c r="M2707">
        <v>23.175999999999998</v>
      </c>
      <c r="N2707">
        <v>15</v>
      </c>
      <c r="O2707">
        <v>15</v>
      </c>
      <c r="P2707">
        <v>15</v>
      </c>
      <c r="Q2707">
        <v>15</v>
      </c>
      <c r="R2707">
        <v>15</v>
      </c>
      <c r="S2707">
        <v>15</v>
      </c>
      <c r="T2707">
        <v>15</v>
      </c>
      <c r="U2707">
        <v>15</v>
      </c>
      <c r="V2707">
        <v>15</v>
      </c>
      <c r="W2707">
        <v>15</v>
      </c>
      <c r="X2707">
        <v>15</v>
      </c>
      <c r="Y2707">
        <v>15</v>
      </c>
      <c r="Z2707">
        <v>15</v>
      </c>
      <c r="AA2707">
        <v>15</v>
      </c>
      <c r="AB2707">
        <v>15</v>
      </c>
      <c r="AC2707">
        <v>15</v>
      </c>
      <c r="AD2707">
        <v>15</v>
      </c>
    </row>
    <row r="2708" spans="2:30" x14ac:dyDescent="0.25">
      <c r="B2708" t="s">
        <v>133</v>
      </c>
      <c r="C2708" t="s">
        <v>3263</v>
      </c>
      <c r="D2708" t="s">
        <v>4275</v>
      </c>
      <c r="E2708" t="s">
        <v>4276</v>
      </c>
      <c r="F2708" t="s">
        <v>8566</v>
      </c>
      <c r="G2708" t="s">
        <v>3890</v>
      </c>
      <c r="H2708" t="s">
        <v>4262</v>
      </c>
      <c r="I2708" t="s">
        <v>4278</v>
      </c>
      <c r="J2708">
        <v>1</v>
      </c>
      <c r="K2708">
        <v>0.6</v>
      </c>
      <c r="L2708">
        <v>0.41099999999999998</v>
      </c>
      <c r="M2708">
        <v>0.33500000000000002</v>
      </c>
      <c r="N2708">
        <v>0.33500000000000002</v>
      </c>
      <c r="O2708">
        <v>0.33500000000000002</v>
      </c>
      <c r="P2708">
        <v>0.33500000000000002</v>
      </c>
      <c r="Q2708">
        <v>0.33500000000000002</v>
      </c>
      <c r="R2708">
        <v>0.33500000000000002</v>
      </c>
      <c r="S2708">
        <v>0.33500000000000002</v>
      </c>
      <c r="T2708">
        <v>0.33500000000000002</v>
      </c>
      <c r="U2708">
        <v>0.33500000000000002</v>
      </c>
      <c r="V2708">
        <v>0.33500000000000002</v>
      </c>
      <c r="W2708">
        <v>0.33500000000000002</v>
      </c>
      <c r="X2708">
        <v>0.33500000000000002</v>
      </c>
      <c r="Y2708">
        <v>0.33500000000000002</v>
      </c>
      <c r="Z2708">
        <v>0.33500000000000002</v>
      </c>
      <c r="AA2708">
        <v>0.33500000000000002</v>
      </c>
      <c r="AB2708">
        <v>0.33500000000000002</v>
      </c>
      <c r="AC2708">
        <v>0.33500000000000002</v>
      </c>
      <c r="AD2708">
        <v>0.33500000000000002</v>
      </c>
    </row>
    <row r="2709" spans="2:30" x14ac:dyDescent="0.25">
      <c r="B2709" t="s">
        <v>133</v>
      </c>
      <c r="C2709" t="s">
        <v>3263</v>
      </c>
      <c r="D2709" t="s">
        <v>4279</v>
      </c>
      <c r="E2709" t="s">
        <v>4280</v>
      </c>
      <c r="F2709" t="s">
        <v>8567</v>
      </c>
      <c r="G2709" t="s">
        <v>3890</v>
      </c>
      <c r="H2709" t="s">
        <v>4262</v>
      </c>
      <c r="I2709" t="s">
        <v>4278</v>
      </c>
      <c r="J2709">
        <v>1</v>
      </c>
      <c r="K2709">
        <v>0.41399999999999998</v>
      </c>
      <c r="L2709">
        <v>0.28100000000000003</v>
      </c>
      <c r="M2709">
        <v>0.249</v>
      </c>
      <c r="N2709">
        <v>0.249</v>
      </c>
      <c r="O2709">
        <v>0.249</v>
      </c>
      <c r="P2709">
        <v>0.249</v>
      </c>
      <c r="Q2709">
        <v>0.249</v>
      </c>
      <c r="R2709">
        <v>0.249</v>
      </c>
      <c r="S2709">
        <v>0.249</v>
      </c>
      <c r="T2709">
        <v>0.249</v>
      </c>
      <c r="U2709">
        <v>0.249</v>
      </c>
      <c r="V2709">
        <v>0.249</v>
      </c>
      <c r="W2709">
        <v>0.249</v>
      </c>
      <c r="X2709">
        <v>0.249</v>
      </c>
      <c r="Y2709">
        <v>0.249</v>
      </c>
      <c r="Z2709">
        <v>0.249</v>
      </c>
      <c r="AA2709">
        <v>0.249</v>
      </c>
      <c r="AB2709">
        <v>0.249</v>
      </c>
      <c r="AC2709">
        <v>0.249</v>
      </c>
      <c r="AD2709">
        <v>0.249</v>
      </c>
    </row>
    <row r="2710" spans="2:30" x14ac:dyDescent="0.25">
      <c r="B2710" t="s">
        <v>133</v>
      </c>
      <c r="C2710" t="s">
        <v>3263</v>
      </c>
      <c r="D2710" t="s">
        <v>4282</v>
      </c>
      <c r="E2710" t="s">
        <v>4283</v>
      </c>
      <c r="F2710" t="s">
        <v>8568</v>
      </c>
      <c r="G2710" t="s">
        <v>3890</v>
      </c>
      <c r="H2710" t="s">
        <v>4262</v>
      </c>
      <c r="I2710" t="s">
        <v>4278</v>
      </c>
      <c r="J2710">
        <v>1</v>
      </c>
      <c r="K2710">
        <v>0.17499999999999999</v>
      </c>
      <c r="L2710">
        <v>0.10199999999999999</v>
      </c>
      <c r="M2710">
        <v>8.7999999999999995E-2</v>
      </c>
      <c r="N2710">
        <v>8.7999999999999995E-2</v>
      </c>
      <c r="O2710">
        <v>8.7999999999999995E-2</v>
      </c>
      <c r="P2710">
        <v>8.7999999999999995E-2</v>
      </c>
      <c r="Q2710">
        <v>8.7999999999999995E-2</v>
      </c>
      <c r="R2710">
        <v>8.7999999999999995E-2</v>
      </c>
      <c r="S2710">
        <v>8.7999999999999995E-2</v>
      </c>
      <c r="T2710">
        <v>8.7999999999999995E-2</v>
      </c>
      <c r="U2710">
        <v>8.7999999999999995E-2</v>
      </c>
      <c r="V2710">
        <v>8.7999999999999995E-2</v>
      </c>
      <c r="W2710">
        <v>8.7999999999999995E-2</v>
      </c>
      <c r="X2710">
        <v>8.7999999999999995E-2</v>
      </c>
      <c r="Y2710">
        <v>8.7999999999999995E-2</v>
      </c>
      <c r="Z2710">
        <v>8.7999999999999995E-2</v>
      </c>
      <c r="AA2710">
        <v>8.7999999999999995E-2</v>
      </c>
      <c r="AB2710">
        <v>8.7999999999999995E-2</v>
      </c>
      <c r="AC2710">
        <v>8.7999999999999995E-2</v>
      </c>
      <c r="AD2710">
        <v>8.7999999999999995E-2</v>
      </c>
    </row>
    <row r="2711" spans="2:30" x14ac:dyDescent="0.25">
      <c r="B2711" t="s">
        <v>133</v>
      </c>
      <c r="C2711" t="s">
        <v>3263</v>
      </c>
      <c r="D2711" t="s">
        <v>4285</v>
      </c>
      <c r="E2711" t="s">
        <v>4286</v>
      </c>
      <c r="F2711" t="s">
        <v>8569</v>
      </c>
      <c r="G2711" t="s">
        <v>3890</v>
      </c>
      <c r="H2711" t="s">
        <v>4262</v>
      </c>
      <c r="I2711" t="s">
        <v>4278</v>
      </c>
      <c r="J2711">
        <v>1</v>
      </c>
      <c r="K2711">
        <v>0.41399999999999998</v>
      </c>
      <c r="L2711">
        <v>0.25900000000000001</v>
      </c>
      <c r="M2711">
        <v>0.24399999999999999</v>
      </c>
      <c r="N2711">
        <v>0.24399999999999999</v>
      </c>
      <c r="O2711">
        <v>0.24399999999999999</v>
      </c>
      <c r="P2711">
        <v>0.24399999999999999</v>
      </c>
      <c r="Q2711">
        <v>0.24399999999999999</v>
      </c>
      <c r="R2711">
        <v>0.24399999999999999</v>
      </c>
      <c r="S2711">
        <v>0.24399999999999999</v>
      </c>
      <c r="T2711">
        <v>0.24399999999999999</v>
      </c>
      <c r="U2711">
        <v>0.24399999999999999</v>
      </c>
      <c r="V2711">
        <v>0.24399999999999999</v>
      </c>
      <c r="W2711">
        <v>0.24399999999999999</v>
      </c>
      <c r="X2711">
        <v>0.24399999999999999</v>
      </c>
      <c r="Y2711">
        <v>0.24399999999999999</v>
      </c>
      <c r="Z2711">
        <v>0.24399999999999999</v>
      </c>
      <c r="AA2711">
        <v>0.24399999999999999</v>
      </c>
      <c r="AB2711">
        <v>0.24399999999999999</v>
      </c>
      <c r="AC2711">
        <v>0.24399999999999999</v>
      </c>
      <c r="AD2711">
        <v>0.24399999999999999</v>
      </c>
    </row>
    <row r="2712" spans="2:30" x14ac:dyDescent="0.25">
      <c r="B2712" t="s">
        <v>133</v>
      </c>
      <c r="C2712" t="s">
        <v>3263</v>
      </c>
      <c r="D2712" t="s">
        <v>4259</v>
      </c>
      <c r="E2712" t="s">
        <v>4288</v>
      </c>
      <c r="F2712" t="s">
        <v>8570</v>
      </c>
      <c r="G2712" t="s">
        <v>3890</v>
      </c>
      <c r="H2712" t="s">
        <v>4262</v>
      </c>
      <c r="I2712" t="s">
        <v>4263</v>
      </c>
      <c r="J2712">
        <v>2</v>
      </c>
      <c r="K2712">
        <v>6.3E-2</v>
      </c>
      <c r="L2712">
        <v>5.8000000000000003E-2</v>
      </c>
      <c r="M2712">
        <v>4.9000000000000002E-2</v>
      </c>
      <c r="N2712">
        <v>4.7E-2</v>
      </c>
      <c r="O2712">
        <v>4.9000000000000002E-2</v>
      </c>
      <c r="P2712">
        <v>0.05</v>
      </c>
      <c r="Q2712">
        <v>5.0999999999999997E-2</v>
      </c>
      <c r="R2712">
        <v>0.05</v>
      </c>
      <c r="S2712">
        <v>0.05</v>
      </c>
      <c r="T2712">
        <v>0.05</v>
      </c>
      <c r="U2712">
        <v>0.05</v>
      </c>
      <c r="V2712">
        <v>4.9000000000000002E-2</v>
      </c>
      <c r="W2712">
        <v>4.9000000000000002E-2</v>
      </c>
      <c r="X2712">
        <v>4.9000000000000002E-2</v>
      </c>
      <c r="Y2712">
        <v>4.9000000000000002E-2</v>
      </c>
      <c r="Z2712">
        <v>4.9000000000000002E-2</v>
      </c>
      <c r="AA2712">
        <v>4.8000000000000001E-2</v>
      </c>
      <c r="AB2712">
        <v>4.8000000000000001E-2</v>
      </c>
      <c r="AC2712">
        <v>4.8000000000000001E-2</v>
      </c>
      <c r="AD2712">
        <v>4.7E-2</v>
      </c>
    </row>
    <row r="2713" spans="2:30" x14ac:dyDescent="0.25">
      <c r="B2713" t="s">
        <v>133</v>
      </c>
      <c r="C2713" t="s">
        <v>3263</v>
      </c>
      <c r="D2713" t="s">
        <v>4264</v>
      </c>
      <c r="E2713" t="s">
        <v>4290</v>
      </c>
      <c r="F2713" t="s">
        <v>8571</v>
      </c>
      <c r="G2713" t="s">
        <v>3890</v>
      </c>
      <c r="H2713" t="s">
        <v>4262</v>
      </c>
      <c r="I2713" t="s">
        <v>4267</v>
      </c>
      <c r="J2713">
        <v>2</v>
      </c>
      <c r="K2713">
        <v>11.478</v>
      </c>
      <c r="L2713">
        <v>8.8379999999999992</v>
      </c>
      <c r="M2713">
        <v>7.7530000000000001</v>
      </c>
      <c r="N2713">
        <v>7.06</v>
      </c>
      <c r="O2713">
        <v>8.0779999999999994</v>
      </c>
      <c r="P2713">
        <v>8.532</v>
      </c>
      <c r="Q2713">
        <v>8.9060000000000006</v>
      </c>
      <c r="R2713">
        <v>9.2769999999999992</v>
      </c>
      <c r="S2713">
        <v>9.6470000000000002</v>
      </c>
      <c r="T2713">
        <v>10.018000000000001</v>
      </c>
      <c r="U2713">
        <v>10.417</v>
      </c>
      <c r="V2713">
        <v>10.817</v>
      </c>
      <c r="W2713">
        <v>11.217000000000001</v>
      </c>
      <c r="X2713">
        <v>11.616</v>
      </c>
      <c r="Y2713">
        <v>12.016</v>
      </c>
      <c r="Z2713">
        <v>12.416</v>
      </c>
      <c r="AA2713">
        <v>12.815</v>
      </c>
      <c r="AB2713">
        <v>13.215</v>
      </c>
      <c r="AC2713">
        <v>13.614000000000001</v>
      </c>
      <c r="AD2713">
        <v>14.013999999999999</v>
      </c>
    </row>
    <row r="2714" spans="2:30" x14ac:dyDescent="0.25">
      <c r="B2714" t="s">
        <v>133</v>
      </c>
      <c r="C2714" t="s">
        <v>3263</v>
      </c>
      <c r="D2714" t="s">
        <v>4268</v>
      </c>
      <c r="E2714" t="s">
        <v>4292</v>
      </c>
      <c r="F2714" t="s">
        <v>8572</v>
      </c>
      <c r="G2714" t="s">
        <v>3890</v>
      </c>
      <c r="H2714" t="s">
        <v>4262</v>
      </c>
      <c r="I2714" t="s">
        <v>4267</v>
      </c>
      <c r="J2714">
        <v>2</v>
      </c>
      <c r="K2714">
        <v>3.5339999999999998</v>
      </c>
      <c r="L2714">
        <v>3.22</v>
      </c>
      <c r="M2714">
        <v>3.181</v>
      </c>
      <c r="N2714">
        <v>3.19</v>
      </c>
      <c r="O2714">
        <v>3.351</v>
      </c>
      <c r="P2714">
        <v>3.4359999999999999</v>
      </c>
      <c r="Q2714">
        <v>3.508</v>
      </c>
      <c r="R2714">
        <v>3.577</v>
      </c>
      <c r="S2714">
        <v>3.6480000000000001</v>
      </c>
      <c r="T2714">
        <v>3.7210000000000001</v>
      </c>
      <c r="U2714">
        <v>3.7930000000000001</v>
      </c>
      <c r="V2714">
        <v>3.863</v>
      </c>
      <c r="W2714">
        <v>3.9319999999999999</v>
      </c>
      <c r="X2714">
        <v>3.9969999999999999</v>
      </c>
      <c r="Y2714">
        <v>4.0579999999999998</v>
      </c>
      <c r="Z2714">
        <v>4.1139999999999999</v>
      </c>
      <c r="AA2714">
        <v>4.1639999999999997</v>
      </c>
      <c r="AB2714">
        <v>4.2069999999999999</v>
      </c>
      <c r="AC2714">
        <v>4.2409999999999997</v>
      </c>
      <c r="AD2714">
        <v>4.2770000000000001</v>
      </c>
    </row>
    <row r="2715" spans="2:30" x14ac:dyDescent="0.25">
      <c r="B2715" t="s">
        <v>133</v>
      </c>
      <c r="C2715" t="s">
        <v>3263</v>
      </c>
      <c r="D2715" t="s">
        <v>4271</v>
      </c>
      <c r="E2715" t="s">
        <v>4294</v>
      </c>
      <c r="F2715" t="s">
        <v>8573</v>
      </c>
      <c r="G2715" t="s">
        <v>3890</v>
      </c>
      <c r="H2715" t="s">
        <v>4262</v>
      </c>
      <c r="I2715" t="s">
        <v>4274</v>
      </c>
      <c r="J2715">
        <v>2</v>
      </c>
      <c r="K2715">
        <v>33.051000000000002</v>
      </c>
      <c r="L2715">
        <v>26.300999999999998</v>
      </c>
      <c r="M2715">
        <v>23.175999999999998</v>
      </c>
      <c r="N2715">
        <v>15</v>
      </c>
      <c r="O2715">
        <v>18.32</v>
      </c>
      <c r="P2715">
        <v>15</v>
      </c>
      <c r="Q2715">
        <v>15.015000000000001</v>
      </c>
      <c r="R2715">
        <v>16.123999999999999</v>
      </c>
      <c r="S2715">
        <v>17.329999999999998</v>
      </c>
      <c r="T2715">
        <v>18.478000000000002</v>
      </c>
      <c r="U2715">
        <v>20.356000000000002</v>
      </c>
      <c r="V2715">
        <v>22.234000000000002</v>
      </c>
      <c r="W2715">
        <v>24.111000000000001</v>
      </c>
      <c r="X2715">
        <v>25.989000000000001</v>
      </c>
      <c r="Y2715">
        <v>27.866</v>
      </c>
      <c r="Z2715">
        <v>29.744</v>
      </c>
      <c r="AA2715">
        <v>31.622</v>
      </c>
      <c r="AB2715">
        <v>33.499000000000002</v>
      </c>
      <c r="AC2715">
        <v>35.377000000000002</v>
      </c>
      <c r="AD2715">
        <v>37.253999999999998</v>
      </c>
    </row>
    <row r="2716" spans="2:30" x14ac:dyDescent="0.25">
      <c r="B2716" t="s">
        <v>133</v>
      </c>
      <c r="C2716" t="s">
        <v>3263</v>
      </c>
      <c r="D2716" t="s">
        <v>4275</v>
      </c>
      <c r="E2716" t="s">
        <v>4296</v>
      </c>
      <c r="F2716" t="s">
        <v>8574</v>
      </c>
      <c r="G2716" t="s">
        <v>3890</v>
      </c>
      <c r="H2716" t="s">
        <v>4262</v>
      </c>
      <c r="I2716" t="s">
        <v>4278</v>
      </c>
      <c r="J2716">
        <v>2</v>
      </c>
      <c r="K2716">
        <v>0.6</v>
      </c>
      <c r="L2716">
        <v>0.41099999999999998</v>
      </c>
      <c r="M2716">
        <v>0.33500000000000002</v>
      </c>
      <c r="N2716">
        <v>0.33500000000000002</v>
      </c>
      <c r="O2716">
        <v>0.35799999999999998</v>
      </c>
      <c r="P2716">
        <v>0.36799999999999999</v>
      </c>
      <c r="Q2716">
        <v>0.377</v>
      </c>
      <c r="R2716">
        <v>0.38600000000000001</v>
      </c>
      <c r="S2716">
        <v>0.39500000000000002</v>
      </c>
      <c r="T2716">
        <v>0.40500000000000003</v>
      </c>
      <c r="U2716">
        <v>0.41399999999999998</v>
      </c>
      <c r="V2716">
        <v>0.42299999999999999</v>
      </c>
      <c r="W2716">
        <v>0.432</v>
      </c>
      <c r="X2716">
        <v>0.442</v>
      </c>
      <c r="Y2716">
        <v>0.45100000000000001</v>
      </c>
      <c r="Z2716">
        <v>0.46</v>
      </c>
      <c r="AA2716">
        <v>0.46899999999999997</v>
      </c>
      <c r="AB2716">
        <v>0.47899999999999998</v>
      </c>
      <c r="AC2716">
        <v>0.48799999999999999</v>
      </c>
      <c r="AD2716">
        <v>0.497</v>
      </c>
    </row>
    <row r="2717" spans="2:30" x14ac:dyDescent="0.25">
      <c r="B2717" t="s">
        <v>133</v>
      </c>
      <c r="C2717" t="s">
        <v>3263</v>
      </c>
      <c r="D2717" t="s">
        <v>4279</v>
      </c>
      <c r="E2717" t="s">
        <v>4298</v>
      </c>
      <c r="F2717" t="s">
        <v>8575</v>
      </c>
      <c r="G2717" t="s">
        <v>3890</v>
      </c>
      <c r="H2717" t="s">
        <v>4262</v>
      </c>
      <c r="I2717" t="s">
        <v>4278</v>
      </c>
      <c r="J2717">
        <v>2</v>
      </c>
      <c r="K2717">
        <v>0.41399999999999998</v>
      </c>
      <c r="L2717">
        <v>0.28100000000000003</v>
      </c>
      <c r="M2717">
        <v>0.249</v>
      </c>
      <c r="N2717">
        <v>0.249</v>
      </c>
      <c r="O2717">
        <v>0.27600000000000002</v>
      </c>
      <c r="P2717">
        <v>0.28599999999999998</v>
      </c>
      <c r="Q2717">
        <v>0.29699999999999999</v>
      </c>
      <c r="R2717">
        <v>0.307</v>
      </c>
      <c r="S2717">
        <v>0.318</v>
      </c>
      <c r="T2717">
        <v>0.32800000000000001</v>
      </c>
      <c r="U2717">
        <v>0.33900000000000002</v>
      </c>
      <c r="V2717">
        <v>0.35</v>
      </c>
      <c r="W2717">
        <v>0.36</v>
      </c>
      <c r="X2717">
        <v>0.371</v>
      </c>
      <c r="Y2717">
        <v>0.38100000000000001</v>
      </c>
      <c r="Z2717">
        <v>0.39200000000000002</v>
      </c>
      <c r="AA2717">
        <v>0.40200000000000002</v>
      </c>
      <c r="AB2717">
        <v>0.41299999999999998</v>
      </c>
      <c r="AC2717">
        <v>0.42399999999999999</v>
      </c>
      <c r="AD2717">
        <v>0.434</v>
      </c>
    </row>
    <row r="2718" spans="2:30" x14ac:dyDescent="0.25">
      <c r="B2718" t="s">
        <v>133</v>
      </c>
      <c r="C2718" t="s">
        <v>3263</v>
      </c>
      <c r="D2718" t="s">
        <v>4282</v>
      </c>
      <c r="E2718" t="s">
        <v>4300</v>
      </c>
      <c r="F2718" t="s">
        <v>8576</v>
      </c>
      <c r="G2718" t="s">
        <v>3890</v>
      </c>
      <c r="H2718" t="s">
        <v>4262</v>
      </c>
      <c r="I2718" t="s">
        <v>4278</v>
      </c>
      <c r="J2718">
        <v>2</v>
      </c>
      <c r="K2718">
        <v>0.17499999999999999</v>
      </c>
      <c r="L2718">
        <v>0.10199999999999999</v>
      </c>
      <c r="M2718">
        <v>8.7999999999999995E-2</v>
      </c>
      <c r="N2718">
        <v>8.7999999999999995E-2</v>
      </c>
      <c r="O2718">
        <v>0.106</v>
      </c>
      <c r="P2718">
        <v>0.113</v>
      </c>
      <c r="Q2718">
        <v>0.12</v>
      </c>
      <c r="R2718">
        <v>0.127</v>
      </c>
      <c r="S2718">
        <v>0.13400000000000001</v>
      </c>
      <c r="T2718">
        <v>0.14099999999999999</v>
      </c>
      <c r="U2718">
        <v>0.14799999999999999</v>
      </c>
      <c r="V2718">
        <v>0.155</v>
      </c>
      <c r="W2718">
        <v>0.16200000000000001</v>
      </c>
      <c r="X2718">
        <v>0.16900000000000001</v>
      </c>
      <c r="Y2718">
        <v>0.17599999999999999</v>
      </c>
      <c r="Z2718">
        <v>0.184</v>
      </c>
      <c r="AA2718">
        <v>0.191</v>
      </c>
      <c r="AB2718">
        <v>0.19800000000000001</v>
      </c>
      <c r="AC2718">
        <v>0.20499999999999999</v>
      </c>
      <c r="AD2718">
        <v>0.21199999999999999</v>
      </c>
    </row>
    <row r="2719" spans="2:30" x14ac:dyDescent="0.25">
      <c r="B2719" t="s">
        <v>133</v>
      </c>
      <c r="C2719" t="s">
        <v>3263</v>
      </c>
      <c r="D2719" t="s">
        <v>4285</v>
      </c>
      <c r="E2719" t="s">
        <v>4302</v>
      </c>
      <c r="F2719" t="s">
        <v>8577</v>
      </c>
      <c r="G2719" t="s">
        <v>3890</v>
      </c>
      <c r="H2719" t="s">
        <v>4262</v>
      </c>
      <c r="I2719" t="s">
        <v>4278</v>
      </c>
      <c r="J2719">
        <v>2</v>
      </c>
      <c r="K2719">
        <v>0.41399999999999998</v>
      </c>
      <c r="L2719">
        <v>0.25900000000000001</v>
      </c>
      <c r="M2719">
        <v>0.24399999999999999</v>
      </c>
      <c r="N2719">
        <v>0.24399999999999999</v>
      </c>
      <c r="O2719">
        <v>0.26900000000000002</v>
      </c>
      <c r="P2719">
        <v>0.28000000000000003</v>
      </c>
      <c r="Q2719">
        <v>0.28999999999999998</v>
      </c>
      <c r="R2719">
        <v>0.3</v>
      </c>
      <c r="S2719">
        <v>0.31</v>
      </c>
      <c r="T2719">
        <v>0.32100000000000001</v>
      </c>
      <c r="U2719">
        <v>0.33100000000000002</v>
      </c>
      <c r="V2719">
        <v>0.34100000000000003</v>
      </c>
      <c r="W2719">
        <v>0.35099999999999998</v>
      </c>
      <c r="X2719">
        <v>0.36199999999999999</v>
      </c>
      <c r="Y2719">
        <v>0.372</v>
      </c>
      <c r="Z2719">
        <v>0.38200000000000001</v>
      </c>
      <c r="AA2719">
        <v>0.39200000000000002</v>
      </c>
      <c r="AB2719">
        <v>0.40300000000000002</v>
      </c>
      <c r="AC2719">
        <v>0.41299999999999998</v>
      </c>
      <c r="AD2719">
        <v>0.42299999999999999</v>
      </c>
    </row>
    <row r="2720" spans="2:30" x14ac:dyDescent="0.25">
      <c r="B2720" t="s">
        <v>133</v>
      </c>
      <c r="C2720" t="s">
        <v>3263</v>
      </c>
      <c r="D2720" t="s">
        <v>4304</v>
      </c>
      <c r="E2720" t="s">
        <v>4305</v>
      </c>
      <c r="F2720" t="s">
        <v>8578</v>
      </c>
      <c r="G2720" t="s">
        <v>3890</v>
      </c>
      <c r="H2720" t="s">
        <v>4262</v>
      </c>
      <c r="I2720" t="s">
        <v>3892</v>
      </c>
      <c r="J2720">
        <v>2</v>
      </c>
      <c r="K2720">
        <v>0</v>
      </c>
      <c r="L2720">
        <v>0</v>
      </c>
      <c r="M2720">
        <v>0</v>
      </c>
      <c r="N2720">
        <v>-1E-3</v>
      </c>
      <c r="O2720">
        <v>1.0999999999999999E-2</v>
      </c>
      <c r="P2720">
        <v>1.2E-2</v>
      </c>
      <c r="Q2720">
        <v>1.2999999999999999E-2</v>
      </c>
      <c r="R2720">
        <v>1.2999999999999999E-2</v>
      </c>
      <c r="S2720">
        <v>1.2999999999999999E-2</v>
      </c>
      <c r="T2720">
        <v>1.4999999999999999E-2</v>
      </c>
      <c r="U2720">
        <v>1.7000000000000001E-2</v>
      </c>
      <c r="V2720">
        <v>0.02</v>
      </c>
      <c r="W2720">
        <v>2.1999999999999999E-2</v>
      </c>
      <c r="X2720">
        <v>2.4E-2</v>
      </c>
      <c r="Y2720">
        <v>2.5000000000000001E-2</v>
      </c>
      <c r="Z2720">
        <v>2.5999999999999999E-2</v>
      </c>
      <c r="AA2720">
        <v>2.5999999999999999E-2</v>
      </c>
      <c r="AB2720">
        <v>2.5999999999999999E-2</v>
      </c>
      <c r="AC2720">
        <v>2.5000000000000001E-2</v>
      </c>
      <c r="AD2720">
        <v>2.5999999999999999E-2</v>
      </c>
    </row>
    <row r="2721" spans="2:30" x14ac:dyDescent="0.25">
      <c r="B2721" t="s">
        <v>133</v>
      </c>
      <c r="C2721" t="s">
        <v>3263</v>
      </c>
      <c r="D2721" t="s">
        <v>4307</v>
      </c>
      <c r="E2721" t="s">
        <v>4308</v>
      </c>
      <c r="F2721" t="s">
        <v>8579</v>
      </c>
      <c r="G2721" t="s">
        <v>3890</v>
      </c>
      <c r="H2721" t="s">
        <v>4262</v>
      </c>
      <c r="I2721" t="s">
        <v>3892</v>
      </c>
      <c r="J2721">
        <v>2</v>
      </c>
      <c r="K2721">
        <v>0</v>
      </c>
      <c r="L2721">
        <v>0</v>
      </c>
      <c r="M2721">
        <v>0</v>
      </c>
      <c r="N2721">
        <v>0</v>
      </c>
      <c r="O2721">
        <v>0.14099999999999999</v>
      </c>
      <c r="P2721">
        <v>0.19600000000000001</v>
      </c>
      <c r="Q2721">
        <v>0.253</v>
      </c>
      <c r="R2721">
        <v>0.31</v>
      </c>
      <c r="S2721">
        <v>0.36799999999999999</v>
      </c>
      <c r="T2721">
        <v>0.42699999999999999</v>
      </c>
      <c r="U2721">
        <v>0.48399999999999999</v>
      </c>
      <c r="V2721">
        <v>0.54100000000000004</v>
      </c>
      <c r="W2721">
        <v>0.59799999999999998</v>
      </c>
      <c r="X2721">
        <v>0.65500000000000003</v>
      </c>
      <c r="Y2721">
        <v>0.71199999999999997</v>
      </c>
      <c r="Z2721">
        <v>0.76800000000000002</v>
      </c>
      <c r="AA2721">
        <v>0.82499999999999996</v>
      </c>
      <c r="AB2721">
        <v>0.88200000000000001</v>
      </c>
      <c r="AC2721">
        <v>0.93899999999999995</v>
      </c>
      <c r="AD2721">
        <v>0.996</v>
      </c>
    </row>
    <row r="2722" spans="2:30" x14ac:dyDescent="0.25">
      <c r="B2722" t="s">
        <v>133</v>
      </c>
      <c r="C2722" t="s">
        <v>3263</v>
      </c>
      <c r="D2722" t="s">
        <v>4310</v>
      </c>
      <c r="E2722" t="s">
        <v>4311</v>
      </c>
      <c r="F2722" t="s">
        <v>8580</v>
      </c>
      <c r="G2722" t="s">
        <v>3890</v>
      </c>
      <c r="H2722" t="s">
        <v>4262</v>
      </c>
      <c r="I2722" t="s">
        <v>3892</v>
      </c>
      <c r="J2722">
        <v>2</v>
      </c>
      <c r="K2722">
        <v>0</v>
      </c>
      <c r="L2722">
        <v>0</v>
      </c>
      <c r="M2722">
        <v>0</v>
      </c>
      <c r="N2722">
        <v>0</v>
      </c>
      <c r="O2722">
        <v>4.1000000000000002E-2</v>
      </c>
      <c r="P2722">
        <v>0.06</v>
      </c>
      <c r="Q2722">
        <v>7.8E-2</v>
      </c>
      <c r="R2722">
        <v>9.7000000000000003E-2</v>
      </c>
      <c r="S2722">
        <v>0.11600000000000001</v>
      </c>
      <c r="T2722">
        <v>0.13500000000000001</v>
      </c>
      <c r="U2722">
        <v>0.154</v>
      </c>
      <c r="V2722">
        <v>0.17299999999999999</v>
      </c>
      <c r="W2722">
        <v>0.193</v>
      </c>
      <c r="X2722">
        <v>0.21099999999999999</v>
      </c>
      <c r="Y2722">
        <v>0.23</v>
      </c>
      <c r="Z2722">
        <v>0.247</v>
      </c>
      <c r="AA2722">
        <v>0.26400000000000001</v>
      </c>
      <c r="AB2722">
        <v>0.28000000000000003</v>
      </c>
      <c r="AC2722">
        <v>0.29399999999999998</v>
      </c>
      <c r="AD2722">
        <v>0.308</v>
      </c>
    </row>
    <row r="2723" spans="2:30" x14ac:dyDescent="0.25">
      <c r="B2723" t="s">
        <v>133</v>
      </c>
      <c r="C2723" t="s">
        <v>3263</v>
      </c>
      <c r="D2723" t="s">
        <v>4313</v>
      </c>
      <c r="E2723" t="s">
        <v>4314</v>
      </c>
      <c r="F2723" t="s">
        <v>8581</v>
      </c>
      <c r="G2723" t="s">
        <v>3890</v>
      </c>
      <c r="H2723" t="s">
        <v>4262</v>
      </c>
      <c r="I2723" t="s">
        <v>3892</v>
      </c>
      <c r="J2723">
        <v>2</v>
      </c>
      <c r="K2723">
        <v>0</v>
      </c>
      <c r="L2723">
        <v>0</v>
      </c>
      <c r="M2723">
        <v>0</v>
      </c>
      <c r="N2723">
        <v>0</v>
      </c>
      <c r="O2723">
        <v>0.221</v>
      </c>
      <c r="P2723">
        <v>0</v>
      </c>
      <c r="Q2723">
        <v>1E-3</v>
      </c>
      <c r="R2723">
        <v>7.4999999999999997E-2</v>
      </c>
      <c r="S2723">
        <v>0.155</v>
      </c>
      <c r="T2723">
        <v>0.23200000000000001</v>
      </c>
      <c r="U2723">
        <v>0.35699999999999998</v>
      </c>
      <c r="V2723">
        <v>0.48199999999999998</v>
      </c>
      <c r="W2723">
        <v>0.60699999999999998</v>
      </c>
      <c r="X2723">
        <v>0.73299999999999998</v>
      </c>
      <c r="Y2723">
        <v>0.85799999999999998</v>
      </c>
      <c r="Z2723">
        <v>0.98299999999999998</v>
      </c>
      <c r="AA2723">
        <v>1.1080000000000001</v>
      </c>
      <c r="AB2723">
        <v>1.2330000000000001</v>
      </c>
      <c r="AC2723">
        <v>1.3580000000000001</v>
      </c>
      <c r="AD2723">
        <v>1.484</v>
      </c>
    </row>
    <row r="2724" spans="2:30" x14ac:dyDescent="0.25">
      <c r="B2724" t="s">
        <v>133</v>
      </c>
      <c r="C2724" t="s">
        <v>3263</v>
      </c>
      <c r="D2724" t="s">
        <v>4316</v>
      </c>
      <c r="E2724" t="s">
        <v>4317</v>
      </c>
      <c r="F2724" t="s">
        <v>8582</v>
      </c>
      <c r="G2724" t="s">
        <v>3890</v>
      </c>
      <c r="H2724" t="s">
        <v>4262</v>
      </c>
      <c r="I2724" t="s">
        <v>3892</v>
      </c>
      <c r="J2724">
        <v>2</v>
      </c>
      <c r="K2724">
        <v>0</v>
      </c>
      <c r="L2724">
        <v>0</v>
      </c>
      <c r="M2724">
        <v>0</v>
      </c>
      <c r="N2724">
        <v>0</v>
      </c>
      <c r="O2724">
        <v>6.9000000000000006E-2</v>
      </c>
      <c r="P2724">
        <v>9.7000000000000003E-2</v>
      </c>
      <c r="Q2724">
        <v>0.124</v>
      </c>
      <c r="R2724">
        <v>0.152</v>
      </c>
      <c r="S2724">
        <v>0.18</v>
      </c>
      <c r="T2724">
        <v>0.20699999999999999</v>
      </c>
      <c r="U2724">
        <v>0.23499999999999999</v>
      </c>
      <c r="V2724">
        <v>0.26200000000000001</v>
      </c>
      <c r="W2724">
        <v>0.28999999999999998</v>
      </c>
      <c r="X2724">
        <v>0.318</v>
      </c>
      <c r="Y2724">
        <v>0.34499999999999997</v>
      </c>
      <c r="Z2724">
        <v>0.373</v>
      </c>
      <c r="AA2724">
        <v>0.40100000000000002</v>
      </c>
      <c r="AB2724">
        <v>0.42799999999999999</v>
      </c>
      <c r="AC2724">
        <v>0.45600000000000002</v>
      </c>
      <c r="AD2724">
        <v>0.48299999999999998</v>
      </c>
    </row>
    <row r="2725" spans="2:30" x14ac:dyDescent="0.25">
      <c r="B2725" t="s">
        <v>133</v>
      </c>
      <c r="C2725" t="s">
        <v>3263</v>
      </c>
      <c r="D2725" t="s">
        <v>4319</v>
      </c>
      <c r="E2725" t="s">
        <v>4320</v>
      </c>
      <c r="F2725" t="s">
        <v>8583</v>
      </c>
      <c r="G2725" t="s">
        <v>3890</v>
      </c>
      <c r="H2725" t="s">
        <v>4262</v>
      </c>
      <c r="I2725" t="s">
        <v>3892</v>
      </c>
      <c r="J2725">
        <v>2</v>
      </c>
      <c r="K2725">
        <v>0</v>
      </c>
      <c r="L2725">
        <v>0</v>
      </c>
      <c r="M2725">
        <v>0</v>
      </c>
      <c r="N2725">
        <v>0</v>
      </c>
      <c r="O2725">
        <v>0.106</v>
      </c>
      <c r="P2725">
        <v>0.14799999999999999</v>
      </c>
      <c r="Q2725">
        <v>0.191</v>
      </c>
      <c r="R2725">
        <v>0.23300000000000001</v>
      </c>
      <c r="S2725">
        <v>0.27600000000000002</v>
      </c>
      <c r="T2725">
        <v>0.318</v>
      </c>
      <c r="U2725">
        <v>0.36</v>
      </c>
      <c r="V2725">
        <v>0.40300000000000002</v>
      </c>
      <c r="W2725">
        <v>0.44500000000000001</v>
      </c>
      <c r="X2725">
        <v>0.48699999999999999</v>
      </c>
      <c r="Y2725">
        <v>0.53</v>
      </c>
      <c r="Z2725">
        <v>0.57199999999999995</v>
      </c>
      <c r="AA2725">
        <v>0.61499999999999999</v>
      </c>
      <c r="AB2725">
        <v>0.65700000000000003</v>
      </c>
      <c r="AC2725">
        <v>0.69899999999999995</v>
      </c>
      <c r="AD2725">
        <v>0.74199999999999999</v>
      </c>
    </row>
    <row r="2726" spans="2:30" x14ac:dyDescent="0.25">
      <c r="B2726" t="s">
        <v>133</v>
      </c>
      <c r="C2726" t="s">
        <v>3263</v>
      </c>
      <c r="D2726" t="s">
        <v>4322</v>
      </c>
      <c r="E2726" t="s">
        <v>4323</v>
      </c>
      <c r="F2726" t="s">
        <v>8584</v>
      </c>
      <c r="G2726" t="s">
        <v>3890</v>
      </c>
      <c r="H2726" t="s">
        <v>4262</v>
      </c>
      <c r="I2726" t="s">
        <v>3892</v>
      </c>
      <c r="J2726">
        <v>2</v>
      </c>
      <c r="K2726">
        <v>0</v>
      </c>
      <c r="L2726">
        <v>0</v>
      </c>
      <c r="M2726">
        <v>0</v>
      </c>
      <c r="N2726">
        <v>0</v>
      </c>
      <c r="O2726">
        <v>0.20100000000000001</v>
      </c>
      <c r="P2726">
        <v>0.28100000000000003</v>
      </c>
      <c r="Q2726">
        <v>0.36199999999999999</v>
      </c>
      <c r="R2726">
        <v>0.442</v>
      </c>
      <c r="S2726">
        <v>0.52200000000000002</v>
      </c>
      <c r="T2726">
        <v>0.60299999999999998</v>
      </c>
      <c r="U2726">
        <v>0.68300000000000005</v>
      </c>
      <c r="V2726">
        <v>0.76400000000000001</v>
      </c>
      <c r="W2726">
        <v>0.84399999999999997</v>
      </c>
      <c r="X2726">
        <v>0.92400000000000004</v>
      </c>
      <c r="Y2726">
        <v>1.0049999999999999</v>
      </c>
      <c r="Z2726">
        <v>1.085</v>
      </c>
      <c r="AA2726">
        <v>1.165</v>
      </c>
      <c r="AB2726">
        <v>1.246</v>
      </c>
      <c r="AC2726">
        <v>1.3260000000000001</v>
      </c>
      <c r="AD2726">
        <v>1.4059999999999999</v>
      </c>
    </row>
    <row r="2727" spans="2:30" x14ac:dyDescent="0.25">
      <c r="B2727" t="s">
        <v>133</v>
      </c>
      <c r="C2727" t="s">
        <v>3263</v>
      </c>
      <c r="D2727" t="s">
        <v>4325</v>
      </c>
      <c r="E2727" t="s">
        <v>4326</v>
      </c>
      <c r="F2727" t="s">
        <v>8585</v>
      </c>
      <c r="G2727" t="s">
        <v>3890</v>
      </c>
      <c r="H2727" t="s">
        <v>4262</v>
      </c>
      <c r="I2727" t="s">
        <v>3892</v>
      </c>
      <c r="J2727">
        <v>2</v>
      </c>
      <c r="K2727">
        <v>0</v>
      </c>
      <c r="L2727">
        <v>0</v>
      </c>
      <c r="M2727">
        <v>0</v>
      </c>
      <c r="N2727">
        <v>0</v>
      </c>
      <c r="O2727">
        <v>0.105</v>
      </c>
      <c r="P2727">
        <v>0.14699999999999999</v>
      </c>
      <c r="Q2727">
        <v>0.189</v>
      </c>
      <c r="R2727">
        <v>0.23100000000000001</v>
      </c>
      <c r="S2727">
        <v>0.27300000000000002</v>
      </c>
      <c r="T2727">
        <v>0.315</v>
      </c>
      <c r="U2727">
        <v>0.35699999999999998</v>
      </c>
      <c r="V2727">
        <v>0.39900000000000002</v>
      </c>
      <c r="W2727">
        <v>0.441</v>
      </c>
      <c r="X2727">
        <v>0.48299999999999998</v>
      </c>
      <c r="Y2727">
        <v>0.52500000000000002</v>
      </c>
      <c r="Z2727">
        <v>0.56699999999999995</v>
      </c>
      <c r="AA2727">
        <v>0.60899999999999999</v>
      </c>
      <c r="AB2727">
        <v>0.65100000000000002</v>
      </c>
      <c r="AC2727">
        <v>0.69199999999999995</v>
      </c>
      <c r="AD2727">
        <v>0.73399999999999999</v>
      </c>
    </row>
    <row r="2728" spans="2:30" x14ac:dyDescent="0.25">
      <c r="B2728" t="s">
        <v>133</v>
      </c>
      <c r="C2728" t="s">
        <v>3263</v>
      </c>
      <c r="D2728" t="s">
        <v>4328</v>
      </c>
      <c r="E2728" t="s">
        <v>4329</v>
      </c>
      <c r="F2728" t="s">
        <v>8586</v>
      </c>
      <c r="G2728" t="s">
        <v>3890</v>
      </c>
      <c r="H2728" t="s">
        <v>4331</v>
      </c>
      <c r="I2728" t="s">
        <v>4332</v>
      </c>
      <c r="J2728">
        <v>2</v>
      </c>
    </row>
    <row r="2729" spans="2:30" x14ac:dyDescent="0.25">
      <c r="B2729" t="s">
        <v>133</v>
      </c>
      <c r="C2729" t="s">
        <v>3263</v>
      </c>
      <c r="D2729" t="s">
        <v>4333</v>
      </c>
      <c r="E2729" t="s">
        <v>4334</v>
      </c>
      <c r="F2729" t="s">
        <v>8587</v>
      </c>
      <c r="G2729" t="s">
        <v>3890</v>
      </c>
      <c r="H2729" t="s">
        <v>4336</v>
      </c>
      <c r="I2729" t="s">
        <v>3894</v>
      </c>
      <c r="J2729">
        <v>2</v>
      </c>
      <c r="K2729" t="e">
        <v>#VALUE!</v>
      </c>
    </row>
    <row r="2730" spans="2:30" x14ac:dyDescent="0.25">
      <c r="B2730" t="s">
        <v>133</v>
      </c>
      <c r="C2730" t="s">
        <v>3263</v>
      </c>
      <c r="D2730" t="s">
        <v>4337</v>
      </c>
      <c r="E2730" t="s">
        <v>4338</v>
      </c>
      <c r="F2730" t="s">
        <v>8588</v>
      </c>
      <c r="G2730" t="s">
        <v>3890</v>
      </c>
      <c r="H2730" t="s">
        <v>4340</v>
      </c>
      <c r="I2730" t="s">
        <v>3894</v>
      </c>
      <c r="J2730">
        <v>1</v>
      </c>
      <c r="K2730">
        <v>-151.58099999999999</v>
      </c>
      <c r="L2730">
        <v>-128.29400000000001</v>
      </c>
      <c r="M2730">
        <v>-165.88800000000001</v>
      </c>
      <c r="N2730">
        <v>-154.876</v>
      </c>
      <c r="O2730">
        <v>-161.08500000000001</v>
      </c>
      <c r="P2730">
        <v>-152.54</v>
      </c>
      <c r="Q2730">
        <v>-147.751</v>
      </c>
      <c r="R2730">
        <v>-144.482</v>
      </c>
      <c r="S2730">
        <v>-141.161</v>
      </c>
      <c r="T2730">
        <v>-137.05099999999999</v>
      </c>
      <c r="U2730">
        <v>-133.40100000000001</v>
      </c>
      <c r="V2730">
        <v>-129.43299999999999</v>
      </c>
      <c r="W2730">
        <v>-125.136</v>
      </c>
      <c r="X2730">
        <v>-120.459</v>
      </c>
      <c r="Y2730">
        <v>-115.23699999999999</v>
      </c>
      <c r="Z2730">
        <v>-109.639</v>
      </c>
      <c r="AA2730">
        <v>-103.673</v>
      </c>
      <c r="AB2730">
        <v>-97.373999999999995</v>
      </c>
      <c r="AC2730">
        <v>-91.656000000000006</v>
      </c>
      <c r="AD2730">
        <v>-90.676000000000002</v>
      </c>
    </row>
    <row r="2731" spans="2:30" x14ac:dyDescent="0.25">
      <c r="B2731" t="s">
        <v>133</v>
      </c>
      <c r="C2731" t="s">
        <v>3263</v>
      </c>
      <c r="D2731" t="s">
        <v>4337</v>
      </c>
      <c r="E2731" t="s">
        <v>4341</v>
      </c>
      <c r="F2731" t="s">
        <v>8589</v>
      </c>
      <c r="G2731" t="s">
        <v>3890</v>
      </c>
      <c r="H2731" t="s">
        <v>4340</v>
      </c>
      <c r="I2731" t="s">
        <v>3894</v>
      </c>
      <c r="J2731">
        <v>2</v>
      </c>
      <c r="K2731">
        <v>-151.58099999999999</v>
      </c>
      <c r="L2731">
        <v>-128.29400000000001</v>
      </c>
      <c r="M2731">
        <v>-165.88800000000001</v>
      </c>
      <c r="N2731">
        <v>-154.876</v>
      </c>
      <c r="O2731">
        <v>-159.98400000000001</v>
      </c>
      <c r="P2731">
        <v>-150.58099999999999</v>
      </c>
      <c r="Q2731">
        <v>-145.17699999999999</v>
      </c>
      <c r="R2731">
        <v>-141.32900000000001</v>
      </c>
      <c r="S2731">
        <v>-137.40799999999999</v>
      </c>
      <c r="T2731">
        <v>-132.59299999999999</v>
      </c>
      <c r="U2731">
        <v>-128.13499999999999</v>
      </c>
      <c r="V2731">
        <v>-123.276</v>
      </c>
      <c r="W2731">
        <v>-117.96599999999999</v>
      </c>
      <c r="X2731">
        <v>-112.188</v>
      </c>
      <c r="Y2731">
        <v>-105.718</v>
      </c>
      <c r="Z2731">
        <v>-98.77</v>
      </c>
      <c r="AA2731">
        <v>-91.349000000000004</v>
      </c>
      <c r="AB2731">
        <v>-83.503</v>
      </c>
      <c r="AC2731">
        <v>-76.268000000000001</v>
      </c>
      <c r="AD2731">
        <v>-74.497</v>
      </c>
    </row>
    <row r="2732" spans="2:30" x14ac:dyDescent="0.25">
      <c r="B2732" t="s">
        <v>133</v>
      </c>
      <c r="C2732" t="s">
        <v>3263</v>
      </c>
      <c r="D2732" t="s">
        <v>4343</v>
      </c>
      <c r="E2732" t="s">
        <v>4344</v>
      </c>
      <c r="F2732" t="s">
        <v>8590</v>
      </c>
      <c r="G2732" t="s">
        <v>3890</v>
      </c>
      <c r="H2732" t="s">
        <v>4262</v>
      </c>
      <c r="I2732" t="s">
        <v>4263</v>
      </c>
      <c r="J2732">
        <v>1</v>
      </c>
      <c r="K2732">
        <v>6.4000000000000001E-2</v>
      </c>
      <c r="L2732">
        <v>6.2E-2</v>
      </c>
      <c r="M2732">
        <v>5.1999999999999998E-2</v>
      </c>
      <c r="N2732">
        <v>4.9000000000000002E-2</v>
      </c>
      <c r="O2732">
        <v>5.0999999999999997E-2</v>
      </c>
      <c r="P2732">
        <v>5.2999999999999999E-2</v>
      </c>
      <c r="Q2732">
        <v>5.2999999999999999E-2</v>
      </c>
      <c r="R2732">
        <v>5.1999999999999998E-2</v>
      </c>
      <c r="S2732">
        <v>5.1999999999999998E-2</v>
      </c>
      <c r="T2732">
        <v>5.1999999999999998E-2</v>
      </c>
      <c r="U2732">
        <v>5.0999999999999997E-2</v>
      </c>
      <c r="V2732">
        <v>5.0999999999999997E-2</v>
      </c>
      <c r="W2732">
        <v>5.0999999999999997E-2</v>
      </c>
      <c r="X2732">
        <v>5.0999999999999997E-2</v>
      </c>
      <c r="Y2732">
        <v>0.05</v>
      </c>
      <c r="Z2732">
        <v>0.05</v>
      </c>
      <c r="AA2732">
        <v>0.05</v>
      </c>
      <c r="AB2732">
        <v>4.9000000000000002E-2</v>
      </c>
      <c r="AC2732">
        <v>4.9000000000000002E-2</v>
      </c>
      <c r="AD2732">
        <v>4.9000000000000002E-2</v>
      </c>
    </row>
    <row r="2733" spans="2:30" x14ac:dyDescent="0.25">
      <c r="B2733" t="s">
        <v>133</v>
      </c>
      <c r="C2733" t="s">
        <v>3263</v>
      </c>
      <c r="D2733" t="s">
        <v>4346</v>
      </c>
      <c r="E2733" t="s">
        <v>4347</v>
      </c>
      <c r="F2733" t="s">
        <v>8591</v>
      </c>
      <c r="G2733" t="s">
        <v>3890</v>
      </c>
      <c r="H2733" t="s">
        <v>4262</v>
      </c>
      <c r="I2733" t="s">
        <v>4263</v>
      </c>
      <c r="J2733">
        <v>1</v>
      </c>
      <c r="K2733">
        <v>6.0999999999999999E-2</v>
      </c>
      <c r="L2733">
        <v>5.1999999999999998E-2</v>
      </c>
      <c r="M2733">
        <v>4.5999999999999999E-2</v>
      </c>
      <c r="N2733">
        <v>4.2999999999999997E-2</v>
      </c>
      <c r="O2733">
        <v>4.4999999999999998E-2</v>
      </c>
      <c r="P2733">
        <v>4.5999999999999999E-2</v>
      </c>
      <c r="Q2733">
        <v>4.5999999999999999E-2</v>
      </c>
      <c r="R2733">
        <v>4.5999999999999999E-2</v>
      </c>
      <c r="S2733">
        <v>4.5999999999999999E-2</v>
      </c>
      <c r="T2733">
        <v>4.4999999999999998E-2</v>
      </c>
      <c r="U2733">
        <v>4.4999999999999998E-2</v>
      </c>
      <c r="V2733">
        <v>4.4999999999999998E-2</v>
      </c>
      <c r="W2733">
        <v>4.4999999999999998E-2</v>
      </c>
      <c r="X2733">
        <v>4.3999999999999997E-2</v>
      </c>
      <c r="Y2733">
        <v>4.3999999999999997E-2</v>
      </c>
      <c r="Z2733">
        <v>4.3999999999999997E-2</v>
      </c>
      <c r="AA2733">
        <v>4.3999999999999997E-2</v>
      </c>
      <c r="AB2733">
        <v>4.2999999999999997E-2</v>
      </c>
      <c r="AC2733">
        <v>4.2999999999999997E-2</v>
      </c>
      <c r="AD2733">
        <v>4.2999999999999997E-2</v>
      </c>
    </row>
    <row r="2734" spans="2:30" x14ac:dyDescent="0.25">
      <c r="B2734" t="s">
        <v>133</v>
      </c>
      <c r="C2734" t="s">
        <v>3263</v>
      </c>
      <c r="D2734" t="s">
        <v>4349</v>
      </c>
      <c r="E2734" t="s">
        <v>4350</v>
      </c>
      <c r="F2734" t="s">
        <v>8592</v>
      </c>
      <c r="G2734" t="s">
        <v>3890</v>
      </c>
      <c r="H2734" t="s">
        <v>4262</v>
      </c>
      <c r="I2734" t="s">
        <v>4267</v>
      </c>
      <c r="J2734">
        <v>1</v>
      </c>
      <c r="K2734">
        <v>11.465999999999999</v>
      </c>
      <c r="L2734">
        <v>8.83</v>
      </c>
      <c r="M2734">
        <v>7.7460000000000004</v>
      </c>
      <c r="N2734">
        <v>7.0540000000000003</v>
      </c>
      <c r="O2734">
        <v>7.0720000000000001</v>
      </c>
      <c r="P2734">
        <v>7.1269999999999998</v>
      </c>
      <c r="Q2734">
        <v>7.101</v>
      </c>
      <c r="R2734">
        <v>7.0730000000000004</v>
      </c>
      <c r="S2734">
        <v>7.0430000000000001</v>
      </c>
      <c r="T2734">
        <v>7.0140000000000002</v>
      </c>
      <c r="U2734">
        <v>7.0140000000000002</v>
      </c>
      <c r="V2734">
        <v>7.0140000000000002</v>
      </c>
      <c r="W2734">
        <v>7.0140000000000002</v>
      </c>
      <c r="X2734">
        <v>7.0140000000000002</v>
      </c>
      <c r="Y2734">
        <v>7.0140000000000002</v>
      </c>
      <c r="Z2734">
        <v>7.0140000000000002</v>
      </c>
      <c r="AA2734">
        <v>7.0140000000000002</v>
      </c>
      <c r="AB2734">
        <v>7.0140000000000002</v>
      </c>
      <c r="AC2734">
        <v>7.0140000000000002</v>
      </c>
      <c r="AD2734">
        <v>7.0140000000000002</v>
      </c>
    </row>
    <row r="2735" spans="2:30" x14ac:dyDescent="0.25">
      <c r="B2735" t="s">
        <v>133</v>
      </c>
      <c r="C2735" t="s">
        <v>3263</v>
      </c>
      <c r="D2735" t="s">
        <v>4352</v>
      </c>
      <c r="E2735" t="s">
        <v>4353</v>
      </c>
      <c r="F2735" t="s">
        <v>8593</v>
      </c>
      <c r="G2735" t="s">
        <v>3890</v>
      </c>
      <c r="H2735" t="s">
        <v>4262</v>
      </c>
      <c r="I2735" t="s">
        <v>4267</v>
      </c>
      <c r="J2735">
        <v>1</v>
      </c>
      <c r="K2735">
        <v>5.3360000000000003</v>
      </c>
      <c r="L2735">
        <v>5.01</v>
      </c>
      <c r="M2735">
        <v>5.0869999999999997</v>
      </c>
      <c r="N2735">
        <v>5.0869999999999997</v>
      </c>
      <c r="O2735">
        <v>5.0869999999999997</v>
      </c>
      <c r="P2735">
        <v>5.0869999999999997</v>
      </c>
      <c r="Q2735">
        <v>5.0869999999999997</v>
      </c>
      <c r="R2735">
        <v>5.0869999999999997</v>
      </c>
      <c r="S2735">
        <v>5.0869999999999997</v>
      </c>
      <c r="T2735">
        <v>5.0869999999999997</v>
      </c>
      <c r="U2735">
        <v>5.0869999999999997</v>
      </c>
      <c r="V2735">
        <v>5.0869999999999997</v>
      </c>
      <c r="W2735">
        <v>5.0869999999999997</v>
      </c>
      <c r="X2735">
        <v>5.0869999999999997</v>
      </c>
      <c r="Y2735">
        <v>5.0869999999999997</v>
      </c>
      <c r="Z2735">
        <v>5.0869999999999997</v>
      </c>
      <c r="AA2735">
        <v>5.0869999999999997</v>
      </c>
      <c r="AB2735">
        <v>5.0869999999999997</v>
      </c>
      <c r="AC2735">
        <v>5.0869999999999997</v>
      </c>
      <c r="AD2735">
        <v>5.0869999999999997</v>
      </c>
    </row>
    <row r="2736" spans="2:30" x14ac:dyDescent="0.25">
      <c r="B2736" t="s">
        <v>133</v>
      </c>
      <c r="C2736" t="s">
        <v>3263</v>
      </c>
      <c r="D2736" t="s">
        <v>4355</v>
      </c>
      <c r="E2736" t="s">
        <v>4356</v>
      </c>
      <c r="F2736" t="s">
        <v>8594</v>
      </c>
      <c r="G2736" t="s">
        <v>3890</v>
      </c>
      <c r="H2736" t="s">
        <v>4262</v>
      </c>
      <c r="I2736" t="s">
        <v>4267</v>
      </c>
      <c r="J2736">
        <v>1</v>
      </c>
      <c r="K2736">
        <v>23.399000000000001</v>
      </c>
      <c r="L2736">
        <v>15.864000000000001</v>
      </c>
      <c r="M2736">
        <v>14.744</v>
      </c>
      <c r="N2736">
        <v>13.651999999999999</v>
      </c>
      <c r="O2736">
        <v>13.680999999999999</v>
      </c>
      <c r="P2736">
        <v>13.768000000000001</v>
      </c>
      <c r="Q2736">
        <v>13.727</v>
      </c>
      <c r="R2736">
        <v>13.683</v>
      </c>
      <c r="S2736">
        <v>13.635999999999999</v>
      </c>
      <c r="T2736">
        <v>13.59</v>
      </c>
      <c r="U2736">
        <v>13.59</v>
      </c>
      <c r="V2736">
        <v>13.59</v>
      </c>
      <c r="W2736">
        <v>13.59</v>
      </c>
      <c r="X2736">
        <v>13.59</v>
      </c>
      <c r="Y2736">
        <v>13.59</v>
      </c>
      <c r="Z2736">
        <v>13.59</v>
      </c>
      <c r="AA2736">
        <v>13.59</v>
      </c>
      <c r="AB2736">
        <v>13.59</v>
      </c>
      <c r="AC2736">
        <v>13.59</v>
      </c>
      <c r="AD2736">
        <v>13.59</v>
      </c>
    </row>
    <row r="2737" spans="2:30" x14ac:dyDescent="0.25">
      <c r="B2737" t="s">
        <v>133</v>
      </c>
      <c r="C2737" t="s">
        <v>3263</v>
      </c>
      <c r="D2737" t="s">
        <v>4358</v>
      </c>
      <c r="E2737" t="s">
        <v>4359</v>
      </c>
      <c r="F2737" t="s">
        <v>8595</v>
      </c>
      <c r="G2737" t="s">
        <v>3890</v>
      </c>
      <c r="H2737" t="s">
        <v>4262</v>
      </c>
      <c r="I2737" t="s">
        <v>4267</v>
      </c>
      <c r="J2737">
        <v>1</v>
      </c>
      <c r="K2737">
        <v>4.6340000000000003</v>
      </c>
      <c r="L2737">
        <v>3.2090000000000001</v>
      </c>
      <c r="M2737">
        <v>2.331</v>
      </c>
      <c r="N2737">
        <v>2.331</v>
      </c>
      <c r="O2737">
        <v>2.331</v>
      </c>
      <c r="P2737">
        <v>2.331</v>
      </c>
      <c r="Q2737">
        <v>2.331</v>
      </c>
      <c r="R2737">
        <v>2.331</v>
      </c>
      <c r="S2737">
        <v>2.331</v>
      </c>
      <c r="T2737">
        <v>2.331</v>
      </c>
      <c r="U2737">
        <v>2.331</v>
      </c>
      <c r="V2737">
        <v>2.331</v>
      </c>
      <c r="W2737">
        <v>2.331</v>
      </c>
      <c r="X2737">
        <v>2.331</v>
      </c>
      <c r="Y2737">
        <v>2.331</v>
      </c>
      <c r="Z2737">
        <v>2.331</v>
      </c>
      <c r="AA2737">
        <v>2.331</v>
      </c>
      <c r="AB2737">
        <v>2.331</v>
      </c>
      <c r="AC2737">
        <v>2.331</v>
      </c>
      <c r="AD2737">
        <v>2.331</v>
      </c>
    </row>
    <row r="2738" spans="2:30" x14ac:dyDescent="0.25">
      <c r="B2738" t="s">
        <v>133</v>
      </c>
      <c r="C2738" t="s">
        <v>3263</v>
      </c>
      <c r="D2738" t="s">
        <v>4361</v>
      </c>
      <c r="E2738" t="s">
        <v>4362</v>
      </c>
      <c r="F2738" t="s">
        <v>8596</v>
      </c>
      <c r="G2738" t="s">
        <v>3890</v>
      </c>
      <c r="H2738" t="s">
        <v>4262</v>
      </c>
      <c r="I2738" t="s">
        <v>4267</v>
      </c>
      <c r="J2738">
        <v>1</v>
      </c>
      <c r="K2738">
        <v>13.301</v>
      </c>
      <c r="L2738">
        <v>6.66</v>
      </c>
      <c r="M2738">
        <v>5.9119999999999999</v>
      </c>
      <c r="N2738">
        <v>5.032</v>
      </c>
      <c r="O2738">
        <v>5.0549999999999997</v>
      </c>
      <c r="P2738">
        <v>5.125</v>
      </c>
      <c r="Q2738">
        <v>5.0919999999999996</v>
      </c>
      <c r="R2738">
        <v>5.056</v>
      </c>
      <c r="S2738">
        <v>5.0179999999999998</v>
      </c>
      <c r="T2738">
        <v>4.9820000000000002</v>
      </c>
      <c r="U2738">
        <v>4.9820000000000002</v>
      </c>
      <c r="V2738">
        <v>4.9820000000000002</v>
      </c>
      <c r="W2738">
        <v>4.9820000000000002</v>
      </c>
      <c r="X2738">
        <v>4.9820000000000002</v>
      </c>
      <c r="Y2738">
        <v>4.9820000000000002</v>
      </c>
      <c r="Z2738">
        <v>4.9820000000000002</v>
      </c>
      <c r="AA2738">
        <v>4.9820000000000002</v>
      </c>
      <c r="AB2738">
        <v>4.9820000000000002</v>
      </c>
      <c r="AC2738">
        <v>4.9820000000000002</v>
      </c>
      <c r="AD2738">
        <v>4.9820000000000002</v>
      </c>
    </row>
    <row r="2739" spans="2:30" x14ac:dyDescent="0.25">
      <c r="B2739" t="s">
        <v>133</v>
      </c>
      <c r="C2739" t="s">
        <v>3263</v>
      </c>
      <c r="D2739" t="s">
        <v>4364</v>
      </c>
      <c r="E2739" t="s">
        <v>4365</v>
      </c>
      <c r="F2739" t="s">
        <v>8597</v>
      </c>
      <c r="G2739" t="s">
        <v>3890</v>
      </c>
      <c r="H2739" t="s">
        <v>4262</v>
      </c>
      <c r="I2739" t="s">
        <v>4267</v>
      </c>
      <c r="J2739">
        <v>1</v>
      </c>
      <c r="K2739">
        <v>2.7839999999999998</v>
      </c>
      <c r="L2739">
        <v>2.6139999999999999</v>
      </c>
      <c r="M2739">
        <v>2.6539999999999999</v>
      </c>
      <c r="N2739">
        <v>2.6539999999999999</v>
      </c>
      <c r="O2739">
        <v>2.6539999999999999</v>
      </c>
      <c r="P2739">
        <v>2.6539999999999999</v>
      </c>
      <c r="Q2739">
        <v>2.6539999999999999</v>
      </c>
      <c r="R2739">
        <v>2.6539999999999999</v>
      </c>
      <c r="S2739">
        <v>2.6539999999999999</v>
      </c>
      <c r="T2739">
        <v>2.6539999999999999</v>
      </c>
      <c r="U2739">
        <v>2.6539999999999999</v>
      </c>
      <c r="V2739">
        <v>2.6539999999999999</v>
      </c>
      <c r="W2739">
        <v>2.6539999999999999</v>
      </c>
      <c r="X2739">
        <v>2.6539999999999999</v>
      </c>
      <c r="Y2739">
        <v>2.6539999999999999</v>
      </c>
      <c r="Z2739">
        <v>2.6539999999999999</v>
      </c>
      <c r="AA2739">
        <v>2.6539999999999999</v>
      </c>
      <c r="AB2739">
        <v>2.6539999999999999</v>
      </c>
      <c r="AC2739">
        <v>2.6539999999999999</v>
      </c>
      <c r="AD2739">
        <v>2.6539999999999999</v>
      </c>
    </row>
    <row r="2740" spans="2:30" x14ac:dyDescent="0.25">
      <c r="B2740" t="s">
        <v>133</v>
      </c>
      <c r="C2740" t="s">
        <v>3263</v>
      </c>
      <c r="D2740" t="s">
        <v>4367</v>
      </c>
      <c r="E2740" t="s">
        <v>4368</v>
      </c>
      <c r="F2740" t="s">
        <v>8598</v>
      </c>
      <c r="G2740" t="s">
        <v>3890</v>
      </c>
      <c r="H2740" t="s">
        <v>4262</v>
      </c>
      <c r="I2740" t="s">
        <v>4263</v>
      </c>
      <c r="J2740">
        <v>2</v>
      </c>
      <c r="K2740">
        <v>6.4000000000000001E-2</v>
      </c>
      <c r="L2740">
        <v>6.2E-2</v>
      </c>
      <c r="M2740">
        <v>5.1999999999999998E-2</v>
      </c>
      <c r="N2740">
        <v>4.9000000000000002E-2</v>
      </c>
      <c r="O2740">
        <v>5.1999999999999998E-2</v>
      </c>
      <c r="P2740">
        <v>5.2999999999999999E-2</v>
      </c>
      <c r="Q2740">
        <v>5.2999999999999999E-2</v>
      </c>
      <c r="R2740">
        <v>5.2999999999999999E-2</v>
      </c>
      <c r="S2740">
        <v>5.2999999999999999E-2</v>
      </c>
      <c r="T2740">
        <v>5.1999999999999998E-2</v>
      </c>
      <c r="U2740">
        <v>5.1999999999999998E-2</v>
      </c>
      <c r="V2740">
        <v>5.1999999999999998E-2</v>
      </c>
      <c r="W2740">
        <v>5.1999999999999998E-2</v>
      </c>
      <c r="X2740">
        <v>5.1999999999999998E-2</v>
      </c>
      <c r="Y2740">
        <v>5.1999999999999998E-2</v>
      </c>
      <c r="Z2740">
        <v>5.0999999999999997E-2</v>
      </c>
      <c r="AA2740">
        <v>5.0999999999999997E-2</v>
      </c>
      <c r="AB2740">
        <v>5.0999999999999997E-2</v>
      </c>
      <c r="AC2740">
        <v>0.05</v>
      </c>
      <c r="AD2740">
        <v>0.05</v>
      </c>
    </row>
    <row r="2741" spans="2:30" x14ac:dyDescent="0.25">
      <c r="B2741" t="s">
        <v>133</v>
      </c>
      <c r="C2741" t="s">
        <v>3263</v>
      </c>
      <c r="D2741" t="s">
        <v>4370</v>
      </c>
      <c r="E2741" t="s">
        <v>4371</v>
      </c>
      <c r="F2741" t="s">
        <v>8599</v>
      </c>
      <c r="G2741" t="s">
        <v>3890</v>
      </c>
      <c r="H2741" t="s">
        <v>4262</v>
      </c>
      <c r="I2741" t="s">
        <v>4263</v>
      </c>
      <c r="J2741">
        <v>2</v>
      </c>
      <c r="K2741">
        <v>6.0999999999999999E-2</v>
      </c>
      <c r="L2741">
        <v>5.1999999999999998E-2</v>
      </c>
      <c r="M2741">
        <v>4.5999999999999999E-2</v>
      </c>
      <c r="N2741">
        <v>4.2999999999999997E-2</v>
      </c>
      <c r="O2741">
        <v>4.5999999999999999E-2</v>
      </c>
      <c r="P2741">
        <v>4.7E-2</v>
      </c>
      <c r="Q2741">
        <v>4.7E-2</v>
      </c>
      <c r="R2741">
        <v>4.7E-2</v>
      </c>
      <c r="S2741">
        <v>4.5999999999999999E-2</v>
      </c>
      <c r="T2741">
        <v>4.5999999999999999E-2</v>
      </c>
      <c r="U2741">
        <v>4.5999999999999999E-2</v>
      </c>
      <c r="V2741">
        <v>4.5999999999999999E-2</v>
      </c>
      <c r="W2741">
        <v>4.5999999999999999E-2</v>
      </c>
      <c r="X2741">
        <v>4.5999999999999999E-2</v>
      </c>
      <c r="Y2741">
        <v>4.4999999999999998E-2</v>
      </c>
      <c r="Z2741">
        <v>4.4999999999999998E-2</v>
      </c>
      <c r="AA2741">
        <v>4.4999999999999998E-2</v>
      </c>
      <c r="AB2741">
        <v>4.4999999999999998E-2</v>
      </c>
      <c r="AC2741">
        <v>4.3999999999999997E-2</v>
      </c>
      <c r="AD2741">
        <v>4.3999999999999997E-2</v>
      </c>
    </row>
    <row r="2742" spans="2:30" x14ac:dyDescent="0.25">
      <c r="B2742" t="s">
        <v>133</v>
      </c>
      <c r="C2742" t="s">
        <v>3263</v>
      </c>
      <c r="D2742" t="s">
        <v>4373</v>
      </c>
      <c r="E2742" t="s">
        <v>4374</v>
      </c>
      <c r="F2742" t="s">
        <v>8600</v>
      </c>
      <c r="G2742" t="s">
        <v>3890</v>
      </c>
      <c r="H2742" t="s">
        <v>4262</v>
      </c>
      <c r="I2742" t="s">
        <v>4267</v>
      </c>
      <c r="J2742">
        <v>2</v>
      </c>
      <c r="K2742">
        <v>11.465999999999999</v>
      </c>
      <c r="L2742">
        <v>8.83</v>
      </c>
      <c r="M2742">
        <v>7.7460000000000004</v>
      </c>
      <c r="N2742">
        <v>7.0540000000000003</v>
      </c>
      <c r="O2742">
        <v>8.0719999999999992</v>
      </c>
      <c r="P2742">
        <v>8.5269999999999992</v>
      </c>
      <c r="Q2742">
        <v>8.9009999999999998</v>
      </c>
      <c r="R2742">
        <v>9.2729999999999997</v>
      </c>
      <c r="S2742">
        <v>9.6430000000000007</v>
      </c>
      <c r="T2742">
        <v>10.013999999999999</v>
      </c>
      <c r="U2742">
        <v>10.414</v>
      </c>
      <c r="V2742">
        <v>10.814</v>
      </c>
      <c r="W2742">
        <v>11.214</v>
      </c>
      <c r="X2742">
        <v>11.614000000000001</v>
      </c>
      <c r="Y2742">
        <v>12.013999999999999</v>
      </c>
      <c r="Z2742">
        <v>12.414</v>
      </c>
      <c r="AA2742">
        <v>12.814</v>
      </c>
      <c r="AB2742">
        <v>13.214</v>
      </c>
      <c r="AC2742">
        <v>13.614000000000001</v>
      </c>
      <c r="AD2742">
        <v>14.013999999999999</v>
      </c>
    </row>
    <row r="2743" spans="2:30" x14ac:dyDescent="0.25">
      <c r="B2743" t="s">
        <v>133</v>
      </c>
      <c r="C2743" t="s">
        <v>3263</v>
      </c>
      <c r="D2743" t="s">
        <v>4376</v>
      </c>
      <c r="E2743" t="s">
        <v>4377</v>
      </c>
      <c r="F2743" t="s">
        <v>8601</v>
      </c>
      <c r="G2743" t="s">
        <v>3890</v>
      </c>
      <c r="H2743" t="s">
        <v>4262</v>
      </c>
      <c r="I2743" t="s">
        <v>4267</v>
      </c>
      <c r="J2743">
        <v>2</v>
      </c>
      <c r="K2743">
        <v>5.3360000000000003</v>
      </c>
      <c r="L2743">
        <v>5.01</v>
      </c>
      <c r="M2743">
        <v>5.0869999999999997</v>
      </c>
      <c r="N2743">
        <v>5.0869999999999997</v>
      </c>
      <c r="O2743">
        <v>5.6449999999999996</v>
      </c>
      <c r="P2743">
        <v>5.8680000000000003</v>
      </c>
      <c r="Q2743">
        <v>6.0910000000000002</v>
      </c>
      <c r="R2743">
        <v>6.3150000000000004</v>
      </c>
      <c r="S2743">
        <v>6.5380000000000003</v>
      </c>
      <c r="T2743">
        <v>6.7610000000000001</v>
      </c>
      <c r="U2743">
        <v>6.984</v>
      </c>
      <c r="V2743">
        <v>7.2069999999999999</v>
      </c>
      <c r="W2743">
        <v>7.431</v>
      </c>
      <c r="X2743">
        <v>7.6539999999999999</v>
      </c>
      <c r="Y2743">
        <v>7.8769999999999998</v>
      </c>
      <c r="Z2743">
        <v>8.1</v>
      </c>
      <c r="AA2743">
        <v>8.3230000000000004</v>
      </c>
      <c r="AB2743">
        <v>8.5470000000000006</v>
      </c>
      <c r="AC2743">
        <v>8.77</v>
      </c>
      <c r="AD2743">
        <v>8.9930000000000003</v>
      </c>
    </row>
    <row r="2744" spans="2:30" x14ac:dyDescent="0.25">
      <c r="B2744" t="s">
        <v>133</v>
      </c>
      <c r="C2744" t="s">
        <v>3263</v>
      </c>
      <c r="D2744" t="s">
        <v>4379</v>
      </c>
      <c r="E2744" t="s">
        <v>4380</v>
      </c>
      <c r="F2744" t="s">
        <v>8602</v>
      </c>
      <c r="G2744" t="s">
        <v>3890</v>
      </c>
      <c r="H2744" t="s">
        <v>4262</v>
      </c>
      <c r="I2744" t="s">
        <v>4267</v>
      </c>
      <c r="J2744">
        <v>2</v>
      </c>
      <c r="K2744">
        <v>23.399000000000001</v>
      </c>
      <c r="L2744">
        <v>15.864000000000001</v>
      </c>
      <c r="M2744">
        <v>14.744</v>
      </c>
      <c r="N2744">
        <v>13.651999999999999</v>
      </c>
      <c r="O2744">
        <v>13.680999999999999</v>
      </c>
      <c r="P2744">
        <v>13.768000000000001</v>
      </c>
      <c r="Q2744">
        <v>13.727</v>
      </c>
      <c r="R2744">
        <v>13.683</v>
      </c>
      <c r="S2744">
        <v>13.635999999999999</v>
      </c>
      <c r="T2744">
        <v>13.59</v>
      </c>
      <c r="U2744">
        <v>13.59</v>
      </c>
      <c r="V2744">
        <v>13.59</v>
      </c>
      <c r="W2744">
        <v>13.59</v>
      </c>
      <c r="X2744">
        <v>13.59</v>
      </c>
      <c r="Y2744">
        <v>13.59</v>
      </c>
      <c r="Z2744">
        <v>13.59</v>
      </c>
      <c r="AA2744">
        <v>13.59</v>
      </c>
      <c r="AB2744">
        <v>13.59</v>
      </c>
      <c r="AC2744">
        <v>13.59</v>
      </c>
      <c r="AD2744">
        <v>13.59</v>
      </c>
    </row>
    <row r="2745" spans="2:30" x14ac:dyDescent="0.25">
      <c r="B2745" t="s">
        <v>133</v>
      </c>
      <c r="C2745" t="s">
        <v>3263</v>
      </c>
      <c r="D2745" t="s">
        <v>4382</v>
      </c>
      <c r="E2745" t="s">
        <v>4383</v>
      </c>
      <c r="F2745" t="s">
        <v>8603</v>
      </c>
      <c r="G2745" t="s">
        <v>3890</v>
      </c>
      <c r="H2745" t="s">
        <v>4262</v>
      </c>
      <c r="I2745" t="s">
        <v>4267</v>
      </c>
      <c r="J2745">
        <v>2</v>
      </c>
      <c r="K2745">
        <v>4.6340000000000003</v>
      </c>
      <c r="L2745">
        <v>3.2090000000000001</v>
      </c>
      <c r="M2745">
        <v>2.331</v>
      </c>
      <c r="N2745">
        <v>2.331</v>
      </c>
      <c r="O2745">
        <v>2.331</v>
      </c>
      <c r="P2745">
        <v>2.331</v>
      </c>
      <c r="Q2745">
        <v>2.331</v>
      </c>
      <c r="R2745">
        <v>2.331</v>
      </c>
      <c r="S2745">
        <v>2.331</v>
      </c>
      <c r="T2745">
        <v>2.331</v>
      </c>
      <c r="U2745">
        <v>2.331</v>
      </c>
      <c r="V2745">
        <v>2.331</v>
      </c>
      <c r="W2745">
        <v>2.331</v>
      </c>
      <c r="X2745">
        <v>2.331</v>
      </c>
      <c r="Y2745">
        <v>2.331</v>
      </c>
      <c r="Z2745">
        <v>2.331</v>
      </c>
      <c r="AA2745">
        <v>2.331</v>
      </c>
      <c r="AB2745">
        <v>2.331</v>
      </c>
      <c r="AC2745">
        <v>2.331</v>
      </c>
      <c r="AD2745">
        <v>2.331</v>
      </c>
    </row>
    <row r="2746" spans="2:30" x14ac:dyDescent="0.25">
      <c r="B2746" t="s">
        <v>133</v>
      </c>
      <c r="C2746" t="s">
        <v>3263</v>
      </c>
      <c r="D2746" t="s">
        <v>4385</v>
      </c>
      <c r="E2746" t="s">
        <v>4386</v>
      </c>
      <c r="F2746" t="s">
        <v>8604</v>
      </c>
      <c r="G2746" t="s">
        <v>3890</v>
      </c>
      <c r="H2746" t="s">
        <v>4262</v>
      </c>
      <c r="I2746" t="s">
        <v>4267</v>
      </c>
      <c r="J2746">
        <v>2</v>
      </c>
      <c r="K2746">
        <v>13.301</v>
      </c>
      <c r="L2746">
        <v>6.66</v>
      </c>
      <c r="M2746">
        <v>5.9119999999999999</v>
      </c>
      <c r="N2746">
        <v>5.032</v>
      </c>
      <c r="O2746">
        <v>5.0549999999999997</v>
      </c>
      <c r="P2746">
        <v>5.125</v>
      </c>
      <c r="Q2746">
        <v>5.0919999999999996</v>
      </c>
      <c r="R2746">
        <v>5.056</v>
      </c>
      <c r="S2746">
        <v>5.0179999999999998</v>
      </c>
      <c r="T2746">
        <v>4.9820000000000002</v>
      </c>
      <c r="U2746">
        <v>4.9820000000000002</v>
      </c>
      <c r="V2746">
        <v>4.9820000000000002</v>
      </c>
      <c r="W2746">
        <v>4.9820000000000002</v>
      </c>
      <c r="X2746">
        <v>4.9820000000000002</v>
      </c>
      <c r="Y2746">
        <v>4.9820000000000002</v>
      </c>
      <c r="Z2746">
        <v>4.9820000000000002</v>
      </c>
      <c r="AA2746">
        <v>4.9820000000000002</v>
      </c>
      <c r="AB2746">
        <v>4.9820000000000002</v>
      </c>
      <c r="AC2746">
        <v>4.9820000000000002</v>
      </c>
      <c r="AD2746">
        <v>4.9820000000000002</v>
      </c>
    </row>
    <row r="2747" spans="2:30" x14ac:dyDescent="0.25">
      <c r="B2747" t="s">
        <v>133</v>
      </c>
      <c r="C2747" t="s">
        <v>3263</v>
      </c>
      <c r="D2747" t="s">
        <v>4388</v>
      </c>
      <c r="E2747" t="s">
        <v>4389</v>
      </c>
      <c r="F2747" t="s">
        <v>8605</v>
      </c>
      <c r="G2747" t="s">
        <v>3890</v>
      </c>
      <c r="H2747" t="s">
        <v>4262</v>
      </c>
      <c r="I2747" t="s">
        <v>4267</v>
      </c>
      <c r="J2747">
        <v>2</v>
      </c>
      <c r="K2747">
        <v>2.7839999999999998</v>
      </c>
      <c r="L2747">
        <v>2.6139999999999999</v>
      </c>
      <c r="M2747">
        <v>2.6539999999999999</v>
      </c>
      <c r="N2747">
        <v>2.6539999999999999</v>
      </c>
      <c r="O2747">
        <v>2.6539999999999999</v>
      </c>
      <c r="P2747">
        <v>2.6539999999999999</v>
      </c>
      <c r="Q2747">
        <v>2.6539999999999999</v>
      </c>
      <c r="R2747">
        <v>2.6539999999999999</v>
      </c>
      <c r="S2747">
        <v>2.6539999999999999</v>
      </c>
      <c r="T2747">
        <v>2.6539999999999999</v>
      </c>
      <c r="U2747">
        <v>2.6539999999999999</v>
      </c>
      <c r="V2747">
        <v>2.6539999999999999</v>
      </c>
      <c r="W2747">
        <v>2.6539999999999999</v>
      </c>
      <c r="X2747">
        <v>2.6539999999999999</v>
      </c>
      <c r="Y2747">
        <v>2.6539999999999999</v>
      </c>
      <c r="Z2747">
        <v>2.6539999999999999</v>
      </c>
      <c r="AA2747">
        <v>2.6539999999999999</v>
      </c>
      <c r="AB2747">
        <v>2.6539999999999999</v>
      </c>
      <c r="AC2747">
        <v>2.6539999999999999</v>
      </c>
      <c r="AD2747">
        <v>2.6539999999999999</v>
      </c>
    </row>
    <row r="2748" spans="2:30" x14ac:dyDescent="0.25">
      <c r="B2748" t="s">
        <v>133</v>
      </c>
      <c r="C2748" t="s">
        <v>3263</v>
      </c>
      <c r="D2748" t="s">
        <v>4391</v>
      </c>
      <c r="E2748" t="s">
        <v>4392</v>
      </c>
      <c r="F2748" t="s">
        <v>8606</v>
      </c>
      <c r="G2748" t="s">
        <v>3890</v>
      </c>
      <c r="H2748" t="s">
        <v>4394</v>
      </c>
      <c r="I2748" t="s">
        <v>4263</v>
      </c>
      <c r="J2748">
        <v>1</v>
      </c>
      <c r="K2748">
        <v>6.4000000000000001E-2</v>
      </c>
      <c r="L2748">
        <v>6.2E-2</v>
      </c>
      <c r="M2748">
        <v>0.107</v>
      </c>
      <c r="N2748">
        <v>0.105</v>
      </c>
      <c r="O2748">
        <v>0.107</v>
      </c>
      <c r="P2748">
        <v>0.108</v>
      </c>
      <c r="Q2748">
        <v>0.108</v>
      </c>
      <c r="R2748">
        <v>0.107</v>
      </c>
      <c r="S2748">
        <v>0.107</v>
      </c>
      <c r="T2748">
        <v>0.107</v>
      </c>
      <c r="U2748">
        <v>0.107</v>
      </c>
      <c r="V2748">
        <v>0.106</v>
      </c>
      <c r="W2748">
        <v>0.106</v>
      </c>
      <c r="X2748">
        <v>0.106</v>
      </c>
      <c r="Y2748">
        <v>0.106</v>
      </c>
      <c r="Z2748">
        <v>0.105</v>
      </c>
      <c r="AA2748">
        <v>0.105</v>
      </c>
      <c r="AB2748">
        <v>0.105</v>
      </c>
      <c r="AC2748">
        <v>0.104</v>
      </c>
      <c r="AD2748">
        <v>0.104</v>
      </c>
    </row>
    <row r="2749" spans="2:30" x14ac:dyDescent="0.25">
      <c r="B2749" t="s">
        <v>133</v>
      </c>
      <c r="C2749" t="s">
        <v>3263</v>
      </c>
      <c r="D2749" t="s">
        <v>4395</v>
      </c>
      <c r="E2749" t="s">
        <v>4396</v>
      </c>
      <c r="F2749" t="s">
        <v>8607</v>
      </c>
      <c r="G2749" t="s">
        <v>3890</v>
      </c>
      <c r="H2749" t="s">
        <v>4394</v>
      </c>
      <c r="I2749" t="s">
        <v>4263</v>
      </c>
      <c r="J2749">
        <v>1</v>
      </c>
      <c r="K2749">
        <v>5.8999999999999997E-2</v>
      </c>
      <c r="L2749">
        <v>5.0999999999999997E-2</v>
      </c>
      <c r="M2749">
        <v>0.10100000000000001</v>
      </c>
      <c r="N2749">
        <v>9.8000000000000004E-2</v>
      </c>
      <c r="O2749">
        <v>0.1</v>
      </c>
      <c r="P2749">
        <v>0.10100000000000001</v>
      </c>
      <c r="Q2749">
        <v>0.10100000000000001</v>
      </c>
      <c r="R2749">
        <v>0.10100000000000001</v>
      </c>
      <c r="S2749">
        <v>0.10100000000000001</v>
      </c>
      <c r="T2749">
        <v>0.1</v>
      </c>
      <c r="U2749">
        <v>0.1</v>
      </c>
      <c r="V2749">
        <v>0.1</v>
      </c>
      <c r="W2749">
        <v>0.1</v>
      </c>
      <c r="X2749">
        <v>0.1</v>
      </c>
      <c r="Y2749">
        <v>9.9000000000000005E-2</v>
      </c>
      <c r="Z2749">
        <v>9.9000000000000005E-2</v>
      </c>
      <c r="AA2749">
        <v>9.9000000000000005E-2</v>
      </c>
      <c r="AB2749">
        <v>9.8000000000000004E-2</v>
      </c>
      <c r="AC2749">
        <v>9.8000000000000004E-2</v>
      </c>
      <c r="AD2749">
        <v>9.8000000000000004E-2</v>
      </c>
    </row>
    <row r="2750" spans="2:30" x14ac:dyDescent="0.25">
      <c r="B2750" t="s">
        <v>133</v>
      </c>
      <c r="C2750" t="s">
        <v>3263</v>
      </c>
      <c r="D2750" t="s">
        <v>4398</v>
      </c>
      <c r="E2750" t="s">
        <v>4399</v>
      </c>
      <c r="F2750" t="s">
        <v>8608</v>
      </c>
      <c r="G2750" t="s">
        <v>3890</v>
      </c>
      <c r="H2750" t="s">
        <v>4401</v>
      </c>
      <c r="I2750" t="s">
        <v>4267</v>
      </c>
      <c r="J2750">
        <v>1</v>
      </c>
      <c r="K2750">
        <v>11.12</v>
      </c>
      <c r="L2750">
        <v>8.6110000000000007</v>
      </c>
      <c r="M2750">
        <v>7.577</v>
      </c>
      <c r="N2750">
        <v>6.8849999999999998</v>
      </c>
      <c r="O2750">
        <v>6.9039999999999999</v>
      </c>
      <c r="P2750">
        <v>6.9580000000000002</v>
      </c>
      <c r="Q2750">
        <v>6.9320000000000004</v>
      </c>
      <c r="R2750">
        <v>6.9039999999999999</v>
      </c>
      <c r="S2750">
        <v>6.875</v>
      </c>
      <c r="T2750">
        <v>6.8460000000000001</v>
      </c>
      <c r="U2750">
        <v>6.8460000000000001</v>
      </c>
      <c r="V2750">
        <v>6.8460000000000001</v>
      </c>
      <c r="W2750">
        <v>6.8460000000000001</v>
      </c>
      <c r="X2750">
        <v>6.8460000000000001</v>
      </c>
      <c r="Y2750">
        <v>6.8460000000000001</v>
      </c>
      <c r="Z2750">
        <v>6.8460000000000001</v>
      </c>
      <c r="AA2750">
        <v>6.8460000000000001</v>
      </c>
      <c r="AB2750">
        <v>6.8460000000000001</v>
      </c>
      <c r="AC2750">
        <v>6.8460000000000001</v>
      </c>
      <c r="AD2750">
        <v>6.8460000000000001</v>
      </c>
    </row>
    <row r="2751" spans="2:30" x14ac:dyDescent="0.25">
      <c r="B2751" t="s">
        <v>133</v>
      </c>
      <c r="C2751" t="s">
        <v>3263</v>
      </c>
      <c r="D2751" t="s">
        <v>4402</v>
      </c>
      <c r="E2751" t="s">
        <v>4403</v>
      </c>
      <c r="F2751" t="s">
        <v>8609</v>
      </c>
      <c r="G2751" t="s">
        <v>3890</v>
      </c>
      <c r="H2751" t="s">
        <v>4401</v>
      </c>
      <c r="I2751" t="s">
        <v>4267</v>
      </c>
      <c r="J2751">
        <v>1</v>
      </c>
      <c r="K2751">
        <v>12.260999999999999</v>
      </c>
      <c r="L2751">
        <v>10.192</v>
      </c>
      <c r="M2751">
        <v>9.57</v>
      </c>
      <c r="N2751">
        <v>9.64</v>
      </c>
      <c r="O2751">
        <v>9.6809999999999992</v>
      </c>
      <c r="P2751">
        <v>9.5749999999999993</v>
      </c>
      <c r="Q2751">
        <v>9.4489999999999998</v>
      </c>
      <c r="R2751">
        <v>9.4049999999999994</v>
      </c>
      <c r="S2751">
        <v>9.3919999999999995</v>
      </c>
      <c r="T2751">
        <v>9.3849999999999998</v>
      </c>
      <c r="U2751">
        <v>9.3849999999999998</v>
      </c>
      <c r="V2751">
        <v>9.3849999999999998</v>
      </c>
      <c r="W2751">
        <v>9.3849999999999998</v>
      </c>
      <c r="X2751">
        <v>9.3849999999999998</v>
      </c>
      <c r="Y2751">
        <v>9.3849999999999998</v>
      </c>
      <c r="Z2751">
        <v>9.3849999999999998</v>
      </c>
      <c r="AA2751">
        <v>9.3849999999999998</v>
      </c>
      <c r="AB2751">
        <v>9.3849999999999998</v>
      </c>
      <c r="AC2751">
        <v>9.3849999999999998</v>
      </c>
      <c r="AD2751">
        <v>9.3849999999999998</v>
      </c>
    </row>
    <row r="2752" spans="2:30" x14ac:dyDescent="0.25">
      <c r="B2752" t="s">
        <v>133</v>
      </c>
      <c r="C2752" t="s">
        <v>3263</v>
      </c>
      <c r="D2752" t="s">
        <v>4405</v>
      </c>
      <c r="E2752" t="s">
        <v>4406</v>
      </c>
      <c r="F2752" t="s">
        <v>8610</v>
      </c>
      <c r="G2752" t="s">
        <v>3890</v>
      </c>
      <c r="H2752" t="s">
        <v>4401</v>
      </c>
      <c r="I2752" t="s">
        <v>4267</v>
      </c>
      <c r="J2752">
        <v>1</v>
      </c>
      <c r="K2752">
        <v>20.341000000000001</v>
      </c>
      <c r="L2752">
        <v>13.728999999999999</v>
      </c>
      <c r="M2752">
        <v>12.932</v>
      </c>
      <c r="N2752">
        <v>11.975</v>
      </c>
      <c r="O2752">
        <v>12</v>
      </c>
      <c r="P2752">
        <v>12.076000000000001</v>
      </c>
      <c r="Q2752">
        <v>12.04</v>
      </c>
      <c r="R2752">
        <v>12.002000000000001</v>
      </c>
      <c r="S2752">
        <v>11.96</v>
      </c>
      <c r="T2752">
        <v>11.920999999999999</v>
      </c>
      <c r="U2752">
        <v>11.920999999999999</v>
      </c>
      <c r="V2752">
        <v>11.920999999999999</v>
      </c>
      <c r="W2752">
        <v>11.920999999999999</v>
      </c>
      <c r="X2752">
        <v>11.920999999999999</v>
      </c>
      <c r="Y2752">
        <v>11.920999999999999</v>
      </c>
      <c r="Z2752">
        <v>11.920999999999999</v>
      </c>
      <c r="AA2752">
        <v>11.920999999999999</v>
      </c>
      <c r="AB2752">
        <v>11.920999999999999</v>
      </c>
      <c r="AC2752">
        <v>11.920999999999999</v>
      </c>
      <c r="AD2752">
        <v>11.920999999999999</v>
      </c>
    </row>
    <row r="2753" spans="2:30" x14ac:dyDescent="0.25">
      <c r="B2753" t="s">
        <v>133</v>
      </c>
      <c r="C2753" t="s">
        <v>3263</v>
      </c>
      <c r="D2753" t="s">
        <v>4408</v>
      </c>
      <c r="E2753" t="s">
        <v>4409</v>
      </c>
      <c r="F2753" t="s">
        <v>8611</v>
      </c>
      <c r="G2753" t="s">
        <v>3890</v>
      </c>
      <c r="H2753" t="s">
        <v>4401</v>
      </c>
      <c r="I2753" t="s">
        <v>4267</v>
      </c>
      <c r="J2753">
        <v>1</v>
      </c>
      <c r="K2753">
        <v>16.896999999999998</v>
      </c>
      <c r="L2753">
        <v>15.007</v>
      </c>
      <c r="M2753">
        <v>14.387</v>
      </c>
      <c r="N2753">
        <v>14.454000000000001</v>
      </c>
      <c r="O2753">
        <v>14.493</v>
      </c>
      <c r="P2753">
        <v>14.391999999999999</v>
      </c>
      <c r="Q2753">
        <v>14.273</v>
      </c>
      <c r="R2753">
        <v>14.231</v>
      </c>
      <c r="S2753">
        <v>14.218999999999999</v>
      </c>
      <c r="T2753">
        <v>14.212</v>
      </c>
      <c r="U2753">
        <v>14.212</v>
      </c>
      <c r="V2753">
        <v>14.212</v>
      </c>
      <c r="W2753">
        <v>14.212</v>
      </c>
      <c r="X2753">
        <v>14.212</v>
      </c>
      <c r="Y2753">
        <v>14.212</v>
      </c>
      <c r="Z2753">
        <v>14.212</v>
      </c>
      <c r="AA2753">
        <v>14.212</v>
      </c>
      <c r="AB2753">
        <v>14.212</v>
      </c>
      <c r="AC2753">
        <v>14.212</v>
      </c>
      <c r="AD2753">
        <v>14.212</v>
      </c>
    </row>
    <row r="2754" spans="2:30" x14ac:dyDescent="0.25">
      <c r="B2754" t="s">
        <v>133</v>
      </c>
      <c r="C2754" t="s">
        <v>3263</v>
      </c>
      <c r="D2754" t="s">
        <v>4411</v>
      </c>
      <c r="E2754" t="s">
        <v>4412</v>
      </c>
      <c r="F2754" t="s">
        <v>8612</v>
      </c>
      <c r="G2754" t="s">
        <v>3890</v>
      </c>
      <c r="H2754" t="s">
        <v>4401</v>
      </c>
      <c r="I2754" t="s">
        <v>4267</v>
      </c>
      <c r="J2754">
        <v>1</v>
      </c>
      <c r="K2754">
        <v>13.301</v>
      </c>
      <c r="L2754">
        <v>6.66</v>
      </c>
      <c r="M2754">
        <v>5.9119999999999999</v>
      </c>
      <c r="N2754">
        <v>5.032</v>
      </c>
      <c r="O2754">
        <v>5.0549999999999997</v>
      </c>
      <c r="P2754">
        <v>5.125</v>
      </c>
      <c r="Q2754">
        <v>5.0919999999999996</v>
      </c>
      <c r="R2754">
        <v>5.056</v>
      </c>
      <c r="S2754">
        <v>5.0179999999999998</v>
      </c>
      <c r="T2754">
        <v>4.9820000000000002</v>
      </c>
      <c r="U2754">
        <v>4.9820000000000002</v>
      </c>
      <c r="V2754">
        <v>4.9820000000000002</v>
      </c>
      <c r="W2754">
        <v>4.9820000000000002</v>
      </c>
      <c r="X2754">
        <v>4.9820000000000002</v>
      </c>
      <c r="Y2754">
        <v>4.9820000000000002</v>
      </c>
      <c r="Z2754">
        <v>4.9820000000000002</v>
      </c>
      <c r="AA2754">
        <v>4.9820000000000002</v>
      </c>
      <c r="AB2754">
        <v>4.9820000000000002</v>
      </c>
      <c r="AC2754">
        <v>4.9820000000000002</v>
      </c>
      <c r="AD2754">
        <v>4.9820000000000002</v>
      </c>
    </row>
    <row r="2755" spans="2:30" x14ac:dyDescent="0.25">
      <c r="B2755" t="s">
        <v>133</v>
      </c>
      <c r="C2755" t="s">
        <v>3263</v>
      </c>
      <c r="D2755" t="s">
        <v>4414</v>
      </c>
      <c r="E2755" t="s">
        <v>4415</v>
      </c>
      <c r="F2755" t="s">
        <v>8613</v>
      </c>
      <c r="G2755" t="s">
        <v>3890</v>
      </c>
      <c r="H2755" t="s">
        <v>4401</v>
      </c>
      <c r="I2755" t="s">
        <v>4267</v>
      </c>
      <c r="J2755">
        <v>1</v>
      </c>
      <c r="K2755">
        <v>11.488</v>
      </c>
      <c r="L2755">
        <v>9.3889999999999993</v>
      </c>
      <c r="M2755">
        <v>8.7669999999999995</v>
      </c>
      <c r="N2755">
        <v>8.8460000000000001</v>
      </c>
      <c r="O2755">
        <v>8.8919999999999995</v>
      </c>
      <c r="P2755">
        <v>8.7729999999999997</v>
      </c>
      <c r="Q2755">
        <v>8.6319999999999997</v>
      </c>
      <c r="R2755">
        <v>8.5820000000000007</v>
      </c>
      <c r="S2755">
        <v>8.5679999999999996</v>
      </c>
      <c r="T2755">
        <v>8.56</v>
      </c>
      <c r="U2755">
        <v>8.56</v>
      </c>
      <c r="V2755">
        <v>8.56</v>
      </c>
      <c r="W2755">
        <v>8.56</v>
      </c>
      <c r="X2755">
        <v>8.56</v>
      </c>
      <c r="Y2755">
        <v>8.56</v>
      </c>
      <c r="Z2755">
        <v>8.56</v>
      </c>
      <c r="AA2755">
        <v>8.56</v>
      </c>
      <c r="AB2755">
        <v>8.56</v>
      </c>
      <c r="AC2755">
        <v>8.56</v>
      </c>
      <c r="AD2755">
        <v>8.56</v>
      </c>
    </row>
    <row r="2756" spans="2:30" x14ac:dyDescent="0.25">
      <c r="B2756" t="s">
        <v>133</v>
      </c>
      <c r="C2756" t="s">
        <v>3263</v>
      </c>
      <c r="D2756" t="s">
        <v>4417</v>
      </c>
      <c r="E2756" t="s">
        <v>4418</v>
      </c>
      <c r="F2756" t="s">
        <v>8614</v>
      </c>
      <c r="G2756" t="s">
        <v>3890</v>
      </c>
      <c r="H2756" t="s">
        <v>4401</v>
      </c>
      <c r="I2756" t="s">
        <v>4274</v>
      </c>
      <c r="J2756">
        <v>1</v>
      </c>
      <c r="K2756">
        <v>116.498</v>
      </c>
      <c r="L2756">
        <v>95.069000000000003</v>
      </c>
      <c r="M2756">
        <v>91.606999999999999</v>
      </c>
      <c r="N2756">
        <v>78.384</v>
      </c>
      <c r="O2756">
        <v>82.057000000000002</v>
      </c>
      <c r="P2756">
        <v>76.52</v>
      </c>
      <c r="Q2756">
        <v>74.995999999999995</v>
      </c>
      <c r="R2756">
        <v>74.228999999999999</v>
      </c>
      <c r="S2756">
        <v>73.557000000000002</v>
      </c>
      <c r="T2756">
        <v>72.826999999999998</v>
      </c>
      <c r="U2756">
        <v>72.826999999999998</v>
      </c>
      <c r="V2756">
        <v>72.826999999999998</v>
      </c>
      <c r="W2756">
        <v>72.826999999999998</v>
      </c>
      <c r="X2756">
        <v>72.826999999999998</v>
      </c>
      <c r="Y2756">
        <v>72.826999999999998</v>
      </c>
      <c r="Z2756">
        <v>72.826999999999998</v>
      </c>
      <c r="AA2756">
        <v>72.826999999999998</v>
      </c>
      <c r="AB2756">
        <v>72.826999999999998</v>
      </c>
      <c r="AC2756">
        <v>72.826999999999998</v>
      </c>
      <c r="AD2756">
        <v>72.826999999999998</v>
      </c>
    </row>
    <row r="2757" spans="2:30" x14ac:dyDescent="0.25">
      <c r="B2757" t="s">
        <v>133</v>
      </c>
      <c r="C2757" t="s">
        <v>3263</v>
      </c>
      <c r="D2757" t="s">
        <v>4420</v>
      </c>
      <c r="E2757" t="s">
        <v>4421</v>
      </c>
      <c r="F2757" t="s">
        <v>8615</v>
      </c>
      <c r="G2757" t="s">
        <v>3890</v>
      </c>
      <c r="H2757" t="s">
        <v>4401</v>
      </c>
      <c r="I2757" t="s">
        <v>4278</v>
      </c>
      <c r="J2757">
        <v>1</v>
      </c>
      <c r="K2757">
        <v>0.96299999999999997</v>
      </c>
      <c r="L2757">
        <v>0.81799999999999995</v>
      </c>
      <c r="M2757">
        <v>0.76400000000000001</v>
      </c>
      <c r="N2757">
        <v>0.67100000000000004</v>
      </c>
      <c r="O2757">
        <v>0.69699999999999995</v>
      </c>
      <c r="P2757">
        <v>0.65800000000000003</v>
      </c>
      <c r="Q2757">
        <v>0.64700000000000002</v>
      </c>
      <c r="R2757">
        <v>0.64200000000000002</v>
      </c>
      <c r="S2757">
        <v>0.63700000000000001</v>
      </c>
      <c r="T2757">
        <v>0.63200000000000001</v>
      </c>
      <c r="U2757">
        <v>0.63200000000000001</v>
      </c>
      <c r="V2757">
        <v>0.63200000000000001</v>
      </c>
      <c r="W2757">
        <v>0.63200000000000001</v>
      </c>
      <c r="X2757">
        <v>0.63200000000000001</v>
      </c>
      <c r="Y2757">
        <v>0.63200000000000001</v>
      </c>
      <c r="Z2757">
        <v>0.63200000000000001</v>
      </c>
      <c r="AA2757">
        <v>0.63200000000000001</v>
      </c>
      <c r="AB2757">
        <v>0.63200000000000001</v>
      </c>
      <c r="AC2757">
        <v>0.63200000000000001</v>
      </c>
      <c r="AD2757">
        <v>0.63200000000000001</v>
      </c>
    </row>
    <row r="2758" spans="2:30" x14ac:dyDescent="0.25">
      <c r="B2758" t="s">
        <v>133</v>
      </c>
      <c r="C2758" t="s">
        <v>3263</v>
      </c>
      <c r="D2758" t="s">
        <v>4423</v>
      </c>
      <c r="E2758" t="s">
        <v>4424</v>
      </c>
      <c r="F2758" t="s">
        <v>8616</v>
      </c>
      <c r="G2758" t="s">
        <v>3890</v>
      </c>
      <c r="H2758" t="s">
        <v>4401</v>
      </c>
      <c r="I2758" t="s">
        <v>4278</v>
      </c>
      <c r="J2758">
        <v>1</v>
      </c>
      <c r="K2758">
        <v>1.077</v>
      </c>
      <c r="L2758">
        <v>0.85499999999999998</v>
      </c>
      <c r="M2758">
        <v>0.77800000000000002</v>
      </c>
      <c r="N2758">
        <v>0.68400000000000005</v>
      </c>
      <c r="O2758">
        <v>0.71</v>
      </c>
      <c r="P2758">
        <v>0.67</v>
      </c>
      <c r="Q2758">
        <v>0.66</v>
      </c>
      <c r="R2758">
        <v>0.65400000000000003</v>
      </c>
      <c r="S2758">
        <v>0.64900000000000002</v>
      </c>
      <c r="T2758">
        <v>0.64400000000000002</v>
      </c>
      <c r="U2758">
        <v>0.64400000000000002</v>
      </c>
      <c r="V2758">
        <v>0.64400000000000002</v>
      </c>
      <c r="W2758">
        <v>0.64400000000000002</v>
      </c>
      <c r="X2758">
        <v>0.64400000000000002</v>
      </c>
      <c r="Y2758">
        <v>0.64400000000000002</v>
      </c>
      <c r="Z2758">
        <v>0.64400000000000002</v>
      </c>
      <c r="AA2758">
        <v>0.64400000000000002</v>
      </c>
      <c r="AB2758">
        <v>0.64400000000000002</v>
      </c>
      <c r="AC2758">
        <v>0.64400000000000002</v>
      </c>
      <c r="AD2758">
        <v>0.64400000000000002</v>
      </c>
    </row>
    <row r="2759" spans="2:30" x14ac:dyDescent="0.25">
      <c r="B2759" t="s">
        <v>133</v>
      </c>
      <c r="C2759" t="s">
        <v>3263</v>
      </c>
      <c r="D2759" t="s">
        <v>4426</v>
      </c>
      <c r="E2759" t="s">
        <v>4427</v>
      </c>
      <c r="F2759" t="s">
        <v>8617</v>
      </c>
      <c r="G2759" t="s">
        <v>3890</v>
      </c>
      <c r="H2759" t="s">
        <v>4401</v>
      </c>
      <c r="I2759" t="s">
        <v>4278</v>
      </c>
      <c r="J2759">
        <v>1</v>
      </c>
      <c r="K2759">
        <v>0.67100000000000004</v>
      </c>
      <c r="L2759">
        <v>0.57799999999999996</v>
      </c>
      <c r="M2759">
        <v>0.54300000000000004</v>
      </c>
      <c r="N2759">
        <v>0.48199999999999998</v>
      </c>
      <c r="O2759">
        <v>0.499</v>
      </c>
      <c r="P2759">
        <v>0.47399999999999998</v>
      </c>
      <c r="Q2759">
        <v>0.46700000000000003</v>
      </c>
      <c r="R2759">
        <v>0.46300000000000002</v>
      </c>
      <c r="S2759">
        <v>0.46</v>
      </c>
      <c r="T2759">
        <v>0.45700000000000002</v>
      </c>
      <c r="U2759">
        <v>0.45700000000000002</v>
      </c>
      <c r="V2759">
        <v>0.45700000000000002</v>
      </c>
      <c r="W2759">
        <v>0.45700000000000002</v>
      </c>
      <c r="X2759">
        <v>0.45700000000000002</v>
      </c>
      <c r="Y2759">
        <v>0.45700000000000002</v>
      </c>
      <c r="Z2759">
        <v>0.45700000000000002</v>
      </c>
      <c r="AA2759">
        <v>0.45700000000000002</v>
      </c>
      <c r="AB2759">
        <v>0.45700000000000002</v>
      </c>
      <c r="AC2759">
        <v>0.45700000000000002</v>
      </c>
      <c r="AD2759">
        <v>0.45700000000000002</v>
      </c>
    </row>
    <row r="2760" spans="2:30" x14ac:dyDescent="0.25">
      <c r="B2760" t="s">
        <v>133</v>
      </c>
      <c r="C2760" t="s">
        <v>3263</v>
      </c>
      <c r="D2760" t="s">
        <v>4429</v>
      </c>
      <c r="E2760" t="s">
        <v>4430</v>
      </c>
      <c r="F2760" t="s">
        <v>8618</v>
      </c>
      <c r="G2760" t="s">
        <v>3890</v>
      </c>
      <c r="H2760" t="s">
        <v>4401</v>
      </c>
      <c r="I2760" t="s">
        <v>4278</v>
      </c>
      <c r="J2760">
        <v>1</v>
      </c>
      <c r="K2760">
        <v>0.78300000000000003</v>
      </c>
      <c r="L2760">
        <v>0.69899999999999995</v>
      </c>
      <c r="M2760">
        <v>0.69099999999999995</v>
      </c>
      <c r="N2760">
        <v>0.60899999999999999</v>
      </c>
      <c r="O2760">
        <v>0.63200000000000001</v>
      </c>
      <c r="P2760">
        <v>0.59799999999999998</v>
      </c>
      <c r="Q2760">
        <v>0.58799999999999997</v>
      </c>
      <c r="R2760">
        <v>0.58399999999999996</v>
      </c>
      <c r="S2760">
        <v>0.57899999999999996</v>
      </c>
      <c r="T2760">
        <v>0.57499999999999996</v>
      </c>
      <c r="U2760">
        <v>0.57499999999999996</v>
      </c>
      <c r="V2760">
        <v>0.57499999999999996</v>
      </c>
      <c r="W2760">
        <v>0.57499999999999996</v>
      </c>
      <c r="X2760">
        <v>0.57499999999999996</v>
      </c>
      <c r="Y2760">
        <v>0.57499999999999996</v>
      </c>
      <c r="Z2760">
        <v>0.57499999999999996</v>
      </c>
      <c r="AA2760">
        <v>0.57499999999999996</v>
      </c>
      <c r="AB2760">
        <v>0.57499999999999996</v>
      </c>
      <c r="AC2760">
        <v>0.57499999999999996</v>
      </c>
      <c r="AD2760">
        <v>0.57499999999999996</v>
      </c>
    </row>
    <row r="2761" spans="2:30" x14ac:dyDescent="0.25">
      <c r="B2761" t="s">
        <v>133</v>
      </c>
      <c r="C2761" t="s">
        <v>3263</v>
      </c>
      <c r="D2761" t="s">
        <v>4432</v>
      </c>
      <c r="E2761" t="s">
        <v>4433</v>
      </c>
      <c r="F2761" t="s">
        <v>8619</v>
      </c>
      <c r="G2761" t="s">
        <v>3890</v>
      </c>
      <c r="H2761" t="s">
        <v>4435</v>
      </c>
      <c r="I2761" t="s">
        <v>4263</v>
      </c>
      <c r="J2761">
        <v>1</v>
      </c>
      <c r="K2761">
        <v>0</v>
      </c>
      <c r="L2761">
        <v>0</v>
      </c>
      <c r="M2761">
        <v>-5.5E-2</v>
      </c>
      <c r="N2761">
        <v>-5.5E-2</v>
      </c>
      <c r="O2761">
        <v>-5.5E-2</v>
      </c>
      <c r="P2761">
        <v>-5.5E-2</v>
      </c>
      <c r="Q2761">
        <v>-5.5E-2</v>
      </c>
      <c r="R2761">
        <v>-5.5E-2</v>
      </c>
      <c r="S2761">
        <v>-5.5E-2</v>
      </c>
      <c r="T2761">
        <v>-5.5E-2</v>
      </c>
      <c r="U2761">
        <v>-5.5E-2</v>
      </c>
      <c r="V2761">
        <v>-5.5E-2</v>
      </c>
      <c r="W2761">
        <v>-5.5E-2</v>
      </c>
      <c r="X2761">
        <v>-5.5E-2</v>
      </c>
      <c r="Y2761">
        <v>-5.5E-2</v>
      </c>
      <c r="Z2761">
        <v>-5.5E-2</v>
      </c>
      <c r="AA2761">
        <v>-5.5E-2</v>
      </c>
      <c r="AB2761">
        <v>-5.5E-2</v>
      </c>
      <c r="AC2761">
        <v>-5.5E-2</v>
      </c>
      <c r="AD2761">
        <v>-5.5E-2</v>
      </c>
    </row>
    <row r="2762" spans="2:30" x14ac:dyDescent="0.25">
      <c r="B2762" t="s">
        <v>133</v>
      </c>
      <c r="C2762" t="s">
        <v>3263</v>
      </c>
      <c r="D2762" t="s">
        <v>4436</v>
      </c>
      <c r="E2762" t="s">
        <v>4437</v>
      </c>
      <c r="F2762" t="s">
        <v>8620</v>
      </c>
      <c r="G2762" t="s">
        <v>3890</v>
      </c>
      <c r="H2762" t="s">
        <v>4435</v>
      </c>
      <c r="I2762" t="s">
        <v>4263</v>
      </c>
      <c r="J2762">
        <v>1</v>
      </c>
      <c r="K2762">
        <v>2E-3</v>
      </c>
      <c r="L2762">
        <v>1E-3</v>
      </c>
      <c r="M2762">
        <v>-5.5E-2</v>
      </c>
      <c r="N2762">
        <v>-5.5E-2</v>
      </c>
      <c r="O2762">
        <v>-5.5E-2</v>
      </c>
      <c r="P2762">
        <v>-5.5E-2</v>
      </c>
      <c r="Q2762">
        <v>-5.5E-2</v>
      </c>
      <c r="R2762">
        <v>-5.5E-2</v>
      </c>
      <c r="S2762">
        <v>-5.5E-2</v>
      </c>
      <c r="T2762">
        <v>-5.5E-2</v>
      </c>
      <c r="U2762">
        <v>-5.5E-2</v>
      </c>
      <c r="V2762">
        <v>-5.5E-2</v>
      </c>
      <c r="W2762">
        <v>-5.5E-2</v>
      </c>
      <c r="X2762">
        <v>-5.5E-2</v>
      </c>
      <c r="Y2762">
        <v>-5.5E-2</v>
      </c>
      <c r="Z2762">
        <v>-5.5E-2</v>
      </c>
      <c r="AA2762">
        <v>-5.5E-2</v>
      </c>
      <c r="AB2762">
        <v>-5.5E-2</v>
      </c>
      <c r="AC2762">
        <v>-5.5E-2</v>
      </c>
      <c r="AD2762">
        <v>-5.5E-2</v>
      </c>
    </row>
    <row r="2763" spans="2:30" x14ac:dyDescent="0.25">
      <c r="B2763" t="s">
        <v>133</v>
      </c>
      <c r="C2763" t="s">
        <v>3263</v>
      </c>
      <c r="D2763" t="s">
        <v>4439</v>
      </c>
      <c r="E2763" t="s">
        <v>4440</v>
      </c>
      <c r="F2763" t="s">
        <v>8621</v>
      </c>
      <c r="G2763" t="s">
        <v>3890</v>
      </c>
      <c r="H2763" t="s">
        <v>4435</v>
      </c>
      <c r="I2763" t="s">
        <v>4267</v>
      </c>
      <c r="J2763">
        <v>1</v>
      </c>
      <c r="K2763">
        <v>0.34599999999999997</v>
      </c>
      <c r="L2763">
        <v>0.219</v>
      </c>
      <c r="M2763">
        <v>0.16900000000000001</v>
      </c>
      <c r="N2763">
        <v>0.16900000000000001</v>
      </c>
      <c r="O2763">
        <v>0.16900000000000001</v>
      </c>
      <c r="P2763">
        <v>0.16900000000000001</v>
      </c>
      <c r="Q2763">
        <v>0.16900000000000001</v>
      </c>
      <c r="R2763">
        <v>0.16900000000000001</v>
      </c>
      <c r="S2763">
        <v>0.16900000000000001</v>
      </c>
      <c r="T2763">
        <v>0.16900000000000001</v>
      </c>
      <c r="U2763">
        <v>0.16900000000000001</v>
      </c>
      <c r="V2763">
        <v>0.16900000000000001</v>
      </c>
      <c r="W2763">
        <v>0.16900000000000001</v>
      </c>
      <c r="X2763">
        <v>0.16900000000000001</v>
      </c>
      <c r="Y2763">
        <v>0.16900000000000001</v>
      </c>
      <c r="Z2763">
        <v>0.16900000000000001</v>
      </c>
      <c r="AA2763">
        <v>0.16900000000000001</v>
      </c>
      <c r="AB2763">
        <v>0.16900000000000001</v>
      </c>
      <c r="AC2763">
        <v>0.16900000000000001</v>
      </c>
      <c r="AD2763">
        <v>0.16900000000000001</v>
      </c>
    </row>
    <row r="2764" spans="2:30" x14ac:dyDescent="0.25">
      <c r="B2764" t="s">
        <v>133</v>
      </c>
      <c r="C2764" t="s">
        <v>3263</v>
      </c>
      <c r="D2764" t="s">
        <v>4442</v>
      </c>
      <c r="E2764" t="s">
        <v>4443</v>
      </c>
      <c r="F2764" t="s">
        <v>8622</v>
      </c>
      <c r="G2764" t="s">
        <v>3890</v>
      </c>
      <c r="H2764" t="s">
        <v>4435</v>
      </c>
      <c r="I2764" t="s">
        <v>4267</v>
      </c>
      <c r="J2764">
        <v>1</v>
      </c>
      <c r="K2764">
        <v>-6.9240000000000004</v>
      </c>
      <c r="L2764">
        <v>-5.181</v>
      </c>
      <c r="M2764">
        <v>-4.4829999999999997</v>
      </c>
      <c r="N2764">
        <v>-4.5529999999999999</v>
      </c>
      <c r="O2764">
        <v>-4.5940000000000003</v>
      </c>
      <c r="P2764">
        <v>-4.4880000000000004</v>
      </c>
      <c r="Q2764">
        <v>-4.3620000000000001</v>
      </c>
      <c r="R2764">
        <v>-4.3179999999999996</v>
      </c>
      <c r="S2764">
        <v>-4.3049999999999997</v>
      </c>
      <c r="T2764">
        <v>-4.298</v>
      </c>
      <c r="U2764">
        <v>-4.298</v>
      </c>
      <c r="V2764">
        <v>-4.298</v>
      </c>
      <c r="W2764">
        <v>-4.298</v>
      </c>
      <c r="X2764">
        <v>-4.298</v>
      </c>
      <c r="Y2764">
        <v>-4.298</v>
      </c>
      <c r="Z2764">
        <v>-4.298</v>
      </c>
      <c r="AA2764">
        <v>-4.298</v>
      </c>
      <c r="AB2764">
        <v>-4.298</v>
      </c>
      <c r="AC2764">
        <v>-4.298</v>
      </c>
      <c r="AD2764">
        <v>-4.298</v>
      </c>
    </row>
    <row r="2765" spans="2:30" x14ac:dyDescent="0.25">
      <c r="B2765" t="s">
        <v>133</v>
      </c>
      <c r="C2765" t="s">
        <v>3263</v>
      </c>
      <c r="D2765" t="s">
        <v>4445</v>
      </c>
      <c r="E2765" t="s">
        <v>4446</v>
      </c>
      <c r="F2765" t="s">
        <v>8623</v>
      </c>
      <c r="G2765" t="s">
        <v>3890</v>
      </c>
      <c r="H2765" t="s">
        <v>4435</v>
      </c>
      <c r="I2765" t="s">
        <v>4267</v>
      </c>
      <c r="J2765">
        <v>1</v>
      </c>
      <c r="K2765">
        <v>0.184</v>
      </c>
      <c r="L2765">
        <v>0.187</v>
      </c>
      <c r="M2765">
        <v>1E-3</v>
      </c>
      <c r="N2765">
        <v>1E-3</v>
      </c>
      <c r="O2765">
        <v>1E-3</v>
      </c>
      <c r="P2765">
        <v>1E-3</v>
      </c>
      <c r="Q2765">
        <v>1E-3</v>
      </c>
      <c r="R2765">
        <v>1E-3</v>
      </c>
      <c r="S2765">
        <v>1E-3</v>
      </c>
      <c r="T2765">
        <v>1E-3</v>
      </c>
      <c r="U2765">
        <v>1E-3</v>
      </c>
      <c r="V2765">
        <v>1E-3</v>
      </c>
      <c r="W2765">
        <v>1E-3</v>
      </c>
      <c r="X2765">
        <v>1E-3</v>
      </c>
      <c r="Y2765">
        <v>1E-3</v>
      </c>
      <c r="Z2765">
        <v>1E-3</v>
      </c>
      <c r="AA2765">
        <v>1E-3</v>
      </c>
      <c r="AB2765">
        <v>1E-3</v>
      </c>
      <c r="AC2765">
        <v>1E-3</v>
      </c>
      <c r="AD2765">
        <v>1E-3</v>
      </c>
    </row>
    <row r="2766" spans="2:30" x14ac:dyDescent="0.25">
      <c r="B2766" t="s">
        <v>133</v>
      </c>
      <c r="C2766" t="s">
        <v>3263</v>
      </c>
      <c r="D2766" t="s">
        <v>4448</v>
      </c>
      <c r="E2766" t="s">
        <v>4449</v>
      </c>
      <c r="F2766" t="s">
        <v>8624</v>
      </c>
      <c r="G2766" t="s">
        <v>3890</v>
      </c>
      <c r="H2766" t="s">
        <v>4435</v>
      </c>
      <c r="I2766" t="s">
        <v>4267</v>
      </c>
      <c r="J2766">
        <v>1</v>
      </c>
      <c r="K2766">
        <v>-12.263</v>
      </c>
      <c r="L2766">
        <v>-11.798999999999999</v>
      </c>
      <c r="M2766">
        <v>-12.055999999999999</v>
      </c>
      <c r="N2766">
        <v>-12.122999999999999</v>
      </c>
      <c r="O2766">
        <v>-12.162000000000001</v>
      </c>
      <c r="P2766">
        <v>-12.061</v>
      </c>
      <c r="Q2766">
        <v>-11.942</v>
      </c>
      <c r="R2766">
        <v>-11.9</v>
      </c>
      <c r="S2766">
        <v>-11.888</v>
      </c>
      <c r="T2766">
        <v>-11.881</v>
      </c>
      <c r="U2766">
        <v>-11.881</v>
      </c>
      <c r="V2766">
        <v>-11.881</v>
      </c>
      <c r="W2766">
        <v>-11.881</v>
      </c>
      <c r="X2766">
        <v>-11.881</v>
      </c>
      <c r="Y2766">
        <v>-11.881</v>
      </c>
      <c r="Z2766">
        <v>-11.881</v>
      </c>
      <c r="AA2766">
        <v>-11.881</v>
      </c>
      <c r="AB2766">
        <v>-11.881</v>
      </c>
      <c r="AC2766">
        <v>-11.881</v>
      </c>
      <c r="AD2766">
        <v>-11.881</v>
      </c>
    </row>
    <row r="2767" spans="2:30" x14ac:dyDescent="0.25">
      <c r="B2767" t="s">
        <v>133</v>
      </c>
      <c r="C2767" t="s">
        <v>3263</v>
      </c>
      <c r="D2767" t="s">
        <v>4451</v>
      </c>
      <c r="E2767" t="s">
        <v>4452</v>
      </c>
      <c r="F2767" t="s">
        <v>8625</v>
      </c>
      <c r="G2767" t="s">
        <v>3890</v>
      </c>
      <c r="H2767" t="s">
        <v>4435</v>
      </c>
      <c r="I2767" t="s">
        <v>4267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2:30" x14ac:dyDescent="0.25">
      <c r="B2768" t="s">
        <v>133</v>
      </c>
      <c r="C2768" t="s">
        <v>3263</v>
      </c>
      <c r="D2768" t="s">
        <v>4454</v>
      </c>
      <c r="E2768" t="s">
        <v>4455</v>
      </c>
      <c r="F2768" t="s">
        <v>8626</v>
      </c>
      <c r="G2768" t="s">
        <v>3890</v>
      </c>
      <c r="H2768" t="s">
        <v>4435</v>
      </c>
      <c r="I2768" t="s">
        <v>4267</v>
      </c>
      <c r="J2768">
        <v>1</v>
      </c>
      <c r="K2768">
        <v>-8.7029999999999994</v>
      </c>
      <c r="L2768">
        <v>-6.7750000000000004</v>
      </c>
      <c r="M2768">
        <v>-6.1120000000000001</v>
      </c>
      <c r="N2768">
        <v>-6.1909999999999998</v>
      </c>
      <c r="O2768">
        <v>-6.2380000000000004</v>
      </c>
      <c r="P2768">
        <v>-6.1180000000000003</v>
      </c>
      <c r="Q2768">
        <v>-5.9779999999999998</v>
      </c>
      <c r="R2768">
        <v>-5.9279999999999999</v>
      </c>
      <c r="S2768">
        <v>-5.9139999999999997</v>
      </c>
      <c r="T2768">
        <v>-5.9059999999999997</v>
      </c>
      <c r="U2768">
        <v>-5.9059999999999997</v>
      </c>
      <c r="V2768">
        <v>-5.9059999999999997</v>
      </c>
      <c r="W2768">
        <v>-5.9059999999999997</v>
      </c>
      <c r="X2768">
        <v>-5.9059999999999997</v>
      </c>
      <c r="Y2768">
        <v>-5.9059999999999997</v>
      </c>
      <c r="Z2768">
        <v>-5.9059999999999997</v>
      </c>
      <c r="AA2768">
        <v>-5.9059999999999997</v>
      </c>
      <c r="AB2768">
        <v>-5.9059999999999997</v>
      </c>
      <c r="AC2768">
        <v>-5.9059999999999997</v>
      </c>
      <c r="AD2768">
        <v>-5.9059999999999997</v>
      </c>
    </row>
    <row r="2769" spans="2:30" x14ac:dyDescent="0.25">
      <c r="B2769" t="s">
        <v>133</v>
      </c>
      <c r="C2769" t="s">
        <v>3263</v>
      </c>
      <c r="D2769" t="s">
        <v>4457</v>
      </c>
      <c r="E2769" t="s">
        <v>4458</v>
      </c>
      <c r="F2769" t="s">
        <v>8627</v>
      </c>
      <c r="G2769" t="s">
        <v>3890</v>
      </c>
      <c r="H2769" t="s">
        <v>4435</v>
      </c>
      <c r="I2769" t="s">
        <v>4274</v>
      </c>
      <c r="J2769">
        <v>1</v>
      </c>
      <c r="K2769">
        <v>-83.447000000000003</v>
      </c>
      <c r="L2769">
        <v>-68.769000000000005</v>
      </c>
      <c r="M2769">
        <v>-68.430999999999997</v>
      </c>
      <c r="N2769">
        <v>-68.430999999999997</v>
      </c>
      <c r="O2769">
        <v>-68.430999999999997</v>
      </c>
      <c r="P2769">
        <v>-68.430999999999997</v>
      </c>
      <c r="Q2769">
        <v>-68.430999999999997</v>
      </c>
      <c r="R2769">
        <v>-68.430999999999997</v>
      </c>
      <c r="S2769">
        <v>-68.430999999999997</v>
      </c>
      <c r="T2769">
        <v>-68.430999999999997</v>
      </c>
      <c r="U2769">
        <v>-68.430999999999997</v>
      </c>
      <c r="V2769">
        <v>-68.430999999999997</v>
      </c>
      <c r="W2769">
        <v>-68.430999999999997</v>
      </c>
      <c r="X2769">
        <v>-68.430999999999997</v>
      </c>
      <c r="Y2769">
        <v>-68.430999999999997</v>
      </c>
      <c r="Z2769">
        <v>-68.430999999999997</v>
      </c>
      <c r="AA2769">
        <v>-68.430999999999997</v>
      </c>
      <c r="AB2769">
        <v>-68.430999999999997</v>
      </c>
      <c r="AC2769">
        <v>-68.430999999999997</v>
      </c>
      <c r="AD2769">
        <v>-68.430999999999997</v>
      </c>
    </row>
    <row r="2770" spans="2:30" x14ac:dyDescent="0.25">
      <c r="B2770" t="s">
        <v>133</v>
      </c>
      <c r="C2770" t="s">
        <v>3263</v>
      </c>
      <c r="D2770" t="s">
        <v>4460</v>
      </c>
      <c r="E2770" t="s">
        <v>4461</v>
      </c>
      <c r="F2770" t="s">
        <v>8628</v>
      </c>
      <c r="G2770" t="s">
        <v>3890</v>
      </c>
      <c r="H2770" t="s">
        <v>4435</v>
      </c>
      <c r="I2770" t="s">
        <v>4278</v>
      </c>
      <c r="J2770">
        <v>1</v>
      </c>
      <c r="K2770">
        <v>-0.36299999999999999</v>
      </c>
      <c r="L2770">
        <v>-0.40699999999999997</v>
      </c>
      <c r="M2770">
        <v>-0.42799999999999999</v>
      </c>
      <c r="N2770">
        <v>-0.33600000000000002</v>
      </c>
      <c r="O2770">
        <v>-0.36199999999999999</v>
      </c>
      <c r="P2770">
        <v>-0.32300000000000001</v>
      </c>
      <c r="Q2770">
        <v>-0.312</v>
      </c>
      <c r="R2770">
        <v>-0.307</v>
      </c>
      <c r="S2770">
        <v>-0.30199999999999999</v>
      </c>
      <c r="T2770">
        <v>-0.29699999999999999</v>
      </c>
      <c r="U2770">
        <v>-0.29699999999999999</v>
      </c>
      <c r="V2770">
        <v>-0.29699999999999999</v>
      </c>
      <c r="W2770">
        <v>-0.29699999999999999</v>
      </c>
      <c r="X2770">
        <v>-0.29699999999999999</v>
      </c>
      <c r="Y2770">
        <v>-0.29699999999999999</v>
      </c>
      <c r="Z2770">
        <v>-0.29699999999999999</v>
      </c>
      <c r="AA2770">
        <v>-0.29699999999999999</v>
      </c>
      <c r="AB2770">
        <v>-0.29699999999999999</v>
      </c>
      <c r="AC2770">
        <v>-0.29699999999999999</v>
      </c>
      <c r="AD2770">
        <v>-0.29699999999999999</v>
      </c>
    </row>
    <row r="2771" spans="2:30" x14ac:dyDescent="0.25">
      <c r="B2771" t="s">
        <v>133</v>
      </c>
      <c r="C2771" t="s">
        <v>3263</v>
      </c>
      <c r="D2771" t="s">
        <v>4463</v>
      </c>
      <c r="E2771" t="s">
        <v>4464</v>
      </c>
      <c r="F2771" t="s">
        <v>8629</v>
      </c>
      <c r="G2771" t="s">
        <v>3890</v>
      </c>
      <c r="H2771" t="s">
        <v>4435</v>
      </c>
      <c r="I2771" t="s">
        <v>4278</v>
      </c>
      <c r="J2771">
        <v>1</v>
      </c>
      <c r="K2771">
        <v>-0.66300000000000003</v>
      </c>
      <c r="L2771">
        <v>-0.57399999999999995</v>
      </c>
      <c r="M2771">
        <v>-0.52900000000000003</v>
      </c>
      <c r="N2771">
        <v>-0.435</v>
      </c>
      <c r="O2771">
        <v>-0.46100000000000002</v>
      </c>
      <c r="P2771">
        <v>-0.42099999999999999</v>
      </c>
      <c r="Q2771">
        <v>-0.41</v>
      </c>
      <c r="R2771">
        <v>-0.40500000000000003</v>
      </c>
      <c r="S2771">
        <v>-0.4</v>
      </c>
      <c r="T2771">
        <v>-0.39500000000000002</v>
      </c>
      <c r="U2771">
        <v>-0.39500000000000002</v>
      </c>
      <c r="V2771">
        <v>-0.39500000000000002</v>
      </c>
      <c r="W2771">
        <v>-0.39500000000000002</v>
      </c>
      <c r="X2771">
        <v>-0.39500000000000002</v>
      </c>
      <c r="Y2771">
        <v>-0.39500000000000002</v>
      </c>
      <c r="Z2771">
        <v>-0.39500000000000002</v>
      </c>
      <c r="AA2771">
        <v>-0.39500000000000002</v>
      </c>
      <c r="AB2771">
        <v>-0.39500000000000002</v>
      </c>
      <c r="AC2771">
        <v>-0.39500000000000002</v>
      </c>
      <c r="AD2771">
        <v>-0.39500000000000002</v>
      </c>
    </row>
    <row r="2772" spans="2:30" x14ac:dyDescent="0.25">
      <c r="B2772" t="s">
        <v>133</v>
      </c>
      <c r="C2772" t="s">
        <v>3263</v>
      </c>
      <c r="D2772" t="s">
        <v>4466</v>
      </c>
      <c r="E2772" t="s">
        <v>4467</v>
      </c>
      <c r="F2772" t="s">
        <v>8630</v>
      </c>
      <c r="G2772" t="s">
        <v>3890</v>
      </c>
      <c r="H2772" t="s">
        <v>4435</v>
      </c>
      <c r="I2772" t="s">
        <v>4278</v>
      </c>
      <c r="J2772">
        <v>1</v>
      </c>
      <c r="K2772">
        <v>-0.496</v>
      </c>
      <c r="L2772">
        <v>-0.47599999999999998</v>
      </c>
      <c r="M2772">
        <v>-0.45500000000000002</v>
      </c>
      <c r="N2772">
        <v>-0.39400000000000002</v>
      </c>
      <c r="O2772">
        <v>-0.41099999999999998</v>
      </c>
      <c r="P2772">
        <v>-0.38600000000000001</v>
      </c>
      <c r="Q2772">
        <v>-0.379</v>
      </c>
      <c r="R2772">
        <v>-0.375</v>
      </c>
      <c r="S2772">
        <v>-0.372</v>
      </c>
      <c r="T2772">
        <v>-0.36899999999999999</v>
      </c>
      <c r="U2772">
        <v>-0.36899999999999999</v>
      </c>
      <c r="V2772">
        <v>-0.36899999999999999</v>
      </c>
      <c r="W2772">
        <v>-0.36899999999999999</v>
      </c>
      <c r="X2772">
        <v>-0.36899999999999999</v>
      </c>
      <c r="Y2772">
        <v>-0.36899999999999999</v>
      </c>
      <c r="Z2772">
        <v>-0.36899999999999999</v>
      </c>
      <c r="AA2772">
        <v>-0.36899999999999999</v>
      </c>
      <c r="AB2772">
        <v>-0.36899999999999999</v>
      </c>
      <c r="AC2772">
        <v>-0.36899999999999999</v>
      </c>
      <c r="AD2772">
        <v>-0.36899999999999999</v>
      </c>
    </row>
    <row r="2773" spans="2:30" x14ac:dyDescent="0.25">
      <c r="B2773" t="s">
        <v>133</v>
      </c>
      <c r="C2773" t="s">
        <v>3263</v>
      </c>
      <c r="D2773" t="s">
        <v>4469</v>
      </c>
      <c r="E2773" t="s">
        <v>4470</v>
      </c>
      <c r="F2773" t="s">
        <v>8631</v>
      </c>
      <c r="G2773" t="s">
        <v>3890</v>
      </c>
      <c r="H2773" t="s">
        <v>4435</v>
      </c>
      <c r="I2773" t="s">
        <v>4278</v>
      </c>
      <c r="J2773">
        <v>1</v>
      </c>
      <c r="K2773">
        <v>-0.36899999999999999</v>
      </c>
      <c r="L2773">
        <v>-0.44</v>
      </c>
      <c r="M2773">
        <v>-0.44800000000000001</v>
      </c>
      <c r="N2773">
        <v>-0.36499999999999999</v>
      </c>
      <c r="O2773">
        <v>-0.38800000000000001</v>
      </c>
      <c r="P2773">
        <v>-0.35399999999999998</v>
      </c>
      <c r="Q2773">
        <v>-0.34399999999999997</v>
      </c>
      <c r="R2773">
        <v>-0.34</v>
      </c>
      <c r="S2773">
        <v>-0.33600000000000002</v>
      </c>
      <c r="T2773">
        <v>-0.33100000000000002</v>
      </c>
      <c r="U2773">
        <v>-0.33100000000000002</v>
      </c>
      <c r="V2773">
        <v>-0.33100000000000002</v>
      </c>
      <c r="W2773">
        <v>-0.33100000000000002</v>
      </c>
      <c r="X2773">
        <v>-0.33100000000000002</v>
      </c>
      <c r="Y2773">
        <v>-0.33100000000000002</v>
      </c>
      <c r="Z2773">
        <v>-0.33100000000000002</v>
      </c>
      <c r="AA2773">
        <v>-0.33100000000000002</v>
      </c>
      <c r="AB2773">
        <v>-0.33100000000000002</v>
      </c>
      <c r="AC2773">
        <v>-0.33100000000000002</v>
      </c>
      <c r="AD2773">
        <v>-0.33100000000000002</v>
      </c>
    </row>
    <row r="2774" spans="2:30" x14ac:dyDescent="0.25">
      <c r="B2774" t="s">
        <v>133</v>
      </c>
      <c r="C2774" t="s">
        <v>3263</v>
      </c>
      <c r="D2774" t="s">
        <v>4472</v>
      </c>
      <c r="E2774" t="s">
        <v>4473</v>
      </c>
      <c r="F2774" t="s">
        <v>8632</v>
      </c>
      <c r="G2774" t="s">
        <v>4475</v>
      </c>
      <c r="H2774" t="s">
        <v>4476</v>
      </c>
      <c r="I2774" t="s">
        <v>4263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2:30" x14ac:dyDescent="0.25">
      <c r="B2775" t="s">
        <v>133</v>
      </c>
      <c r="C2775" t="s">
        <v>3263</v>
      </c>
      <c r="D2775" t="s">
        <v>4477</v>
      </c>
      <c r="E2775" t="s">
        <v>4478</v>
      </c>
      <c r="F2775" t="s">
        <v>8633</v>
      </c>
      <c r="G2775" t="s">
        <v>3890</v>
      </c>
      <c r="H2775" t="s">
        <v>4476</v>
      </c>
      <c r="I2775" t="s">
        <v>4263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2:30" x14ac:dyDescent="0.25">
      <c r="B2776" t="s">
        <v>133</v>
      </c>
      <c r="C2776" t="s">
        <v>3263</v>
      </c>
      <c r="D2776" t="s">
        <v>4480</v>
      </c>
      <c r="E2776" t="s">
        <v>4481</v>
      </c>
      <c r="F2776" t="s">
        <v>8634</v>
      </c>
      <c r="G2776" t="s">
        <v>3890</v>
      </c>
      <c r="H2776" t="s">
        <v>4476</v>
      </c>
      <c r="I2776" t="s">
        <v>4267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2:30" x14ac:dyDescent="0.25">
      <c r="B2777" t="s">
        <v>133</v>
      </c>
      <c r="C2777" t="s">
        <v>3263</v>
      </c>
      <c r="D2777" t="s">
        <v>4483</v>
      </c>
      <c r="E2777" t="s">
        <v>4484</v>
      </c>
      <c r="F2777" t="s">
        <v>8635</v>
      </c>
      <c r="G2777" t="s">
        <v>3890</v>
      </c>
      <c r="H2777" t="s">
        <v>4476</v>
      </c>
      <c r="I2777" t="s">
        <v>4267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2:30" x14ac:dyDescent="0.25">
      <c r="B2778" t="s">
        <v>133</v>
      </c>
      <c r="C2778" t="s">
        <v>3263</v>
      </c>
      <c r="D2778" t="s">
        <v>4486</v>
      </c>
      <c r="E2778" t="s">
        <v>4487</v>
      </c>
      <c r="F2778" t="s">
        <v>8636</v>
      </c>
      <c r="G2778" t="s">
        <v>3890</v>
      </c>
      <c r="H2778" t="s">
        <v>4476</v>
      </c>
      <c r="I2778" t="s">
        <v>4267</v>
      </c>
      <c r="J2778">
        <v>1</v>
      </c>
      <c r="K2778">
        <v>2.8740000000000001</v>
      </c>
      <c r="L2778">
        <v>1.948</v>
      </c>
      <c r="M2778">
        <v>1.8109999999999999</v>
      </c>
      <c r="N2778">
        <v>1.677</v>
      </c>
      <c r="O2778">
        <v>1.68</v>
      </c>
      <c r="P2778">
        <v>1.6910000000000001</v>
      </c>
      <c r="Q2778">
        <v>1.6859999999999999</v>
      </c>
      <c r="R2778">
        <v>1.68</v>
      </c>
      <c r="S2778">
        <v>1.675</v>
      </c>
      <c r="T2778">
        <v>1.669</v>
      </c>
      <c r="U2778">
        <v>1.669</v>
      </c>
      <c r="V2778">
        <v>1.669</v>
      </c>
      <c r="W2778">
        <v>1.669</v>
      </c>
      <c r="X2778">
        <v>1.669</v>
      </c>
      <c r="Y2778">
        <v>1.669</v>
      </c>
      <c r="Z2778">
        <v>1.669</v>
      </c>
      <c r="AA2778">
        <v>1.669</v>
      </c>
      <c r="AB2778">
        <v>1.669</v>
      </c>
      <c r="AC2778">
        <v>1.669</v>
      </c>
      <c r="AD2778">
        <v>1.669</v>
      </c>
    </row>
    <row r="2779" spans="2:30" x14ac:dyDescent="0.25">
      <c r="B2779" t="s">
        <v>133</v>
      </c>
      <c r="C2779" t="s">
        <v>3263</v>
      </c>
      <c r="D2779" t="s">
        <v>4489</v>
      </c>
      <c r="E2779" t="s">
        <v>4490</v>
      </c>
      <c r="F2779" t="s">
        <v>8637</v>
      </c>
      <c r="G2779" t="s">
        <v>3890</v>
      </c>
      <c r="H2779" t="s">
        <v>4476</v>
      </c>
      <c r="I2779" t="s">
        <v>4267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2:30" x14ac:dyDescent="0.25">
      <c r="B2780" t="s">
        <v>133</v>
      </c>
      <c r="C2780" t="s">
        <v>3263</v>
      </c>
      <c r="D2780" t="s">
        <v>4492</v>
      </c>
      <c r="E2780" t="s">
        <v>4493</v>
      </c>
      <c r="F2780" t="s">
        <v>8638</v>
      </c>
      <c r="G2780" t="s">
        <v>3890</v>
      </c>
      <c r="H2780" t="s">
        <v>4476</v>
      </c>
      <c r="I2780" t="s">
        <v>4267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2:30" x14ac:dyDescent="0.25">
      <c r="B2781" t="s">
        <v>133</v>
      </c>
      <c r="C2781" t="s">
        <v>3263</v>
      </c>
      <c r="D2781" t="s">
        <v>4495</v>
      </c>
      <c r="E2781" t="s">
        <v>4496</v>
      </c>
      <c r="F2781" t="s">
        <v>8639</v>
      </c>
      <c r="G2781" t="s">
        <v>3890</v>
      </c>
      <c r="H2781" t="s">
        <v>4476</v>
      </c>
      <c r="I2781" t="s">
        <v>4267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2:30" x14ac:dyDescent="0.25">
      <c r="B2782" t="s">
        <v>133</v>
      </c>
      <c r="C2782" t="s">
        <v>3263</v>
      </c>
      <c r="D2782" t="s">
        <v>4498</v>
      </c>
      <c r="E2782" t="s">
        <v>4499</v>
      </c>
      <c r="F2782" t="s">
        <v>8640</v>
      </c>
      <c r="G2782" t="s">
        <v>3890</v>
      </c>
      <c r="H2782" t="s">
        <v>4476</v>
      </c>
      <c r="I2782" t="s">
        <v>4274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2:30" x14ac:dyDescent="0.25">
      <c r="B2783" t="s">
        <v>133</v>
      </c>
      <c r="C2783" t="s">
        <v>3263</v>
      </c>
      <c r="D2783" t="s">
        <v>4501</v>
      </c>
      <c r="E2783" t="s">
        <v>4502</v>
      </c>
      <c r="F2783" t="s">
        <v>8641</v>
      </c>
      <c r="G2783" t="s">
        <v>3890</v>
      </c>
      <c r="H2783" t="s">
        <v>4476</v>
      </c>
      <c r="I2783" t="s">
        <v>4278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2:30" x14ac:dyDescent="0.25">
      <c r="B2784" t="s">
        <v>133</v>
      </c>
      <c r="C2784" t="s">
        <v>3263</v>
      </c>
      <c r="D2784" t="s">
        <v>4504</v>
      </c>
      <c r="E2784" t="s">
        <v>4505</v>
      </c>
      <c r="F2784" t="s">
        <v>8642</v>
      </c>
      <c r="G2784" t="s">
        <v>3890</v>
      </c>
      <c r="H2784" t="s">
        <v>4476</v>
      </c>
      <c r="I2784" t="s">
        <v>4278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2:30" x14ac:dyDescent="0.25">
      <c r="B2785" t="s">
        <v>133</v>
      </c>
      <c r="C2785" t="s">
        <v>3263</v>
      </c>
      <c r="D2785" t="s">
        <v>4507</v>
      </c>
      <c r="E2785" t="s">
        <v>4508</v>
      </c>
      <c r="F2785" t="s">
        <v>8643</v>
      </c>
      <c r="G2785" t="s">
        <v>3890</v>
      </c>
      <c r="H2785" t="s">
        <v>4476</v>
      </c>
      <c r="I2785" t="s">
        <v>4278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2:30" x14ac:dyDescent="0.25">
      <c r="B2786" t="s">
        <v>133</v>
      </c>
      <c r="C2786" t="s">
        <v>3263</v>
      </c>
      <c r="D2786" t="s">
        <v>4510</v>
      </c>
      <c r="E2786" t="s">
        <v>4511</v>
      </c>
      <c r="F2786" t="s">
        <v>8644</v>
      </c>
      <c r="G2786" t="s">
        <v>3890</v>
      </c>
      <c r="H2786" t="s">
        <v>4476</v>
      </c>
      <c r="I2786" t="s">
        <v>4278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2:30" x14ac:dyDescent="0.25">
      <c r="B2787" t="s">
        <v>133</v>
      </c>
      <c r="C2787" t="s">
        <v>3263</v>
      </c>
      <c r="D2787" t="s">
        <v>4513</v>
      </c>
      <c r="E2787" t="s">
        <v>4514</v>
      </c>
      <c r="F2787" t="s">
        <v>8645</v>
      </c>
      <c r="G2787" t="s">
        <v>3890</v>
      </c>
      <c r="H2787" t="s">
        <v>4476</v>
      </c>
      <c r="I2787" t="s">
        <v>4263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2:30" x14ac:dyDescent="0.25">
      <c r="B2788" t="s">
        <v>133</v>
      </c>
      <c r="C2788" t="s">
        <v>3263</v>
      </c>
      <c r="D2788" t="s">
        <v>4516</v>
      </c>
      <c r="E2788" t="s">
        <v>4517</v>
      </c>
      <c r="F2788" t="s">
        <v>8646</v>
      </c>
      <c r="G2788" t="s">
        <v>3890</v>
      </c>
      <c r="H2788" t="s">
        <v>4476</v>
      </c>
      <c r="I2788" t="s">
        <v>4263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2:30" x14ac:dyDescent="0.25">
      <c r="B2789" t="s">
        <v>133</v>
      </c>
      <c r="C2789" t="s">
        <v>3263</v>
      </c>
      <c r="D2789" t="s">
        <v>4519</v>
      </c>
      <c r="E2789" t="s">
        <v>4520</v>
      </c>
      <c r="F2789" t="s">
        <v>8647</v>
      </c>
      <c r="G2789" t="s">
        <v>3890</v>
      </c>
      <c r="H2789" t="s">
        <v>4476</v>
      </c>
      <c r="I2789" t="s">
        <v>4267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2:30" x14ac:dyDescent="0.25">
      <c r="B2790" t="s">
        <v>133</v>
      </c>
      <c r="C2790" t="s">
        <v>3263</v>
      </c>
      <c r="D2790" t="s">
        <v>4522</v>
      </c>
      <c r="E2790" t="s">
        <v>4523</v>
      </c>
      <c r="F2790" t="s">
        <v>8648</v>
      </c>
      <c r="G2790" t="s">
        <v>3890</v>
      </c>
      <c r="H2790" t="s">
        <v>4476</v>
      </c>
      <c r="I2790" t="s">
        <v>4267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2:30" x14ac:dyDescent="0.25">
      <c r="B2791" t="s">
        <v>133</v>
      </c>
      <c r="C2791" t="s">
        <v>3263</v>
      </c>
      <c r="D2791" t="s">
        <v>4525</v>
      </c>
      <c r="E2791" t="s">
        <v>4526</v>
      </c>
      <c r="F2791" t="s">
        <v>8649</v>
      </c>
      <c r="G2791" t="s">
        <v>3890</v>
      </c>
      <c r="H2791" t="s">
        <v>4476</v>
      </c>
      <c r="I2791" t="s">
        <v>4267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2:30" x14ac:dyDescent="0.25">
      <c r="B2792" t="s">
        <v>133</v>
      </c>
      <c r="C2792" t="s">
        <v>3263</v>
      </c>
      <c r="D2792" t="s">
        <v>4528</v>
      </c>
      <c r="E2792" t="s">
        <v>4529</v>
      </c>
      <c r="F2792" t="s">
        <v>8650</v>
      </c>
      <c r="G2792" t="s">
        <v>3890</v>
      </c>
      <c r="H2792" t="s">
        <v>4476</v>
      </c>
      <c r="I2792" t="s">
        <v>4267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2:30" x14ac:dyDescent="0.25">
      <c r="B2793" t="s">
        <v>133</v>
      </c>
      <c r="C2793" t="s">
        <v>3263</v>
      </c>
      <c r="D2793" t="s">
        <v>4531</v>
      </c>
      <c r="E2793" t="s">
        <v>4532</v>
      </c>
      <c r="F2793" t="s">
        <v>8651</v>
      </c>
      <c r="G2793" t="s">
        <v>3890</v>
      </c>
      <c r="H2793" t="s">
        <v>4476</v>
      </c>
      <c r="I2793" t="s">
        <v>4267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2:30" x14ac:dyDescent="0.25">
      <c r="B2794" t="s">
        <v>133</v>
      </c>
      <c r="C2794" t="s">
        <v>3263</v>
      </c>
      <c r="D2794" t="s">
        <v>4534</v>
      </c>
      <c r="E2794" t="s">
        <v>4535</v>
      </c>
      <c r="F2794" t="s">
        <v>8652</v>
      </c>
      <c r="G2794" t="s">
        <v>3890</v>
      </c>
      <c r="H2794" t="s">
        <v>4476</v>
      </c>
      <c r="I2794" t="s">
        <v>4267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2:30" x14ac:dyDescent="0.25">
      <c r="B2795" t="s">
        <v>133</v>
      </c>
      <c r="C2795" t="s">
        <v>3263</v>
      </c>
      <c r="D2795" t="s">
        <v>4537</v>
      </c>
      <c r="E2795" t="s">
        <v>4538</v>
      </c>
      <c r="F2795" t="s">
        <v>8653</v>
      </c>
      <c r="G2795" t="s">
        <v>3890</v>
      </c>
      <c r="H2795" t="s">
        <v>4476</v>
      </c>
      <c r="I2795" t="s">
        <v>4274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2:30" x14ac:dyDescent="0.25">
      <c r="B2796" t="s">
        <v>133</v>
      </c>
      <c r="C2796" t="s">
        <v>3263</v>
      </c>
      <c r="D2796" t="s">
        <v>4540</v>
      </c>
      <c r="E2796" t="s">
        <v>4541</v>
      </c>
      <c r="F2796" t="s">
        <v>8654</v>
      </c>
      <c r="G2796" t="s">
        <v>3890</v>
      </c>
      <c r="H2796" t="s">
        <v>4476</v>
      </c>
      <c r="I2796" t="s">
        <v>4278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2:30" x14ac:dyDescent="0.25">
      <c r="B2797" t="s">
        <v>133</v>
      </c>
      <c r="C2797" t="s">
        <v>3263</v>
      </c>
      <c r="D2797" t="s">
        <v>4543</v>
      </c>
      <c r="E2797" t="s">
        <v>4544</v>
      </c>
      <c r="F2797" t="s">
        <v>8655</v>
      </c>
      <c r="G2797" t="s">
        <v>3890</v>
      </c>
      <c r="H2797" t="s">
        <v>4476</v>
      </c>
      <c r="I2797" t="s">
        <v>4278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2:30" x14ac:dyDescent="0.25">
      <c r="B2798" t="s">
        <v>133</v>
      </c>
      <c r="C2798" t="s">
        <v>3263</v>
      </c>
      <c r="D2798" t="s">
        <v>4546</v>
      </c>
      <c r="E2798" t="s">
        <v>4547</v>
      </c>
      <c r="F2798" t="s">
        <v>8656</v>
      </c>
      <c r="G2798" t="s">
        <v>3890</v>
      </c>
      <c r="H2798" t="s">
        <v>4476</v>
      </c>
      <c r="I2798" t="s">
        <v>4278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2:30" x14ac:dyDescent="0.25">
      <c r="B2799" t="s">
        <v>133</v>
      </c>
      <c r="C2799" t="s">
        <v>3263</v>
      </c>
      <c r="D2799" t="s">
        <v>4549</v>
      </c>
      <c r="E2799" t="s">
        <v>4550</v>
      </c>
      <c r="F2799" t="s">
        <v>8657</v>
      </c>
      <c r="G2799" t="s">
        <v>3890</v>
      </c>
      <c r="H2799" t="s">
        <v>4476</v>
      </c>
      <c r="I2799" t="s">
        <v>4278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2:30" x14ac:dyDescent="0.25">
      <c r="B2800" t="s">
        <v>133</v>
      </c>
      <c r="C2800" t="s">
        <v>3263</v>
      </c>
      <c r="D2800" t="s">
        <v>4552</v>
      </c>
      <c r="E2800" t="s">
        <v>4553</v>
      </c>
      <c r="F2800" t="s">
        <v>8658</v>
      </c>
      <c r="G2800" t="s">
        <v>3890</v>
      </c>
      <c r="H2800" t="s">
        <v>4555</v>
      </c>
      <c r="I2800" t="s">
        <v>4263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2:30" x14ac:dyDescent="0.25">
      <c r="B2801" t="s">
        <v>133</v>
      </c>
      <c r="C2801" t="s">
        <v>3263</v>
      </c>
      <c r="D2801" t="s">
        <v>4556</v>
      </c>
      <c r="E2801" t="s">
        <v>4557</v>
      </c>
      <c r="F2801" t="s">
        <v>8659</v>
      </c>
      <c r="G2801" t="s">
        <v>3890</v>
      </c>
      <c r="H2801" t="s">
        <v>4555</v>
      </c>
      <c r="I2801" t="s">
        <v>4263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2:30" x14ac:dyDescent="0.25">
      <c r="B2802" t="s">
        <v>133</v>
      </c>
      <c r="C2802" t="s">
        <v>3263</v>
      </c>
      <c r="D2802" t="s">
        <v>4559</v>
      </c>
      <c r="E2802" t="s">
        <v>4560</v>
      </c>
      <c r="F2802" t="s">
        <v>8660</v>
      </c>
      <c r="G2802" t="s">
        <v>3890</v>
      </c>
      <c r="H2802" t="s">
        <v>4555</v>
      </c>
      <c r="I2802" t="s">
        <v>4267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2:30" x14ac:dyDescent="0.25">
      <c r="B2803" t="s">
        <v>133</v>
      </c>
      <c r="C2803" t="s">
        <v>3263</v>
      </c>
      <c r="D2803" t="s">
        <v>4562</v>
      </c>
      <c r="E2803" t="s">
        <v>4563</v>
      </c>
      <c r="F2803" t="s">
        <v>8661</v>
      </c>
      <c r="G2803" t="s">
        <v>3890</v>
      </c>
      <c r="H2803" t="s">
        <v>4555</v>
      </c>
      <c r="I2803" t="s">
        <v>4267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2:30" x14ac:dyDescent="0.25">
      <c r="B2804" t="s">
        <v>133</v>
      </c>
      <c r="C2804" t="s">
        <v>3263</v>
      </c>
      <c r="D2804" t="s">
        <v>4565</v>
      </c>
      <c r="E2804" t="s">
        <v>4566</v>
      </c>
      <c r="F2804" t="s">
        <v>8662</v>
      </c>
      <c r="G2804" t="s">
        <v>3890</v>
      </c>
      <c r="H2804" t="s">
        <v>4555</v>
      </c>
      <c r="I2804" t="s">
        <v>4267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</row>
    <row r="2805" spans="2:30" x14ac:dyDescent="0.25">
      <c r="B2805" t="s">
        <v>133</v>
      </c>
      <c r="C2805" t="s">
        <v>3263</v>
      </c>
      <c r="D2805" t="s">
        <v>4568</v>
      </c>
      <c r="E2805" t="s">
        <v>4569</v>
      </c>
      <c r="F2805" t="s">
        <v>8663</v>
      </c>
      <c r="G2805" t="s">
        <v>3890</v>
      </c>
      <c r="H2805" t="s">
        <v>4555</v>
      </c>
      <c r="I2805" t="s">
        <v>4267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2:30" x14ac:dyDescent="0.25">
      <c r="B2806" t="s">
        <v>133</v>
      </c>
      <c r="C2806" t="s">
        <v>3263</v>
      </c>
      <c r="D2806" t="s">
        <v>4571</v>
      </c>
      <c r="E2806" t="s">
        <v>4572</v>
      </c>
      <c r="F2806" t="s">
        <v>8664</v>
      </c>
      <c r="G2806" t="s">
        <v>3890</v>
      </c>
      <c r="H2806" t="s">
        <v>4555</v>
      </c>
      <c r="I2806" t="s">
        <v>4267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2:30" x14ac:dyDescent="0.25">
      <c r="B2807" t="s">
        <v>133</v>
      </c>
      <c r="C2807" t="s">
        <v>3263</v>
      </c>
      <c r="D2807" t="s">
        <v>4574</v>
      </c>
      <c r="E2807" t="s">
        <v>4575</v>
      </c>
      <c r="F2807" t="s">
        <v>8665</v>
      </c>
      <c r="G2807" t="s">
        <v>3890</v>
      </c>
      <c r="H2807" t="s">
        <v>4555</v>
      </c>
      <c r="I2807" t="s">
        <v>4267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2:30" x14ac:dyDescent="0.25">
      <c r="B2808" t="s">
        <v>133</v>
      </c>
      <c r="C2808" t="s">
        <v>3263</v>
      </c>
      <c r="D2808" t="s">
        <v>4577</v>
      </c>
      <c r="E2808" t="s">
        <v>4578</v>
      </c>
      <c r="F2808" t="s">
        <v>8666</v>
      </c>
      <c r="G2808" t="s">
        <v>3890</v>
      </c>
      <c r="H2808" t="s">
        <v>4555</v>
      </c>
      <c r="I2808" t="s">
        <v>4274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2:30" x14ac:dyDescent="0.25">
      <c r="B2809" t="s">
        <v>133</v>
      </c>
      <c r="C2809" t="s">
        <v>3263</v>
      </c>
      <c r="D2809" t="s">
        <v>4580</v>
      </c>
      <c r="E2809" t="s">
        <v>4581</v>
      </c>
      <c r="F2809" t="s">
        <v>8667</v>
      </c>
      <c r="G2809" t="s">
        <v>3890</v>
      </c>
      <c r="H2809" t="s">
        <v>4555</v>
      </c>
      <c r="I2809" t="s">
        <v>4278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2:30" x14ac:dyDescent="0.25">
      <c r="B2810" t="s">
        <v>133</v>
      </c>
      <c r="C2810" t="s">
        <v>3263</v>
      </c>
      <c r="D2810" t="s">
        <v>4583</v>
      </c>
      <c r="E2810" t="s">
        <v>4584</v>
      </c>
      <c r="F2810" t="s">
        <v>8668</v>
      </c>
      <c r="G2810" t="s">
        <v>3890</v>
      </c>
      <c r="H2810" t="s">
        <v>4555</v>
      </c>
      <c r="I2810" t="s">
        <v>4278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2:30" x14ac:dyDescent="0.25">
      <c r="B2811" t="s">
        <v>133</v>
      </c>
      <c r="C2811" t="s">
        <v>3263</v>
      </c>
      <c r="D2811" t="s">
        <v>4586</v>
      </c>
      <c r="E2811" t="s">
        <v>4587</v>
      </c>
      <c r="F2811" t="s">
        <v>8669</v>
      </c>
      <c r="G2811" t="s">
        <v>3890</v>
      </c>
      <c r="H2811" t="s">
        <v>4555</v>
      </c>
      <c r="I2811" t="s">
        <v>4278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2:30" x14ac:dyDescent="0.25">
      <c r="B2812" t="s">
        <v>133</v>
      </c>
      <c r="C2812" t="s">
        <v>3263</v>
      </c>
      <c r="D2812" t="s">
        <v>4589</v>
      </c>
      <c r="E2812" t="s">
        <v>4590</v>
      </c>
      <c r="F2812" t="s">
        <v>8670</v>
      </c>
      <c r="G2812" t="s">
        <v>3890</v>
      </c>
      <c r="H2812" t="s">
        <v>4555</v>
      </c>
      <c r="I2812" t="s">
        <v>4278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2:30" x14ac:dyDescent="0.25">
      <c r="B2813" t="s">
        <v>133</v>
      </c>
      <c r="C2813" t="s">
        <v>3263</v>
      </c>
      <c r="D2813" t="s">
        <v>4592</v>
      </c>
      <c r="E2813" t="s">
        <v>4593</v>
      </c>
      <c r="F2813" t="s">
        <v>8671</v>
      </c>
      <c r="G2813" t="s">
        <v>3890</v>
      </c>
      <c r="H2813" t="s">
        <v>4595</v>
      </c>
      <c r="I2813" t="s">
        <v>4596</v>
      </c>
      <c r="J2813">
        <v>1</v>
      </c>
      <c r="K2813">
        <v>3.4550000000000001</v>
      </c>
      <c r="L2813">
        <v>2.194</v>
      </c>
      <c r="M2813">
        <v>1.6850000000000001</v>
      </c>
      <c r="N2813">
        <v>1.6850000000000001</v>
      </c>
      <c r="O2813">
        <v>1.6850000000000001</v>
      </c>
      <c r="P2813">
        <v>1.6850000000000001</v>
      </c>
      <c r="Q2813">
        <v>1.6850000000000001</v>
      </c>
      <c r="R2813">
        <v>1.6850000000000001</v>
      </c>
      <c r="S2813">
        <v>1.6850000000000001</v>
      </c>
      <c r="T2813">
        <v>1.6850000000000001</v>
      </c>
      <c r="U2813">
        <v>1.6850000000000001</v>
      </c>
      <c r="V2813">
        <v>1.6850000000000001</v>
      </c>
      <c r="W2813">
        <v>1.6850000000000001</v>
      </c>
      <c r="X2813">
        <v>1.6850000000000001</v>
      </c>
      <c r="Y2813">
        <v>1.6850000000000001</v>
      </c>
      <c r="Z2813">
        <v>1.6850000000000001</v>
      </c>
      <c r="AA2813">
        <v>1.6850000000000001</v>
      </c>
      <c r="AB2813">
        <v>1.6850000000000001</v>
      </c>
      <c r="AC2813">
        <v>1.6850000000000001</v>
      </c>
      <c r="AD2813">
        <v>1.6850000000000001</v>
      </c>
    </row>
    <row r="2814" spans="2:30" x14ac:dyDescent="0.25">
      <c r="B2814" t="s">
        <v>133</v>
      </c>
      <c r="C2814" t="s">
        <v>3263</v>
      </c>
      <c r="D2814" t="s">
        <v>4597</v>
      </c>
      <c r="E2814" t="s">
        <v>4598</v>
      </c>
      <c r="F2814" t="s">
        <v>8672</v>
      </c>
      <c r="G2814" t="s">
        <v>3890</v>
      </c>
      <c r="H2814" t="s">
        <v>4595</v>
      </c>
      <c r="I2814" t="s">
        <v>4596</v>
      </c>
      <c r="J2814">
        <v>1</v>
      </c>
      <c r="K2814">
        <v>-152.46100000000001</v>
      </c>
      <c r="L2814">
        <v>-120.94499999999999</v>
      </c>
      <c r="M2814">
        <v>-111.26300000000001</v>
      </c>
      <c r="N2814">
        <v>-112.407</v>
      </c>
      <c r="O2814">
        <v>-113.029</v>
      </c>
      <c r="P2814">
        <v>-110.715</v>
      </c>
      <c r="Q2814">
        <v>-107.973</v>
      </c>
      <c r="R2814">
        <v>-106.822</v>
      </c>
      <c r="S2814">
        <v>-106.319</v>
      </c>
      <c r="T2814">
        <v>-105.929</v>
      </c>
      <c r="U2814">
        <v>-105.684</v>
      </c>
      <c r="V2814">
        <v>-105.44499999999999</v>
      </c>
      <c r="W2814">
        <v>-105.214</v>
      </c>
      <c r="X2814">
        <v>-104.99299999999999</v>
      </c>
      <c r="Y2814">
        <v>-104.78400000000001</v>
      </c>
      <c r="Z2814">
        <v>-104.587</v>
      </c>
      <c r="AA2814">
        <v>-104.405</v>
      </c>
      <c r="AB2814">
        <v>-104.241</v>
      </c>
      <c r="AC2814">
        <v>-104.095</v>
      </c>
      <c r="AD2814">
        <v>-103.959</v>
      </c>
    </row>
    <row r="2815" spans="2:30" x14ac:dyDescent="0.25">
      <c r="B2815" t="s">
        <v>133</v>
      </c>
      <c r="C2815" t="s">
        <v>3263</v>
      </c>
      <c r="D2815" t="s">
        <v>4600</v>
      </c>
      <c r="E2815" t="s">
        <v>4601</v>
      </c>
      <c r="F2815" t="s">
        <v>8673</v>
      </c>
      <c r="G2815" t="s">
        <v>3890</v>
      </c>
      <c r="H2815" t="s">
        <v>4595</v>
      </c>
      <c r="I2815" t="s">
        <v>4596</v>
      </c>
      <c r="J2815">
        <v>1</v>
      </c>
      <c r="K2815">
        <v>-214.952</v>
      </c>
      <c r="L2815">
        <v>-225.435</v>
      </c>
      <c r="M2815">
        <v>-231.316</v>
      </c>
      <c r="N2815">
        <v>-185.77</v>
      </c>
      <c r="O2815">
        <v>-198.422</v>
      </c>
      <c r="P2815">
        <v>-179.35</v>
      </c>
      <c r="Q2815">
        <v>-174.102</v>
      </c>
      <c r="R2815">
        <v>-171.45699999999999</v>
      </c>
      <c r="S2815">
        <v>-169.14400000000001</v>
      </c>
      <c r="T2815">
        <v>-166.631</v>
      </c>
      <c r="U2815">
        <v>-166.631</v>
      </c>
      <c r="V2815">
        <v>-166.631</v>
      </c>
      <c r="W2815">
        <v>-166.631</v>
      </c>
      <c r="X2815">
        <v>-166.631</v>
      </c>
      <c r="Y2815">
        <v>-166.631</v>
      </c>
      <c r="Z2815">
        <v>-166.631</v>
      </c>
      <c r="AA2815">
        <v>-166.631</v>
      </c>
      <c r="AB2815">
        <v>-166.631</v>
      </c>
      <c r="AC2815">
        <v>-166.631</v>
      </c>
      <c r="AD2815">
        <v>-166.631</v>
      </c>
    </row>
    <row r="2816" spans="2:30" x14ac:dyDescent="0.25">
      <c r="B2816" t="s">
        <v>133</v>
      </c>
      <c r="C2816" t="s">
        <v>3263</v>
      </c>
      <c r="D2816" t="s">
        <v>4603</v>
      </c>
      <c r="E2816" t="s">
        <v>4604</v>
      </c>
      <c r="F2816" t="s">
        <v>8674</v>
      </c>
      <c r="G2816" t="s">
        <v>3890</v>
      </c>
      <c r="H2816" t="s">
        <v>4595</v>
      </c>
      <c r="I2816" t="s">
        <v>4596</v>
      </c>
      <c r="J2816">
        <v>1</v>
      </c>
      <c r="K2816">
        <v>-252.76300000000001</v>
      </c>
      <c r="L2816">
        <v>-218.88200000000001</v>
      </c>
      <c r="M2816">
        <v>-201.67699999999999</v>
      </c>
      <c r="N2816">
        <v>-165.696</v>
      </c>
      <c r="O2816">
        <v>-175.69200000000001</v>
      </c>
      <c r="P2816">
        <v>-160.624</v>
      </c>
      <c r="Q2816">
        <v>-156.47900000000001</v>
      </c>
      <c r="R2816">
        <v>-154.38900000000001</v>
      </c>
      <c r="S2816">
        <v>-152.56200000000001</v>
      </c>
      <c r="T2816">
        <v>-150.577</v>
      </c>
      <c r="U2816">
        <v>-150.577</v>
      </c>
      <c r="V2816">
        <v>-150.577</v>
      </c>
      <c r="W2816">
        <v>-150.577</v>
      </c>
      <c r="X2816">
        <v>-150.577</v>
      </c>
      <c r="Y2816">
        <v>-150.577</v>
      </c>
      <c r="Z2816">
        <v>-150.577</v>
      </c>
      <c r="AA2816">
        <v>-150.577</v>
      </c>
      <c r="AB2816">
        <v>-150.577</v>
      </c>
      <c r="AC2816">
        <v>-150.577</v>
      </c>
      <c r="AD2816">
        <v>-150.577</v>
      </c>
    </row>
    <row r="2817" spans="2:30" x14ac:dyDescent="0.25">
      <c r="B2817" t="s">
        <v>133</v>
      </c>
      <c r="C2817" t="s">
        <v>3263</v>
      </c>
      <c r="D2817" t="s">
        <v>4606</v>
      </c>
      <c r="E2817" t="s">
        <v>4607</v>
      </c>
      <c r="F2817" t="s">
        <v>8675</v>
      </c>
      <c r="G2817" t="s">
        <v>3890</v>
      </c>
      <c r="H2817" t="s">
        <v>4595</v>
      </c>
      <c r="I2817" t="s">
        <v>4596</v>
      </c>
      <c r="J2817">
        <v>1</v>
      </c>
      <c r="K2817">
        <v>-333.09699999999998</v>
      </c>
      <c r="L2817">
        <v>-314.64999999999998</v>
      </c>
      <c r="M2817">
        <v>-300.01</v>
      </c>
      <c r="N2817">
        <v>-260.95699999999999</v>
      </c>
      <c r="O2817">
        <v>-271.80599999999998</v>
      </c>
      <c r="P2817">
        <v>-255.452</v>
      </c>
      <c r="Q2817">
        <v>-250.953</v>
      </c>
      <c r="R2817">
        <v>-248.685</v>
      </c>
      <c r="S2817">
        <v>-246.702</v>
      </c>
      <c r="T2817">
        <v>-244.547</v>
      </c>
      <c r="U2817">
        <v>-244.547</v>
      </c>
      <c r="V2817">
        <v>-244.547</v>
      </c>
      <c r="W2817">
        <v>-244.547</v>
      </c>
      <c r="X2817">
        <v>-244.547</v>
      </c>
      <c r="Y2817">
        <v>-244.547</v>
      </c>
      <c r="Z2817">
        <v>-244.547</v>
      </c>
      <c r="AA2817">
        <v>-244.547</v>
      </c>
      <c r="AB2817">
        <v>-244.547</v>
      </c>
      <c r="AC2817">
        <v>-244.547</v>
      </c>
      <c r="AD2817">
        <v>-244.547</v>
      </c>
    </row>
    <row r="2818" spans="2:30" x14ac:dyDescent="0.25">
      <c r="B2818" t="s">
        <v>133</v>
      </c>
      <c r="C2818" t="s">
        <v>3263</v>
      </c>
      <c r="D2818" t="s">
        <v>4609</v>
      </c>
      <c r="E2818" t="s">
        <v>4610</v>
      </c>
      <c r="F2818" t="s">
        <v>8676</v>
      </c>
      <c r="G2818" t="s">
        <v>3890</v>
      </c>
      <c r="H2818" t="s">
        <v>4595</v>
      </c>
      <c r="I2818" t="s">
        <v>4596</v>
      </c>
      <c r="J2818">
        <v>1</v>
      </c>
      <c r="K2818">
        <v>-161.07599999999999</v>
      </c>
      <c r="L2818">
        <v>-186.827</v>
      </c>
      <c r="M2818">
        <v>-189.61500000000001</v>
      </c>
      <c r="N2818">
        <v>-155.803</v>
      </c>
      <c r="O2818">
        <v>-165.196</v>
      </c>
      <c r="P2818">
        <v>-151.03700000000001</v>
      </c>
      <c r="Q2818">
        <v>-147.14099999999999</v>
      </c>
      <c r="R2818">
        <v>-145.178</v>
      </c>
      <c r="S2818">
        <v>-143.46100000000001</v>
      </c>
      <c r="T2818">
        <v>-141.595</v>
      </c>
      <c r="U2818">
        <v>-141.595</v>
      </c>
      <c r="V2818">
        <v>-141.595</v>
      </c>
      <c r="W2818">
        <v>-141.595</v>
      </c>
      <c r="X2818">
        <v>-141.595</v>
      </c>
      <c r="Y2818">
        <v>-141.595</v>
      </c>
      <c r="Z2818">
        <v>-141.595</v>
      </c>
      <c r="AA2818">
        <v>-141.595</v>
      </c>
      <c r="AB2818">
        <v>-141.595</v>
      </c>
      <c r="AC2818">
        <v>-141.595</v>
      </c>
      <c r="AD2818">
        <v>-141.595</v>
      </c>
    </row>
    <row r="2819" spans="2:30" x14ac:dyDescent="0.25">
      <c r="B2819" t="s">
        <v>133</v>
      </c>
      <c r="C2819" t="s">
        <v>3263</v>
      </c>
      <c r="D2819" t="s">
        <v>4612</v>
      </c>
      <c r="E2819" t="s">
        <v>4613</v>
      </c>
      <c r="F2819" t="s">
        <v>8677</v>
      </c>
      <c r="G2819" t="s">
        <v>3890</v>
      </c>
      <c r="H2819" t="s">
        <v>4595</v>
      </c>
      <c r="I2819" t="s">
        <v>4596</v>
      </c>
      <c r="J2819">
        <v>1</v>
      </c>
      <c r="K2819">
        <v>-177.77199999999999</v>
      </c>
      <c r="L2819">
        <v>-146.50299999999999</v>
      </c>
      <c r="M2819">
        <v>-145.78299999999999</v>
      </c>
      <c r="N2819">
        <v>-145.78299999999999</v>
      </c>
      <c r="O2819">
        <v>-145.78299999999999</v>
      </c>
      <c r="P2819">
        <v>-145.78299999999999</v>
      </c>
      <c r="Q2819">
        <v>-145.78299999999999</v>
      </c>
      <c r="R2819">
        <v>-145.78299999999999</v>
      </c>
      <c r="S2819">
        <v>-145.78299999999999</v>
      </c>
      <c r="T2819">
        <v>-145.78299999999999</v>
      </c>
      <c r="U2819">
        <v>-145.78299999999999</v>
      </c>
      <c r="V2819">
        <v>-145.78299999999999</v>
      </c>
      <c r="W2819">
        <v>-145.78299999999999</v>
      </c>
      <c r="X2819">
        <v>-145.78299999999999</v>
      </c>
      <c r="Y2819">
        <v>-145.78299999999999</v>
      </c>
      <c r="Z2819">
        <v>-145.78299999999999</v>
      </c>
      <c r="AA2819">
        <v>-145.78299999999999</v>
      </c>
      <c r="AB2819">
        <v>-145.78299999999999</v>
      </c>
      <c r="AC2819">
        <v>-145.78299999999999</v>
      </c>
      <c r="AD2819">
        <v>-145.78299999999999</v>
      </c>
    </row>
    <row r="2820" spans="2:30" x14ac:dyDescent="0.25">
      <c r="B2820" t="s">
        <v>133</v>
      </c>
      <c r="C2820" t="s">
        <v>3263</v>
      </c>
      <c r="D2820" t="s">
        <v>4615</v>
      </c>
      <c r="E2820" t="s">
        <v>4616</v>
      </c>
      <c r="F2820" t="s">
        <v>8678</v>
      </c>
      <c r="G2820" t="s">
        <v>3890</v>
      </c>
      <c r="H2820" t="s">
        <v>4595</v>
      </c>
      <c r="I2820" t="s">
        <v>4596</v>
      </c>
      <c r="J2820">
        <v>1</v>
      </c>
      <c r="K2820">
        <v>-190.667</v>
      </c>
      <c r="L2820">
        <v>-169.041</v>
      </c>
      <c r="M2820">
        <v>-158.45599999999999</v>
      </c>
      <c r="N2820">
        <v>-143.017</v>
      </c>
      <c r="O2820">
        <v>-148.07300000000001</v>
      </c>
      <c r="P2820">
        <v>-141.453</v>
      </c>
      <c r="Q2820">
        <v>-138.78700000000001</v>
      </c>
      <c r="R2820">
        <v>-137.642</v>
      </c>
      <c r="S2820">
        <v>-136.953</v>
      </c>
      <c r="T2820">
        <v>-136.249</v>
      </c>
      <c r="U2820">
        <v>-136.53700000000001</v>
      </c>
      <c r="V2820">
        <v>-136.80099999999999</v>
      </c>
      <c r="W2820">
        <v>-137.03899999999999</v>
      </c>
      <c r="X2820">
        <v>-137.239</v>
      </c>
      <c r="Y2820">
        <v>-137.40199999999999</v>
      </c>
      <c r="Z2820">
        <v>-137.524</v>
      </c>
      <c r="AA2820">
        <v>-137.60300000000001</v>
      </c>
      <c r="AB2820">
        <v>-137.63200000000001</v>
      </c>
      <c r="AC2820">
        <v>-137.607</v>
      </c>
      <c r="AD2820">
        <v>-137.595</v>
      </c>
    </row>
    <row r="2821" spans="2:30" x14ac:dyDescent="0.25">
      <c r="B2821" t="s">
        <v>133</v>
      </c>
      <c r="C2821" t="s">
        <v>3263</v>
      </c>
      <c r="D2821" t="s">
        <v>4618</v>
      </c>
      <c r="E2821" t="s">
        <v>4619</v>
      </c>
      <c r="F2821" t="s">
        <v>8679</v>
      </c>
      <c r="G2821" t="s">
        <v>3890</v>
      </c>
      <c r="H2821" t="s">
        <v>4595</v>
      </c>
      <c r="I2821" t="s">
        <v>4596</v>
      </c>
      <c r="J2821">
        <v>1</v>
      </c>
      <c r="K2821">
        <v>3.4550000000000001</v>
      </c>
      <c r="L2821">
        <v>2.194</v>
      </c>
      <c r="M2821">
        <v>1.6850000000000001</v>
      </c>
      <c r="N2821">
        <v>1.6850000000000001</v>
      </c>
      <c r="O2821">
        <v>11.673999999999999</v>
      </c>
      <c r="P2821">
        <v>15.67</v>
      </c>
      <c r="Q2821">
        <v>19.666</v>
      </c>
      <c r="R2821">
        <v>23.661000000000001</v>
      </c>
      <c r="S2821">
        <v>27.655999999999999</v>
      </c>
      <c r="T2821">
        <v>31.651</v>
      </c>
      <c r="U2821">
        <v>35.646000000000001</v>
      </c>
      <c r="V2821">
        <v>39.640999999999998</v>
      </c>
      <c r="W2821">
        <v>43.636000000000003</v>
      </c>
      <c r="X2821">
        <v>47.631</v>
      </c>
      <c r="Y2821">
        <v>51.625999999999998</v>
      </c>
      <c r="Z2821">
        <v>55.621000000000002</v>
      </c>
      <c r="AA2821">
        <v>59.615000000000002</v>
      </c>
      <c r="AB2821">
        <v>63.61</v>
      </c>
      <c r="AC2821">
        <v>67.603999999999999</v>
      </c>
      <c r="AD2821">
        <v>71.599000000000004</v>
      </c>
    </row>
    <row r="2822" spans="2:30" x14ac:dyDescent="0.25">
      <c r="B2822" t="s">
        <v>133</v>
      </c>
      <c r="C2822" t="s">
        <v>3263</v>
      </c>
      <c r="D2822" t="s">
        <v>4621</v>
      </c>
      <c r="E2822" t="s">
        <v>4622</v>
      </c>
      <c r="F2822" t="s">
        <v>8680</v>
      </c>
      <c r="G2822" t="s">
        <v>3890</v>
      </c>
      <c r="H2822" t="s">
        <v>4595</v>
      </c>
      <c r="I2822" t="s">
        <v>4596</v>
      </c>
      <c r="J2822">
        <v>1</v>
      </c>
      <c r="K2822">
        <v>-152.46100000000001</v>
      </c>
      <c r="L2822">
        <v>-120.94499999999999</v>
      </c>
      <c r="M2822">
        <v>-111.26300000000001</v>
      </c>
      <c r="N2822">
        <v>-112.407</v>
      </c>
      <c r="O2822">
        <v>-111.279</v>
      </c>
      <c r="P2822">
        <v>-108.18899999999999</v>
      </c>
      <c r="Q2822">
        <v>-104.708</v>
      </c>
      <c r="R2822">
        <v>-102.827</v>
      </c>
      <c r="S2822">
        <v>-101.6</v>
      </c>
      <c r="T2822">
        <v>-100.483</v>
      </c>
      <c r="U2822">
        <v>-99.516000000000005</v>
      </c>
      <c r="V2822">
        <v>-98.575000000000003</v>
      </c>
      <c r="W2822">
        <v>-97.665000000000006</v>
      </c>
      <c r="X2822">
        <v>-96.799000000000007</v>
      </c>
      <c r="Y2822">
        <v>-95.981999999999999</v>
      </c>
      <c r="Z2822">
        <v>-95.228999999999999</v>
      </c>
      <c r="AA2822">
        <v>-94.549000000000007</v>
      </c>
      <c r="AB2822">
        <v>-93.962000000000003</v>
      </c>
      <c r="AC2822">
        <v>-93.436000000000007</v>
      </c>
      <c r="AD2822">
        <v>-92.92</v>
      </c>
    </row>
    <row r="2823" spans="2:30" x14ac:dyDescent="0.25">
      <c r="B2823" t="s">
        <v>133</v>
      </c>
      <c r="C2823" t="s">
        <v>3263</v>
      </c>
      <c r="D2823" t="s">
        <v>4624</v>
      </c>
      <c r="E2823" t="s">
        <v>4625</v>
      </c>
      <c r="F2823" t="s">
        <v>8681</v>
      </c>
      <c r="G2823" t="s">
        <v>3890</v>
      </c>
      <c r="H2823" t="s">
        <v>4595</v>
      </c>
      <c r="I2823" t="s">
        <v>4596</v>
      </c>
      <c r="J2823">
        <v>1</v>
      </c>
      <c r="K2823">
        <v>-214.952</v>
      </c>
      <c r="L2823">
        <v>-225.435</v>
      </c>
      <c r="M2823">
        <v>-231.316</v>
      </c>
      <c r="N2823">
        <v>-185.77</v>
      </c>
      <c r="O2823">
        <v>-189.822</v>
      </c>
      <c r="P2823">
        <v>-167.31</v>
      </c>
      <c r="Q2823">
        <v>-158.62200000000001</v>
      </c>
      <c r="R2823">
        <v>-152.53700000000001</v>
      </c>
      <c r="S2823">
        <v>-146.78399999999999</v>
      </c>
      <c r="T2823">
        <v>-140.83099999999999</v>
      </c>
      <c r="U2823">
        <v>-137.39099999999999</v>
      </c>
      <c r="V2823">
        <v>-133.95099999999999</v>
      </c>
      <c r="W2823">
        <v>-130.511</v>
      </c>
      <c r="X2823">
        <v>-127.071</v>
      </c>
      <c r="Y2823">
        <v>-123.631</v>
      </c>
      <c r="Z2823">
        <v>-120.191</v>
      </c>
      <c r="AA2823">
        <v>-116.751</v>
      </c>
      <c r="AB2823">
        <v>-113.31100000000001</v>
      </c>
      <c r="AC2823">
        <v>-109.871</v>
      </c>
      <c r="AD2823">
        <v>-106.431</v>
      </c>
    </row>
    <row r="2824" spans="2:30" x14ac:dyDescent="0.25">
      <c r="B2824" t="s">
        <v>133</v>
      </c>
      <c r="C2824" t="s">
        <v>3263</v>
      </c>
      <c r="D2824" t="s">
        <v>4627</v>
      </c>
      <c r="E2824" t="s">
        <v>4628</v>
      </c>
      <c r="F2824" t="s">
        <v>8682</v>
      </c>
      <c r="G2824" t="s">
        <v>3890</v>
      </c>
      <c r="H2824" t="s">
        <v>4595</v>
      </c>
      <c r="I2824" t="s">
        <v>4596</v>
      </c>
      <c r="J2824">
        <v>1</v>
      </c>
      <c r="K2824">
        <v>-252.76300000000001</v>
      </c>
      <c r="L2824">
        <v>-218.88200000000001</v>
      </c>
      <c r="M2824">
        <v>-201.67699999999999</v>
      </c>
      <c r="N2824">
        <v>-165.696</v>
      </c>
      <c r="O2824">
        <v>-165.73599999999999</v>
      </c>
      <c r="P2824">
        <v>-146.68600000000001</v>
      </c>
      <c r="Q2824">
        <v>-138.55799999999999</v>
      </c>
      <c r="R2824">
        <v>-132.48599999999999</v>
      </c>
      <c r="S2824">
        <v>-126.67700000000001</v>
      </c>
      <c r="T2824">
        <v>-120.709</v>
      </c>
      <c r="U2824">
        <v>-116.727</v>
      </c>
      <c r="V2824">
        <v>-112.744</v>
      </c>
      <c r="W2824">
        <v>-108.762</v>
      </c>
      <c r="X2824">
        <v>-104.779</v>
      </c>
      <c r="Y2824">
        <v>-100.797</v>
      </c>
      <c r="Z2824">
        <v>-96.814999999999998</v>
      </c>
      <c r="AA2824">
        <v>-92.831999999999994</v>
      </c>
      <c r="AB2824">
        <v>-88.85</v>
      </c>
      <c r="AC2824">
        <v>-84.867000000000004</v>
      </c>
      <c r="AD2824">
        <v>-80.885000000000005</v>
      </c>
    </row>
    <row r="2825" spans="2:30" x14ac:dyDescent="0.25">
      <c r="B2825" t="s">
        <v>133</v>
      </c>
      <c r="C2825" t="s">
        <v>3263</v>
      </c>
      <c r="D2825" t="s">
        <v>4630</v>
      </c>
      <c r="E2825" t="s">
        <v>4631</v>
      </c>
      <c r="F2825" t="s">
        <v>8683</v>
      </c>
      <c r="G2825" t="s">
        <v>3890</v>
      </c>
      <c r="H2825" t="s">
        <v>4595</v>
      </c>
      <c r="I2825" t="s">
        <v>4596</v>
      </c>
      <c r="J2825">
        <v>1</v>
      </c>
      <c r="K2825">
        <v>-333.09699999999998</v>
      </c>
      <c r="L2825">
        <v>-314.64999999999998</v>
      </c>
      <c r="M2825">
        <v>-300.01</v>
      </c>
      <c r="N2825">
        <v>-260.95699999999999</v>
      </c>
      <c r="O2825">
        <v>-263.19900000000001</v>
      </c>
      <c r="P2825">
        <v>-243.40299999999999</v>
      </c>
      <c r="Q2825">
        <v>-235.46100000000001</v>
      </c>
      <c r="R2825">
        <v>-229.75</v>
      </c>
      <c r="S2825">
        <v>-224.32400000000001</v>
      </c>
      <c r="T2825">
        <v>-218.726</v>
      </c>
      <c r="U2825">
        <v>-215.28299999999999</v>
      </c>
      <c r="V2825">
        <v>-211.84</v>
      </c>
      <c r="W2825">
        <v>-208.398</v>
      </c>
      <c r="X2825">
        <v>-204.95500000000001</v>
      </c>
      <c r="Y2825">
        <v>-201.512</v>
      </c>
      <c r="Z2825">
        <v>-198.06899999999999</v>
      </c>
      <c r="AA2825">
        <v>-194.626</v>
      </c>
      <c r="AB2825">
        <v>-191.18299999999999</v>
      </c>
      <c r="AC2825">
        <v>-187.74100000000001</v>
      </c>
      <c r="AD2825">
        <v>-184.298</v>
      </c>
    </row>
    <row r="2826" spans="2:30" x14ac:dyDescent="0.25">
      <c r="B2826" t="s">
        <v>133</v>
      </c>
      <c r="C2826" t="s">
        <v>3263</v>
      </c>
      <c r="D2826" t="s">
        <v>4633</v>
      </c>
      <c r="E2826" t="s">
        <v>4634</v>
      </c>
      <c r="F2826" t="s">
        <v>8684</v>
      </c>
      <c r="G2826" t="s">
        <v>3890</v>
      </c>
      <c r="H2826" t="s">
        <v>4595</v>
      </c>
      <c r="I2826" t="s">
        <v>4596</v>
      </c>
      <c r="J2826">
        <v>1</v>
      </c>
      <c r="K2826">
        <v>-161.07599999999999</v>
      </c>
      <c r="L2826">
        <v>-186.827</v>
      </c>
      <c r="M2826">
        <v>-189.61500000000001</v>
      </c>
      <c r="N2826">
        <v>-155.803</v>
      </c>
      <c r="O2826">
        <v>-155.74199999999999</v>
      </c>
      <c r="P2826">
        <v>-137.80099999999999</v>
      </c>
      <c r="Q2826">
        <v>-130.124</v>
      </c>
      <c r="R2826">
        <v>-124.378</v>
      </c>
      <c r="S2826">
        <v>-118.879</v>
      </c>
      <c r="T2826">
        <v>-113.232</v>
      </c>
      <c r="U2826">
        <v>-109.45099999999999</v>
      </c>
      <c r="V2826">
        <v>-105.669</v>
      </c>
      <c r="W2826">
        <v>-101.887</v>
      </c>
      <c r="X2826">
        <v>-98.105000000000004</v>
      </c>
      <c r="Y2826">
        <v>-94.323999999999998</v>
      </c>
      <c r="Z2826">
        <v>-90.542000000000002</v>
      </c>
      <c r="AA2826">
        <v>-86.76</v>
      </c>
      <c r="AB2826">
        <v>-82.978999999999999</v>
      </c>
      <c r="AC2826">
        <v>-79.197000000000003</v>
      </c>
      <c r="AD2826">
        <v>-75.415000000000006</v>
      </c>
    </row>
    <row r="2827" spans="2:30" x14ac:dyDescent="0.25">
      <c r="B2827" t="s">
        <v>133</v>
      </c>
      <c r="C2827" t="s">
        <v>3263</v>
      </c>
      <c r="D2827" t="s">
        <v>4636</v>
      </c>
      <c r="E2827" t="s">
        <v>4637</v>
      </c>
      <c r="F2827" t="s">
        <v>8685</v>
      </c>
      <c r="G2827" t="s">
        <v>3890</v>
      </c>
      <c r="H2827" t="s">
        <v>4595</v>
      </c>
      <c r="I2827" t="s">
        <v>4596</v>
      </c>
      <c r="J2827">
        <v>1</v>
      </c>
      <c r="K2827">
        <v>-177.77199999999999</v>
      </c>
      <c r="L2827">
        <v>-146.50299999999999</v>
      </c>
      <c r="M2827">
        <v>-145.78299999999999</v>
      </c>
      <c r="N2827">
        <v>-145.78299999999999</v>
      </c>
      <c r="O2827">
        <v>-135.78299999999999</v>
      </c>
      <c r="P2827">
        <v>-131.78299999999999</v>
      </c>
      <c r="Q2827">
        <v>-127.783</v>
      </c>
      <c r="R2827">
        <v>-123.783</v>
      </c>
      <c r="S2827">
        <v>-119.783</v>
      </c>
      <c r="T2827">
        <v>-115.783</v>
      </c>
      <c r="U2827">
        <v>-111.783</v>
      </c>
      <c r="V2827">
        <v>-107.783</v>
      </c>
      <c r="W2827">
        <v>-103.783</v>
      </c>
      <c r="X2827">
        <v>-99.783000000000001</v>
      </c>
      <c r="Y2827">
        <v>-95.783000000000001</v>
      </c>
      <c r="Z2827">
        <v>-91.783000000000001</v>
      </c>
      <c r="AA2827">
        <v>-87.783000000000001</v>
      </c>
      <c r="AB2827">
        <v>-83.783000000000001</v>
      </c>
      <c r="AC2827">
        <v>-79.783000000000001</v>
      </c>
      <c r="AD2827">
        <v>-75.783000000000001</v>
      </c>
    </row>
    <row r="2828" spans="2:30" x14ac:dyDescent="0.25">
      <c r="B2828" t="s">
        <v>133</v>
      </c>
      <c r="C2828" t="s">
        <v>3263</v>
      </c>
      <c r="D2828" t="s">
        <v>4639</v>
      </c>
      <c r="E2828" t="s">
        <v>4640</v>
      </c>
      <c r="F2828" t="s">
        <v>8686</v>
      </c>
      <c r="G2828" t="s">
        <v>3890</v>
      </c>
      <c r="H2828" t="s">
        <v>4595</v>
      </c>
      <c r="I2828" t="s">
        <v>4596</v>
      </c>
      <c r="J2828">
        <v>2</v>
      </c>
      <c r="K2828">
        <v>-190.667</v>
      </c>
      <c r="L2828">
        <v>-169.041</v>
      </c>
      <c r="M2828">
        <v>-158.45599999999999</v>
      </c>
      <c r="N2828">
        <v>-143.017</v>
      </c>
      <c r="O2828">
        <v>-141.876</v>
      </c>
      <c r="P2828">
        <v>-132.72200000000001</v>
      </c>
      <c r="Q2828">
        <v>-127.49299999999999</v>
      </c>
      <c r="R2828">
        <v>-123.8</v>
      </c>
      <c r="S2828">
        <v>-120.508</v>
      </c>
      <c r="T2828">
        <v>-117.16500000000001</v>
      </c>
      <c r="U2828">
        <v>-114.77200000000001</v>
      </c>
      <c r="V2828">
        <v>-112.34699999999999</v>
      </c>
      <c r="W2828">
        <v>-109.895</v>
      </c>
      <c r="X2828">
        <v>-107.423</v>
      </c>
      <c r="Y2828">
        <v>-104.93899999999999</v>
      </c>
      <c r="Z2828">
        <v>-102.458</v>
      </c>
      <c r="AA2828">
        <v>-99.99</v>
      </c>
      <c r="AB2828">
        <v>-97.552999999999997</v>
      </c>
      <c r="AC2828">
        <v>-95.147999999999996</v>
      </c>
      <c r="AD2828">
        <v>-92.757999999999996</v>
      </c>
    </row>
    <row r="2829" spans="2:30" x14ac:dyDescent="0.25">
      <c r="B2829" t="s">
        <v>133</v>
      </c>
      <c r="C2829" t="s">
        <v>3263</v>
      </c>
      <c r="D2829" t="s">
        <v>4642</v>
      </c>
      <c r="E2829" t="s">
        <v>4643</v>
      </c>
      <c r="F2829" t="s">
        <v>8687</v>
      </c>
      <c r="G2829" t="s">
        <v>3890</v>
      </c>
      <c r="H2829" t="s">
        <v>4645</v>
      </c>
      <c r="I2829" t="s">
        <v>4646</v>
      </c>
      <c r="J2829">
        <v>2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  <c r="W2829" t="e">
        <v>#N/A</v>
      </c>
      <c r="X2829" t="e">
        <v>#N/A</v>
      </c>
      <c r="Y2829" t="e">
        <v>#N/A</v>
      </c>
      <c r="Z2829" t="e">
        <v>#N/A</v>
      </c>
      <c r="AA2829" t="e">
        <v>#N/A</v>
      </c>
      <c r="AB2829" t="e">
        <v>#N/A</v>
      </c>
      <c r="AC2829" t="e">
        <v>#N/A</v>
      </c>
      <c r="AD2829" t="e">
        <v>#N/A</v>
      </c>
    </row>
    <row r="2830" spans="2:30" x14ac:dyDescent="0.25">
      <c r="B2830" t="s">
        <v>133</v>
      </c>
      <c r="C2830" t="s">
        <v>3263</v>
      </c>
      <c r="D2830" t="s">
        <v>4647</v>
      </c>
      <c r="E2830" t="s">
        <v>4648</v>
      </c>
      <c r="F2830" t="s">
        <v>8688</v>
      </c>
      <c r="G2830" t="s">
        <v>3890</v>
      </c>
      <c r="H2830" t="s">
        <v>4394</v>
      </c>
      <c r="I2830" t="s">
        <v>4646</v>
      </c>
      <c r="J2830">
        <v>2</v>
      </c>
      <c r="K2830">
        <v>0.96299999999999997</v>
      </c>
      <c r="L2830">
        <v>0.81799999999999995</v>
      </c>
      <c r="M2830">
        <v>0.76400000000000001</v>
      </c>
      <c r="N2830">
        <v>0.67100000000000004</v>
      </c>
      <c r="O2830">
        <v>0.69699999999999995</v>
      </c>
      <c r="P2830">
        <v>0.65800000000000003</v>
      </c>
      <c r="Q2830">
        <v>0.64700000000000002</v>
      </c>
      <c r="R2830">
        <v>0.64200000000000002</v>
      </c>
      <c r="S2830">
        <v>0.63700000000000001</v>
      </c>
      <c r="T2830">
        <v>0.63200000000000001</v>
      </c>
      <c r="U2830">
        <v>0.63200000000000001</v>
      </c>
      <c r="V2830">
        <v>0.63200000000000001</v>
      </c>
      <c r="W2830">
        <v>0.63200000000000001</v>
      </c>
      <c r="X2830">
        <v>0.63200000000000001</v>
      </c>
      <c r="Y2830">
        <v>0.63200000000000001</v>
      </c>
      <c r="Z2830">
        <v>0.63200000000000001</v>
      </c>
      <c r="AA2830">
        <v>0.63200000000000001</v>
      </c>
      <c r="AB2830">
        <v>0.63200000000000001</v>
      </c>
      <c r="AC2830">
        <v>0.63200000000000001</v>
      </c>
      <c r="AD2830">
        <v>0.63200000000000001</v>
      </c>
    </row>
    <row r="2831" spans="2:30" x14ac:dyDescent="0.25">
      <c r="B2831" t="s">
        <v>133</v>
      </c>
      <c r="C2831" t="s">
        <v>3263</v>
      </c>
      <c r="D2831" t="s">
        <v>4650</v>
      </c>
      <c r="E2831" t="s">
        <v>4651</v>
      </c>
      <c r="F2831" t="s">
        <v>8689</v>
      </c>
      <c r="G2831" t="s">
        <v>3890</v>
      </c>
      <c r="H2831" t="s">
        <v>4653</v>
      </c>
      <c r="I2831" t="s">
        <v>4646</v>
      </c>
      <c r="J2831">
        <v>2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  <c r="W2831" t="e">
        <v>#N/A</v>
      </c>
      <c r="X2831" t="e">
        <v>#N/A</v>
      </c>
      <c r="Y2831" t="e">
        <v>#N/A</v>
      </c>
      <c r="Z2831" t="e">
        <v>#N/A</v>
      </c>
      <c r="AA2831" t="e">
        <v>#N/A</v>
      </c>
      <c r="AB2831" t="e">
        <v>#N/A</v>
      </c>
      <c r="AC2831" t="e">
        <v>#N/A</v>
      </c>
      <c r="AD2831" t="e">
        <v>#N/A</v>
      </c>
    </row>
    <row r="2832" spans="2:30" x14ac:dyDescent="0.25">
      <c r="B2832" t="s">
        <v>133</v>
      </c>
      <c r="C2832" t="s">
        <v>3263</v>
      </c>
      <c r="D2832" t="s">
        <v>4654</v>
      </c>
      <c r="E2832" t="s">
        <v>4655</v>
      </c>
      <c r="F2832" t="s">
        <v>8690</v>
      </c>
      <c r="G2832" t="s">
        <v>3890</v>
      </c>
      <c r="H2832" t="s">
        <v>4657</v>
      </c>
      <c r="I2832" t="s">
        <v>4646</v>
      </c>
      <c r="J2832">
        <v>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2:30" x14ac:dyDescent="0.25">
      <c r="B2833" t="s">
        <v>133</v>
      </c>
      <c r="C2833" t="s">
        <v>3263</v>
      </c>
      <c r="D2833" t="s">
        <v>4658</v>
      </c>
      <c r="E2833" t="s">
        <v>4659</v>
      </c>
      <c r="F2833" t="s">
        <v>8691</v>
      </c>
      <c r="G2833" t="s">
        <v>3890</v>
      </c>
      <c r="H2833" t="s">
        <v>4661</v>
      </c>
      <c r="I2833" t="s">
        <v>4646</v>
      </c>
      <c r="J2833">
        <v>2</v>
      </c>
      <c r="K2833">
        <v>3.5999999999999997E-2</v>
      </c>
      <c r="L2833">
        <v>3.7999999999999999E-2</v>
      </c>
      <c r="M2833">
        <v>3.6999999999999998E-2</v>
      </c>
      <c r="N2833">
        <v>0.04</v>
      </c>
      <c r="O2833">
        <v>4.2000000000000003E-2</v>
      </c>
      <c r="P2833">
        <v>4.5999999999999999E-2</v>
      </c>
      <c r="Q2833">
        <v>0.05</v>
      </c>
      <c r="R2833">
        <v>5.3999999999999999E-2</v>
      </c>
      <c r="S2833">
        <v>5.8000000000000003E-2</v>
      </c>
      <c r="T2833">
        <v>6.3E-2</v>
      </c>
      <c r="U2833">
        <v>6.8000000000000005E-2</v>
      </c>
      <c r="V2833">
        <v>7.2999999999999995E-2</v>
      </c>
      <c r="W2833">
        <v>7.9000000000000001E-2</v>
      </c>
      <c r="X2833">
        <v>8.5000000000000006E-2</v>
      </c>
      <c r="Y2833">
        <v>9.1999999999999998E-2</v>
      </c>
      <c r="Z2833">
        <v>0.1</v>
      </c>
      <c r="AA2833">
        <v>0.108</v>
      </c>
      <c r="AB2833">
        <v>0.11700000000000001</v>
      </c>
      <c r="AC2833">
        <v>0.126</v>
      </c>
      <c r="AD2833">
        <v>0.13600000000000001</v>
      </c>
    </row>
    <row r="2834" spans="2:30" x14ac:dyDescent="0.25">
      <c r="B2834" t="s">
        <v>133</v>
      </c>
      <c r="C2834" t="s">
        <v>3263</v>
      </c>
      <c r="D2834" t="s">
        <v>4662</v>
      </c>
      <c r="E2834" t="s">
        <v>4663</v>
      </c>
      <c r="F2834" t="s">
        <v>8692</v>
      </c>
      <c r="G2834" t="s">
        <v>3890</v>
      </c>
      <c r="H2834" t="s">
        <v>4665</v>
      </c>
      <c r="I2834" t="s">
        <v>4646</v>
      </c>
      <c r="J2834">
        <v>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2:30" x14ac:dyDescent="0.25">
      <c r="B2835" t="s">
        <v>133</v>
      </c>
      <c r="C2835" t="s">
        <v>3263</v>
      </c>
      <c r="D2835" t="s">
        <v>4666</v>
      </c>
      <c r="E2835" t="s">
        <v>4667</v>
      </c>
      <c r="F2835" t="s">
        <v>8693</v>
      </c>
      <c r="G2835" t="s">
        <v>3890</v>
      </c>
      <c r="H2835" t="s">
        <v>4669</v>
      </c>
      <c r="I2835" t="s">
        <v>4646</v>
      </c>
      <c r="J2835">
        <v>2</v>
      </c>
      <c r="K2835">
        <v>0.129</v>
      </c>
      <c r="L2835">
        <v>0.13400000000000001</v>
      </c>
      <c r="M2835">
        <v>0.14000000000000001</v>
      </c>
      <c r="N2835">
        <v>0.14499999999999999</v>
      </c>
      <c r="O2835">
        <v>0.151</v>
      </c>
      <c r="P2835">
        <v>0.157</v>
      </c>
      <c r="Q2835">
        <v>0.16300000000000001</v>
      </c>
      <c r="R2835">
        <v>0.17</v>
      </c>
      <c r="S2835">
        <v>0.17699999999999999</v>
      </c>
      <c r="T2835">
        <v>0.184</v>
      </c>
      <c r="U2835">
        <v>0.191</v>
      </c>
      <c r="V2835">
        <v>0.19900000000000001</v>
      </c>
      <c r="W2835">
        <v>0.20699999999999999</v>
      </c>
      <c r="X2835">
        <v>0.215</v>
      </c>
      <c r="Y2835">
        <v>0.224</v>
      </c>
      <c r="Z2835">
        <v>0.23300000000000001</v>
      </c>
      <c r="AA2835">
        <v>0.24199999999999999</v>
      </c>
      <c r="AB2835">
        <v>0.251</v>
      </c>
      <c r="AC2835">
        <v>0.26200000000000001</v>
      </c>
      <c r="AD2835">
        <v>0.27200000000000002</v>
      </c>
    </row>
    <row r="2836" spans="2:30" x14ac:dyDescent="0.25">
      <c r="B2836" t="s">
        <v>133</v>
      </c>
      <c r="C2836" t="s">
        <v>3263</v>
      </c>
      <c r="D2836" t="s">
        <v>4670</v>
      </c>
      <c r="E2836" t="s">
        <v>4671</v>
      </c>
      <c r="F2836" t="s">
        <v>8694</v>
      </c>
      <c r="G2836" t="s">
        <v>3890</v>
      </c>
      <c r="H2836" t="s">
        <v>4673</v>
      </c>
      <c r="I2836" t="s">
        <v>4646</v>
      </c>
      <c r="J2836">
        <v>2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  <c r="W2836" t="e">
        <v>#N/A</v>
      </c>
      <c r="X2836" t="e">
        <v>#N/A</v>
      </c>
      <c r="Y2836" t="e">
        <v>#N/A</v>
      </c>
      <c r="Z2836" t="e">
        <v>#N/A</v>
      </c>
      <c r="AA2836" t="e">
        <v>#N/A</v>
      </c>
      <c r="AB2836" t="e">
        <v>#N/A</v>
      </c>
      <c r="AC2836" t="e">
        <v>#N/A</v>
      </c>
      <c r="AD2836" t="e">
        <v>#N/A</v>
      </c>
    </row>
    <row r="2837" spans="2:30" x14ac:dyDescent="0.25">
      <c r="B2837" t="s">
        <v>133</v>
      </c>
      <c r="C2837" t="s">
        <v>3263</v>
      </c>
      <c r="D2837" t="s">
        <v>4674</v>
      </c>
      <c r="E2837" t="s">
        <v>4675</v>
      </c>
      <c r="F2837" t="s">
        <v>8695</v>
      </c>
      <c r="G2837" t="s">
        <v>3890</v>
      </c>
      <c r="H2837" t="s">
        <v>4677</v>
      </c>
      <c r="I2837" t="s">
        <v>4646</v>
      </c>
      <c r="J2837">
        <v>2</v>
      </c>
      <c r="K2837">
        <v>0.6</v>
      </c>
      <c r="L2837">
        <v>0.41099999999999998</v>
      </c>
      <c r="M2837">
        <v>0.33500000000000002</v>
      </c>
      <c r="N2837">
        <v>0.33500000000000002</v>
      </c>
      <c r="O2837">
        <v>0.35799999999999998</v>
      </c>
      <c r="P2837">
        <v>0.36799999999999999</v>
      </c>
      <c r="Q2837">
        <v>0.377</v>
      </c>
      <c r="R2837">
        <v>0.38600000000000001</v>
      </c>
      <c r="S2837">
        <v>0.39500000000000002</v>
      </c>
      <c r="T2837">
        <v>0.40500000000000003</v>
      </c>
      <c r="U2837">
        <v>0.41399999999999998</v>
      </c>
      <c r="V2837">
        <v>0.42299999999999999</v>
      </c>
      <c r="W2837">
        <v>0.432</v>
      </c>
      <c r="X2837">
        <v>0.442</v>
      </c>
      <c r="Y2837">
        <v>0.45100000000000001</v>
      </c>
      <c r="Z2837">
        <v>0.46</v>
      </c>
      <c r="AA2837">
        <v>0.46899999999999997</v>
      </c>
      <c r="AB2837">
        <v>0.47899999999999998</v>
      </c>
      <c r="AC2837">
        <v>0.48799999999999999</v>
      </c>
      <c r="AD2837">
        <v>0.497</v>
      </c>
    </row>
    <row r="2838" spans="2:30" x14ac:dyDescent="0.25">
      <c r="B2838" t="s">
        <v>133</v>
      </c>
      <c r="C2838" t="s">
        <v>3263</v>
      </c>
      <c r="D2838" t="s">
        <v>4678</v>
      </c>
      <c r="E2838" t="s">
        <v>4679</v>
      </c>
      <c r="F2838" t="s">
        <v>8696</v>
      </c>
      <c r="G2838" t="s">
        <v>3890</v>
      </c>
      <c r="H2838" t="s">
        <v>4681</v>
      </c>
      <c r="I2838" t="s">
        <v>4646</v>
      </c>
      <c r="J2838">
        <v>2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  <c r="W2838" t="e">
        <v>#N/A</v>
      </c>
      <c r="X2838" t="e">
        <v>#N/A</v>
      </c>
      <c r="Y2838" t="e">
        <v>#N/A</v>
      </c>
      <c r="Z2838" t="e">
        <v>#N/A</v>
      </c>
      <c r="AA2838" t="e">
        <v>#N/A</v>
      </c>
      <c r="AB2838" t="e">
        <v>#N/A</v>
      </c>
      <c r="AC2838" t="e">
        <v>#N/A</v>
      </c>
      <c r="AD2838" t="e">
        <v>#N/A</v>
      </c>
    </row>
    <row r="2839" spans="2:30" x14ac:dyDescent="0.25">
      <c r="B2839" t="s">
        <v>133</v>
      </c>
      <c r="C2839" t="s">
        <v>3263</v>
      </c>
      <c r="D2839" t="s">
        <v>4682</v>
      </c>
      <c r="E2839" t="s">
        <v>4461</v>
      </c>
      <c r="F2839" t="s">
        <v>8628</v>
      </c>
      <c r="G2839" t="s">
        <v>3890</v>
      </c>
      <c r="H2839" t="s">
        <v>4435</v>
      </c>
      <c r="I2839" t="s">
        <v>4646</v>
      </c>
      <c r="J2839">
        <v>1</v>
      </c>
      <c r="K2839">
        <v>-0.36299999999999999</v>
      </c>
      <c r="L2839">
        <v>-0.40699999999999997</v>
      </c>
      <c r="M2839">
        <v>-0.42799999999999999</v>
      </c>
      <c r="N2839">
        <v>-0.33600000000000002</v>
      </c>
      <c r="O2839">
        <v>-0.36199999999999999</v>
      </c>
      <c r="P2839">
        <v>-0.32300000000000001</v>
      </c>
      <c r="Q2839">
        <v>-0.312</v>
      </c>
      <c r="R2839">
        <v>-0.307</v>
      </c>
      <c r="S2839">
        <v>-0.30199999999999999</v>
      </c>
      <c r="T2839">
        <v>-0.29699999999999999</v>
      </c>
      <c r="U2839">
        <v>-0.29699999999999999</v>
      </c>
      <c r="V2839">
        <v>-0.29699999999999999</v>
      </c>
      <c r="W2839">
        <v>-0.29699999999999999</v>
      </c>
      <c r="X2839">
        <v>-0.29699999999999999</v>
      </c>
      <c r="Y2839">
        <v>-0.29699999999999999</v>
      </c>
      <c r="Z2839">
        <v>-0.29699999999999999</v>
      </c>
      <c r="AA2839">
        <v>-0.29699999999999999</v>
      </c>
      <c r="AB2839">
        <v>-0.29699999999999999</v>
      </c>
      <c r="AC2839">
        <v>-0.29699999999999999</v>
      </c>
      <c r="AD2839">
        <v>-0.29699999999999999</v>
      </c>
    </row>
    <row r="2840" spans="2:30" x14ac:dyDescent="0.25">
      <c r="B2840" t="s">
        <v>133</v>
      </c>
      <c r="C2840" t="s">
        <v>3263</v>
      </c>
      <c r="D2840" t="s">
        <v>4683</v>
      </c>
      <c r="E2840" t="s">
        <v>4684</v>
      </c>
      <c r="F2840" t="s">
        <v>8697</v>
      </c>
      <c r="G2840" t="s">
        <v>3890</v>
      </c>
      <c r="H2840" t="s">
        <v>4686</v>
      </c>
      <c r="I2840" t="s">
        <v>4687</v>
      </c>
      <c r="J2840">
        <v>1</v>
      </c>
      <c r="K2840">
        <v>-153.93799999999999</v>
      </c>
      <c r="L2840">
        <v>-172.86199999999999</v>
      </c>
      <c r="M2840">
        <v>-181.86</v>
      </c>
      <c r="N2840">
        <v>-142.61199999999999</v>
      </c>
      <c r="O2840">
        <v>-153.51499999999999</v>
      </c>
      <c r="P2840">
        <v>-137.08000000000001</v>
      </c>
      <c r="Q2840">
        <v>-132.55799999999999</v>
      </c>
      <c r="R2840">
        <v>-130.279</v>
      </c>
      <c r="S2840">
        <v>-128.285</v>
      </c>
      <c r="T2840">
        <v>-126.12</v>
      </c>
      <c r="U2840">
        <v>-126.12</v>
      </c>
      <c r="V2840">
        <v>-126.12</v>
      </c>
      <c r="W2840">
        <v>-126.12</v>
      </c>
      <c r="X2840">
        <v>-126.12</v>
      </c>
      <c r="Y2840">
        <v>-126.12</v>
      </c>
      <c r="Z2840">
        <v>-126.12</v>
      </c>
      <c r="AA2840">
        <v>-126.12</v>
      </c>
      <c r="AB2840">
        <v>-126.12</v>
      </c>
      <c r="AC2840">
        <v>-126.12</v>
      </c>
      <c r="AD2840">
        <v>-126.12</v>
      </c>
    </row>
    <row r="2841" spans="2:30" x14ac:dyDescent="0.25">
      <c r="B2841" t="s">
        <v>133</v>
      </c>
      <c r="C2841" t="s">
        <v>3263</v>
      </c>
      <c r="D2841" t="s">
        <v>4688</v>
      </c>
      <c r="E2841" t="s">
        <v>4689</v>
      </c>
      <c r="F2841" t="s">
        <v>8698</v>
      </c>
      <c r="G2841" t="s">
        <v>3890</v>
      </c>
      <c r="H2841" t="s">
        <v>4691</v>
      </c>
      <c r="I2841" t="s">
        <v>4646</v>
      </c>
      <c r="J2841">
        <v>2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  <c r="W2841" t="e">
        <v>#N/A</v>
      </c>
      <c r="X2841" t="e">
        <v>#N/A</v>
      </c>
      <c r="Y2841" t="e">
        <v>#N/A</v>
      </c>
      <c r="Z2841" t="e">
        <v>#N/A</v>
      </c>
      <c r="AA2841" t="e">
        <v>#N/A</v>
      </c>
      <c r="AB2841" t="e">
        <v>#N/A</v>
      </c>
      <c r="AC2841" t="e">
        <v>#N/A</v>
      </c>
      <c r="AD2841" t="e">
        <v>#N/A</v>
      </c>
    </row>
    <row r="2842" spans="2:30" x14ac:dyDescent="0.25">
      <c r="B2842" t="s">
        <v>133</v>
      </c>
      <c r="C2842" t="s">
        <v>3263</v>
      </c>
      <c r="D2842" t="s">
        <v>4692</v>
      </c>
      <c r="E2842" t="s">
        <v>4693</v>
      </c>
      <c r="F2842" t="s">
        <v>8699</v>
      </c>
      <c r="G2842" t="s">
        <v>3890</v>
      </c>
      <c r="H2842" t="s">
        <v>4695</v>
      </c>
      <c r="I2842" t="s">
        <v>4687</v>
      </c>
      <c r="J2842">
        <v>2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2:30" x14ac:dyDescent="0.25">
      <c r="B2843" t="s">
        <v>133</v>
      </c>
      <c r="C2843" t="s">
        <v>3263</v>
      </c>
      <c r="D2843" t="s">
        <v>4696</v>
      </c>
      <c r="E2843" t="s">
        <v>4697</v>
      </c>
      <c r="F2843" t="s">
        <v>8700</v>
      </c>
      <c r="G2843" t="s">
        <v>3890</v>
      </c>
      <c r="H2843" t="s">
        <v>4645</v>
      </c>
      <c r="I2843" t="s">
        <v>4646</v>
      </c>
      <c r="J2843">
        <v>2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  <c r="W2843" t="e">
        <v>#N/A</v>
      </c>
      <c r="X2843" t="e">
        <v>#N/A</v>
      </c>
      <c r="Y2843" t="e">
        <v>#N/A</v>
      </c>
      <c r="Z2843" t="e">
        <v>#N/A</v>
      </c>
      <c r="AA2843" t="e">
        <v>#N/A</v>
      </c>
      <c r="AB2843" t="e">
        <v>#N/A</v>
      </c>
      <c r="AC2843" t="e">
        <v>#N/A</v>
      </c>
      <c r="AD2843" t="e">
        <v>#N/A</v>
      </c>
    </row>
    <row r="2844" spans="2:30" x14ac:dyDescent="0.25">
      <c r="B2844" t="s">
        <v>133</v>
      </c>
      <c r="C2844" t="s">
        <v>3263</v>
      </c>
      <c r="D2844" t="s">
        <v>4699</v>
      </c>
      <c r="E2844" t="s">
        <v>4700</v>
      </c>
      <c r="F2844" t="s">
        <v>8701</v>
      </c>
      <c r="G2844" t="s">
        <v>3890</v>
      </c>
      <c r="H2844" t="s">
        <v>4394</v>
      </c>
      <c r="I2844" t="s">
        <v>4646</v>
      </c>
      <c r="J2844">
        <v>2</v>
      </c>
      <c r="K2844">
        <v>1.077</v>
      </c>
      <c r="L2844">
        <v>0.85499999999999998</v>
      </c>
      <c r="M2844">
        <v>0.77800000000000002</v>
      </c>
      <c r="N2844">
        <v>0.68400000000000005</v>
      </c>
      <c r="O2844">
        <v>0.71</v>
      </c>
      <c r="P2844">
        <v>0.67</v>
      </c>
      <c r="Q2844">
        <v>0.66</v>
      </c>
      <c r="R2844">
        <v>0.65400000000000003</v>
      </c>
      <c r="S2844">
        <v>0.64900000000000002</v>
      </c>
      <c r="T2844">
        <v>0.64400000000000002</v>
      </c>
      <c r="U2844">
        <v>0.64400000000000002</v>
      </c>
      <c r="V2844">
        <v>0.64400000000000002</v>
      </c>
      <c r="W2844">
        <v>0.64400000000000002</v>
      </c>
      <c r="X2844">
        <v>0.64400000000000002</v>
      </c>
      <c r="Y2844">
        <v>0.64400000000000002</v>
      </c>
      <c r="Z2844">
        <v>0.64400000000000002</v>
      </c>
      <c r="AA2844">
        <v>0.64400000000000002</v>
      </c>
      <c r="AB2844">
        <v>0.64400000000000002</v>
      </c>
      <c r="AC2844">
        <v>0.64400000000000002</v>
      </c>
      <c r="AD2844">
        <v>0.64400000000000002</v>
      </c>
    </row>
    <row r="2845" spans="2:30" x14ac:dyDescent="0.25">
      <c r="B2845" t="s">
        <v>133</v>
      </c>
      <c r="C2845" t="s">
        <v>3263</v>
      </c>
      <c r="D2845" t="s">
        <v>4702</v>
      </c>
      <c r="E2845" t="s">
        <v>4703</v>
      </c>
      <c r="F2845" t="s">
        <v>8702</v>
      </c>
      <c r="G2845" t="s">
        <v>3890</v>
      </c>
      <c r="H2845" t="s">
        <v>4653</v>
      </c>
      <c r="I2845" t="s">
        <v>4646</v>
      </c>
      <c r="J2845">
        <v>2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  <c r="W2845" t="e">
        <v>#N/A</v>
      </c>
      <c r="X2845" t="e">
        <v>#N/A</v>
      </c>
      <c r="Y2845" t="e">
        <v>#N/A</v>
      </c>
      <c r="Z2845" t="e">
        <v>#N/A</v>
      </c>
      <c r="AA2845" t="e">
        <v>#N/A</v>
      </c>
      <c r="AB2845" t="e">
        <v>#N/A</v>
      </c>
      <c r="AC2845" t="e">
        <v>#N/A</v>
      </c>
      <c r="AD2845" t="e">
        <v>#N/A</v>
      </c>
    </row>
    <row r="2846" spans="2:30" x14ac:dyDescent="0.25">
      <c r="B2846" t="s">
        <v>133</v>
      </c>
      <c r="C2846" t="s">
        <v>3263</v>
      </c>
      <c r="D2846" t="s">
        <v>4705</v>
      </c>
      <c r="E2846" t="s">
        <v>4706</v>
      </c>
      <c r="F2846" t="s">
        <v>8703</v>
      </c>
      <c r="G2846" t="s">
        <v>3890</v>
      </c>
      <c r="H2846" t="s">
        <v>4657</v>
      </c>
      <c r="I2846" t="s">
        <v>4646</v>
      </c>
      <c r="J2846">
        <v>2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2:30" x14ac:dyDescent="0.25">
      <c r="B2847" t="s">
        <v>133</v>
      </c>
      <c r="C2847" t="s">
        <v>3263</v>
      </c>
      <c r="D2847" t="s">
        <v>4708</v>
      </c>
      <c r="E2847" t="s">
        <v>4709</v>
      </c>
      <c r="F2847" t="s">
        <v>8704</v>
      </c>
      <c r="G2847" t="s">
        <v>3890</v>
      </c>
      <c r="H2847" t="s">
        <v>4661</v>
      </c>
      <c r="I2847" t="s">
        <v>4646</v>
      </c>
      <c r="J2847">
        <v>2</v>
      </c>
      <c r="K2847">
        <v>1.0999999999999999E-2</v>
      </c>
      <c r="L2847">
        <v>1.0999999999999999E-2</v>
      </c>
      <c r="M2847">
        <v>0.01</v>
      </c>
      <c r="N2847">
        <v>0.01</v>
      </c>
      <c r="O2847">
        <v>0.01</v>
      </c>
      <c r="P2847">
        <v>1.0999999999999999E-2</v>
      </c>
      <c r="Q2847">
        <v>1.2999999999999999E-2</v>
      </c>
      <c r="R2847">
        <v>1.4E-2</v>
      </c>
      <c r="S2847">
        <v>1.6E-2</v>
      </c>
      <c r="T2847">
        <v>1.7999999999999999E-2</v>
      </c>
      <c r="U2847">
        <v>0.02</v>
      </c>
      <c r="V2847">
        <v>2.1999999999999999E-2</v>
      </c>
      <c r="W2847">
        <v>2.4E-2</v>
      </c>
      <c r="X2847">
        <v>2.7E-2</v>
      </c>
      <c r="Y2847">
        <v>0.03</v>
      </c>
      <c r="Z2847">
        <v>3.3000000000000002E-2</v>
      </c>
      <c r="AA2847">
        <v>3.5999999999999997E-2</v>
      </c>
      <c r="AB2847">
        <v>3.9E-2</v>
      </c>
      <c r="AC2847">
        <v>4.2999999999999997E-2</v>
      </c>
      <c r="AD2847">
        <v>4.7E-2</v>
      </c>
    </row>
    <row r="2848" spans="2:30" x14ac:dyDescent="0.25">
      <c r="B2848" t="s">
        <v>133</v>
      </c>
      <c r="C2848" t="s">
        <v>3263</v>
      </c>
      <c r="D2848" t="s">
        <v>4711</v>
      </c>
      <c r="E2848" t="s">
        <v>4712</v>
      </c>
      <c r="F2848" t="s">
        <v>8705</v>
      </c>
      <c r="G2848" t="s">
        <v>3890</v>
      </c>
      <c r="H2848" t="s">
        <v>4665</v>
      </c>
      <c r="I2848" t="s">
        <v>4646</v>
      </c>
      <c r="J2848">
        <v>2</v>
      </c>
      <c r="K2848">
        <v>0.14799999999999999</v>
      </c>
      <c r="L2848">
        <v>0.14099999999999999</v>
      </c>
      <c r="M2848">
        <v>0.125</v>
      </c>
      <c r="N2848">
        <v>0.121</v>
      </c>
      <c r="O2848">
        <v>0.122</v>
      </c>
      <c r="P2848">
        <v>0.126</v>
      </c>
      <c r="Q2848">
        <v>0.13</v>
      </c>
      <c r="R2848">
        <v>0.13500000000000001</v>
      </c>
      <c r="S2848">
        <v>0.14000000000000001</v>
      </c>
      <c r="T2848">
        <v>0.14599999999999999</v>
      </c>
      <c r="U2848">
        <v>0.153</v>
      </c>
      <c r="V2848">
        <v>0.159</v>
      </c>
      <c r="W2848">
        <v>0.16500000000000001</v>
      </c>
      <c r="X2848">
        <v>0.17</v>
      </c>
      <c r="Y2848">
        <v>0.17599999999999999</v>
      </c>
      <c r="Z2848">
        <v>0.182</v>
      </c>
      <c r="AA2848">
        <v>0.188</v>
      </c>
      <c r="AB2848">
        <v>0.19400000000000001</v>
      </c>
      <c r="AC2848">
        <v>0.19900000000000001</v>
      </c>
      <c r="AD2848">
        <v>0.20499999999999999</v>
      </c>
    </row>
    <row r="2849" spans="2:30" x14ac:dyDescent="0.25">
      <c r="B2849" t="s">
        <v>133</v>
      </c>
      <c r="C2849" t="s">
        <v>3263</v>
      </c>
      <c r="D2849" t="s">
        <v>4714</v>
      </c>
      <c r="E2849" t="s">
        <v>4715</v>
      </c>
      <c r="F2849" t="s">
        <v>8706</v>
      </c>
      <c r="G2849" t="s">
        <v>3890</v>
      </c>
      <c r="H2849" t="s">
        <v>4669</v>
      </c>
      <c r="I2849" t="s">
        <v>4646</v>
      </c>
      <c r="J2849">
        <v>2</v>
      </c>
      <c r="K2849">
        <v>0.14699999999999999</v>
      </c>
      <c r="L2849">
        <v>0.153</v>
      </c>
      <c r="M2849">
        <v>0.159</v>
      </c>
      <c r="N2849">
        <v>0.16600000000000001</v>
      </c>
      <c r="O2849">
        <v>0.17199999999999999</v>
      </c>
      <c r="P2849">
        <v>0.17899999999999999</v>
      </c>
      <c r="Q2849">
        <v>0.186</v>
      </c>
      <c r="R2849">
        <v>0.19400000000000001</v>
      </c>
      <c r="S2849">
        <v>0.20200000000000001</v>
      </c>
      <c r="T2849">
        <v>0.21</v>
      </c>
      <c r="U2849">
        <v>0.218</v>
      </c>
      <c r="V2849">
        <v>0.22700000000000001</v>
      </c>
      <c r="W2849">
        <v>0.23599999999999999</v>
      </c>
      <c r="X2849">
        <v>0.245</v>
      </c>
      <c r="Y2849">
        <v>0.255</v>
      </c>
      <c r="Z2849">
        <v>0.26500000000000001</v>
      </c>
      <c r="AA2849">
        <v>0.27600000000000002</v>
      </c>
      <c r="AB2849">
        <v>0.28699999999999998</v>
      </c>
      <c r="AC2849">
        <v>0.29899999999999999</v>
      </c>
      <c r="AD2849">
        <v>0.31</v>
      </c>
    </row>
    <row r="2850" spans="2:30" x14ac:dyDescent="0.25">
      <c r="B2850" t="s">
        <v>133</v>
      </c>
      <c r="C2850" t="s">
        <v>3263</v>
      </c>
      <c r="D2850" t="s">
        <v>4717</v>
      </c>
      <c r="E2850" t="s">
        <v>4718</v>
      </c>
      <c r="F2850" t="s">
        <v>8707</v>
      </c>
      <c r="G2850" t="s">
        <v>3890</v>
      </c>
      <c r="H2850" t="s">
        <v>4673</v>
      </c>
      <c r="I2850" t="s">
        <v>4646</v>
      </c>
      <c r="J2850">
        <v>2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  <c r="W2850" t="e">
        <v>#N/A</v>
      </c>
      <c r="X2850" t="e">
        <v>#N/A</v>
      </c>
      <c r="Y2850" t="e">
        <v>#N/A</v>
      </c>
      <c r="Z2850" t="e">
        <v>#N/A</v>
      </c>
      <c r="AA2850" t="e">
        <v>#N/A</v>
      </c>
      <c r="AB2850" t="e">
        <v>#N/A</v>
      </c>
      <c r="AC2850" t="e">
        <v>#N/A</v>
      </c>
      <c r="AD2850" t="e">
        <v>#N/A</v>
      </c>
    </row>
    <row r="2851" spans="2:30" x14ac:dyDescent="0.25">
      <c r="B2851" t="s">
        <v>133</v>
      </c>
      <c r="C2851" t="s">
        <v>3263</v>
      </c>
      <c r="D2851" t="s">
        <v>4720</v>
      </c>
      <c r="E2851" t="s">
        <v>4721</v>
      </c>
      <c r="F2851" t="s">
        <v>8708</v>
      </c>
      <c r="G2851" t="s">
        <v>3890</v>
      </c>
      <c r="H2851" t="s">
        <v>4723</v>
      </c>
      <c r="I2851" t="s">
        <v>4646</v>
      </c>
      <c r="J2851">
        <v>2</v>
      </c>
      <c r="K2851">
        <v>0.41399999999999998</v>
      </c>
      <c r="L2851">
        <v>0.28100000000000003</v>
      </c>
      <c r="M2851">
        <v>0.249</v>
      </c>
      <c r="N2851">
        <v>0.249</v>
      </c>
      <c r="O2851">
        <v>0.27600000000000002</v>
      </c>
      <c r="P2851">
        <v>0.28599999999999998</v>
      </c>
      <c r="Q2851">
        <v>0.29699999999999999</v>
      </c>
      <c r="R2851">
        <v>0.307</v>
      </c>
      <c r="S2851">
        <v>0.318</v>
      </c>
      <c r="T2851">
        <v>0.32800000000000001</v>
      </c>
      <c r="U2851">
        <v>0.33900000000000002</v>
      </c>
      <c r="V2851">
        <v>0.35</v>
      </c>
      <c r="W2851">
        <v>0.36</v>
      </c>
      <c r="X2851">
        <v>0.371</v>
      </c>
      <c r="Y2851">
        <v>0.38100000000000001</v>
      </c>
      <c r="Z2851">
        <v>0.39200000000000002</v>
      </c>
      <c r="AA2851">
        <v>0.40200000000000002</v>
      </c>
      <c r="AB2851">
        <v>0.41299999999999998</v>
      </c>
      <c r="AC2851">
        <v>0.42399999999999999</v>
      </c>
      <c r="AD2851">
        <v>0.434</v>
      </c>
    </row>
    <row r="2852" spans="2:30" x14ac:dyDescent="0.25">
      <c r="B2852" t="s">
        <v>133</v>
      </c>
      <c r="C2852" t="s">
        <v>3263</v>
      </c>
      <c r="D2852" t="s">
        <v>4724</v>
      </c>
      <c r="E2852" t="s">
        <v>4725</v>
      </c>
      <c r="F2852" t="s">
        <v>8709</v>
      </c>
      <c r="G2852" t="s">
        <v>3890</v>
      </c>
      <c r="H2852" t="s">
        <v>4727</v>
      </c>
      <c r="I2852" t="s">
        <v>4646</v>
      </c>
      <c r="J2852">
        <v>2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  <c r="W2852" t="e">
        <v>#N/A</v>
      </c>
      <c r="X2852" t="e">
        <v>#N/A</v>
      </c>
      <c r="Y2852" t="e">
        <v>#N/A</v>
      </c>
      <c r="Z2852" t="e">
        <v>#N/A</v>
      </c>
      <c r="AA2852" t="e">
        <v>#N/A</v>
      </c>
      <c r="AB2852" t="e">
        <v>#N/A</v>
      </c>
      <c r="AC2852" t="e">
        <v>#N/A</v>
      </c>
      <c r="AD2852" t="e">
        <v>#N/A</v>
      </c>
    </row>
    <row r="2853" spans="2:30" x14ac:dyDescent="0.25">
      <c r="B2853" t="s">
        <v>133</v>
      </c>
      <c r="C2853" t="s">
        <v>3263</v>
      </c>
      <c r="D2853" t="s">
        <v>4728</v>
      </c>
      <c r="E2853" t="s">
        <v>4464</v>
      </c>
      <c r="F2853" t="s">
        <v>8629</v>
      </c>
      <c r="G2853" t="s">
        <v>3890</v>
      </c>
      <c r="H2853" t="s">
        <v>4435</v>
      </c>
      <c r="I2853" t="s">
        <v>4646</v>
      </c>
      <c r="J2853">
        <v>1</v>
      </c>
      <c r="K2853">
        <v>-0.66300000000000003</v>
      </c>
      <c r="L2853">
        <v>-0.57399999999999995</v>
      </c>
      <c r="M2853">
        <v>-0.52900000000000003</v>
      </c>
      <c r="N2853">
        <v>-0.435</v>
      </c>
      <c r="O2853">
        <v>-0.46100000000000002</v>
      </c>
      <c r="P2853">
        <v>-0.42099999999999999</v>
      </c>
      <c r="Q2853">
        <v>-0.41</v>
      </c>
      <c r="R2853">
        <v>-0.40500000000000003</v>
      </c>
      <c r="S2853">
        <v>-0.4</v>
      </c>
      <c r="T2853">
        <v>-0.39500000000000002</v>
      </c>
      <c r="U2853">
        <v>-0.39500000000000002</v>
      </c>
      <c r="V2853">
        <v>-0.39500000000000002</v>
      </c>
      <c r="W2853">
        <v>-0.39500000000000002</v>
      </c>
      <c r="X2853">
        <v>-0.39500000000000002</v>
      </c>
      <c r="Y2853">
        <v>-0.39500000000000002</v>
      </c>
      <c r="Z2853">
        <v>-0.39500000000000002</v>
      </c>
      <c r="AA2853">
        <v>-0.39500000000000002</v>
      </c>
      <c r="AB2853">
        <v>-0.39500000000000002</v>
      </c>
      <c r="AC2853">
        <v>-0.39500000000000002</v>
      </c>
      <c r="AD2853">
        <v>-0.39500000000000002</v>
      </c>
    </row>
    <row r="2854" spans="2:30" x14ac:dyDescent="0.25">
      <c r="B2854" t="s">
        <v>133</v>
      </c>
      <c r="C2854" t="s">
        <v>3263</v>
      </c>
      <c r="D2854" t="s">
        <v>4729</v>
      </c>
      <c r="E2854" t="s">
        <v>4730</v>
      </c>
      <c r="F2854" t="s">
        <v>8710</v>
      </c>
      <c r="G2854" t="s">
        <v>3890</v>
      </c>
      <c r="H2854" t="s">
        <v>4686</v>
      </c>
      <c r="I2854" t="s">
        <v>4687</v>
      </c>
      <c r="J2854">
        <v>1</v>
      </c>
      <c r="K2854">
        <v>-246.459</v>
      </c>
      <c r="L2854">
        <v>-213.54900000000001</v>
      </c>
      <c r="M2854">
        <v>-196.779</v>
      </c>
      <c r="N2854">
        <v>-161.59899999999999</v>
      </c>
      <c r="O2854">
        <v>-171.37200000000001</v>
      </c>
      <c r="P2854">
        <v>-156.63999999999999</v>
      </c>
      <c r="Q2854">
        <v>-152.58699999999999</v>
      </c>
      <c r="R2854">
        <v>-150.54400000000001</v>
      </c>
      <c r="S2854">
        <v>-148.75700000000001</v>
      </c>
      <c r="T2854">
        <v>-146.816</v>
      </c>
      <c r="U2854">
        <v>-146.816</v>
      </c>
      <c r="V2854">
        <v>-146.816</v>
      </c>
      <c r="W2854">
        <v>-146.816</v>
      </c>
      <c r="X2854">
        <v>-146.816</v>
      </c>
      <c r="Y2854">
        <v>-146.816</v>
      </c>
      <c r="Z2854">
        <v>-146.816</v>
      </c>
      <c r="AA2854">
        <v>-146.816</v>
      </c>
      <c r="AB2854">
        <v>-146.816</v>
      </c>
      <c r="AC2854">
        <v>-146.816</v>
      </c>
      <c r="AD2854">
        <v>-146.816</v>
      </c>
    </row>
    <row r="2855" spans="2:30" x14ac:dyDescent="0.25">
      <c r="B2855" t="s">
        <v>133</v>
      </c>
      <c r="C2855" t="s">
        <v>3263</v>
      </c>
      <c r="D2855" t="s">
        <v>4732</v>
      </c>
      <c r="E2855" t="s">
        <v>4733</v>
      </c>
      <c r="F2855" t="s">
        <v>8711</v>
      </c>
      <c r="G2855" t="s">
        <v>3890</v>
      </c>
      <c r="H2855" t="s">
        <v>4735</v>
      </c>
      <c r="I2855" t="s">
        <v>4646</v>
      </c>
      <c r="J2855">
        <v>2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  <c r="W2855" t="e">
        <v>#N/A</v>
      </c>
      <c r="X2855" t="e">
        <v>#N/A</v>
      </c>
      <c r="Y2855" t="e">
        <v>#N/A</v>
      </c>
      <c r="Z2855" t="e">
        <v>#N/A</v>
      </c>
      <c r="AA2855" t="e">
        <v>#N/A</v>
      </c>
      <c r="AB2855" t="e">
        <v>#N/A</v>
      </c>
      <c r="AC2855" t="e">
        <v>#N/A</v>
      </c>
      <c r="AD2855" t="e">
        <v>#N/A</v>
      </c>
    </row>
    <row r="2856" spans="2:30" x14ac:dyDescent="0.25">
      <c r="B2856" t="s">
        <v>133</v>
      </c>
      <c r="C2856" t="s">
        <v>3263</v>
      </c>
      <c r="D2856" t="s">
        <v>4736</v>
      </c>
      <c r="E2856" t="s">
        <v>4737</v>
      </c>
      <c r="F2856" t="s">
        <v>8712</v>
      </c>
      <c r="G2856" t="s">
        <v>3890</v>
      </c>
      <c r="H2856" t="s">
        <v>4695</v>
      </c>
      <c r="I2856" t="s">
        <v>4687</v>
      </c>
      <c r="J2856">
        <v>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2:30" x14ac:dyDescent="0.25">
      <c r="B2857" t="s">
        <v>133</v>
      </c>
      <c r="C2857" t="s">
        <v>3263</v>
      </c>
      <c r="D2857" t="s">
        <v>4739</v>
      </c>
      <c r="E2857" t="s">
        <v>4740</v>
      </c>
      <c r="F2857" t="s">
        <v>8713</v>
      </c>
      <c r="G2857" t="s">
        <v>3890</v>
      </c>
      <c r="H2857" t="s">
        <v>4645</v>
      </c>
      <c r="I2857" t="s">
        <v>4646</v>
      </c>
      <c r="J2857">
        <v>2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  <c r="W2857" t="e">
        <v>#N/A</v>
      </c>
      <c r="X2857" t="e">
        <v>#N/A</v>
      </c>
      <c r="Y2857" t="e">
        <v>#N/A</v>
      </c>
      <c r="Z2857" t="e">
        <v>#N/A</v>
      </c>
      <c r="AA2857" t="e">
        <v>#N/A</v>
      </c>
      <c r="AB2857" t="e">
        <v>#N/A</v>
      </c>
      <c r="AC2857" t="e">
        <v>#N/A</v>
      </c>
      <c r="AD2857" t="e">
        <v>#N/A</v>
      </c>
    </row>
    <row r="2858" spans="2:30" x14ac:dyDescent="0.25">
      <c r="B2858" t="s">
        <v>133</v>
      </c>
      <c r="C2858" t="s">
        <v>3263</v>
      </c>
      <c r="D2858" t="s">
        <v>4742</v>
      </c>
      <c r="E2858" t="s">
        <v>4743</v>
      </c>
      <c r="F2858" t="s">
        <v>8714</v>
      </c>
      <c r="G2858" t="s">
        <v>3890</v>
      </c>
      <c r="H2858" t="s">
        <v>4394</v>
      </c>
      <c r="I2858" t="s">
        <v>4646</v>
      </c>
      <c r="J2858">
        <v>2</v>
      </c>
      <c r="K2858">
        <v>0.67100000000000004</v>
      </c>
      <c r="L2858">
        <v>0.57799999999999996</v>
      </c>
      <c r="M2858">
        <v>0.54300000000000004</v>
      </c>
      <c r="N2858">
        <v>0.48199999999999998</v>
      </c>
      <c r="O2858">
        <v>0.499</v>
      </c>
      <c r="P2858">
        <v>0.47399999999999998</v>
      </c>
      <c r="Q2858">
        <v>0.46700000000000003</v>
      </c>
      <c r="R2858">
        <v>0.46300000000000002</v>
      </c>
      <c r="S2858">
        <v>0.46</v>
      </c>
      <c r="T2858">
        <v>0.45700000000000002</v>
      </c>
      <c r="U2858">
        <v>0.45700000000000002</v>
      </c>
      <c r="V2858">
        <v>0.45700000000000002</v>
      </c>
      <c r="W2858">
        <v>0.45700000000000002</v>
      </c>
      <c r="X2858">
        <v>0.45700000000000002</v>
      </c>
      <c r="Y2858">
        <v>0.45700000000000002</v>
      </c>
      <c r="Z2858">
        <v>0.45700000000000002</v>
      </c>
      <c r="AA2858">
        <v>0.45700000000000002</v>
      </c>
      <c r="AB2858">
        <v>0.45700000000000002</v>
      </c>
      <c r="AC2858">
        <v>0.45700000000000002</v>
      </c>
      <c r="AD2858">
        <v>0.45700000000000002</v>
      </c>
    </row>
    <row r="2859" spans="2:30" x14ac:dyDescent="0.25">
      <c r="B2859" t="s">
        <v>133</v>
      </c>
      <c r="C2859" t="s">
        <v>3263</v>
      </c>
      <c r="D2859" t="s">
        <v>4745</v>
      </c>
      <c r="E2859" t="s">
        <v>4746</v>
      </c>
      <c r="F2859" t="s">
        <v>8715</v>
      </c>
      <c r="G2859" t="s">
        <v>3890</v>
      </c>
      <c r="H2859" t="s">
        <v>4653</v>
      </c>
      <c r="I2859" t="s">
        <v>4646</v>
      </c>
      <c r="J2859">
        <v>2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  <c r="W2859" t="e">
        <v>#N/A</v>
      </c>
      <c r="X2859" t="e">
        <v>#N/A</v>
      </c>
      <c r="Y2859" t="e">
        <v>#N/A</v>
      </c>
      <c r="Z2859" t="e">
        <v>#N/A</v>
      </c>
      <c r="AA2859" t="e">
        <v>#N/A</v>
      </c>
      <c r="AB2859" t="e">
        <v>#N/A</v>
      </c>
      <c r="AC2859" t="e">
        <v>#N/A</v>
      </c>
      <c r="AD2859" t="e">
        <v>#N/A</v>
      </c>
    </row>
    <row r="2860" spans="2:30" x14ac:dyDescent="0.25">
      <c r="B2860" t="s">
        <v>133</v>
      </c>
      <c r="C2860" t="s">
        <v>3263</v>
      </c>
      <c r="D2860" t="s">
        <v>4748</v>
      </c>
      <c r="E2860" t="s">
        <v>4749</v>
      </c>
      <c r="F2860" t="s">
        <v>8716</v>
      </c>
      <c r="G2860" t="s">
        <v>3890</v>
      </c>
      <c r="H2860" t="s">
        <v>4669</v>
      </c>
      <c r="I2860" t="s">
        <v>4646</v>
      </c>
      <c r="J2860">
        <v>2</v>
      </c>
      <c r="K2860">
        <v>9.7000000000000003E-2</v>
      </c>
      <c r="L2860">
        <v>0.10100000000000001</v>
      </c>
      <c r="M2860">
        <v>0.105</v>
      </c>
      <c r="N2860">
        <v>0.109</v>
      </c>
      <c r="O2860">
        <v>0.113</v>
      </c>
      <c r="P2860">
        <v>0.11799999999999999</v>
      </c>
      <c r="Q2860">
        <v>0.123</v>
      </c>
      <c r="R2860">
        <v>0.128</v>
      </c>
      <c r="S2860">
        <v>0.13300000000000001</v>
      </c>
      <c r="T2860">
        <v>0.13800000000000001</v>
      </c>
      <c r="U2860">
        <v>0.14299999999999999</v>
      </c>
      <c r="V2860">
        <v>0.14899999999999999</v>
      </c>
      <c r="W2860">
        <v>0.155</v>
      </c>
      <c r="X2860">
        <v>0.161</v>
      </c>
      <c r="Y2860">
        <v>0.16800000000000001</v>
      </c>
      <c r="Z2860">
        <v>0.17499999999999999</v>
      </c>
      <c r="AA2860">
        <v>0.182</v>
      </c>
      <c r="AB2860">
        <v>0.189</v>
      </c>
      <c r="AC2860">
        <v>0.19600000000000001</v>
      </c>
      <c r="AD2860">
        <v>0.20399999999999999</v>
      </c>
    </row>
    <row r="2861" spans="2:30" x14ac:dyDescent="0.25">
      <c r="B2861" t="s">
        <v>133</v>
      </c>
      <c r="C2861" t="s">
        <v>3263</v>
      </c>
      <c r="D2861" t="s">
        <v>4751</v>
      </c>
      <c r="E2861" t="s">
        <v>4752</v>
      </c>
      <c r="F2861" t="s">
        <v>8717</v>
      </c>
      <c r="G2861" t="s">
        <v>3890</v>
      </c>
      <c r="H2861" t="s">
        <v>4673</v>
      </c>
      <c r="I2861" t="s">
        <v>4646</v>
      </c>
      <c r="J2861">
        <v>2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  <c r="W2861" t="e">
        <v>#N/A</v>
      </c>
      <c r="X2861" t="e">
        <v>#N/A</v>
      </c>
      <c r="Y2861" t="e">
        <v>#N/A</v>
      </c>
      <c r="Z2861" t="e">
        <v>#N/A</v>
      </c>
      <c r="AA2861" t="e">
        <v>#N/A</v>
      </c>
      <c r="AB2861" t="e">
        <v>#N/A</v>
      </c>
      <c r="AC2861" t="e">
        <v>#N/A</v>
      </c>
      <c r="AD2861" t="e">
        <v>#N/A</v>
      </c>
    </row>
    <row r="2862" spans="2:30" x14ac:dyDescent="0.25">
      <c r="B2862" t="s">
        <v>133</v>
      </c>
      <c r="C2862" t="s">
        <v>3263</v>
      </c>
      <c r="D2862" t="s">
        <v>4754</v>
      </c>
      <c r="E2862" t="s">
        <v>4755</v>
      </c>
      <c r="F2862" t="s">
        <v>8718</v>
      </c>
      <c r="G2862" t="s">
        <v>3890</v>
      </c>
      <c r="H2862" t="s">
        <v>4757</v>
      </c>
      <c r="I2862" t="s">
        <v>4646</v>
      </c>
      <c r="J2862">
        <v>2</v>
      </c>
      <c r="K2862">
        <v>0.17499999999999999</v>
      </c>
      <c r="L2862">
        <v>0.10199999999999999</v>
      </c>
      <c r="M2862">
        <v>8.7999999999999995E-2</v>
      </c>
      <c r="N2862">
        <v>8.7999999999999995E-2</v>
      </c>
      <c r="O2862">
        <v>0.106</v>
      </c>
      <c r="P2862">
        <v>0.113</v>
      </c>
      <c r="Q2862">
        <v>0.12</v>
      </c>
      <c r="R2862">
        <v>0.127</v>
      </c>
      <c r="S2862">
        <v>0.13400000000000001</v>
      </c>
      <c r="T2862">
        <v>0.14099999999999999</v>
      </c>
      <c r="U2862">
        <v>0.14799999999999999</v>
      </c>
      <c r="V2862">
        <v>0.155</v>
      </c>
      <c r="W2862">
        <v>0.16200000000000001</v>
      </c>
      <c r="X2862">
        <v>0.16900000000000001</v>
      </c>
      <c r="Y2862">
        <v>0.17599999999999999</v>
      </c>
      <c r="Z2862">
        <v>0.184</v>
      </c>
      <c r="AA2862">
        <v>0.191</v>
      </c>
      <c r="AB2862">
        <v>0.19800000000000001</v>
      </c>
      <c r="AC2862">
        <v>0.20499999999999999</v>
      </c>
      <c r="AD2862">
        <v>0.21199999999999999</v>
      </c>
    </row>
    <row r="2863" spans="2:30" x14ac:dyDescent="0.25">
      <c r="B2863" t="s">
        <v>133</v>
      </c>
      <c r="C2863" t="s">
        <v>3263</v>
      </c>
      <c r="D2863" t="s">
        <v>4758</v>
      </c>
      <c r="E2863" t="s">
        <v>4759</v>
      </c>
      <c r="F2863" t="s">
        <v>8719</v>
      </c>
      <c r="G2863" t="s">
        <v>3890</v>
      </c>
      <c r="H2863" t="s">
        <v>4761</v>
      </c>
      <c r="I2863" t="s">
        <v>4646</v>
      </c>
      <c r="J2863">
        <v>2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  <c r="W2863" t="e">
        <v>#N/A</v>
      </c>
      <c r="X2863" t="e">
        <v>#N/A</v>
      </c>
      <c r="Y2863" t="e">
        <v>#N/A</v>
      </c>
      <c r="Z2863" t="e">
        <v>#N/A</v>
      </c>
      <c r="AA2863" t="e">
        <v>#N/A</v>
      </c>
      <c r="AB2863" t="e">
        <v>#N/A</v>
      </c>
      <c r="AC2863" t="e">
        <v>#N/A</v>
      </c>
      <c r="AD2863" t="e">
        <v>#N/A</v>
      </c>
    </row>
    <row r="2864" spans="2:30" x14ac:dyDescent="0.25">
      <c r="B2864" t="s">
        <v>133</v>
      </c>
      <c r="C2864" t="s">
        <v>3263</v>
      </c>
      <c r="D2864" t="s">
        <v>4762</v>
      </c>
      <c r="E2864" t="s">
        <v>4467</v>
      </c>
      <c r="F2864" t="s">
        <v>8630</v>
      </c>
      <c r="G2864" t="s">
        <v>3890</v>
      </c>
      <c r="H2864" t="s">
        <v>4435</v>
      </c>
      <c r="I2864" t="s">
        <v>4646</v>
      </c>
      <c r="J2864">
        <v>1</v>
      </c>
      <c r="K2864">
        <v>-0.496</v>
      </c>
      <c r="L2864">
        <v>-0.47599999999999998</v>
      </c>
      <c r="M2864">
        <v>-0.45500000000000002</v>
      </c>
      <c r="N2864">
        <v>-0.39400000000000002</v>
      </c>
      <c r="O2864">
        <v>-0.41099999999999998</v>
      </c>
      <c r="P2864">
        <v>-0.38600000000000001</v>
      </c>
      <c r="Q2864">
        <v>-0.379</v>
      </c>
      <c r="R2864">
        <v>-0.375</v>
      </c>
      <c r="S2864">
        <v>-0.372</v>
      </c>
      <c r="T2864">
        <v>-0.36899999999999999</v>
      </c>
      <c r="U2864">
        <v>-0.36899999999999999</v>
      </c>
      <c r="V2864">
        <v>-0.36899999999999999</v>
      </c>
      <c r="W2864">
        <v>-0.36899999999999999</v>
      </c>
      <c r="X2864">
        <v>-0.36899999999999999</v>
      </c>
      <c r="Y2864">
        <v>-0.36899999999999999</v>
      </c>
      <c r="Z2864">
        <v>-0.36899999999999999</v>
      </c>
      <c r="AA2864">
        <v>-0.36899999999999999</v>
      </c>
      <c r="AB2864">
        <v>-0.36899999999999999</v>
      </c>
      <c r="AC2864">
        <v>-0.36899999999999999</v>
      </c>
      <c r="AD2864">
        <v>-0.36899999999999999</v>
      </c>
    </row>
    <row r="2865" spans="2:30" x14ac:dyDescent="0.25">
      <c r="B2865" t="s">
        <v>133</v>
      </c>
      <c r="C2865" t="s">
        <v>3263</v>
      </c>
      <c r="D2865" t="s">
        <v>4763</v>
      </c>
      <c r="E2865" t="s">
        <v>4764</v>
      </c>
      <c r="F2865" t="s">
        <v>8720</v>
      </c>
      <c r="G2865" t="s">
        <v>3890</v>
      </c>
      <c r="H2865" t="s">
        <v>4686</v>
      </c>
      <c r="I2865" t="s">
        <v>4687</v>
      </c>
      <c r="J2865">
        <v>1</v>
      </c>
      <c r="K2865">
        <v>-280.26900000000001</v>
      </c>
      <c r="L2865">
        <v>-269.161</v>
      </c>
      <c r="M2865">
        <v>-257.24599999999998</v>
      </c>
      <c r="N2865">
        <v>-222.96799999999999</v>
      </c>
      <c r="O2865">
        <v>-232.49</v>
      </c>
      <c r="P2865">
        <v>-218.136</v>
      </c>
      <c r="Q2865">
        <v>-214.18700000000001</v>
      </c>
      <c r="R2865">
        <v>-212.196</v>
      </c>
      <c r="S2865">
        <v>-210.45500000000001</v>
      </c>
      <c r="T2865">
        <v>-208.56399999999999</v>
      </c>
      <c r="U2865">
        <v>-208.56399999999999</v>
      </c>
      <c r="V2865">
        <v>-208.56399999999999</v>
      </c>
      <c r="W2865">
        <v>-208.56399999999999</v>
      </c>
      <c r="X2865">
        <v>-208.56399999999999</v>
      </c>
      <c r="Y2865">
        <v>-208.56399999999999</v>
      </c>
      <c r="Z2865">
        <v>-208.56399999999999</v>
      </c>
      <c r="AA2865">
        <v>-208.56399999999999</v>
      </c>
      <c r="AB2865">
        <v>-208.56399999999999</v>
      </c>
      <c r="AC2865">
        <v>-208.56399999999999</v>
      </c>
      <c r="AD2865">
        <v>-208.56399999999999</v>
      </c>
    </row>
    <row r="2866" spans="2:30" x14ac:dyDescent="0.25">
      <c r="B2866" t="s">
        <v>133</v>
      </c>
      <c r="C2866" t="s">
        <v>3263</v>
      </c>
      <c r="D2866" t="s">
        <v>4766</v>
      </c>
      <c r="E2866" t="s">
        <v>4767</v>
      </c>
      <c r="F2866" t="s">
        <v>8721</v>
      </c>
      <c r="G2866" t="s">
        <v>3890</v>
      </c>
      <c r="H2866" t="s">
        <v>4769</v>
      </c>
      <c r="I2866" t="s">
        <v>4646</v>
      </c>
      <c r="J2866">
        <v>2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  <c r="W2866" t="e">
        <v>#N/A</v>
      </c>
      <c r="X2866" t="e">
        <v>#N/A</v>
      </c>
      <c r="Y2866" t="e">
        <v>#N/A</v>
      </c>
      <c r="Z2866" t="e">
        <v>#N/A</v>
      </c>
      <c r="AA2866" t="e">
        <v>#N/A</v>
      </c>
      <c r="AB2866" t="e">
        <v>#N/A</v>
      </c>
      <c r="AC2866" t="e">
        <v>#N/A</v>
      </c>
      <c r="AD2866" t="e">
        <v>#N/A</v>
      </c>
    </row>
    <row r="2867" spans="2:30" x14ac:dyDescent="0.25">
      <c r="B2867" t="s">
        <v>133</v>
      </c>
      <c r="C2867" t="s">
        <v>3263</v>
      </c>
      <c r="D2867" t="s">
        <v>4770</v>
      </c>
      <c r="E2867" t="s">
        <v>4771</v>
      </c>
      <c r="F2867" t="s">
        <v>8722</v>
      </c>
      <c r="G2867" t="s">
        <v>3890</v>
      </c>
      <c r="H2867" t="s">
        <v>4695</v>
      </c>
      <c r="I2867" t="s">
        <v>4687</v>
      </c>
      <c r="J2867">
        <v>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2:30" x14ac:dyDescent="0.25">
      <c r="B2868" t="s">
        <v>133</v>
      </c>
      <c r="C2868" t="s">
        <v>3263</v>
      </c>
      <c r="D2868" t="s">
        <v>4773</v>
      </c>
      <c r="E2868" t="s">
        <v>4774</v>
      </c>
      <c r="F2868" t="s">
        <v>8723</v>
      </c>
      <c r="G2868" t="s">
        <v>3890</v>
      </c>
      <c r="H2868" t="s">
        <v>4645</v>
      </c>
      <c r="I2868" t="s">
        <v>4646</v>
      </c>
      <c r="J2868">
        <v>2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  <c r="W2868" t="e">
        <v>#N/A</v>
      </c>
      <c r="X2868" t="e">
        <v>#N/A</v>
      </c>
      <c r="Y2868" t="e">
        <v>#N/A</v>
      </c>
      <c r="Z2868" t="e">
        <v>#N/A</v>
      </c>
      <c r="AA2868" t="e">
        <v>#N/A</v>
      </c>
      <c r="AB2868" t="e">
        <v>#N/A</v>
      </c>
      <c r="AC2868" t="e">
        <v>#N/A</v>
      </c>
      <c r="AD2868" t="e">
        <v>#N/A</v>
      </c>
    </row>
    <row r="2869" spans="2:30" x14ac:dyDescent="0.25">
      <c r="B2869" t="s">
        <v>133</v>
      </c>
      <c r="C2869" t="s">
        <v>3263</v>
      </c>
      <c r="D2869" t="s">
        <v>4776</v>
      </c>
      <c r="E2869" t="s">
        <v>4777</v>
      </c>
      <c r="F2869" t="s">
        <v>8724</v>
      </c>
      <c r="G2869" t="s">
        <v>3890</v>
      </c>
      <c r="H2869" t="s">
        <v>4394</v>
      </c>
      <c r="I2869" t="s">
        <v>4646</v>
      </c>
      <c r="J2869">
        <v>2</v>
      </c>
      <c r="K2869">
        <v>0.78300000000000003</v>
      </c>
      <c r="L2869">
        <v>0.69899999999999995</v>
      </c>
      <c r="M2869">
        <v>0.69099999999999995</v>
      </c>
      <c r="N2869">
        <v>0.60899999999999999</v>
      </c>
      <c r="O2869">
        <v>0.63200000000000001</v>
      </c>
      <c r="P2869">
        <v>0.59799999999999998</v>
      </c>
      <c r="Q2869">
        <v>0.58799999999999997</v>
      </c>
      <c r="R2869">
        <v>0.58399999999999996</v>
      </c>
      <c r="S2869">
        <v>0.57899999999999996</v>
      </c>
      <c r="T2869">
        <v>0.57499999999999996</v>
      </c>
      <c r="U2869">
        <v>0.57499999999999996</v>
      </c>
      <c r="V2869">
        <v>0.57499999999999996</v>
      </c>
      <c r="W2869">
        <v>0.57499999999999996</v>
      </c>
      <c r="X2869">
        <v>0.57499999999999996</v>
      </c>
      <c r="Y2869">
        <v>0.57499999999999996</v>
      </c>
      <c r="Z2869">
        <v>0.57499999999999996</v>
      </c>
      <c r="AA2869">
        <v>0.57499999999999996</v>
      </c>
      <c r="AB2869">
        <v>0.57499999999999996</v>
      </c>
      <c r="AC2869">
        <v>0.57499999999999996</v>
      </c>
      <c r="AD2869">
        <v>0.57499999999999996</v>
      </c>
    </row>
    <row r="2870" spans="2:30" x14ac:dyDescent="0.25">
      <c r="B2870" t="s">
        <v>133</v>
      </c>
      <c r="C2870" t="s">
        <v>3263</v>
      </c>
      <c r="D2870" t="s">
        <v>4779</v>
      </c>
      <c r="E2870" t="s">
        <v>4780</v>
      </c>
      <c r="F2870" t="s">
        <v>8725</v>
      </c>
      <c r="G2870" t="s">
        <v>3890</v>
      </c>
      <c r="H2870" t="s">
        <v>4653</v>
      </c>
      <c r="I2870" t="s">
        <v>4646</v>
      </c>
      <c r="J2870">
        <v>2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  <c r="W2870" t="e">
        <v>#N/A</v>
      </c>
      <c r="X2870" t="e">
        <v>#N/A</v>
      </c>
      <c r="Y2870" t="e">
        <v>#N/A</v>
      </c>
      <c r="Z2870" t="e">
        <v>#N/A</v>
      </c>
      <c r="AA2870" t="e">
        <v>#N/A</v>
      </c>
      <c r="AB2870" t="e">
        <v>#N/A</v>
      </c>
      <c r="AC2870" t="e">
        <v>#N/A</v>
      </c>
      <c r="AD2870" t="e">
        <v>#N/A</v>
      </c>
    </row>
    <row r="2871" spans="2:30" x14ac:dyDescent="0.25">
      <c r="B2871" t="s">
        <v>133</v>
      </c>
      <c r="C2871" t="s">
        <v>3263</v>
      </c>
      <c r="D2871" t="s">
        <v>4782</v>
      </c>
      <c r="E2871" t="s">
        <v>4783</v>
      </c>
      <c r="F2871" t="s">
        <v>8726</v>
      </c>
      <c r="G2871" t="s">
        <v>3890</v>
      </c>
      <c r="H2871" t="s">
        <v>4669</v>
      </c>
      <c r="I2871" t="s">
        <v>4646</v>
      </c>
      <c r="J2871">
        <v>2</v>
      </c>
      <c r="K2871">
        <v>0.14099999999999999</v>
      </c>
      <c r="L2871">
        <v>0.14699999999999999</v>
      </c>
      <c r="M2871">
        <v>0.153</v>
      </c>
      <c r="N2871">
        <v>0.159</v>
      </c>
      <c r="O2871">
        <v>0.16500000000000001</v>
      </c>
      <c r="P2871">
        <v>0.17199999999999999</v>
      </c>
      <c r="Q2871">
        <v>0.17799999999999999</v>
      </c>
      <c r="R2871">
        <v>0.186</v>
      </c>
      <c r="S2871">
        <v>0.193</v>
      </c>
      <c r="T2871">
        <v>0.20100000000000001</v>
      </c>
      <c r="U2871">
        <v>0.20899999999999999</v>
      </c>
      <c r="V2871">
        <v>0.217</v>
      </c>
      <c r="W2871">
        <v>0.22600000000000001</v>
      </c>
      <c r="X2871">
        <v>0.23499999999999999</v>
      </c>
      <c r="Y2871">
        <v>0.24399999999999999</v>
      </c>
      <c r="Z2871">
        <v>0.254</v>
      </c>
      <c r="AA2871">
        <v>0.26400000000000001</v>
      </c>
      <c r="AB2871">
        <v>0.27500000000000002</v>
      </c>
      <c r="AC2871">
        <v>0.28599999999999998</v>
      </c>
      <c r="AD2871">
        <v>0.29699999999999999</v>
      </c>
    </row>
    <row r="2872" spans="2:30" x14ac:dyDescent="0.25">
      <c r="B2872" t="s">
        <v>133</v>
      </c>
      <c r="C2872" t="s">
        <v>3263</v>
      </c>
      <c r="D2872" t="s">
        <v>4785</v>
      </c>
      <c r="E2872" t="s">
        <v>4786</v>
      </c>
      <c r="F2872" t="s">
        <v>8727</v>
      </c>
      <c r="G2872" t="s">
        <v>3890</v>
      </c>
      <c r="H2872" t="s">
        <v>4673</v>
      </c>
      <c r="I2872" t="s">
        <v>4646</v>
      </c>
      <c r="J2872">
        <v>2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  <c r="W2872" t="e">
        <v>#N/A</v>
      </c>
      <c r="X2872" t="e">
        <v>#N/A</v>
      </c>
      <c r="Y2872" t="e">
        <v>#N/A</v>
      </c>
      <c r="Z2872" t="e">
        <v>#N/A</v>
      </c>
      <c r="AA2872" t="e">
        <v>#N/A</v>
      </c>
      <c r="AB2872" t="e">
        <v>#N/A</v>
      </c>
      <c r="AC2872" t="e">
        <v>#N/A</v>
      </c>
      <c r="AD2872" t="e">
        <v>#N/A</v>
      </c>
    </row>
    <row r="2873" spans="2:30" x14ac:dyDescent="0.25">
      <c r="B2873" t="s">
        <v>133</v>
      </c>
      <c r="C2873" t="s">
        <v>3263</v>
      </c>
      <c r="D2873" t="s">
        <v>4788</v>
      </c>
      <c r="E2873" t="s">
        <v>4789</v>
      </c>
      <c r="F2873" t="s">
        <v>8728</v>
      </c>
      <c r="G2873" t="s">
        <v>3890</v>
      </c>
      <c r="H2873" t="s">
        <v>4791</v>
      </c>
      <c r="I2873" t="s">
        <v>4646</v>
      </c>
      <c r="J2873">
        <v>2</v>
      </c>
      <c r="K2873">
        <v>0.41399999999999998</v>
      </c>
      <c r="L2873">
        <v>0.25900000000000001</v>
      </c>
      <c r="M2873">
        <v>0.24399999999999999</v>
      </c>
      <c r="N2873">
        <v>0.24399999999999999</v>
      </c>
      <c r="O2873">
        <v>0.26900000000000002</v>
      </c>
      <c r="P2873">
        <v>0.28000000000000003</v>
      </c>
      <c r="Q2873">
        <v>0.28999999999999998</v>
      </c>
      <c r="R2873">
        <v>0.3</v>
      </c>
      <c r="S2873">
        <v>0.31</v>
      </c>
      <c r="T2873">
        <v>0.32100000000000001</v>
      </c>
      <c r="U2873">
        <v>0.33100000000000002</v>
      </c>
      <c r="V2873">
        <v>0.34100000000000003</v>
      </c>
      <c r="W2873">
        <v>0.35099999999999998</v>
      </c>
      <c r="X2873">
        <v>0.36199999999999999</v>
      </c>
      <c r="Y2873">
        <v>0.372</v>
      </c>
      <c r="Z2873">
        <v>0.38200000000000001</v>
      </c>
      <c r="AA2873">
        <v>0.39200000000000002</v>
      </c>
      <c r="AB2873">
        <v>0.40300000000000002</v>
      </c>
      <c r="AC2873">
        <v>0.41299999999999998</v>
      </c>
      <c r="AD2873">
        <v>0.42299999999999999</v>
      </c>
    </row>
    <row r="2874" spans="2:30" x14ac:dyDescent="0.25">
      <c r="B2874" t="s">
        <v>133</v>
      </c>
      <c r="C2874" t="s">
        <v>3263</v>
      </c>
      <c r="D2874" t="s">
        <v>4792</v>
      </c>
      <c r="E2874" t="s">
        <v>4793</v>
      </c>
      <c r="F2874" t="s">
        <v>8729</v>
      </c>
      <c r="G2874" t="s">
        <v>3890</v>
      </c>
      <c r="H2874" t="s">
        <v>4795</v>
      </c>
      <c r="I2874" t="s">
        <v>4646</v>
      </c>
      <c r="J2874">
        <v>2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  <c r="W2874" t="e">
        <v>#N/A</v>
      </c>
      <c r="X2874" t="e">
        <v>#N/A</v>
      </c>
      <c r="Y2874" t="e">
        <v>#N/A</v>
      </c>
      <c r="Z2874" t="e">
        <v>#N/A</v>
      </c>
      <c r="AA2874" t="e">
        <v>#N/A</v>
      </c>
      <c r="AB2874" t="e">
        <v>#N/A</v>
      </c>
      <c r="AC2874" t="e">
        <v>#N/A</v>
      </c>
      <c r="AD2874" t="e">
        <v>#N/A</v>
      </c>
    </row>
    <row r="2875" spans="2:30" x14ac:dyDescent="0.25">
      <c r="B2875" t="s">
        <v>133</v>
      </c>
      <c r="C2875" t="s">
        <v>3263</v>
      </c>
      <c r="D2875" t="s">
        <v>4796</v>
      </c>
      <c r="E2875" t="s">
        <v>4470</v>
      </c>
      <c r="F2875" t="s">
        <v>8631</v>
      </c>
      <c r="G2875" t="s">
        <v>3890</v>
      </c>
      <c r="H2875" t="s">
        <v>4435</v>
      </c>
      <c r="I2875" t="s">
        <v>4646</v>
      </c>
      <c r="J2875">
        <v>1</v>
      </c>
      <c r="K2875">
        <v>-0.36899999999999999</v>
      </c>
      <c r="L2875">
        <v>-0.44</v>
      </c>
      <c r="M2875">
        <v>-0.44800000000000001</v>
      </c>
      <c r="N2875">
        <v>-0.36499999999999999</v>
      </c>
      <c r="O2875">
        <v>-0.38800000000000001</v>
      </c>
      <c r="P2875">
        <v>-0.35399999999999998</v>
      </c>
      <c r="Q2875">
        <v>-0.34399999999999997</v>
      </c>
      <c r="R2875">
        <v>-0.34</v>
      </c>
      <c r="S2875">
        <v>-0.33600000000000002</v>
      </c>
      <c r="T2875">
        <v>-0.33100000000000002</v>
      </c>
      <c r="U2875">
        <v>-0.33100000000000002</v>
      </c>
      <c r="V2875">
        <v>-0.33100000000000002</v>
      </c>
      <c r="W2875">
        <v>-0.33100000000000002</v>
      </c>
      <c r="X2875">
        <v>-0.33100000000000002</v>
      </c>
      <c r="Y2875">
        <v>-0.33100000000000002</v>
      </c>
      <c r="Z2875">
        <v>-0.33100000000000002</v>
      </c>
      <c r="AA2875">
        <v>-0.33100000000000002</v>
      </c>
      <c r="AB2875">
        <v>-0.33100000000000002</v>
      </c>
      <c r="AC2875">
        <v>-0.33100000000000002</v>
      </c>
      <c r="AD2875">
        <v>-0.33100000000000002</v>
      </c>
    </row>
    <row r="2876" spans="2:30" x14ac:dyDescent="0.25">
      <c r="B2876" t="s">
        <v>133</v>
      </c>
      <c r="C2876" t="s">
        <v>3263</v>
      </c>
      <c r="D2876" t="s">
        <v>4797</v>
      </c>
      <c r="E2876" t="s">
        <v>4798</v>
      </c>
      <c r="F2876" t="s">
        <v>8730</v>
      </c>
      <c r="G2876" t="s">
        <v>3890</v>
      </c>
      <c r="H2876" t="s">
        <v>4686</v>
      </c>
      <c r="I2876" t="s">
        <v>4687</v>
      </c>
      <c r="J2876">
        <v>1</v>
      </c>
      <c r="K2876">
        <v>-143.566</v>
      </c>
      <c r="L2876">
        <v>-170.96600000000001</v>
      </c>
      <c r="M2876">
        <v>-173.893</v>
      </c>
      <c r="N2876">
        <v>-142.01</v>
      </c>
      <c r="O2876">
        <v>-150.86699999999999</v>
      </c>
      <c r="P2876">
        <v>-137.51599999999999</v>
      </c>
      <c r="Q2876">
        <v>-133.84299999999999</v>
      </c>
      <c r="R2876">
        <v>-131.99100000000001</v>
      </c>
      <c r="S2876">
        <v>-130.37200000000001</v>
      </c>
      <c r="T2876">
        <v>-128.613</v>
      </c>
      <c r="U2876">
        <v>-128.613</v>
      </c>
      <c r="V2876">
        <v>-128.613</v>
      </c>
      <c r="W2876">
        <v>-128.613</v>
      </c>
      <c r="X2876">
        <v>-128.613</v>
      </c>
      <c r="Y2876">
        <v>-128.613</v>
      </c>
      <c r="Z2876">
        <v>-128.613</v>
      </c>
      <c r="AA2876">
        <v>-128.613</v>
      </c>
      <c r="AB2876">
        <v>-128.613</v>
      </c>
      <c r="AC2876">
        <v>-128.613</v>
      </c>
      <c r="AD2876">
        <v>-128.613</v>
      </c>
    </row>
    <row r="2877" spans="2:30" x14ac:dyDescent="0.25">
      <c r="B2877" t="s">
        <v>133</v>
      </c>
      <c r="C2877" t="s">
        <v>3263</v>
      </c>
      <c r="D2877" t="s">
        <v>4800</v>
      </c>
      <c r="E2877" t="s">
        <v>4801</v>
      </c>
      <c r="F2877" t="s">
        <v>8731</v>
      </c>
      <c r="G2877" t="s">
        <v>3890</v>
      </c>
      <c r="H2877" t="s">
        <v>4803</v>
      </c>
      <c r="I2877" t="s">
        <v>4646</v>
      </c>
      <c r="J2877">
        <v>2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  <c r="W2877" t="e">
        <v>#N/A</v>
      </c>
      <c r="X2877" t="e">
        <v>#N/A</v>
      </c>
      <c r="Y2877" t="e">
        <v>#N/A</v>
      </c>
      <c r="Z2877" t="e">
        <v>#N/A</v>
      </c>
      <c r="AA2877" t="e">
        <v>#N/A</v>
      </c>
      <c r="AB2877" t="e">
        <v>#N/A</v>
      </c>
      <c r="AC2877" t="e">
        <v>#N/A</v>
      </c>
      <c r="AD2877" t="e">
        <v>#N/A</v>
      </c>
    </row>
    <row r="2878" spans="2:30" x14ac:dyDescent="0.25">
      <c r="B2878" t="s">
        <v>133</v>
      </c>
      <c r="C2878" t="s">
        <v>3263</v>
      </c>
      <c r="D2878" t="s">
        <v>4804</v>
      </c>
      <c r="E2878" t="s">
        <v>4805</v>
      </c>
      <c r="F2878" t="s">
        <v>8732</v>
      </c>
      <c r="G2878" t="s">
        <v>3890</v>
      </c>
      <c r="H2878" t="s">
        <v>4695</v>
      </c>
      <c r="I2878" t="s">
        <v>4687</v>
      </c>
      <c r="J2878">
        <v>2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2:30" x14ac:dyDescent="0.25">
      <c r="B2879" t="s">
        <v>133</v>
      </c>
      <c r="C2879" t="s">
        <v>3263</v>
      </c>
      <c r="D2879" t="s">
        <v>4807</v>
      </c>
      <c r="E2879" t="s">
        <v>4808</v>
      </c>
      <c r="F2879" t="s">
        <v>8733</v>
      </c>
      <c r="G2879" t="s">
        <v>3890</v>
      </c>
      <c r="H2879" t="s">
        <v>4645</v>
      </c>
      <c r="I2879" t="s">
        <v>4810</v>
      </c>
      <c r="J2879">
        <v>2</v>
      </c>
      <c r="K2879">
        <v>16.391999999999999</v>
      </c>
      <c r="L2879">
        <v>14.093999999999999</v>
      </c>
      <c r="M2879">
        <v>13.279</v>
      </c>
      <c r="N2879">
        <v>12.816000000000001</v>
      </c>
      <c r="O2879">
        <v>13.071</v>
      </c>
      <c r="P2879">
        <v>13.372999999999999</v>
      </c>
      <c r="Q2879">
        <v>13.603</v>
      </c>
      <c r="R2879">
        <v>13.842000000000001</v>
      </c>
      <c r="S2879">
        <v>14.09</v>
      </c>
      <c r="T2879">
        <v>14.35</v>
      </c>
      <c r="U2879">
        <v>14.65</v>
      </c>
      <c r="V2879">
        <v>14.962</v>
      </c>
      <c r="W2879">
        <v>15.287000000000001</v>
      </c>
      <c r="X2879">
        <v>15.624000000000001</v>
      </c>
      <c r="Y2879">
        <v>15.975</v>
      </c>
      <c r="Z2879">
        <v>16.341000000000001</v>
      </c>
      <c r="AA2879">
        <v>16.72</v>
      </c>
      <c r="AB2879">
        <v>17.114999999999998</v>
      </c>
      <c r="AC2879">
        <v>17.526</v>
      </c>
      <c r="AD2879">
        <v>17.952999999999999</v>
      </c>
    </row>
    <row r="2880" spans="2:30" x14ac:dyDescent="0.25">
      <c r="B2880" t="s">
        <v>133</v>
      </c>
      <c r="C2880" t="s">
        <v>3263</v>
      </c>
      <c r="D2880" t="s">
        <v>4811</v>
      </c>
      <c r="E2880" t="s">
        <v>4812</v>
      </c>
      <c r="F2880" t="s">
        <v>8734</v>
      </c>
      <c r="G2880" t="s">
        <v>3890</v>
      </c>
      <c r="H2880" t="s">
        <v>4394</v>
      </c>
      <c r="I2880" t="s">
        <v>4810</v>
      </c>
      <c r="J2880">
        <v>2</v>
      </c>
      <c r="K2880">
        <v>11.12</v>
      </c>
      <c r="L2880">
        <v>8.6110000000000007</v>
      </c>
      <c r="M2880">
        <v>7.577</v>
      </c>
      <c r="N2880">
        <v>6.8849999999999998</v>
      </c>
      <c r="O2880">
        <v>6.9039999999999999</v>
      </c>
      <c r="P2880">
        <v>6.9580000000000002</v>
      </c>
      <c r="Q2880">
        <v>6.9320000000000004</v>
      </c>
      <c r="R2880">
        <v>6.9039999999999999</v>
      </c>
      <c r="S2880">
        <v>6.875</v>
      </c>
      <c r="T2880">
        <v>6.8460000000000001</v>
      </c>
      <c r="U2880">
        <v>6.8460000000000001</v>
      </c>
      <c r="V2880">
        <v>6.8460000000000001</v>
      </c>
      <c r="W2880">
        <v>6.8460000000000001</v>
      </c>
      <c r="X2880">
        <v>6.8460000000000001</v>
      </c>
      <c r="Y2880">
        <v>6.8460000000000001</v>
      </c>
      <c r="Z2880">
        <v>6.8460000000000001</v>
      </c>
      <c r="AA2880">
        <v>6.8460000000000001</v>
      </c>
      <c r="AB2880">
        <v>6.8460000000000001</v>
      </c>
      <c r="AC2880">
        <v>6.8460000000000001</v>
      </c>
      <c r="AD2880">
        <v>6.8460000000000001</v>
      </c>
    </row>
    <row r="2881" spans="2:30" x14ac:dyDescent="0.25">
      <c r="B2881" t="s">
        <v>133</v>
      </c>
      <c r="C2881" t="s">
        <v>3263</v>
      </c>
      <c r="D2881" t="s">
        <v>4814</v>
      </c>
      <c r="E2881" t="s">
        <v>4815</v>
      </c>
      <c r="F2881" t="s">
        <v>8735</v>
      </c>
      <c r="G2881" t="s">
        <v>3890</v>
      </c>
      <c r="H2881" t="s">
        <v>4653</v>
      </c>
      <c r="I2881" t="s">
        <v>4810</v>
      </c>
      <c r="J2881">
        <v>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2:30" x14ac:dyDescent="0.25">
      <c r="B2882" t="s">
        <v>133</v>
      </c>
      <c r="C2882" t="s">
        <v>3263</v>
      </c>
      <c r="D2882" t="s">
        <v>4817</v>
      </c>
      <c r="E2882" t="s">
        <v>4818</v>
      </c>
      <c r="F2882" t="s">
        <v>8736</v>
      </c>
      <c r="G2882" t="s">
        <v>3890</v>
      </c>
      <c r="H2882" t="s">
        <v>4669</v>
      </c>
      <c r="I2882" t="s">
        <v>4810</v>
      </c>
      <c r="J2882">
        <v>2</v>
      </c>
      <c r="K2882">
        <v>5.2720000000000002</v>
      </c>
      <c r="L2882">
        <v>5.4829999999999997</v>
      </c>
      <c r="M2882">
        <v>5.702</v>
      </c>
      <c r="N2882">
        <v>5.93</v>
      </c>
      <c r="O2882">
        <v>6.1680000000000001</v>
      </c>
      <c r="P2882">
        <v>6.4139999999999997</v>
      </c>
      <c r="Q2882">
        <v>6.6710000000000003</v>
      </c>
      <c r="R2882">
        <v>6.9379999999999997</v>
      </c>
      <c r="S2882">
        <v>7.2149999999999999</v>
      </c>
      <c r="T2882">
        <v>7.5039999999999996</v>
      </c>
      <c r="U2882">
        <v>7.8040000000000003</v>
      </c>
      <c r="V2882">
        <v>8.1159999999999997</v>
      </c>
      <c r="W2882">
        <v>8.4410000000000007</v>
      </c>
      <c r="X2882">
        <v>8.7780000000000005</v>
      </c>
      <c r="Y2882">
        <v>9.1300000000000008</v>
      </c>
      <c r="Z2882">
        <v>9.4949999999999992</v>
      </c>
      <c r="AA2882">
        <v>9.8740000000000006</v>
      </c>
      <c r="AB2882">
        <v>10.269</v>
      </c>
      <c r="AC2882">
        <v>10.68</v>
      </c>
      <c r="AD2882">
        <v>11.106999999999999</v>
      </c>
    </row>
    <row r="2883" spans="2:30" x14ac:dyDescent="0.25">
      <c r="B2883" t="s">
        <v>133</v>
      </c>
      <c r="C2883" t="s">
        <v>3263</v>
      </c>
      <c r="D2883" t="s">
        <v>4820</v>
      </c>
      <c r="E2883" t="s">
        <v>4821</v>
      </c>
      <c r="F2883" t="s">
        <v>8737</v>
      </c>
      <c r="G2883" t="s">
        <v>3890</v>
      </c>
      <c r="H2883" t="s">
        <v>4673</v>
      </c>
      <c r="I2883" t="s">
        <v>4810</v>
      </c>
      <c r="J2883">
        <v>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2:30" x14ac:dyDescent="0.25">
      <c r="B2884" t="s">
        <v>133</v>
      </c>
      <c r="C2884" t="s">
        <v>3263</v>
      </c>
      <c r="D2884" t="s">
        <v>4823</v>
      </c>
      <c r="E2884" t="s">
        <v>4824</v>
      </c>
      <c r="F2884" t="s">
        <v>8738</v>
      </c>
      <c r="G2884" t="s">
        <v>3890</v>
      </c>
      <c r="H2884" t="s">
        <v>4826</v>
      </c>
      <c r="I2884" t="s">
        <v>4810</v>
      </c>
      <c r="J2884">
        <v>2</v>
      </c>
      <c r="K2884">
        <v>11.465999999999999</v>
      </c>
      <c r="L2884">
        <v>8.83</v>
      </c>
      <c r="M2884">
        <v>7.7460000000000004</v>
      </c>
      <c r="N2884">
        <v>7.0540000000000003</v>
      </c>
      <c r="O2884">
        <v>8.0719999999999992</v>
      </c>
      <c r="P2884">
        <v>8.5269999999999992</v>
      </c>
      <c r="Q2884">
        <v>8.9009999999999998</v>
      </c>
      <c r="R2884">
        <v>9.2729999999999997</v>
      </c>
      <c r="S2884">
        <v>9.6430000000000007</v>
      </c>
      <c r="T2884">
        <v>10.013999999999999</v>
      </c>
      <c r="U2884">
        <v>10.414</v>
      </c>
      <c r="V2884">
        <v>10.814</v>
      </c>
      <c r="W2884">
        <v>11.214</v>
      </c>
      <c r="X2884">
        <v>11.614000000000001</v>
      </c>
      <c r="Y2884">
        <v>12.013999999999999</v>
      </c>
      <c r="Z2884">
        <v>12.414</v>
      </c>
      <c r="AA2884">
        <v>12.814</v>
      </c>
      <c r="AB2884">
        <v>13.214</v>
      </c>
      <c r="AC2884">
        <v>13.614000000000001</v>
      </c>
      <c r="AD2884">
        <v>14.013999999999999</v>
      </c>
    </row>
    <row r="2885" spans="2:30" x14ac:dyDescent="0.25">
      <c r="B2885" t="s">
        <v>133</v>
      </c>
      <c r="C2885" t="s">
        <v>3263</v>
      </c>
      <c r="D2885" t="s">
        <v>4827</v>
      </c>
      <c r="E2885" t="s">
        <v>4828</v>
      </c>
      <c r="F2885" t="s">
        <v>8739</v>
      </c>
      <c r="G2885" t="s">
        <v>3890</v>
      </c>
      <c r="H2885" t="s">
        <v>4830</v>
      </c>
      <c r="I2885" t="s">
        <v>4810</v>
      </c>
      <c r="J2885">
        <v>2</v>
      </c>
      <c r="K2885">
        <v>-4.9260000000000002</v>
      </c>
      <c r="L2885">
        <v>-5.2640000000000002</v>
      </c>
      <c r="M2885">
        <v>-5.5339999999999998</v>
      </c>
      <c r="N2885">
        <v>-5.7619999999999996</v>
      </c>
      <c r="O2885">
        <v>-4.9989999999999997</v>
      </c>
      <c r="P2885">
        <v>-4.8460000000000001</v>
      </c>
      <c r="Q2885">
        <v>-4.702</v>
      </c>
      <c r="R2885">
        <v>-4.569</v>
      </c>
      <c r="S2885">
        <v>-4.4470000000000001</v>
      </c>
      <c r="T2885">
        <v>-4.335</v>
      </c>
      <c r="U2885">
        <v>-4.2350000000000003</v>
      </c>
      <c r="V2885">
        <v>-4.1479999999999997</v>
      </c>
      <c r="W2885">
        <v>-4.0720000000000001</v>
      </c>
      <c r="X2885">
        <v>-4.01</v>
      </c>
      <c r="Y2885">
        <v>-3.9609999999999999</v>
      </c>
      <c r="Z2885">
        <v>-3.9260000000000002</v>
      </c>
      <c r="AA2885">
        <v>-3.9060000000000001</v>
      </c>
      <c r="AB2885">
        <v>-3.9009999999999998</v>
      </c>
      <c r="AC2885">
        <v>-3.9119999999999999</v>
      </c>
      <c r="AD2885">
        <v>-3.9390000000000001</v>
      </c>
    </row>
    <row r="2886" spans="2:30" x14ac:dyDescent="0.25">
      <c r="B2886" t="s">
        <v>133</v>
      </c>
      <c r="C2886" t="s">
        <v>3263</v>
      </c>
      <c r="D2886" t="s">
        <v>4831</v>
      </c>
      <c r="E2886" t="s">
        <v>4440</v>
      </c>
      <c r="F2886" t="s">
        <v>8621</v>
      </c>
      <c r="G2886" t="s">
        <v>3890</v>
      </c>
      <c r="H2886" t="s">
        <v>4832</v>
      </c>
      <c r="I2886" t="s">
        <v>4810</v>
      </c>
      <c r="J2886">
        <v>1</v>
      </c>
      <c r="K2886">
        <v>0.34599999999999997</v>
      </c>
      <c r="L2886">
        <v>0.219</v>
      </c>
      <c r="M2886">
        <v>0.16900000000000001</v>
      </c>
      <c r="N2886">
        <v>0.16900000000000001</v>
      </c>
      <c r="O2886">
        <v>0.16900000000000001</v>
      </c>
      <c r="P2886">
        <v>0.16900000000000001</v>
      </c>
      <c r="Q2886">
        <v>0.16900000000000001</v>
      </c>
      <c r="R2886">
        <v>0.16900000000000001</v>
      </c>
      <c r="S2886">
        <v>0.16900000000000001</v>
      </c>
      <c r="T2886">
        <v>0.16900000000000001</v>
      </c>
      <c r="U2886">
        <v>0.16900000000000001</v>
      </c>
      <c r="V2886">
        <v>0.16900000000000001</v>
      </c>
      <c r="W2886">
        <v>0.16900000000000001</v>
      </c>
      <c r="X2886">
        <v>0.16900000000000001</v>
      </c>
      <c r="Y2886">
        <v>0.16900000000000001</v>
      </c>
      <c r="Z2886">
        <v>0.16900000000000001</v>
      </c>
      <c r="AA2886">
        <v>0.16900000000000001</v>
      </c>
      <c r="AB2886">
        <v>0.16900000000000001</v>
      </c>
      <c r="AC2886">
        <v>0.16900000000000001</v>
      </c>
      <c r="AD2886">
        <v>0.16900000000000001</v>
      </c>
    </row>
    <row r="2887" spans="2:30" x14ac:dyDescent="0.25">
      <c r="B2887" t="s">
        <v>133</v>
      </c>
      <c r="C2887" t="s">
        <v>3263</v>
      </c>
      <c r="D2887" t="s">
        <v>4833</v>
      </c>
      <c r="E2887" t="s">
        <v>4834</v>
      </c>
      <c r="F2887" t="s">
        <v>8740</v>
      </c>
      <c r="G2887" t="s">
        <v>3890</v>
      </c>
      <c r="H2887" t="s">
        <v>4686</v>
      </c>
      <c r="I2887" t="s">
        <v>4687</v>
      </c>
      <c r="J2887">
        <v>1</v>
      </c>
      <c r="K2887">
        <v>3.5920000000000001</v>
      </c>
      <c r="L2887">
        <v>2.2810000000000001</v>
      </c>
      <c r="M2887">
        <v>1.7529999999999999</v>
      </c>
      <c r="N2887">
        <v>1.7529999999999999</v>
      </c>
      <c r="O2887">
        <v>1.7529999999999999</v>
      </c>
      <c r="P2887">
        <v>1.7529999999999999</v>
      </c>
      <c r="Q2887">
        <v>1.7529999999999999</v>
      </c>
      <c r="R2887">
        <v>1.7529999999999999</v>
      </c>
      <c r="S2887">
        <v>1.7529999999999999</v>
      </c>
      <c r="T2887">
        <v>1.7529999999999999</v>
      </c>
      <c r="U2887">
        <v>1.7529999999999999</v>
      </c>
      <c r="V2887">
        <v>1.7529999999999999</v>
      </c>
      <c r="W2887">
        <v>1.7529999999999999</v>
      </c>
      <c r="X2887">
        <v>1.7529999999999999</v>
      </c>
      <c r="Y2887">
        <v>1.7529999999999999</v>
      </c>
      <c r="Z2887">
        <v>1.7529999999999999</v>
      </c>
      <c r="AA2887">
        <v>1.7529999999999999</v>
      </c>
      <c r="AB2887">
        <v>1.7529999999999999</v>
      </c>
      <c r="AC2887">
        <v>1.7529999999999999</v>
      </c>
      <c r="AD2887">
        <v>1.7529999999999999</v>
      </c>
    </row>
    <row r="2888" spans="2:30" x14ac:dyDescent="0.25">
      <c r="B2888" t="s">
        <v>133</v>
      </c>
      <c r="C2888" t="s">
        <v>3263</v>
      </c>
      <c r="D2888" t="s">
        <v>4836</v>
      </c>
      <c r="E2888" t="s">
        <v>4837</v>
      </c>
      <c r="F2888" t="s">
        <v>8741</v>
      </c>
      <c r="G2888" t="s">
        <v>3890</v>
      </c>
      <c r="H2888" t="s">
        <v>4839</v>
      </c>
      <c r="I2888" t="s">
        <v>4810</v>
      </c>
      <c r="J2888">
        <v>2</v>
      </c>
      <c r="K2888">
        <v>5.2720000000000002</v>
      </c>
      <c r="L2888">
        <v>5.4829999999999997</v>
      </c>
      <c r="M2888">
        <v>5.702</v>
      </c>
      <c r="N2888">
        <v>5.93</v>
      </c>
      <c r="O2888">
        <v>6.1680000000000001</v>
      </c>
      <c r="P2888">
        <v>6.4139999999999997</v>
      </c>
      <c r="Q2888">
        <v>6.6710000000000003</v>
      </c>
      <c r="R2888">
        <v>6.9379999999999997</v>
      </c>
      <c r="S2888">
        <v>7.2149999999999999</v>
      </c>
      <c r="T2888">
        <v>7.5039999999999996</v>
      </c>
      <c r="U2888">
        <v>7.8040000000000003</v>
      </c>
      <c r="V2888">
        <v>8.1159999999999997</v>
      </c>
      <c r="W2888">
        <v>8.4410000000000007</v>
      </c>
      <c r="X2888">
        <v>8.7780000000000005</v>
      </c>
      <c r="Y2888">
        <v>9.1300000000000008</v>
      </c>
      <c r="Z2888">
        <v>9.4949999999999992</v>
      </c>
      <c r="AA2888">
        <v>9.8740000000000006</v>
      </c>
      <c r="AB2888">
        <v>10.269</v>
      </c>
      <c r="AC2888">
        <v>10.68</v>
      </c>
      <c r="AD2888">
        <v>11.106999999999999</v>
      </c>
    </row>
    <row r="2889" spans="2:30" x14ac:dyDescent="0.25">
      <c r="B2889" t="s">
        <v>133</v>
      </c>
      <c r="C2889" t="s">
        <v>3263</v>
      </c>
      <c r="D2889" t="s">
        <v>4840</v>
      </c>
      <c r="E2889" t="s">
        <v>4841</v>
      </c>
      <c r="F2889" t="s">
        <v>8742</v>
      </c>
      <c r="G2889" t="s">
        <v>3890</v>
      </c>
      <c r="H2889" t="s">
        <v>4695</v>
      </c>
      <c r="I2889" t="s">
        <v>4687</v>
      </c>
      <c r="J2889">
        <v>2</v>
      </c>
      <c r="K2889">
        <v>54.802</v>
      </c>
      <c r="L2889">
        <v>56.994</v>
      </c>
      <c r="M2889">
        <v>59.274000000000001</v>
      </c>
      <c r="N2889">
        <v>61.645000000000003</v>
      </c>
      <c r="O2889">
        <v>64.11</v>
      </c>
      <c r="P2889">
        <v>66.674999999999997</v>
      </c>
      <c r="Q2889">
        <v>69.341999999999999</v>
      </c>
      <c r="R2889">
        <v>72.114999999999995</v>
      </c>
      <c r="S2889">
        <v>75</v>
      </c>
      <c r="T2889">
        <v>78</v>
      </c>
      <c r="U2889">
        <v>81.12</v>
      </c>
      <c r="V2889">
        <v>84.364999999999995</v>
      </c>
      <c r="W2889">
        <v>87.739000000000004</v>
      </c>
      <c r="X2889">
        <v>91.248999999999995</v>
      </c>
      <c r="Y2889">
        <v>94.899000000000001</v>
      </c>
      <c r="Z2889">
        <v>98.694999999999993</v>
      </c>
      <c r="AA2889">
        <v>102.643</v>
      </c>
      <c r="AB2889">
        <v>106.748</v>
      </c>
      <c r="AC2889">
        <v>111.018</v>
      </c>
      <c r="AD2889">
        <v>115.459</v>
      </c>
    </row>
    <row r="2890" spans="2:30" x14ac:dyDescent="0.25">
      <c r="B2890" t="s">
        <v>133</v>
      </c>
      <c r="C2890" t="s">
        <v>3263</v>
      </c>
      <c r="D2890" t="s">
        <v>4843</v>
      </c>
      <c r="E2890" t="s">
        <v>4844</v>
      </c>
      <c r="F2890" t="s">
        <v>8743</v>
      </c>
      <c r="G2890" t="s">
        <v>3890</v>
      </c>
      <c r="H2890" t="s">
        <v>4645</v>
      </c>
      <c r="I2890" t="s">
        <v>4810</v>
      </c>
      <c r="J2890">
        <v>2</v>
      </c>
      <c r="K2890">
        <v>29.199000000000002</v>
      </c>
      <c r="L2890">
        <v>21.902000000000001</v>
      </c>
      <c r="M2890">
        <v>21.242999999999999</v>
      </c>
      <c r="N2890">
        <v>20.411999999999999</v>
      </c>
      <c r="O2890">
        <v>20.712</v>
      </c>
      <c r="P2890">
        <v>21.079000000000001</v>
      </c>
      <c r="Q2890">
        <v>21.331</v>
      </c>
      <c r="R2890">
        <v>21.591000000000001</v>
      </c>
      <c r="S2890">
        <v>21.86</v>
      </c>
      <c r="T2890">
        <v>22.143999999999998</v>
      </c>
      <c r="U2890">
        <v>22.486000000000001</v>
      </c>
      <c r="V2890">
        <v>22.841999999999999</v>
      </c>
      <c r="W2890">
        <v>23.212</v>
      </c>
      <c r="X2890">
        <v>23.597000000000001</v>
      </c>
      <c r="Y2890">
        <v>23.997</v>
      </c>
      <c r="Z2890">
        <v>24.413</v>
      </c>
      <c r="AA2890">
        <v>24.846</v>
      </c>
      <c r="AB2890">
        <v>25.297000000000001</v>
      </c>
      <c r="AC2890">
        <v>25.765000000000001</v>
      </c>
      <c r="AD2890">
        <v>26.251999999999999</v>
      </c>
    </row>
    <row r="2891" spans="2:30" x14ac:dyDescent="0.25">
      <c r="B2891" t="s">
        <v>133</v>
      </c>
      <c r="C2891" t="s">
        <v>3263</v>
      </c>
      <c r="D2891" t="s">
        <v>4846</v>
      </c>
      <c r="E2891" t="s">
        <v>4847</v>
      </c>
      <c r="F2891" t="s">
        <v>8744</v>
      </c>
      <c r="G2891" t="s">
        <v>3890</v>
      </c>
      <c r="H2891" t="s">
        <v>4394</v>
      </c>
      <c r="I2891" t="s">
        <v>4810</v>
      </c>
      <c r="J2891">
        <v>2</v>
      </c>
      <c r="K2891">
        <v>20.341000000000001</v>
      </c>
      <c r="L2891">
        <v>13.728999999999999</v>
      </c>
      <c r="M2891">
        <v>12.932</v>
      </c>
      <c r="N2891">
        <v>11.975</v>
      </c>
      <c r="O2891">
        <v>12</v>
      </c>
      <c r="P2891">
        <v>12.076000000000001</v>
      </c>
      <c r="Q2891">
        <v>12.04</v>
      </c>
      <c r="R2891">
        <v>12.002000000000001</v>
      </c>
      <c r="S2891">
        <v>11.96</v>
      </c>
      <c r="T2891">
        <v>11.920999999999999</v>
      </c>
      <c r="U2891">
        <v>11.920999999999999</v>
      </c>
      <c r="V2891">
        <v>11.920999999999999</v>
      </c>
      <c r="W2891">
        <v>11.920999999999999</v>
      </c>
      <c r="X2891">
        <v>11.920999999999999</v>
      </c>
      <c r="Y2891">
        <v>11.920999999999999</v>
      </c>
      <c r="Z2891">
        <v>11.920999999999999</v>
      </c>
      <c r="AA2891">
        <v>11.920999999999999</v>
      </c>
      <c r="AB2891">
        <v>11.920999999999999</v>
      </c>
      <c r="AC2891">
        <v>11.920999999999999</v>
      </c>
      <c r="AD2891">
        <v>11.920999999999999</v>
      </c>
    </row>
    <row r="2892" spans="2:30" x14ac:dyDescent="0.25">
      <c r="B2892" t="s">
        <v>133</v>
      </c>
      <c r="C2892" t="s">
        <v>3263</v>
      </c>
      <c r="D2892" t="s">
        <v>4849</v>
      </c>
      <c r="E2892" t="s">
        <v>4850</v>
      </c>
      <c r="F2892" t="s">
        <v>8745</v>
      </c>
      <c r="G2892" t="s">
        <v>3890</v>
      </c>
      <c r="H2892" t="s">
        <v>4653</v>
      </c>
      <c r="I2892" t="s">
        <v>4810</v>
      </c>
      <c r="J2892">
        <v>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2:30" x14ac:dyDescent="0.25">
      <c r="B2893" t="s">
        <v>133</v>
      </c>
      <c r="C2893" t="s">
        <v>3263</v>
      </c>
      <c r="D2893" t="s">
        <v>4852</v>
      </c>
      <c r="E2893" t="s">
        <v>4853</v>
      </c>
      <c r="F2893" t="s">
        <v>8746</v>
      </c>
      <c r="G2893" t="s">
        <v>3890</v>
      </c>
      <c r="H2893" t="s">
        <v>4669</v>
      </c>
      <c r="I2893" t="s">
        <v>4810</v>
      </c>
      <c r="J2893">
        <v>2</v>
      </c>
      <c r="K2893">
        <v>5.2720000000000002</v>
      </c>
      <c r="L2893">
        <v>5.4829999999999997</v>
      </c>
      <c r="M2893">
        <v>5.702</v>
      </c>
      <c r="N2893">
        <v>5.93</v>
      </c>
      <c r="O2893">
        <v>6.1680000000000001</v>
      </c>
      <c r="P2893">
        <v>6.4139999999999997</v>
      </c>
      <c r="Q2893">
        <v>6.6710000000000003</v>
      </c>
      <c r="R2893">
        <v>6.9379999999999997</v>
      </c>
      <c r="S2893">
        <v>7.2149999999999999</v>
      </c>
      <c r="T2893">
        <v>7.5039999999999996</v>
      </c>
      <c r="U2893">
        <v>7.8040000000000003</v>
      </c>
      <c r="V2893">
        <v>8.1159999999999997</v>
      </c>
      <c r="W2893">
        <v>8.4410000000000007</v>
      </c>
      <c r="X2893">
        <v>8.7780000000000005</v>
      </c>
      <c r="Y2893">
        <v>9.1300000000000008</v>
      </c>
      <c r="Z2893">
        <v>9.4949999999999992</v>
      </c>
      <c r="AA2893">
        <v>9.8740000000000006</v>
      </c>
      <c r="AB2893">
        <v>10.269</v>
      </c>
      <c r="AC2893">
        <v>10.68</v>
      </c>
      <c r="AD2893">
        <v>11.106999999999999</v>
      </c>
    </row>
    <row r="2894" spans="2:30" x14ac:dyDescent="0.25">
      <c r="B2894" t="s">
        <v>133</v>
      </c>
      <c r="C2894" t="s">
        <v>3263</v>
      </c>
      <c r="D2894" t="s">
        <v>4855</v>
      </c>
      <c r="E2894" t="s">
        <v>4856</v>
      </c>
      <c r="F2894" t="s">
        <v>8747</v>
      </c>
      <c r="G2894" t="s">
        <v>3890</v>
      </c>
      <c r="H2894" t="s">
        <v>4673</v>
      </c>
      <c r="I2894" t="s">
        <v>4810</v>
      </c>
      <c r="J2894">
        <v>2</v>
      </c>
      <c r="K2894">
        <v>3.5859999999999999</v>
      </c>
      <c r="L2894">
        <v>2.69</v>
      </c>
      <c r="M2894">
        <v>2.609</v>
      </c>
      <c r="N2894">
        <v>2.5070000000000001</v>
      </c>
      <c r="O2894">
        <v>2.544</v>
      </c>
      <c r="P2894">
        <v>2.589</v>
      </c>
      <c r="Q2894">
        <v>2.62</v>
      </c>
      <c r="R2894">
        <v>2.6520000000000001</v>
      </c>
      <c r="S2894">
        <v>2.6850000000000001</v>
      </c>
      <c r="T2894">
        <v>2.7189999999999999</v>
      </c>
      <c r="U2894">
        <v>2.7610000000000001</v>
      </c>
      <c r="V2894">
        <v>2.8050000000000002</v>
      </c>
      <c r="W2894">
        <v>2.851</v>
      </c>
      <c r="X2894">
        <v>2.8980000000000001</v>
      </c>
      <c r="Y2894">
        <v>2.9470000000000001</v>
      </c>
      <c r="Z2894">
        <v>2.9980000000000002</v>
      </c>
      <c r="AA2894">
        <v>3.0510000000000002</v>
      </c>
      <c r="AB2894">
        <v>3.1070000000000002</v>
      </c>
      <c r="AC2894">
        <v>3.1640000000000001</v>
      </c>
      <c r="AD2894">
        <v>3.2240000000000002</v>
      </c>
    </row>
    <row r="2895" spans="2:30" x14ac:dyDescent="0.25">
      <c r="B2895" t="s">
        <v>133</v>
      </c>
      <c r="C2895" t="s">
        <v>3263</v>
      </c>
      <c r="D2895" t="s">
        <v>4858</v>
      </c>
      <c r="E2895" t="s">
        <v>4859</v>
      </c>
      <c r="F2895" t="s">
        <v>8748</v>
      </c>
      <c r="G2895" t="s">
        <v>3890</v>
      </c>
      <c r="H2895" t="s">
        <v>4826</v>
      </c>
      <c r="I2895" t="s">
        <v>4810</v>
      </c>
      <c r="J2895">
        <v>2</v>
      </c>
      <c r="K2895">
        <v>23.399000000000001</v>
      </c>
      <c r="L2895">
        <v>15.864000000000001</v>
      </c>
      <c r="M2895">
        <v>14.744</v>
      </c>
      <c r="N2895">
        <v>13.651999999999999</v>
      </c>
      <c r="O2895">
        <v>13.680999999999999</v>
      </c>
      <c r="P2895">
        <v>13.768000000000001</v>
      </c>
      <c r="Q2895">
        <v>13.727</v>
      </c>
      <c r="R2895">
        <v>13.683</v>
      </c>
      <c r="S2895">
        <v>13.635999999999999</v>
      </c>
      <c r="T2895">
        <v>13.59</v>
      </c>
      <c r="U2895">
        <v>13.59</v>
      </c>
      <c r="V2895">
        <v>13.59</v>
      </c>
      <c r="W2895">
        <v>13.59</v>
      </c>
      <c r="X2895">
        <v>13.59</v>
      </c>
      <c r="Y2895">
        <v>13.59</v>
      </c>
      <c r="Z2895">
        <v>13.59</v>
      </c>
      <c r="AA2895">
        <v>13.59</v>
      </c>
      <c r="AB2895">
        <v>13.59</v>
      </c>
      <c r="AC2895">
        <v>13.59</v>
      </c>
      <c r="AD2895">
        <v>13.59</v>
      </c>
    </row>
    <row r="2896" spans="2:30" x14ac:dyDescent="0.25">
      <c r="B2896" t="s">
        <v>133</v>
      </c>
      <c r="C2896" t="s">
        <v>3263</v>
      </c>
      <c r="D2896" t="s">
        <v>4861</v>
      </c>
      <c r="E2896" t="s">
        <v>4862</v>
      </c>
      <c r="F2896" t="s">
        <v>8749</v>
      </c>
      <c r="G2896" t="s">
        <v>3890</v>
      </c>
      <c r="H2896" t="s">
        <v>4830</v>
      </c>
      <c r="I2896" t="s">
        <v>4810</v>
      </c>
      <c r="J2896">
        <v>2</v>
      </c>
      <c r="K2896">
        <v>-5.8</v>
      </c>
      <c r="L2896">
        <v>-6.0380000000000003</v>
      </c>
      <c r="M2896">
        <v>-6.5</v>
      </c>
      <c r="N2896">
        <v>-6.76</v>
      </c>
      <c r="O2896">
        <v>-7.03</v>
      </c>
      <c r="P2896">
        <v>-7.3120000000000003</v>
      </c>
      <c r="Q2896">
        <v>-7.6040000000000001</v>
      </c>
      <c r="R2896">
        <v>-7.9080000000000004</v>
      </c>
      <c r="S2896">
        <v>-8.2249999999999996</v>
      </c>
      <c r="T2896">
        <v>-8.5540000000000003</v>
      </c>
      <c r="U2896">
        <v>-8.8960000000000008</v>
      </c>
      <c r="V2896">
        <v>-9.2520000000000007</v>
      </c>
      <c r="W2896">
        <v>-9.6219999999999999</v>
      </c>
      <c r="X2896">
        <v>-10.007</v>
      </c>
      <c r="Y2896">
        <v>-10.407</v>
      </c>
      <c r="Z2896">
        <v>-10.823</v>
      </c>
      <c r="AA2896">
        <v>-11.256</v>
      </c>
      <c r="AB2896">
        <v>-11.706</v>
      </c>
      <c r="AC2896">
        <v>-12.175000000000001</v>
      </c>
      <c r="AD2896">
        <v>-12.662000000000001</v>
      </c>
    </row>
    <row r="2897" spans="2:30" x14ac:dyDescent="0.25">
      <c r="B2897" t="s">
        <v>133</v>
      </c>
      <c r="C2897" t="s">
        <v>3263</v>
      </c>
      <c r="D2897" t="s">
        <v>4864</v>
      </c>
      <c r="E2897" t="s">
        <v>4446</v>
      </c>
      <c r="F2897" t="s">
        <v>8623</v>
      </c>
      <c r="G2897" t="s">
        <v>3890</v>
      </c>
      <c r="H2897" t="s">
        <v>4865</v>
      </c>
      <c r="I2897" t="s">
        <v>4810</v>
      </c>
      <c r="J2897">
        <v>1</v>
      </c>
      <c r="K2897">
        <v>0.184</v>
      </c>
      <c r="L2897">
        <v>0.187</v>
      </c>
      <c r="M2897">
        <v>1E-3</v>
      </c>
      <c r="N2897">
        <v>1E-3</v>
      </c>
      <c r="O2897">
        <v>1E-3</v>
      </c>
      <c r="P2897">
        <v>1E-3</v>
      </c>
      <c r="Q2897">
        <v>1E-3</v>
      </c>
      <c r="R2897">
        <v>1E-3</v>
      </c>
      <c r="S2897">
        <v>1E-3</v>
      </c>
      <c r="T2897">
        <v>1E-3</v>
      </c>
      <c r="U2897">
        <v>1E-3</v>
      </c>
      <c r="V2897">
        <v>1E-3</v>
      </c>
      <c r="W2897">
        <v>1E-3</v>
      </c>
      <c r="X2897">
        <v>1E-3</v>
      </c>
      <c r="Y2897">
        <v>1E-3</v>
      </c>
      <c r="Z2897">
        <v>1E-3</v>
      </c>
      <c r="AA2897">
        <v>1E-3</v>
      </c>
      <c r="AB2897">
        <v>1E-3</v>
      </c>
      <c r="AC2897">
        <v>1E-3</v>
      </c>
      <c r="AD2897">
        <v>1E-3</v>
      </c>
    </row>
    <row r="2898" spans="2:30" x14ac:dyDescent="0.25">
      <c r="B2898" t="s">
        <v>133</v>
      </c>
      <c r="C2898" t="s">
        <v>3263</v>
      </c>
      <c r="D2898" t="s">
        <v>4866</v>
      </c>
      <c r="E2898" t="s">
        <v>4867</v>
      </c>
      <c r="F2898" t="s">
        <v>8750</v>
      </c>
      <c r="G2898" t="s">
        <v>3890</v>
      </c>
      <c r="H2898" t="s">
        <v>4686</v>
      </c>
      <c r="I2898" t="s">
        <v>4687</v>
      </c>
      <c r="J2898">
        <v>1</v>
      </c>
      <c r="K2898">
        <v>1.9179999999999999</v>
      </c>
      <c r="L2898">
        <v>1.9410000000000001</v>
      </c>
      <c r="M2898">
        <v>7.0000000000000001E-3</v>
      </c>
      <c r="N2898">
        <v>7.0000000000000001E-3</v>
      </c>
      <c r="O2898">
        <v>7.0000000000000001E-3</v>
      </c>
      <c r="P2898">
        <v>7.0000000000000001E-3</v>
      </c>
      <c r="Q2898">
        <v>7.0000000000000001E-3</v>
      </c>
      <c r="R2898">
        <v>7.0000000000000001E-3</v>
      </c>
      <c r="S2898">
        <v>7.0000000000000001E-3</v>
      </c>
      <c r="T2898">
        <v>7.0000000000000001E-3</v>
      </c>
      <c r="U2898">
        <v>7.0000000000000001E-3</v>
      </c>
      <c r="V2898">
        <v>7.0000000000000001E-3</v>
      </c>
      <c r="W2898">
        <v>7.0000000000000001E-3</v>
      </c>
      <c r="X2898">
        <v>7.0000000000000001E-3</v>
      </c>
      <c r="Y2898">
        <v>7.0000000000000001E-3</v>
      </c>
      <c r="Z2898">
        <v>7.0000000000000001E-3</v>
      </c>
      <c r="AA2898">
        <v>7.0000000000000001E-3</v>
      </c>
      <c r="AB2898">
        <v>7.0000000000000001E-3</v>
      </c>
      <c r="AC2898">
        <v>7.0000000000000001E-3</v>
      </c>
      <c r="AD2898">
        <v>7.0000000000000001E-3</v>
      </c>
    </row>
    <row r="2899" spans="2:30" x14ac:dyDescent="0.25">
      <c r="B2899" t="s">
        <v>133</v>
      </c>
      <c r="C2899" t="s">
        <v>3263</v>
      </c>
      <c r="D2899" t="s">
        <v>4869</v>
      </c>
      <c r="E2899" t="s">
        <v>4870</v>
      </c>
      <c r="F2899" t="s">
        <v>8751</v>
      </c>
      <c r="G2899" t="s">
        <v>3890</v>
      </c>
      <c r="H2899" t="s">
        <v>4839</v>
      </c>
      <c r="I2899" t="s">
        <v>4810</v>
      </c>
      <c r="J2899">
        <v>2</v>
      </c>
      <c r="K2899">
        <v>5.2720000000000002</v>
      </c>
      <c r="L2899">
        <v>5.4829999999999997</v>
      </c>
      <c r="M2899">
        <v>5.702</v>
      </c>
      <c r="N2899">
        <v>5.93</v>
      </c>
      <c r="O2899">
        <v>6.1680000000000001</v>
      </c>
      <c r="P2899">
        <v>6.4139999999999997</v>
      </c>
      <c r="Q2899">
        <v>6.6710000000000003</v>
      </c>
      <c r="R2899">
        <v>6.9379999999999997</v>
      </c>
      <c r="S2899">
        <v>7.2149999999999999</v>
      </c>
      <c r="T2899">
        <v>7.5039999999999996</v>
      </c>
      <c r="U2899">
        <v>7.8040000000000003</v>
      </c>
      <c r="V2899">
        <v>8.1159999999999997</v>
      </c>
      <c r="W2899">
        <v>8.4410000000000007</v>
      </c>
      <c r="X2899">
        <v>8.7780000000000005</v>
      </c>
      <c r="Y2899">
        <v>9.1300000000000008</v>
      </c>
      <c r="Z2899">
        <v>9.4949999999999992</v>
      </c>
      <c r="AA2899">
        <v>9.8740000000000006</v>
      </c>
      <c r="AB2899">
        <v>10.269</v>
      </c>
      <c r="AC2899">
        <v>10.68</v>
      </c>
      <c r="AD2899">
        <v>11.106999999999999</v>
      </c>
    </row>
    <row r="2900" spans="2:30" x14ac:dyDescent="0.25">
      <c r="B2900" t="s">
        <v>133</v>
      </c>
      <c r="C2900" t="s">
        <v>3263</v>
      </c>
      <c r="D2900" t="s">
        <v>4872</v>
      </c>
      <c r="E2900" t="s">
        <v>4873</v>
      </c>
      <c r="F2900" t="s">
        <v>8752</v>
      </c>
      <c r="G2900" t="s">
        <v>3890</v>
      </c>
      <c r="H2900" t="s">
        <v>4695</v>
      </c>
      <c r="I2900" t="s">
        <v>4687</v>
      </c>
      <c r="J2900">
        <v>2</v>
      </c>
      <c r="K2900">
        <v>54.802</v>
      </c>
      <c r="L2900">
        <v>56.994</v>
      </c>
      <c r="M2900">
        <v>59.274000000000001</v>
      </c>
      <c r="N2900">
        <v>61.645000000000003</v>
      </c>
      <c r="O2900">
        <v>64.11</v>
      </c>
      <c r="P2900">
        <v>66.674999999999997</v>
      </c>
      <c r="Q2900">
        <v>69.341999999999999</v>
      </c>
      <c r="R2900">
        <v>72.114999999999995</v>
      </c>
      <c r="S2900">
        <v>75</v>
      </c>
      <c r="T2900">
        <v>78</v>
      </c>
      <c r="U2900">
        <v>81.12</v>
      </c>
      <c r="V2900">
        <v>84.364999999999995</v>
      </c>
      <c r="W2900">
        <v>87.739000000000004</v>
      </c>
      <c r="X2900">
        <v>91.248999999999995</v>
      </c>
      <c r="Y2900">
        <v>94.899000000000001</v>
      </c>
      <c r="Z2900">
        <v>98.694999999999993</v>
      </c>
      <c r="AA2900">
        <v>102.643</v>
      </c>
      <c r="AB2900">
        <v>106.748</v>
      </c>
      <c r="AC2900">
        <v>111.018</v>
      </c>
      <c r="AD2900">
        <v>115.459</v>
      </c>
    </row>
    <row r="2901" spans="2:30" x14ac:dyDescent="0.25">
      <c r="B2901" t="s">
        <v>133</v>
      </c>
      <c r="C2901" t="s">
        <v>3263</v>
      </c>
      <c r="D2901" t="s">
        <v>4875</v>
      </c>
      <c r="E2901" t="s">
        <v>4876</v>
      </c>
      <c r="F2901" t="s">
        <v>8753</v>
      </c>
      <c r="G2901" t="s">
        <v>3890</v>
      </c>
      <c r="H2901" t="s">
        <v>4645</v>
      </c>
      <c r="I2901" t="s">
        <v>4810</v>
      </c>
      <c r="J2901">
        <v>2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  <c r="W2901" t="e">
        <v>#N/A</v>
      </c>
      <c r="X2901" t="e">
        <v>#N/A</v>
      </c>
      <c r="Y2901" t="e">
        <v>#N/A</v>
      </c>
      <c r="Z2901" t="e">
        <v>#N/A</v>
      </c>
      <c r="AA2901" t="e">
        <v>#N/A</v>
      </c>
      <c r="AB2901" t="e">
        <v>#N/A</v>
      </c>
      <c r="AC2901" t="e">
        <v>#N/A</v>
      </c>
      <c r="AD2901" t="e">
        <v>#N/A</v>
      </c>
    </row>
    <row r="2902" spans="2:30" x14ac:dyDescent="0.25">
      <c r="B2902" t="s">
        <v>133</v>
      </c>
      <c r="C2902" t="s">
        <v>3263</v>
      </c>
      <c r="D2902" t="s">
        <v>4878</v>
      </c>
      <c r="E2902" t="s">
        <v>4879</v>
      </c>
      <c r="F2902" t="s">
        <v>8754</v>
      </c>
      <c r="G2902" t="s">
        <v>3890</v>
      </c>
      <c r="H2902" t="s">
        <v>4394</v>
      </c>
      <c r="I2902" t="s">
        <v>4810</v>
      </c>
      <c r="J2902">
        <v>2</v>
      </c>
      <c r="K2902">
        <v>13.301</v>
      </c>
      <c r="L2902">
        <v>6.66</v>
      </c>
      <c r="M2902">
        <v>5.9119999999999999</v>
      </c>
      <c r="N2902">
        <v>5.032</v>
      </c>
      <c r="O2902">
        <v>5.0549999999999997</v>
      </c>
      <c r="P2902">
        <v>5.125</v>
      </c>
      <c r="Q2902">
        <v>5.0919999999999996</v>
      </c>
      <c r="R2902">
        <v>5.056</v>
      </c>
      <c r="S2902">
        <v>5.0179999999999998</v>
      </c>
      <c r="T2902">
        <v>4.9820000000000002</v>
      </c>
      <c r="U2902">
        <v>4.9820000000000002</v>
      </c>
      <c r="V2902">
        <v>4.9820000000000002</v>
      </c>
      <c r="W2902">
        <v>4.9820000000000002</v>
      </c>
      <c r="X2902">
        <v>4.9820000000000002</v>
      </c>
      <c r="Y2902">
        <v>4.9820000000000002</v>
      </c>
      <c r="Z2902">
        <v>4.9820000000000002</v>
      </c>
      <c r="AA2902">
        <v>4.9820000000000002</v>
      </c>
      <c r="AB2902">
        <v>4.9820000000000002</v>
      </c>
      <c r="AC2902">
        <v>4.9820000000000002</v>
      </c>
      <c r="AD2902">
        <v>4.9820000000000002</v>
      </c>
    </row>
    <row r="2903" spans="2:30" x14ac:dyDescent="0.25">
      <c r="B2903" t="s">
        <v>133</v>
      </c>
      <c r="C2903" t="s">
        <v>3263</v>
      </c>
      <c r="D2903" t="s">
        <v>4881</v>
      </c>
      <c r="E2903" t="s">
        <v>4882</v>
      </c>
      <c r="F2903" t="s">
        <v>8755</v>
      </c>
      <c r="G2903" t="s">
        <v>3890</v>
      </c>
      <c r="H2903" t="s">
        <v>4653</v>
      </c>
      <c r="I2903" t="s">
        <v>4810</v>
      </c>
      <c r="J2903">
        <v>2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  <c r="W2903" t="e">
        <v>#N/A</v>
      </c>
      <c r="X2903" t="e">
        <v>#N/A</v>
      </c>
      <c r="Y2903" t="e">
        <v>#N/A</v>
      </c>
      <c r="Z2903" t="e">
        <v>#N/A</v>
      </c>
      <c r="AA2903" t="e">
        <v>#N/A</v>
      </c>
      <c r="AB2903" t="e">
        <v>#N/A</v>
      </c>
      <c r="AC2903" t="e">
        <v>#N/A</v>
      </c>
      <c r="AD2903" t="e">
        <v>#N/A</v>
      </c>
    </row>
    <row r="2904" spans="2:30" x14ac:dyDescent="0.25">
      <c r="B2904" t="s">
        <v>133</v>
      </c>
      <c r="C2904" t="s">
        <v>3263</v>
      </c>
      <c r="D2904" t="s">
        <v>4884</v>
      </c>
      <c r="E2904" t="s">
        <v>4885</v>
      </c>
      <c r="F2904" t="s">
        <v>8756</v>
      </c>
      <c r="G2904" t="s">
        <v>3890</v>
      </c>
      <c r="H2904" t="s">
        <v>4669</v>
      </c>
      <c r="I2904" t="s">
        <v>4810</v>
      </c>
      <c r="J2904">
        <v>2</v>
      </c>
      <c r="K2904">
        <v>5.2720000000000002</v>
      </c>
      <c r="L2904">
        <v>5.4829999999999997</v>
      </c>
      <c r="M2904">
        <v>5.702</v>
      </c>
      <c r="N2904">
        <v>5.93</v>
      </c>
      <c r="O2904">
        <v>6.1680000000000001</v>
      </c>
      <c r="P2904">
        <v>6.4139999999999997</v>
      </c>
      <c r="Q2904">
        <v>6.6710000000000003</v>
      </c>
      <c r="R2904">
        <v>6.9379999999999997</v>
      </c>
      <c r="S2904">
        <v>7.2149999999999999</v>
      </c>
      <c r="T2904">
        <v>7.5039999999999996</v>
      </c>
      <c r="U2904">
        <v>7.8040000000000003</v>
      </c>
      <c r="V2904">
        <v>8.1159999999999997</v>
      </c>
      <c r="W2904">
        <v>8.4410000000000007</v>
      </c>
      <c r="X2904">
        <v>8.7780000000000005</v>
      </c>
      <c r="Y2904">
        <v>9.1300000000000008</v>
      </c>
      <c r="Z2904">
        <v>9.4949999999999992</v>
      </c>
      <c r="AA2904">
        <v>9.8740000000000006</v>
      </c>
      <c r="AB2904">
        <v>10.269</v>
      </c>
      <c r="AC2904">
        <v>10.68</v>
      </c>
      <c r="AD2904">
        <v>11.106999999999999</v>
      </c>
    </row>
    <row r="2905" spans="2:30" x14ac:dyDescent="0.25">
      <c r="B2905" t="s">
        <v>133</v>
      </c>
      <c r="C2905" t="s">
        <v>3263</v>
      </c>
      <c r="D2905" t="s">
        <v>4887</v>
      </c>
      <c r="E2905" t="s">
        <v>4888</v>
      </c>
      <c r="F2905" t="s">
        <v>8757</v>
      </c>
      <c r="G2905" t="s">
        <v>3890</v>
      </c>
      <c r="H2905" t="s">
        <v>4673</v>
      </c>
      <c r="I2905" t="s">
        <v>4810</v>
      </c>
      <c r="J2905">
        <v>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2:30" x14ac:dyDescent="0.25">
      <c r="B2906" t="s">
        <v>133</v>
      </c>
      <c r="C2906" t="s">
        <v>3263</v>
      </c>
      <c r="D2906" t="s">
        <v>4890</v>
      </c>
      <c r="E2906" t="s">
        <v>4891</v>
      </c>
      <c r="F2906" t="s">
        <v>8758</v>
      </c>
      <c r="G2906" t="s">
        <v>3890</v>
      </c>
      <c r="H2906" t="s">
        <v>4826</v>
      </c>
      <c r="I2906" t="s">
        <v>4810</v>
      </c>
      <c r="J2906">
        <v>2</v>
      </c>
      <c r="K2906">
        <v>13.301</v>
      </c>
      <c r="L2906">
        <v>6.66</v>
      </c>
      <c r="M2906">
        <v>5.9119999999999999</v>
      </c>
      <c r="N2906">
        <v>5.032</v>
      </c>
      <c r="O2906">
        <v>5.0549999999999997</v>
      </c>
      <c r="P2906">
        <v>5.125</v>
      </c>
      <c r="Q2906">
        <v>5.0919999999999996</v>
      </c>
      <c r="R2906">
        <v>5.056</v>
      </c>
      <c r="S2906">
        <v>5.0179999999999998</v>
      </c>
      <c r="T2906">
        <v>4.9820000000000002</v>
      </c>
      <c r="U2906">
        <v>4.9820000000000002</v>
      </c>
      <c r="V2906">
        <v>4.9820000000000002</v>
      </c>
      <c r="W2906">
        <v>4.9820000000000002</v>
      </c>
      <c r="X2906">
        <v>4.9820000000000002</v>
      </c>
      <c r="Y2906">
        <v>4.9820000000000002</v>
      </c>
      <c r="Z2906">
        <v>4.9820000000000002</v>
      </c>
      <c r="AA2906">
        <v>4.9820000000000002</v>
      </c>
      <c r="AB2906">
        <v>4.9820000000000002</v>
      </c>
      <c r="AC2906">
        <v>4.9820000000000002</v>
      </c>
      <c r="AD2906">
        <v>4.9820000000000002</v>
      </c>
    </row>
    <row r="2907" spans="2:30" x14ac:dyDescent="0.25">
      <c r="B2907" t="s">
        <v>133</v>
      </c>
      <c r="C2907" t="s">
        <v>3263</v>
      </c>
      <c r="D2907" t="s">
        <v>4893</v>
      </c>
      <c r="E2907" t="s">
        <v>4894</v>
      </c>
      <c r="F2907" t="s">
        <v>8759</v>
      </c>
      <c r="G2907" t="s">
        <v>3890</v>
      </c>
      <c r="H2907" t="s">
        <v>4830</v>
      </c>
      <c r="I2907" t="s">
        <v>4810</v>
      </c>
      <c r="J2907">
        <v>2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  <c r="W2907" t="e">
        <v>#N/A</v>
      </c>
      <c r="X2907" t="e">
        <v>#N/A</v>
      </c>
      <c r="Y2907" t="e">
        <v>#N/A</v>
      </c>
      <c r="Z2907" t="e">
        <v>#N/A</v>
      </c>
      <c r="AA2907" t="e">
        <v>#N/A</v>
      </c>
      <c r="AB2907" t="e">
        <v>#N/A</v>
      </c>
      <c r="AC2907" t="e">
        <v>#N/A</v>
      </c>
      <c r="AD2907" t="e">
        <v>#N/A</v>
      </c>
    </row>
    <row r="2908" spans="2:30" x14ac:dyDescent="0.25">
      <c r="B2908" t="s">
        <v>133</v>
      </c>
      <c r="C2908" t="s">
        <v>3263</v>
      </c>
      <c r="D2908" t="s">
        <v>4896</v>
      </c>
      <c r="E2908" t="s">
        <v>4452</v>
      </c>
      <c r="F2908" t="s">
        <v>8625</v>
      </c>
      <c r="G2908" t="s">
        <v>3890</v>
      </c>
      <c r="H2908" t="s">
        <v>4897</v>
      </c>
      <c r="I2908" t="s">
        <v>4810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2:30" x14ac:dyDescent="0.25">
      <c r="B2909" t="s">
        <v>133</v>
      </c>
      <c r="C2909" t="s">
        <v>3263</v>
      </c>
      <c r="D2909" t="s">
        <v>4898</v>
      </c>
      <c r="E2909" t="s">
        <v>4899</v>
      </c>
      <c r="F2909" t="s">
        <v>8760</v>
      </c>
      <c r="G2909" t="s">
        <v>3890</v>
      </c>
      <c r="H2909" t="s">
        <v>4686</v>
      </c>
      <c r="I2909" t="s">
        <v>4687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2:30" x14ac:dyDescent="0.25">
      <c r="B2910" t="s">
        <v>133</v>
      </c>
      <c r="C2910" t="s">
        <v>3263</v>
      </c>
      <c r="D2910" t="s">
        <v>4901</v>
      </c>
      <c r="E2910" t="s">
        <v>4902</v>
      </c>
      <c r="F2910" t="s">
        <v>8761</v>
      </c>
      <c r="G2910" t="s">
        <v>3890</v>
      </c>
      <c r="H2910" t="s">
        <v>4839</v>
      </c>
      <c r="I2910" t="s">
        <v>4810</v>
      </c>
      <c r="J2910">
        <v>2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  <c r="W2910" t="e">
        <v>#N/A</v>
      </c>
      <c r="X2910" t="e">
        <v>#N/A</v>
      </c>
      <c r="Y2910" t="e">
        <v>#N/A</v>
      </c>
      <c r="Z2910" t="e">
        <v>#N/A</v>
      </c>
      <c r="AA2910" t="e">
        <v>#N/A</v>
      </c>
      <c r="AB2910" t="e">
        <v>#N/A</v>
      </c>
      <c r="AC2910" t="e">
        <v>#N/A</v>
      </c>
      <c r="AD2910" t="e">
        <v>#N/A</v>
      </c>
    </row>
    <row r="2911" spans="2:30" x14ac:dyDescent="0.25">
      <c r="B2911" t="s">
        <v>133</v>
      </c>
      <c r="C2911" t="s">
        <v>3263</v>
      </c>
      <c r="D2911" t="s">
        <v>4904</v>
      </c>
      <c r="E2911" t="s">
        <v>4905</v>
      </c>
      <c r="F2911" t="s">
        <v>8762</v>
      </c>
      <c r="G2911" t="s">
        <v>3890</v>
      </c>
      <c r="H2911" t="s">
        <v>4695</v>
      </c>
      <c r="I2911" t="s">
        <v>4687</v>
      </c>
      <c r="J2911">
        <v>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2:30" x14ac:dyDescent="0.25">
      <c r="B2912" t="s">
        <v>133</v>
      </c>
      <c r="C2912" t="s">
        <v>3263</v>
      </c>
      <c r="D2912" t="s">
        <v>4907</v>
      </c>
      <c r="E2912" t="s">
        <v>4908</v>
      </c>
      <c r="F2912" t="s">
        <v>8763</v>
      </c>
      <c r="G2912" t="s">
        <v>3890</v>
      </c>
      <c r="H2912" t="s">
        <v>4645</v>
      </c>
      <c r="I2912" t="s">
        <v>4810</v>
      </c>
      <c r="J2912">
        <v>2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  <c r="W2912" t="e">
        <v>#N/A</v>
      </c>
      <c r="X2912" t="e">
        <v>#N/A</v>
      </c>
      <c r="Y2912" t="e">
        <v>#N/A</v>
      </c>
      <c r="Z2912" t="e">
        <v>#N/A</v>
      </c>
      <c r="AA2912" t="e">
        <v>#N/A</v>
      </c>
      <c r="AB2912" t="e">
        <v>#N/A</v>
      </c>
      <c r="AC2912" t="e">
        <v>#N/A</v>
      </c>
      <c r="AD2912" t="e">
        <v>#N/A</v>
      </c>
    </row>
    <row r="2913" spans="2:30" x14ac:dyDescent="0.25">
      <c r="B2913" t="s">
        <v>133</v>
      </c>
      <c r="C2913" t="s">
        <v>3263</v>
      </c>
      <c r="D2913" t="s">
        <v>4910</v>
      </c>
      <c r="E2913" t="s">
        <v>4911</v>
      </c>
      <c r="F2913" t="s">
        <v>8764</v>
      </c>
      <c r="G2913" t="s">
        <v>3890</v>
      </c>
      <c r="H2913" t="s">
        <v>4394</v>
      </c>
      <c r="I2913" t="s">
        <v>4810</v>
      </c>
      <c r="J2913">
        <v>2</v>
      </c>
      <c r="K2913">
        <v>12.260999999999999</v>
      </c>
      <c r="L2913">
        <v>10.192</v>
      </c>
      <c r="M2913">
        <v>9.57</v>
      </c>
      <c r="N2913">
        <v>9.64</v>
      </c>
      <c r="O2913">
        <v>9.6809999999999992</v>
      </c>
      <c r="P2913">
        <v>9.5749999999999993</v>
      </c>
      <c r="Q2913">
        <v>9.4489999999999998</v>
      </c>
      <c r="R2913">
        <v>9.4049999999999994</v>
      </c>
      <c r="S2913">
        <v>9.3919999999999995</v>
      </c>
      <c r="T2913">
        <v>9.3849999999999998</v>
      </c>
      <c r="U2913">
        <v>9.3849999999999998</v>
      </c>
      <c r="V2913">
        <v>9.3849999999999998</v>
      </c>
      <c r="W2913">
        <v>9.3849999999999998</v>
      </c>
      <c r="X2913">
        <v>9.3849999999999998</v>
      </c>
      <c r="Y2913">
        <v>9.3849999999999998</v>
      </c>
      <c r="Z2913">
        <v>9.3849999999999998</v>
      </c>
      <c r="AA2913">
        <v>9.3849999999999998</v>
      </c>
      <c r="AB2913">
        <v>9.3849999999999998</v>
      </c>
      <c r="AC2913">
        <v>9.3849999999999998</v>
      </c>
      <c r="AD2913">
        <v>9.3849999999999998</v>
      </c>
    </row>
    <row r="2914" spans="2:30" x14ac:dyDescent="0.25">
      <c r="B2914" t="s">
        <v>133</v>
      </c>
      <c r="C2914" t="s">
        <v>3263</v>
      </c>
      <c r="D2914" t="s">
        <v>4913</v>
      </c>
      <c r="E2914" t="s">
        <v>4914</v>
      </c>
      <c r="F2914" t="s">
        <v>8765</v>
      </c>
      <c r="G2914" t="s">
        <v>3890</v>
      </c>
      <c r="H2914" t="s">
        <v>4653</v>
      </c>
      <c r="I2914" t="s">
        <v>4810</v>
      </c>
      <c r="J2914">
        <v>2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  <c r="W2914" t="e">
        <v>#N/A</v>
      </c>
      <c r="X2914" t="e">
        <v>#N/A</v>
      </c>
      <c r="Y2914" t="e">
        <v>#N/A</v>
      </c>
      <c r="Z2914" t="e">
        <v>#N/A</v>
      </c>
      <c r="AA2914" t="e">
        <v>#N/A</v>
      </c>
      <c r="AB2914" t="e">
        <v>#N/A</v>
      </c>
      <c r="AC2914" t="e">
        <v>#N/A</v>
      </c>
      <c r="AD2914" t="e">
        <v>#N/A</v>
      </c>
    </row>
    <row r="2915" spans="2:30" x14ac:dyDescent="0.25">
      <c r="B2915" t="s">
        <v>133</v>
      </c>
      <c r="C2915" t="s">
        <v>3263</v>
      </c>
      <c r="D2915" t="s">
        <v>4916</v>
      </c>
      <c r="E2915" t="s">
        <v>4917</v>
      </c>
      <c r="F2915" t="s">
        <v>8766</v>
      </c>
      <c r="G2915" t="s">
        <v>3890</v>
      </c>
      <c r="H2915" t="s">
        <v>4669</v>
      </c>
      <c r="I2915" t="s">
        <v>4810</v>
      </c>
      <c r="J2915">
        <v>2</v>
      </c>
      <c r="K2915">
        <v>3.0579999999999998</v>
      </c>
      <c r="L2915">
        <v>3.18</v>
      </c>
      <c r="M2915">
        <v>3.3069999999999999</v>
      </c>
      <c r="N2915">
        <v>3.44</v>
      </c>
      <c r="O2915">
        <v>3.577</v>
      </c>
      <c r="P2915">
        <v>3.72</v>
      </c>
      <c r="Q2915">
        <v>3.8690000000000002</v>
      </c>
      <c r="R2915">
        <v>4.024</v>
      </c>
      <c r="S2915">
        <v>4.1849999999999996</v>
      </c>
      <c r="T2915">
        <v>4.3520000000000003</v>
      </c>
      <c r="U2915">
        <v>4.5259999999999998</v>
      </c>
      <c r="V2915">
        <v>4.7080000000000002</v>
      </c>
      <c r="W2915">
        <v>4.8959999999999999</v>
      </c>
      <c r="X2915">
        <v>5.0919999999999996</v>
      </c>
      <c r="Y2915">
        <v>5.2949999999999999</v>
      </c>
      <c r="Z2915">
        <v>5.5069999999999997</v>
      </c>
      <c r="AA2915">
        <v>5.7270000000000003</v>
      </c>
      <c r="AB2915">
        <v>5.9569999999999999</v>
      </c>
      <c r="AC2915">
        <v>6.1950000000000003</v>
      </c>
      <c r="AD2915">
        <v>6.4429999999999996</v>
      </c>
    </row>
    <row r="2916" spans="2:30" x14ac:dyDescent="0.25">
      <c r="B2916" t="s">
        <v>133</v>
      </c>
      <c r="C2916" t="s">
        <v>3263</v>
      </c>
      <c r="D2916" t="s">
        <v>4919</v>
      </c>
      <c r="E2916" t="s">
        <v>4920</v>
      </c>
      <c r="F2916" t="s">
        <v>8767</v>
      </c>
      <c r="G2916" t="s">
        <v>3890</v>
      </c>
      <c r="H2916" t="s">
        <v>4673</v>
      </c>
      <c r="I2916" t="s">
        <v>4810</v>
      </c>
      <c r="J2916">
        <v>2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2:30" x14ac:dyDescent="0.25">
      <c r="B2917" t="s">
        <v>133</v>
      </c>
      <c r="C2917" t="s">
        <v>3263</v>
      </c>
      <c r="D2917" t="s">
        <v>4922</v>
      </c>
      <c r="E2917" t="s">
        <v>4923</v>
      </c>
      <c r="F2917" t="s">
        <v>8768</v>
      </c>
      <c r="G2917" t="s">
        <v>3890</v>
      </c>
      <c r="H2917" t="s">
        <v>4925</v>
      </c>
      <c r="I2917" t="s">
        <v>4810</v>
      </c>
      <c r="J2917">
        <v>2</v>
      </c>
      <c r="K2917">
        <v>5.3360000000000003</v>
      </c>
      <c r="L2917">
        <v>5.01</v>
      </c>
      <c r="M2917">
        <v>5.0869999999999997</v>
      </c>
      <c r="N2917">
        <v>5.0869999999999997</v>
      </c>
      <c r="O2917">
        <v>5.6449999999999996</v>
      </c>
      <c r="P2917">
        <v>5.8680000000000003</v>
      </c>
      <c r="Q2917">
        <v>6.0910000000000002</v>
      </c>
      <c r="R2917">
        <v>6.3150000000000004</v>
      </c>
      <c r="S2917">
        <v>6.5380000000000003</v>
      </c>
      <c r="T2917">
        <v>6.7610000000000001</v>
      </c>
      <c r="U2917">
        <v>6.984</v>
      </c>
      <c r="V2917">
        <v>7.2069999999999999</v>
      </c>
      <c r="W2917">
        <v>7.431</v>
      </c>
      <c r="X2917">
        <v>7.6539999999999999</v>
      </c>
      <c r="Y2917">
        <v>7.8769999999999998</v>
      </c>
      <c r="Z2917">
        <v>8.1</v>
      </c>
      <c r="AA2917">
        <v>8.3230000000000004</v>
      </c>
      <c r="AB2917">
        <v>8.5470000000000006</v>
      </c>
      <c r="AC2917">
        <v>8.77</v>
      </c>
      <c r="AD2917">
        <v>8.9930000000000003</v>
      </c>
    </row>
    <row r="2918" spans="2:30" x14ac:dyDescent="0.25">
      <c r="B2918" t="s">
        <v>133</v>
      </c>
      <c r="C2918" t="s">
        <v>3263</v>
      </c>
      <c r="D2918" t="s">
        <v>4926</v>
      </c>
      <c r="E2918" t="s">
        <v>4927</v>
      </c>
      <c r="F2918" t="s">
        <v>8769</v>
      </c>
      <c r="G2918" t="s">
        <v>3890</v>
      </c>
      <c r="H2918" t="s">
        <v>4929</v>
      </c>
      <c r="I2918" t="s">
        <v>4810</v>
      </c>
      <c r="J2918">
        <v>2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  <c r="W2918" t="e">
        <v>#N/A</v>
      </c>
      <c r="X2918" t="e">
        <v>#N/A</v>
      </c>
      <c r="Y2918" t="e">
        <v>#N/A</v>
      </c>
      <c r="Z2918" t="e">
        <v>#N/A</v>
      </c>
      <c r="AA2918" t="e">
        <v>#N/A</v>
      </c>
      <c r="AB2918" t="e">
        <v>#N/A</v>
      </c>
      <c r="AC2918" t="e">
        <v>#N/A</v>
      </c>
      <c r="AD2918" t="e">
        <v>#N/A</v>
      </c>
    </row>
    <row r="2919" spans="2:30" x14ac:dyDescent="0.25">
      <c r="B2919" t="s">
        <v>133</v>
      </c>
      <c r="C2919" t="s">
        <v>3263</v>
      </c>
      <c r="D2919" t="s">
        <v>4930</v>
      </c>
      <c r="E2919" t="s">
        <v>4443</v>
      </c>
      <c r="F2919" t="s">
        <v>8622</v>
      </c>
      <c r="G2919" t="s">
        <v>3890</v>
      </c>
      <c r="H2919" t="s">
        <v>4832</v>
      </c>
      <c r="I2919" t="s">
        <v>4810</v>
      </c>
      <c r="J2919">
        <v>1</v>
      </c>
      <c r="K2919">
        <v>-6.9240000000000004</v>
      </c>
      <c r="L2919">
        <v>-5.181</v>
      </c>
      <c r="M2919">
        <v>-4.4829999999999997</v>
      </c>
      <c r="N2919">
        <v>-4.5529999999999999</v>
      </c>
      <c r="O2919">
        <v>-4.5940000000000003</v>
      </c>
      <c r="P2919">
        <v>-4.4880000000000004</v>
      </c>
      <c r="Q2919">
        <v>-4.3620000000000001</v>
      </c>
      <c r="R2919">
        <v>-4.3179999999999996</v>
      </c>
      <c r="S2919">
        <v>-4.3049999999999997</v>
      </c>
      <c r="T2919">
        <v>-4.298</v>
      </c>
      <c r="U2919">
        <v>-4.298</v>
      </c>
      <c r="V2919">
        <v>-4.298</v>
      </c>
      <c r="W2919">
        <v>-4.298</v>
      </c>
      <c r="X2919">
        <v>-4.298</v>
      </c>
      <c r="Y2919">
        <v>-4.298</v>
      </c>
      <c r="Z2919">
        <v>-4.298</v>
      </c>
      <c r="AA2919">
        <v>-4.298</v>
      </c>
      <c r="AB2919">
        <v>-4.298</v>
      </c>
      <c r="AC2919">
        <v>-4.298</v>
      </c>
      <c r="AD2919">
        <v>-4.298</v>
      </c>
    </row>
    <row r="2920" spans="2:30" x14ac:dyDescent="0.25">
      <c r="B2920" t="s">
        <v>133</v>
      </c>
      <c r="C2920" t="s">
        <v>3263</v>
      </c>
      <c r="D2920" t="s">
        <v>4931</v>
      </c>
      <c r="E2920" t="s">
        <v>4932</v>
      </c>
      <c r="F2920" t="s">
        <v>8770</v>
      </c>
      <c r="G2920" t="s">
        <v>3890</v>
      </c>
      <c r="H2920" t="s">
        <v>4686</v>
      </c>
      <c r="I2920" t="s">
        <v>4687</v>
      </c>
      <c r="J2920">
        <v>1</v>
      </c>
      <c r="K2920">
        <v>-124.092</v>
      </c>
      <c r="L2920">
        <v>-92.858000000000004</v>
      </c>
      <c r="M2920">
        <v>-80.331999999999994</v>
      </c>
      <c r="N2920">
        <v>-81.596000000000004</v>
      </c>
      <c r="O2920">
        <v>-82.334999999999994</v>
      </c>
      <c r="P2920">
        <v>-80.424999999999997</v>
      </c>
      <c r="Q2920">
        <v>-78.180000000000007</v>
      </c>
      <c r="R2920">
        <v>-77.38</v>
      </c>
      <c r="S2920">
        <v>-77.153000000000006</v>
      </c>
      <c r="T2920">
        <v>-77.024000000000001</v>
      </c>
      <c r="U2920">
        <v>-77.024000000000001</v>
      </c>
      <c r="V2920">
        <v>-77.024000000000001</v>
      </c>
      <c r="W2920">
        <v>-77.024000000000001</v>
      </c>
      <c r="X2920">
        <v>-77.024000000000001</v>
      </c>
      <c r="Y2920">
        <v>-77.024000000000001</v>
      </c>
      <c r="Z2920">
        <v>-77.024000000000001</v>
      </c>
      <c r="AA2920">
        <v>-77.024000000000001</v>
      </c>
      <c r="AB2920">
        <v>-77.024000000000001</v>
      </c>
      <c r="AC2920">
        <v>-77.024000000000001</v>
      </c>
      <c r="AD2920">
        <v>-77.024000000000001</v>
      </c>
    </row>
    <row r="2921" spans="2:30" x14ac:dyDescent="0.25">
      <c r="B2921" t="s">
        <v>133</v>
      </c>
      <c r="C2921" t="s">
        <v>3263</v>
      </c>
      <c r="D2921" t="s">
        <v>4934</v>
      </c>
      <c r="E2921" t="s">
        <v>4935</v>
      </c>
      <c r="F2921" t="s">
        <v>8771</v>
      </c>
      <c r="G2921" t="s">
        <v>3890</v>
      </c>
      <c r="H2921" t="s">
        <v>4937</v>
      </c>
      <c r="I2921" t="s">
        <v>4810</v>
      </c>
      <c r="J2921">
        <v>2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  <c r="W2921" t="e">
        <v>#N/A</v>
      </c>
      <c r="X2921" t="e">
        <v>#N/A</v>
      </c>
      <c r="Y2921" t="e">
        <v>#N/A</v>
      </c>
      <c r="Z2921" t="e">
        <v>#N/A</v>
      </c>
      <c r="AA2921" t="e">
        <v>#N/A</v>
      </c>
      <c r="AB2921" t="e">
        <v>#N/A</v>
      </c>
      <c r="AC2921" t="e">
        <v>#N/A</v>
      </c>
      <c r="AD2921" t="e">
        <v>#N/A</v>
      </c>
    </row>
    <row r="2922" spans="2:30" x14ac:dyDescent="0.25">
      <c r="B2922" t="s">
        <v>133</v>
      </c>
      <c r="C2922" t="s">
        <v>3263</v>
      </c>
      <c r="D2922" t="s">
        <v>4938</v>
      </c>
      <c r="E2922" t="s">
        <v>4939</v>
      </c>
      <c r="F2922" t="s">
        <v>8772</v>
      </c>
      <c r="G2922" t="s">
        <v>3890</v>
      </c>
      <c r="H2922" t="s">
        <v>4695</v>
      </c>
      <c r="I2922" t="s">
        <v>4687</v>
      </c>
      <c r="J2922">
        <v>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2:30" x14ac:dyDescent="0.25">
      <c r="B2923" t="s">
        <v>133</v>
      </c>
      <c r="C2923" t="s">
        <v>3263</v>
      </c>
      <c r="D2923" t="s">
        <v>4941</v>
      </c>
      <c r="E2923" t="s">
        <v>4942</v>
      </c>
      <c r="F2923" t="s">
        <v>8773</v>
      </c>
      <c r="G2923" t="s">
        <v>3890</v>
      </c>
      <c r="H2923" t="s">
        <v>4645</v>
      </c>
      <c r="I2923" t="s">
        <v>4810</v>
      </c>
      <c r="J2923">
        <v>2</v>
      </c>
      <c r="K2923">
        <v>22.748999999999999</v>
      </c>
      <c r="L2923">
        <v>20.734000000000002</v>
      </c>
      <c r="M2923">
        <v>20.172000000000001</v>
      </c>
      <c r="N2923">
        <v>20.399000000000001</v>
      </c>
      <c r="O2923">
        <v>20.600999999999999</v>
      </c>
      <c r="P2923">
        <v>20.649000000000001</v>
      </c>
      <c r="Q2923">
        <v>20.683</v>
      </c>
      <c r="R2923">
        <v>20.811</v>
      </c>
      <c r="S2923">
        <v>20.981000000000002</v>
      </c>
      <c r="T2923">
        <v>21.164000000000001</v>
      </c>
      <c r="U2923">
        <v>21.363</v>
      </c>
      <c r="V2923">
        <v>21.568999999999999</v>
      </c>
      <c r="W2923">
        <v>21.783999999999999</v>
      </c>
      <c r="X2923">
        <v>22.007000000000001</v>
      </c>
      <c r="Y2923">
        <v>22.239000000000001</v>
      </c>
      <c r="Z2923">
        <v>22.481000000000002</v>
      </c>
      <c r="AA2923">
        <v>22.731999999999999</v>
      </c>
      <c r="AB2923">
        <v>22.992999999999999</v>
      </c>
      <c r="AC2923">
        <v>23.265000000000001</v>
      </c>
      <c r="AD2923">
        <v>23.547000000000001</v>
      </c>
    </row>
    <row r="2924" spans="2:30" x14ac:dyDescent="0.25">
      <c r="B2924" t="s">
        <v>133</v>
      </c>
      <c r="C2924" t="s">
        <v>3263</v>
      </c>
      <c r="D2924" t="s">
        <v>4944</v>
      </c>
      <c r="E2924" t="s">
        <v>4945</v>
      </c>
      <c r="F2924" t="s">
        <v>8774</v>
      </c>
      <c r="G2924" t="s">
        <v>3890</v>
      </c>
      <c r="H2924" t="s">
        <v>4394</v>
      </c>
      <c r="I2924" t="s">
        <v>4810</v>
      </c>
      <c r="J2924">
        <v>2</v>
      </c>
      <c r="K2924">
        <v>16.896999999999998</v>
      </c>
      <c r="L2924">
        <v>15.007</v>
      </c>
      <c r="M2924">
        <v>14.387</v>
      </c>
      <c r="N2924">
        <v>14.454000000000001</v>
      </c>
      <c r="O2924">
        <v>14.493</v>
      </c>
      <c r="P2924">
        <v>14.391999999999999</v>
      </c>
      <c r="Q2924">
        <v>14.273</v>
      </c>
      <c r="R2924">
        <v>14.231</v>
      </c>
      <c r="S2924">
        <v>14.218999999999999</v>
      </c>
      <c r="T2924">
        <v>14.212</v>
      </c>
      <c r="U2924">
        <v>14.212</v>
      </c>
      <c r="V2924">
        <v>14.212</v>
      </c>
      <c r="W2924">
        <v>14.212</v>
      </c>
      <c r="X2924">
        <v>14.212</v>
      </c>
      <c r="Y2924">
        <v>14.212</v>
      </c>
      <c r="Z2924">
        <v>14.212</v>
      </c>
      <c r="AA2924">
        <v>14.212</v>
      </c>
      <c r="AB2924">
        <v>14.212</v>
      </c>
      <c r="AC2924">
        <v>14.212</v>
      </c>
      <c r="AD2924">
        <v>14.212</v>
      </c>
    </row>
    <row r="2925" spans="2:30" x14ac:dyDescent="0.25">
      <c r="B2925" t="s">
        <v>133</v>
      </c>
      <c r="C2925" t="s">
        <v>3263</v>
      </c>
      <c r="D2925" t="s">
        <v>4947</v>
      </c>
      <c r="E2925" t="s">
        <v>4948</v>
      </c>
      <c r="F2925" t="s">
        <v>8775</v>
      </c>
      <c r="G2925" t="s">
        <v>3890</v>
      </c>
      <c r="H2925" t="s">
        <v>4653</v>
      </c>
      <c r="I2925" t="s">
        <v>4810</v>
      </c>
      <c r="J2925">
        <v>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2:30" x14ac:dyDescent="0.25">
      <c r="B2926" t="s">
        <v>133</v>
      </c>
      <c r="C2926" t="s">
        <v>3263</v>
      </c>
      <c r="D2926" t="s">
        <v>4950</v>
      </c>
      <c r="E2926" t="s">
        <v>4951</v>
      </c>
      <c r="F2926" t="s">
        <v>8776</v>
      </c>
      <c r="G2926" t="s">
        <v>3890</v>
      </c>
      <c r="H2926" t="s">
        <v>4669</v>
      </c>
      <c r="I2926" t="s">
        <v>4810</v>
      </c>
      <c r="J2926">
        <v>2</v>
      </c>
      <c r="K2926">
        <v>3.0579999999999998</v>
      </c>
      <c r="L2926">
        <v>3.18</v>
      </c>
      <c r="M2926">
        <v>3.3069999999999999</v>
      </c>
      <c r="N2926">
        <v>3.44</v>
      </c>
      <c r="O2926">
        <v>3.577</v>
      </c>
      <c r="P2926">
        <v>3.72</v>
      </c>
      <c r="Q2926">
        <v>3.8690000000000002</v>
      </c>
      <c r="R2926">
        <v>4.024</v>
      </c>
      <c r="S2926">
        <v>4.1849999999999996</v>
      </c>
      <c r="T2926">
        <v>4.3520000000000003</v>
      </c>
      <c r="U2926">
        <v>4.5259999999999998</v>
      </c>
      <c r="V2926">
        <v>4.7080000000000002</v>
      </c>
      <c r="W2926">
        <v>4.8959999999999999</v>
      </c>
      <c r="X2926">
        <v>5.0919999999999996</v>
      </c>
      <c r="Y2926">
        <v>5.2949999999999999</v>
      </c>
      <c r="Z2926">
        <v>5.5069999999999997</v>
      </c>
      <c r="AA2926">
        <v>5.7270000000000003</v>
      </c>
      <c r="AB2926">
        <v>5.9569999999999999</v>
      </c>
      <c r="AC2926">
        <v>6.1950000000000003</v>
      </c>
      <c r="AD2926">
        <v>6.4429999999999996</v>
      </c>
    </row>
    <row r="2927" spans="2:30" x14ac:dyDescent="0.25">
      <c r="B2927" t="s">
        <v>133</v>
      </c>
      <c r="C2927" t="s">
        <v>3263</v>
      </c>
      <c r="D2927" t="s">
        <v>4953</v>
      </c>
      <c r="E2927" t="s">
        <v>4954</v>
      </c>
      <c r="F2927" t="s">
        <v>8777</v>
      </c>
      <c r="G2927" t="s">
        <v>3890</v>
      </c>
      <c r="H2927" t="s">
        <v>4673</v>
      </c>
      <c r="I2927" t="s">
        <v>4810</v>
      </c>
      <c r="J2927">
        <v>2</v>
      </c>
      <c r="K2927">
        <v>2.794</v>
      </c>
      <c r="L2927">
        <v>2.5459999999999998</v>
      </c>
      <c r="M2927">
        <v>2.4769999999999999</v>
      </c>
      <c r="N2927">
        <v>2.5049999999999999</v>
      </c>
      <c r="O2927">
        <v>2.5299999999999998</v>
      </c>
      <c r="P2927">
        <v>2.536</v>
      </c>
      <c r="Q2927">
        <v>2.54</v>
      </c>
      <c r="R2927">
        <v>2.556</v>
      </c>
      <c r="S2927">
        <v>2.577</v>
      </c>
      <c r="T2927">
        <v>2.5990000000000002</v>
      </c>
      <c r="U2927">
        <v>2.6230000000000002</v>
      </c>
      <c r="V2927">
        <v>2.649</v>
      </c>
      <c r="W2927">
        <v>2.6749999999999998</v>
      </c>
      <c r="X2927">
        <v>2.7029999999999998</v>
      </c>
      <c r="Y2927">
        <v>2.7309999999999999</v>
      </c>
      <c r="Z2927">
        <v>2.7610000000000001</v>
      </c>
      <c r="AA2927">
        <v>2.7919999999999998</v>
      </c>
      <c r="AB2927">
        <v>2.8239999999999998</v>
      </c>
      <c r="AC2927">
        <v>2.8570000000000002</v>
      </c>
      <c r="AD2927">
        <v>2.8919999999999999</v>
      </c>
    </row>
    <row r="2928" spans="2:30" x14ac:dyDescent="0.25">
      <c r="B2928" t="s">
        <v>133</v>
      </c>
      <c r="C2928" t="s">
        <v>3263</v>
      </c>
      <c r="D2928" t="s">
        <v>4956</v>
      </c>
      <c r="E2928" t="s">
        <v>4957</v>
      </c>
      <c r="F2928" t="s">
        <v>8778</v>
      </c>
      <c r="G2928" t="s">
        <v>3890</v>
      </c>
      <c r="H2928" t="s">
        <v>4925</v>
      </c>
      <c r="I2928" t="s">
        <v>4810</v>
      </c>
      <c r="J2928">
        <v>2</v>
      </c>
      <c r="K2928">
        <v>4.6340000000000003</v>
      </c>
      <c r="L2928">
        <v>3.2090000000000001</v>
      </c>
      <c r="M2928">
        <v>2.331</v>
      </c>
      <c r="N2928">
        <v>2.331</v>
      </c>
      <c r="O2928">
        <v>2.331</v>
      </c>
      <c r="P2928">
        <v>2.331</v>
      </c>
      <c r="Q2928">
        <v>2.331</v>
      </c>
      <c r="R2928">
        <v>2.331</v>
      </c>
      <c r="S2928">
        <v>2.331</v>
      </c>
      <c r="T2928">
        <v>2.331</v>
      </c>
      <c r="U2928">
        <v>2.331</v>
      </c>
      <c r="V2928">
        <v>2.331</v>
      </c>
      <c r="W2928">
        <v>2.331</v>
      </c>
      <c r="X2928">
        <v>2.331</v>
      </c>
      <c r="Y2928">
        <v>2.331</v>
      </c>
      <c r="Z2928">
        <v>2.331</v>
      </c>
      <c r="AA2928">
        <v>2.331</v>
      </c>
      <c r="AB2928">
        <v>2.331</v>
      </c>
      <c r="AC2928">
        <v>2.331</v>
      </c>
      <c r="AD2928">
        <v>2.331</v>
      </c>
    </row>
    <row r="2929" spans="2:30" x14ac:dyDescent="0.25">
      <c r="B2929" t="s">
        <v>133</v>
      </c>
      <c r="C2929" t="s">
        <v>3263</v>
      </c>
      <c r="D2929" t="s">
        <v>4959</v>
      </c>
      <c r="E2929" t="s">
        <v>4960</v>
      </c>
      <c r="F2929" t="s">
        <v>8779</v>
      </c>
      <c r="G2929" t="s">
        <v>3890</v>
      </c>
      <c r="H2929" t="s">
        <v>4929</v>
      </c>
      <c r="I2929" t="s">
        <v>4810</v>
      </c>
      <c r="J2929">
        <v>2</v>
      </c>
      <c r="K2929">
        <v>-18.114999999999998</v>
      </c>
      <c r="L2929">
        <v>-17.526</v>
      </c>
      <c r="M2929">
        <v>-17.841000000000001</v>
      </c>
      <c r="N2929">
        <v>-18.068000000000001</v>
      </c>
      <c r="O2929">
        <v>-18.27</v>
      </c>
      <c r="P2929">
        <v>-18.318000000000001</v>
      </c>
      <c r="Q2929">
        <v>-18.352</v>
      </c>
      <c r="R2929">
        <v>-18.48</v>
      </c>
      <c r="S2929">
        <v>-18.649999999999999</v>
      </c>
      <c r="T2929">
        <v>-18.832999999999998</v>
      </c>
      <c r="U2929">
        <v>-19.032</v>
      </c>
      <c r="V2929">
        <v>-19.238</v>
      </c>
      <c r="W2929">
        <v>-19.452999999999999</v>
      </c>
      <c r="X2929">
        <v>-19.675999999999998</v>
      </c>
      <c r="Y2929">
        <v>-19.908000000000001</v>
      </c>
      <c r="Z2929">
        <v>-20.149999999999999</v>
      </c>
      <c r="AA2929">
        <v>-20.401</v>
      </c>
      <c r="AB2929">
        <v>-20.661999999999999</v>
      </c>
      <c r="AC2929">
        <v>-20.934000000000001</v>
      </c>
      <c r="AD2929">
        <v>-21.216000000000001</v>
      </c>
    </row>
    <row r="2930" spans="2:30" x14ac:dyDescent="0.25">
      <c r="B2930" t="s">
        <v>133</v>
      </c>
      <c r="C2930" t="s">
        <v>3263</v>
      </c>
      <c r="D2930" t="s">
        <v>4962</v>
      </c>
      <c r="E2930" t="s">
        <v>4449</v>
      </c>
      <c r="F2930" t="s">
        <v>8624</v>
      </c>
      <c r="G2930" t="s">
        <v>3890</v>
      </c>
      <c r="H2930" t="s">
        <v>4865</v>
      </c>
      <c r="I2930" t="s">
        <v>4810</v>
      </c>
      <c r="J2930">
        <v>1</v>
      </c>
      <c r="K2930">
        <v>-12.263</v>
      </c>
      <c r="L2930">
        <v>-11.798999999999999</v>
      </c>
      <c r="M2930">
        <v>-12.055999999999999</v>
      </c>
      <c r="N2930">
        <v>-12.122999999999999</v>
      </c>
      <c r="O2930">
        <v>-12.162000000000001</v>
      </c>
      <c r="P2930">
        <v>-12.061</v>
      </c>
      <c r="Q2930">
        <v>-11.942</v>
      </c>
      <c r="R2930">
        <v>-11.9</v>
      </c>
      <c r="S2930">
        <v>-11.888</v>
      </c>
      <c r="T2930">
        <v>-11.881</v>
      </c>
      <c r="U2930">
        <v>-11.881</v>
      </c>
      <c r="V2930">
        <v>-11.881</v>
      </c>
      <c r="W2930">
        <v>-11.881</v>
      </c>
      <c r="X2930">
        <v>-11.881</v>
      </c>
      <c r="Y2930">
        <v>-11.881</v>
      </c>
      <c r="Z2930">
        <v>-11.881</v>
      </c>
      <c r="AA2930">
        <v>-11.881</v>
      </c>
      <c r="AB2930">
        <v>-11.881</v>
      </c>
      <c r="AC2930">
        <v>-11.881</v>
      </c>
      <c r="AD2930">
        <v>-11.881</v>
      </c>
    </row>
    <row r="2931" spans="2:30" x14ac:dyDescent="0.25">
      <c r="B2931" t="s">
        <v>133</v>
      </c>
      <c r="C2931" t="s">
        <v>3263</v>
      </c>
      <c r="D2931" t="s">
        <v>4963</v>
      </c>
      <c r="E2931" t="s">
        <v>4964</v>
      </c>
      <c r="F2931" t="s">
        <v>8780</v>
      </c>
      <c r="G2931" t="s">
        <v>3890</v>
      </c>
      <c r="H2931" t="s">
        <v>4686</v>
      </c>
      <c r="I2931" t="s">
        <v>4687</v>
      </c>
      <c r="J2931">
        <v>1</v>
      </c>
      <c r="K2931">
        <v>-219.76400000000001</v>
      </c>
      <c r="L2931">
        <v>-211.446</v>
      </c>
      <c r="M2931">
        <v>-216.06299999999999</v>
      </c>
      <c r="N2931">
        <v>-217.261</v>
      </c>
      <c r="O2931">
        <v>-217.96</v>
      </c>
      <c r="P2931">
        <v>-216.15100000000001</v>
      </c>
      <c r="Q2931">
        <v>-214.023</v>
      </c>
      <c r="R2931">
        <v>-213.26499999999999</v>
      </c>
      <c r="S2931">
        <v>-213.05</v>
      </c>
      <c r="T2931">
        <v>-212.928</v>
      </c>
      <c r="U2931">
        <v>-212.928</v>
      </c>
      <c r="V2931">
        <v>-212.928</v>
      </c>
      <c r="W2931">
        <v>-212.928</v>
      </c>
      <c r="X2931">
        <v>-212.928</v>
      </c>
      <c r="Y2931">
        <v>-212.928</v>
      </c>
      <c r="Z2931">
        <v>-212.928</v>
      </c>
      <c r="AA2931">
        <v>-212.928</v>
      </c>
      <c r="AB2931">
        <v>-212.928</v>
      </c>
      <c r="AC2931">
        <v>-212.928</v>
      </c>
      <c r="AD2931">
        <v>-212.928</v>
      </c>
    </row>
    <row r="2932" spans="2:30" x14ac:dyDescent="0.25">
      <c r="B2932" t="s">
        <v>133</v>
      </c>
      <c r="C2932" t="s">
        <v>3263</v>
      </c>
      <c r="D2932" t="s">
        <v>4966</v>
      </c>
      <c r="E2932" t="s">
        <v>4967</v>
      </c>
      <c r="F2932" t="s">
        <v>8781</v>
      </c>
      <c r="G2932" t="s">
        <v>3890</v>
      </c>
      <c r="H2932" t="s">
        <v>4937</v>
      </c>
      <c r="I2932" t="s">
        <v>4810</v>
      </c>
      <c r="J2932">
        <v>2</v>
      </c>
      <c r="K2932">
        <v>3.0579999999999998</v>
      </c>
      <c r="L2932">
        <v>3.181</v>
      </c>
      <c r="M2932">
        <v>3.3079999999999998</v>
      </c>
      <c r="N2932">
        <v>3.44</v>
      </c>
      <c r="O2932">
        <v>3.5779999999999998</v>
      </c>
      <c r="P2932">
        <v>3.7210000000000001</v>
      </c>
      <c r="Q2932">
        <v>3.87</v>
      </c>
      <c r="R2932">
        <v>4.024</v>
      </c>
      <c r="S2932">
        <v>4.1849999999999996</v>
      </c>
      <c r="T2932">
        <v>4.3529999999999998</v>
      </c>
      <c r="U2932">
        <v>4.5270000000000001</v>
      </c>
      <c r="V2932">
        <v>4.7080000000000002</v>
      </c>
      <c r="W2932">
        <v>4.8959999999999999</v>
      </c>
      <c r="X2932">
        <v>5.0919999999999996</v>
      </c>
      <c r="Y2932">
        <v>5.2960000000000003</v>
      </c>
      <c r="Z2932">
        <v>5.508</v>
      </c>
      <c r="AA2932">
        <v>5.7279999999999998</v>
      </c>
      <c r="AB2932">
        <v>5.9569999999999999</v>
      </c>
      <c r="AC2932">
        <v>6.1950000000000003</v>
      </c>
      <c r="AD2932">
        <v>6.4429999999999996</v>
      </c>
    </row>
    <row r="2933" spans="2:30" x14ac:dyDescent="0.25">
      <c r="B2933" t="s">
        <v>133</v>
      </c>
      <c r="C2933" t="s">
        <v>3263</v>
      </c>
      <c r="D2933" t="s">
        <v>4969</v>
      </c>
      <c r="E2933" t="s">
        <v>4970</v>
      </c>
      <c r="F2933" t="s">
        <v>8782</v>
      </c>
      <c r="G2933" t="s">
        <v>3890</v>
      </c>
      <c r="H2933" t="s">
        <v>4695</v>
      </c>
      <c r="I2933" t="s">
        <v>4687</v>
      </c>
      <c r="J2933">
        <v>2</v>
      </c>
      <c r="K2933">
        <v>54.808999999999997</v>
      </c>
      <c r="L2933">
        <v>57.000999999999998</v>
      </c>
      <c r="M2933">
        <v>59.280999999999999</v>
      </c>
      <c r="N2933">
        <v>61.652000000000001</v>
      </c>
      <c r="O2933">
        <v>64.117999999999995</v>
      </c>
      <c r="P2933">
        <v>66.682000000000002</v>
      </c>
      <c r="Q2933">
        <v>69.349000000000004</v>
      </c>
      <c r="R2933">
        <v>72.123000000000005</v>
      </c>
      <c r="S2933">
        <v>75.007999999999996</v>
      </c>
      <c r="T2933">
        <v>78.007999999999996</v>
      </c>
      <c r="U2933">
        <v>81.128</v>
      </c>
      <c r="V2933">
        <v>84.373000000000005</v>
      </c>
      <c r="W2933">
        <v>87.748000000000005</v>
      </c>
      <c r="X2933">
        <v>91.257000000000005</v>
      </c>
      <c r="Y2933">
        <v>94.906999999999996</v>
      </c>
      <c r="Z2933">
        <v>98.703000000000003</v>
      </c>
      <c r="AA2933">
        <v>102.651</v>
      </c>
      <c r="AB2933">
        <v>106.75700000000001</v>
      </c>
      <c r="AC2933">
        <v>111.027</v>
      </c>
      <c r="AD2933">
        <v>115.467</v>
      </c>
    </row>
    <row r="2934" spans="2:30" x14ac:dyDescent="0.25">
      <c r="B2934" t="s">
        <v>133</v>
      </c>
      <c r="C2934" t="s">
        <v>3263</v>
      </c>
      <c r="D2934" t="s">
        <v>4972</v>
      </c>
      <c r="E2934" t="s">
        <v>4973</v>
      </c>
      <c r="F2934" t="s">
        <v>8783</v>
      </c>
      <c r="G2934" t="s">
        <v>3890</v>
      </c>
      <c r="H2934" t="s">
        <v>4645</v>
      </c>
      <c r="I2934" t="s">
        <v>4810</v>
      </c>
      <c r="J2934">
        <v>2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  <c r="W2934" t="e">
        <v>#N/A</v>
      </c>
      <c r="X2934" t="e">
        <v>#N/A</v>
      </c>
      <c r="Y2934" t="e">
        <v>#N/A</v>
      </c>
      <c r="Z2934" t="e">
        <v>#N/A</v>
      </c>
      <c r="AA2934" t="e">
        <v>#N/A</v>
      </c>
      <c r="AB2934" t="e">
        <v>#N/A</v>
      </c>
      <c r="AC2934" t="e">
        <v>#N/A</v>
      </c>
      <c r="AD2934" t="e">
        <v>#N/A</v>
      </c>
    </row>
    <row r="2935" spans="2:30" x14ac:dyDescent="0.25">
      <c r="B2935" t="s">
        <v>133</v>
      </c>
      <c r="C2935" t="s">
        <v>3263</v>
      </c>
      <c r="D2935" t="s">
        <v>4975</v>
      </c>
      <c r="E2935" t="s">
        <v>4976</v>
      </c>
      <c r="F2935" t="s">
        <v>8784</v>
      </c>
      <c r="G2935" t="s">
        <v>3890</v>
      </c>
      <c r="H2935" t="s">
        <v>4394</v>
      </c>
      <c r="I2935" t="s">
        <v>4810</v>
      </c>
      <c r="J2935">
        <v>2</v>
      </c>
      <c r="K2935">
        <v>11.488</v>
      </c>
      <c r="L2935">
        <v>9.3889999999999993</v>
      </c>
      <c r="M2935">
        <v>8.7669999999999995</v>
      </c>
      <c r="N2935">
        <v>8.8460000000000001</v>
      </c>
      <c r="O2935">
        <v>8.8919999999999995</v>
      </c>
      <c r="P2935">
        <v>8.7729999999999997</v>
      </c>
      <c r="Q2935">
        <v>8.6319999999999997</v>
      </c>
      <c r="R2935">
        <v>8.5820000000000007</v>
      </c>
      <c r="S2935">
        <v>8.5679999999999996</v>
      </c>
      <c r="T2935">
        <v>8.56</v>
      </c>
      <c r="U2935">
        <v>8.56</v>
      </c>
      <c r="V2935">
        <v>8.56</v>
      </c>
      <c r="W2935">
        <v>8.56</v>
      </c>
      <c r="X2935">
        <v>8.56</v>
      </c>
      <c r="Y2935">
        <v>8.56</v>
      </c>
      <c r="Z2935">
        <v>8.56</v>
      </c>
      <c r="AA2935">
        <v>8.56</v>
      </c>
      <c r="AB2935">
        <v>8.56</v>
      </c>
      <c r="AC2935">
        <v>8.56</v>
      </c>
      <c r="AD2935">
        <v>8.56</v>
      </c>
    </row>
    <row r="2936" spans="2:30" x14ac:dyDescent="0.25">
      <c r="B2936" t="s">
        <v>133</v>
      </c>
      <c r="C2936" t="s">
        <v>3263</v>
      </c>
      <c r="D2936" t="s">
        <v>4978</v>
      </c>
      <c r="E2936" t="s">
        <v>4979</v>
      </c>
      <c r="F2936" t="s">
        <v>8785</v>
      </c>
      <c r="G2936" t="s">
        <v>3890</v>
      </c>
      <c r="H2936" t="s">
        <v>4653</v>
      </c>
      <c r="I2936" t="s">
        <v>4810</v>
      </c>
      <c r="J2936">
        <v>2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  <c r="W2936" t="e">
        <v>#N/A</v>
      </c>
      <c r="X2936" t="e">
        <v>#N/A</v>
      </c>
      <c r="Y2936" t="e">
        <v>#N/A</v>
      </c>
      <c r="Z2936" t="e">
        <v>#N/A</v>
      </c>
      <c r="AA2936" t="e">
        <v>#N/A</v>
      </c>
      <c r="AB2936" t="e">
        <v>#N/A</v>
      </c>
      <c r="AC2936" t="e">
        <v>#N/A</v>
      </c>
      <c r="AD2936" t="e">
        <v>#N/A</v>
      </c>
    </row>
    <row r="2937" spans="2:30" x14ac:dyDescent="0.25">
      <c r="B2937" t="s">
        <v>133</v>
      </c>
      <c r="C2937" t="s">
        <v>3263</v>
      </c>
      <c r="D2937" t="s">
        <v>4981</v>
      </c>
      <c r="E2937" t="s">
        <v>4982</v>
      </c>
      <c r="F2937" t="s">
        <v>8786</v>
      </c>
      <c r="G2937" t="s">
        <v>3890</v>
      </c>
      <c r="H2937" t="s">
        <v>4669</v>
      </c>
      <c r="I2937" t="s">
        <v>4810</v>
      </c>
      <c r="J2937">
        <v>2</v>
      </c>
      <c r="K2937">
        <v>3.0579999999999998</v>
      </c>
      <c r="L2937">
        <v>3.18</v>
      </c>
      <c r="M2937">
        <v>3.3069999999999999</v>
      </c>
      <c r="N2937">
        <v>3.44</v>
      </c>
      <c r="O2937">
        <v>3.577</v>
      </c>
      <c r="P2937">
        <v>3.72</v>
      </c>
      <c r="Q2937">
        <v>3.8690000000000002</v>
      </c>
      <c r="R2937">
        <v>4.024</v>
      </c>
      <c r="S2937">
        <v>4.1849999999999996</v>
      </c>
      <c r="T2937">
        <v>4.3520000000000003</v>
      </c>
      <c r="U2937">
        <v>4.5259999999999998</v>
      </c>
      <c r="V2937">
        <v>4.7080000000000002</v>
      </c>
      <c r="W2937">
        <v>4.8959999999999999</v>
      </c>
      <c r="X2937">
        <v>5.0919999999999996</v>
      </c>
      <c r="Y2937">
        <v>5.2949999999999999</v>
      </c>
      <c r="Z2937">
        <v>5.5069999999999997</v>
      </c>
      <c r="AA2937">
        <v>5.7270000000000003</v>
      </c>
      <c r="AB2937">
        <v>5.9569999999999999</v>
      </c>
      <c r="AC2937">
        <v>6.1950000000000003</v>
      </c>
      <c r="AD2937">
        <v>6.4429999999999996</v>
      </c>
    </row>
    <row r="2938" spans="2:30" x14ac:dyDescent="0.25">
      <c r="B2938" t="s">
        <v>133</v>
      </c>
      <c r="C2938" t="s">
        <v>3263</v>
      </c>
      <c r="D2938" t="s">
        <v>4984</v>
      </c>
      <c r="E2938" t="s">
        <v>4985</v>
      </c>
      <c r="F2938" t="s">
        <v>8787</v>
      </c>
      <c r="G2938" t="s">
        <v>3890</v>
      </c>
      <c r="H2938" t="s">
        <v>4673</v>
      </c>
      <c r="I2938" t="s">
        <v>4810</v>
      </c>
      <c r="J2938">
        <v>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2:30" x14ac:dyDescent="0.25">
      <c r="B2939" t="s">
        <v>133</v>
      </c>
      <c r="C2939" t="s">
        <v>3263</v>
      </c>
      <c r="D2939" t="s">
        <v>4987</v>
      </c>
      <c r="E2939" t="s">
        <v>4988</v>
      </c>
      <c r="F2939" t="s">
        <v>8788</v>
      </c>
      <c r="G2939" t="s">
        <v>3890</v>
      </c>
      <c r="H2939" t="s">
        <v>4925</v>
      </c>
      <c r="I2939" t="s">
        <v>4810</v>
      </c>
      <c r="J2939">
        <v>2</v>
      </c>
      <c r="K2939">
        <v>2.7839999999999998</v>
      </c>
      <c r="L2939">
        <v>2.6139999999999999</v>
      </c>
      <c r="M2939">
        <v>2.6539999999999999</v>
      </c>
      <c r="N2939">
        <v>2.6539999999999999</v>
      </c>
      <c r="O2939">
        <v>2.6539999999999999</v>
      </c>
      <c r="P2939">
        <v>2.6539999999999999</v>
      </c>
      <c r="Q2939">
        <v>2.6539999999999999</v>
      </c>
      <c r="R2939">
        <v>2.6539999999999999</v>
      </c>
      <c r="S2939">
        <v>2.6539999999999999</v>
      </c>
      <c r="T2939">
        <v>2.6539999999999999</v>
      </c>
      <c r="U2939">
        <v>2.6539999999999999</v>
      </c>
      <c r="V2939">
        <v>2.6539999999999999</v>
      </c>
      <c r="W2939">
        <v>2.6539999999999999</v>
      </c>
      <c r="X2939">
        <v>2.6539999999999999</v>
      </c>
      <c r="Y2939">
        <v>2.6539999999999999</v>
      </c>
      <c r="Z2939">
        <v>2.6539999999999999</v>
      </c>
      <c r="AA2939">
        <v>2.6539999999999999</v>
      </c>
      <c r="AB2939">
        <v>2.6539999999999999</v>
      </c>
      <c r="AC2939">
        <v>2.6539999999999999</v>
      </c>
      <c r="AD2939">
        <v>2.6539999999999999</v>
      </c>
    </row>
    <row r="2940" spans="2:30" x14ac:dyDescent="0.25">
      <c r="B2940" t="s">
        <v>133</v>
      </c>
      <c r="C2940" t="s">
        <v>3263</v>
      </c>
      <c r="D2940" t="s">
        <v>4990</v>
      </c>
      <c r="E2940" t="s">
        <v>4991</v>
      </c>
      <c r="F2940" t="s">
        <v>8789</v>
      </c>
      <c r="G2940" t="s">
        <v>3890</v>
      </c>
      <c r="H2940" t="s">
        <v>4929</v>
      </c>
      <c r="I2940" t="s">
        <v>4810</v>
      </c>
      <c r="J2940">
        <v>2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  <c r="W2940" t="e">
        <v>#N/A</v>
      </c>
      <c r="X2940" t="e">
        <v>#N/A</v>
      </c>
      <c r="Y2940" t="e">
        <v>#N/A</v>
      </c>
      <c r="Z2940" t="e">
        <v>#N/A</v>
      </c>
      <c r="AA2940" t="e">
        <v>#N/A</v>
      </c>
      <c r="AB2940" t="e">
        <v>#N/A</v>
      </c>
      <c r="AC2940" t="e">
        <v>#N/A</v>
      </c>
      <c r="AD2940" t="e">
        <v>#N/A</v>
      </c>
    </row>
    <row r="2941" spans="2:30" x14ac:dyDescent="0.25">
      <c r="B2941" t="s">
        <v>133</v>
      </c>
      <c r="C2941" t="s">
        <v>3263</v>
      </c>
      <c r="D2941" t="s">
        <v>4993</v>
      </c>
      <c r="E2941" t="s">
        <v>4455</v>
      </c>
      <c r="F2941" t="s">
        <v>8626</v>
      </c>
      <c r="G2941" t="s">
        <v>3890</v>
      </c>
      <c r="H2941" t="s">
        <v>4897</v>
      </c>
      <c r="I2941" t="s">
        <v>4810</v>
      </c>
      <c r="J2941">
        <v>1</v>
      </c>
      <c r="K2941">
        <v>-8.7029999999999994</v>
      </c>
      <c r="L2941">
        <v>-6.7750000000000004</v>
      </c>
      <c r="M2941">
        <v>-6.1120000000000001</v>
      </c>
      <c r="N2941">
        <v>-6.1909999999999998</v>
      </c>
      <c r="O2941">
        <v>-6.2380000000000004</v>
      </c>
      <c r="P2941">
        <v>-6.1180000000000003</v>
      </c>
      <c r="Q2941">
        <v>-5.9779999999999998</v>
      </c>
      <c r="R2941">
        <v>-5.9279999999999999</v>
      </c>
      <c r="S2941">
        <v>-5.9139999999999997</v>
      </c>
      <c r="T2941">
        <v>-5.9059999999999997</v>
      </c>
      <c r="U2941">
        <v>-5.9059999999999997</v>
      </c>
      <c r="V2941">
        <v>-5.9059999999999997</v>
      </c>
      <c r="W2941">
        <v>-5.9059999999999997</v>
      </c>
      <c r="X2941">
        <v>-5.9059999999999997</v>
      </c>
      <c r="Y2941">
        <v>-5.9059999999999997</v>
      </c>
      <c r="Z2941">
        <v>-5.9059999999999997</v>
      </c>
      <c r="AA2941">
        <v>-5.9059999999999997</v>
      </c>
      <c r="AB2941">
        <v>-5.9059999999999997</v>
      </c>
      <c r="AC2941">
        <v>-5.9059999999999997</v>
      </c>
      <c r="AD2941">
        <v>-5.9059999999999997</v>
      </c>
    </row>
    <row r="2942" spans="2:30" x14ac:dyDescent="0.25">
      <c r="B2942" t="s">
        <v>133</v>
      </c>
      <c r="C2942" t="s">
        <v>3263</v>
      </c>
      <c r="D2942" t="s">
        <v>4994</v>
      </c>
      <c r="E2942" t="s">
        <v>4995</v>
      </c>
      <c r="F2942" t="s">
        <v>8790</v>
      </c>
      <c r="G2942" t="s">
        <v>3890</v>
      </c>
      <c r="H2942" t="s">
        <v>4686</v>
      </c>
      <c r="I2942" t="s">
        <v>4687</v>
      </c>
      <c r="J2942">
        <v>1</v>
      </c>
      <c r="K2942">
        <v>-155.976</v>
      </c>
      <c r="L2942">
        <v>-121.42400000000001</v>
      </c>
      <c r="M2942">
        <v>-109.542</v>
      </c>
      <c r="N2942">
        <v>-110.958</v>
      </c>
      <c r="O2942">
        <v>-111.785</v>
      </c>
      <c r="P2942">
        <v>-109.64700000000001</v>
      </c>
      <c r="Q2942">
        <v>-107.131</v>
      </c>
      <c r="R2942">
        <v>-106.235</v>
      </c>
      <c r="S2942">
        <v>-105.98099999999999</v>
      </c>
      <c r="T2942">
        <v>-105.837</v>
      </c>
      <c r="U2942">
        <v>-105.837</v>
      </c>
      <c r="V2942">
        <v>-105.837</v>
      </c>
      <c r="W2942">
        <v>-105.837</v>
      </c>
      <c r="X2942">
        <v>-105.837</v>
      </c>
      <c r="Y2942">
        <v>-105.837</v>
      </c>
      <c r="Z2942">
        <v>-105.837</v>
      </c>
      <c r="AA2942">
        <v>-105.837</v>
      </c>
      <c r="AB2942">
        <v>-105.837</v>
      </c>
      <c r="AC2942">
        <v>-105.837</v>
      </c>
      <c r="AD2942">
        <v>-105.837</v>
      </c>
    </row>
    <row r="2943" spans="2:30" x14ac:dyDescent="0.25">
      <c r="B2943" t="s">
        <v>133</v>
      </c>
      <c r="C2943" t="s">
        <v>3263</v>
      </c>
      <c r="D2943" t="s">
        <v>4997</v>
      </c>
      <c r="E2943" t="s">
        <v>4998</v>
      </c>
      <c r="F2943" t="s">
        <v>8791</v>
      </c>
      <c r="G2943" t="s">
        <v>3890</v>
      </c>
      <c r="H2943" t="s">
        <v>4937</v>
      </c>
      <c r="I2943" t="s">
        <v>4810</v>
      </c>
      <c r="J2943">
        <v>2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  <c r="W2943" t="e">
        <v>#N/A</v>
      </c>
      <c r="X2943" t="e">
        <v>#N/A</v>
      </c>
      <c r="Y2943" t="e">
        <v>#N/A</v>
      </c>
      <c r="Z2943" t="e">
        <v>#N/A</v>
      </c>
      <c r="AA2943" t="e">
        <v>#N/A</v>
      </c>
      <c r="AB2943" t="e">
        <v>#N/A</v>
      </c>
      <c r="AC2943" t="e">
        <v>#N/A</v>
      </c>
      <c r="AD2943" t="e">
        <v>#N/A</v>
      </c>
    </row>
    <row r="2944" spans="2:30" x14ac:dyDescent="0.25">
      <c r="B2944" t="s">
        <v>133</v>
      </c>
      <c r="C2944" t="s">
        <v>3263</v>
      </c>
      <c r="D2944" t="s">
        <v>5000</v>
      </c>
      <c r="E2944" t="s">
        <v>5001</v>
      </c>
      <c r="F2944" t="s">
        <v>8792</v>
      </c>
      <c r="G2944" t="s">
        <v>3890</v>
      </c>
      <c r="H2944" t="s">
        <v>4695</v>
      </c>
      <c r="I2944" t="s">
        <v>4687</v>
      </c>
      <c r="J2944">
        <v>2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2:30" x14ac:dyDescent="0.25">
      <c r="B2945" t="s">
        <v>133</v>
      </c>
      <c r="C2945" t="s">
        <v>3263</v>
      </c>
      <c r="D2945" t="s">
        <v>5003</v>
      </c>
      <c r="E2945" t="s">
        <v>5004</v>
      </c>
      <c r="F2945" t="s">
        <v>8793</v>
      </c>
      <c r="G2945" t="s">
        <v>3890</v>
      </c>
      <c r="H2945" t="s">
        <v>4645</v>
      </c>
      <c r="I2945" t="s">
        <v>4263</v>
      </c>
      <c r="J2945">
        <v>2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  <c r="W2945" t="e">
        <v>#N/A</v>
      </c>
      <c r="X2945" t="e">
        <v>#N/A</v>
      </c>
      <c r="Y2945" t="e">
        <v>#N/A</v>
      </c>
      <c r="Z2945" t="e">
        <v>#N/A</v>
      </c>
      <c r="AA2945" t="e">
        <v>#N/A</v>
      </c>
      <c r="AB2945" t="e">
        <v>#N/A</v>
      </c>
      <c r="AC2945" t="e">
        <v>#N/A</v>
      </c>
      <c r="AD2945" t="e">
        <v>#N/A</v>
      </c>
    </row>
    <row r="2946" spans="2:30" x14ac:dyDescent="0.25">
      <c r="B2946" t="s">
        <v>133</v>
      </c>
      <c r="C2946" t="s">
        <v>3263</v>
      </c>
      <c r="D2946" t="s">
        <v>5006</v>
      </c>
      <c r="E2946" t="s">
        <v>5007</v>
      </c>
      <c r="F2946" t="s">
        <v>8794</v>
      </c>
      <c r="G2946" t="s">
        <v>3890</v>
      </c>
      <c r="H2946" t="s">
        <v>4394</v>
      </c>
      <c r="I2946" t="s">
        <v>4263</v>
      </c>
      <c r="J2946">
        <v>2</v>
      </c>
      <c r="K2946">
        <v>6.4000000000000001E-2</v>
      </c>
      <c r="L2946">
        <v>6.2E-2</v>
      </c>
      <c r="M2946">
        <v>0.107</v>
      </c>
      <c r="N2946">
        <v>0.105</v>
      </c>
      <c r="O2946">
        <v>0.107</v>
      </c>
      <c r="P2946">
        <v>0.108</v>
      </c>
      <c r="Q2946">
        <v>0.108</v>
      </c>
      <c r="R2946">
        <v>0.107</v>
      </c>
      <c r="S2946">
        <v>0.107</v>
      </c>
      <c r="T2946">
        <v>0.107</v>
      </c>
      <c r="U2946">
        <v>0.107</v>
      </c>
      <c r="V2946">
        <v>0.106</v>
      </c>
      <c r="W2946">
        <v>0.106</v>
      </c>
      <c r="X2946">
        <v>0.106</v>
      </c>
      <c r="Y2946">
        <v>0.106</v>
      </c>
      <c r="Z2946">
        <v>0.105</v>
      </c>
      <c r="AA2946">
        <v>0.105</v>
      </c>
      <c r="AB2946">
        <v>0.105</v>
      </c>
      <c r="AC2946">
        <v>0.104</v>
      </c>
      <c r="AD2946">
        <v>0.104</v>
      </c>
    </row>
    <row r="2947" spans="2:30" x14ac:dyDescent="0.25">
      <c r="B2947" t="s">
        <v>133</v>
      </c>
      <c r="C2947" t="s">
        <v>3263</v>
      </c>
      <c r="D2947" t="s">
        <v>5009</v>
      </c>
      <c r="E2947" t="s">
        <v>5010</v>
      </c>
      <c r="F2947" t="s">
        <v>8795</v>
      </c>
      <c r="G2947" t="s">
        <v>3890</v>
      </c>
      <c r="H2947" t="s">
        <v>4653</v>
      </c>
      <c r="I2947" t="s">
        <v>4263</v>
      </c>
      <c r="J2947">
        <v>2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  <c r="W2947" t="e">
        <v>#N/A</v>
      </c>
      <c r="X2947" t="e">
        <v>#N/A</v>
      </c>
      <c r="Y2947" t="e">
        <v>#N/A</v>
      </c>
      <c r="Z2947" t="e">
        <v>#N/A</v>
      </c>
      <c r="AA2947" t="e">
        <v>#N/A</v>
      </c>
      <c r="AB2947" t="e">
        <v>#N/A</v>
      </c>
      <c r="AC2947" t="e">
        <v>#N/A</v>
      </c>
      <c r="AD2947" t="e">
        <v>#N/A</v>
      </c>
    </row>
    <row r="2948" spans="2:30" x14ac:dyDescent="0.25">
      <c r="B2948" t="s">
        <v>133</v>
      </c>
      <c r="C2948" t="s">
        <v>3263</v>
      </c>
      <c r="D2948" t="s">
        <v>5012</v>
      </c>
      <c r="E2948" t="s">
        <v>5013</v>
      </c>
      <c r="F2948" t="s">
        <v>8796</v>
      </c>
      <c r="G2948" t="s">
        <v>3890</v>
      </c>
      <c r="H2948" t="s">
        <v>4669</v>
      </c>
      <c r="I2948" t="s">
        <v>4263</v>
      </c>
      <c r="J2948">
        <v>2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2:30" x14ac:dyDescent="0.25">
      <c r="B2949" t="s">
        <v>133</v>
      </c>
      <c r="C2949" t="s">
        <v>3263</v>
      </c>
      <c r="D2949" t="s">
        <v>5015</v>
      </c>
      <c r="E2949" t="s">
        <v>5016</v>
      </c>
      <c r="F2949" t="s">
        <v>8797</v>
      </c>
      <c r="G2949" t="s">
        <v>3890</v>
      </c>
      <c r="H2949" t="s">
        <v>4673</v>
      </c>
      <c r="I2949" t="s">
        <v>4263</v>
      </c>
      <c r="J2949">
        <v>2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2:30" x14ac:dyDescent="0.25">
      <c r="B2950" t="s">
        <v>133</v>
      </c>
      <c r="C2950" t="s">
        <v>3263</v>
      </c>
      <c r="D2950" t="s">
        <v>5018</v>
      </c>
      <c r="E2950" t="s">
        <v>5019</v>
      </c>
      <c r="F2950" t="s">
        <v>8798</v>
      </c>
      <c r="G2950" t="s">
        <v>3890</v>
      </c>
      <c r="H2950" t="s">
        <v>5021</v>
      </c>
      <c r="I2950" t="s">
        <v>4263</v>
      </c>
      <c r="J2950">
        <v>2</v>
      </c>
      <c r="K2950">
        <v>6.4000000000000001E-2</v>
      </c>
      <c r="L2950">
        <v>6.2E-2</v>
      </c>
      <c r="M2950">
        <v>5.1999999999999998E-2</v>
      </c>
      <c r="N2950">
        <v>4.9000000000000002E-2</v>
      </c>
      <c r="O2950">
        <v>5.1999999999999998E-2</v>
      </c>
      <c r="P2950">
        <v>5.2999999999999999E-2</v>
      </c>
      <c r="Q2950">
        <v>5.2999999999999999E-2</v>
      </c>
      <c r="R2950">
        <v>5.2999999999999999E-2</v>
      </c>
      <c r="S2950">
        <v>5.2999999999999999E-2</v>
      </c>
      <c r="T2950">
        <v>5.1999999999999998E-2</v>
      </c>
      <c r="U2950">
        <v>5.1999999999999998E-2</v>
      </c>
      <c r="V2950">
        <v>5.1999999999999998E-2</v>
      </c>
      <c r="W2950">
        <v>5.1999999999999998E-2</v>
      </c>
      <c r="X2950">
        <v>5.1999999999999998E-2</v>
      </c>
      <c r="Y2950">
        <v>5.1999999999999998E-2</v>
      </c>
      <c r="Z2950">
        <v>5.0999999999999997E-2</v>
      </c>
      <c r="AA2950">
        <v>5.0999999999999997E-2</v>
      </c>
      <c r="AB2950">
        <v>5.0999999999999997E-2</v>
      </c>
      <c r="AC2950">
        <v>0.05</v>
      </c>
      <c r="AD2950">
        <v>0.05</v>
      </c>
    </row>
    <row r="2951" spans="2:30" x14ac:dyDescent="0.25">
      <c r="B2951" t="s">
        <v>133</v>
      </c>
      <c r="C2951" t="s">
        <v>3263</v>
      </c>
      <c r="D2951" t="s">
        <v>5022</v>
      </c>
      <c r="E2951" t="s">
        <v>5023</v>
      </c>
      <c r="F2951" t="s">
        <v>8799</v>
      </c>
      <c r="G2951" t="s">
        <v>3890</v>
      </c>
      <c r="H2951" t="s">
        <v>5025</v>
      </c>
      <c r="I2951" t="s">
        <v>4263</v>
      </c>
      <c r="J2951">
        <v>2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  <c r="W2951" t="e">
        <v>#N/A</v>
      </c>
      <c r="X2951" t="e">
        <v>#N/A</v>
      </c>
      <c r="Y2951" t="e">
        <v>#N/A</v>
      </c>
      <c r="Z2951" t="e">
        <v>#N/A</v>
      </c>
      <c r="AA2951" t="e">
        <v>#N/A</v>
      </c>
      <c r="AB2951" t="e">
        <v>#N/A</v>
      </c>
      <c r="AC2951" t="e">
        <v>#N/A</v>
      </c>
      <c r="AD2951" t="e">
        <v>#N/A</v>
      </c>
    </row>
    <row r="2952" spans="2:30" x14ac:dyDescent="0.25">
      <c r="B2952" t="s">
        <v>133</v>
      </c>
      <c r="C2952" t="s">
        <v>3263</v>
      </c>
      <c r="D2952" t="s">
        <v>5026</v>
      </c>
      <c r="E2952" t="s">
        <v>4433</v>
      </c>
      <c r="F2952" t="s">
        <v>8619</v>
      </c>
      <c r="G2952" t="s">
        <v>3890</v>
      </c>
      <c r="H2952" t="s">
        <v>4832</v>
      </c>
      <c r="I2952" t="s">
        <v>4263</v>
      </c>
      <c r="J2952">
        <v>1</v>
      </c>
      <c r="K2952">
        <v>0</v>
      </c>
      <c r="L2952">
        <v>0</v>
      </c>
      <c r="M2952">
        <v>-5.5E-2</v>
      </c>
      <c r="N2952">
        <v>-5.5E-2</v>
      </c>
      <c r="O2952">
        <v>-5.5E-2</v>
      </c>
      <c r="P2952">
        <v>-5.5E-2</v>
      </c>
      <c r="Q2952">
        <v>-5.5E-2</v>
      </c>
      <c r="R2952">
        <v>-5.5E-2</v>
      </c>
      <c r="S2952">
        <v>-5.5E-2</v>
      </c>
      <c r="T2952">
        <v>-5.5E-2</v>
      </c>
      <c r="U2952">
        <v>-5.5E-2</v>
      </c>
      <c r="V2952">
        <v>-5.5E-2</v>
      </c>
      <c r="W2952">
        <v>-5.5E-2</v>
      </c>
      <c r="X2952">
        <v>-5.5E-2</v>
      </c>
      <c r="Y2952">
        <v>-5.5E-2</v>
      </c>
      <c r="Z2952">
        <v>-5.5E-2</v>
      </c>
      <c r="AA2952">
        <v>-5.5E-2</v>
      </c>
      <c r="AB2952">
        <v>-5.5E-2</v>
      </c>
      <c r="AC2952">
        <v>-5.5E-2</v>
      </c>
      <c r="AD2952">
        <v>-5.5E-2</v>
      </c>
    </row>
    <row r="2953" spans="2:30" x14ac:dyDescent="0.25">
      <c r="B2953" t="s">
        <v>133</v>
      </c>
      <c r="C2953" t="s">
        <v>3263</v>
      </c>
      <c r="D2953" t="s">
        <v>5027</v>
      </c>
      <c r="E2953" t="s">
        <v>5028</v>
      </c>
      <c r="F2953" t="s">
        <v>8800</v>
      </c>
      <c r="G2953" t="s">
        <v>3890</v>
      </c>
      <c r="H2953" t="s">
        <v>4686</v>
      </c>
      <c r="I2953" t="s">
        <v>4687</v>
      </c>
      <c r="J2953">
        <v>1</v>
      </c>
      <c r="K2953" t="e">
        <v>#DIV/0!</v>
      </c>
      <c r="L2953" t="e">
        <v>#DIV/0!</v>
      </c>
      <c r="M2953" t="e">
        <v>#DIV/0!</v>
      </c>
      <c r="N2953" t="e">
        <v>#DIV/0!</v>
      </c>
      <c r="O2953" t="e">
        <v>#DIV/0!</v>
      </c>
      <c r="P2953" t="e">
        <v>#DIV/0!</v>
      </c>
      <c r="Q2953" t="e">
        <v>#DIV/0!</v>
      </c>
      <c r="R2953" t="e">
        <v>#DIV/0!</v>
      </c>
      <c r="S2953" t="e">
        <v>#DIV/0!</v>
      </c>
      <c r="T2953" t="e">
        <v>#DIV/0!</v>
      </c>
      <c r="U2953" t="e">
        <v>#DIV/0!</v>
      </c>
      <c r="V2953" t="e">
        <v>#DIV/0!</v>
      </c>
      <c r="W2953" t="e">
        <v>#DIV/0!</v>
      </c>
      <c r="X2953" t="e">
        <v>#DIV/0!</v>
      </c>
      <c r="Y2953" t="e">
        <v>#DIV/0!</v>
      </c>
      <c r="Z2953" t="e">
        <v>#DIV/0!</v>
      </c>
      <c r="AA2953" t="e">
        <v>#DIV/0!</v>
      </c>
      <c r="AB2953" t="e">
        <v>#DIV/0!</v>
      </c>
      <c r="AC2953" t="e">
        <v>#DIV/0!</v>
      </c>
      <c r="AD2953" t="e">
        <v>#DIV/0!</v>
      </c>
    </row>
    <row r="2954" spans="2:30" x14ac:dyDescent="0.25">
      <c r="B2954" t="s">
        <v>133</v>
      </c>
      <c r="C2954" t="s">
        <v>3263</v>
      </c>
      <c r="D2954" t="s">
        <v>5030</v>
      </c>
      <c r="E2954" t="s">
        <v>5031</v>
      </c>
      <c r="F2954" t="s">
        <v>8801</v>
      </c>
      <c r="G2954" t="s">
        <v>3890</v>
      </c>
      <c r="H2954" t="s">
        <v>5033</v>
      </c>
      <c r="I2954" t="s">
        <v>4263</v>
      </c>
      <c r="J2954">
        <v>2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  <c r="W2954" t="e">
        <v>#N/A</v>
      </c>
      <c r="X2954" t="e">
        <v>#N/A</v>
      </c>
      <c r="Y2954" t="e">
        <v>#N/A</v>
      </c>
      <c r="Z2954" t="e">
        <v>#N/A</v>
      </c>
      <c r="AA2954" t="e">
        <v>#N/A</v>
      </c>
      <c r="AB2954" t="e">
        <v>#N/A</v>
      </c>
      <c r="AC2954" t="e">
        <v>#N/A</v>
      </c>
      <c r="AD2954" t="e">
        <v>#N/A</v>
      </c>
    </row>
    <row r="2955" spans="2:30" x14ac:dyDescent="0.25">
      <c r="B2955" t="s">
        <v>133</v>
      </c>
      <c r="C2955" t="s">
        <v>3263</v>
      </c>
      <c r="D2955" t="s">
        <v>5034</v>
      </c>
      <c r="E2955" t="s">
        <v>5035</v>
      </c>
      <c r="F2955" t="s">
        <v>8802</v>
      </c>
      <c r="G2955" t="s">
        <v>3890</v>
      </c>
      <c r="H2955" t="s">
        <v>4695</v>
      </c>
      <c r="I2955" t="s">
        <v>4687</v>
      </c>
      <c r="J2955">
        <v>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2:30" x14ac:dyDescent="0.25">
      <c r="B2956" t="s">
        <v>133</v>
      </c>
      <c r="C2956" t="s">
        <v>3263</v>
      </c>
      <c r="D2956" t="s">
        <v>5037</v>
      </c>
      <c r="E2956" t="s">
        <v>5038</v>
      </c>
      <c r="F2956" t="s">
        <v>8803</v>
      </c>
      <c r="G2956" t="s">
        <v>3890</v>
      </c>
      <c r="H2956" t="s">
        <v>4645</v>
      </c>
      <c r="I2956" t="s">
        <v>4263</v>
      </c>
      <c r="J2956">
        <v>2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  <c r="W2956" t="e">
        <v>#N/A</v>
      </c>
      <c r="X2956" t="e">
        <v>#N/A</v>
      </c>
      <c r="Y2956" t="e">
        <v>#N/A</v>
      </c>
      <c r="Z2956" t="e">
        <v>#N/A</v>
      </c>
      <c r="AA2956" t="e">
        <v>#N/A</v>
      </c>
      <c r="AB2956" t="e">
        <v>#N/A</v>
      </c>
      <c r="AC2956" t="e">
        <v>#N/A</v>
      </c>
      <c r="AD2956" t="e">
        <v>#N/A</v>
      </c>
    </row>
    <row r="2957" spans="2:30" x14ac:dyDescent="0.25">
      <c r="B2957" t="s">
        <v>133</v>
      </c>
      <c r="C2957" t="s">
        <v>3263</v>
      </c>
      <c r="D2957" t="s">
        <v>5040</v>
      </c>
      <c r="E2957" t="s">
        <v>4396</v>
      </c>
      <c r="F2957" t="s">
        <v>8607</v>
      </c>
      <c r="G2957" t="s">
        <v>3890</v>
      </c>
      <c r="H2957" t="s">
        <v>4394</v>
      </c>
      <c r="I2957" t="s">
        <v>4263</v>
      </c>
      <c r="J2957">
        <v>2</v>
      </c>
      <c r="K2957">
        <v>5.8999999999999997E-2</v>
      </c>
      <c r="L2957">
        <v>5.0999999999999997E-2</v>
      </c>
      <c r="M2957">
        <v>0.10100000000000001</v>
      </c>
      <c r="N2957">
        <v>9.8000000000000004E-2</v>
      </c>
      <c r="O2957">
        <v>0.1</v>
      </c>
      <c r="P2957">
        <v>0.10100000000000001</v>
      </c>
      <c r="Q2957">
        <v>0.10100000000000001</v>
      </c>
      <c r="R2957">
        <v>0.10100000000000001</v>
      </c>
      <c r="S2957">
        <v>0.10100000000000001</v>
      </c>
      <c r="T2957">
        <v>0.1</v>
      </c>
      <c r="U2957">
        <v>0.1</v>
      </c>
      <c r="V2957">
        <v>0.1</v>
      </c>
      <c r="W2957">
        <v>0.1</v>
      </c>
      <c r="X2957">
        <v>0.1</v>
      </c>
      <c r="Y2957">
        <v>9.9000000000000005E-2</v>
      </c>
      <c r="Z2957">
        <v>9.9000000000000005E-2</v>
      </c>
      <c r="AA2957">
        <v>9.9000000000000005E-2</v>
      </c>
      <c r="AB2957">
        <v>9.8000000000000004E-2</v>
      </c>
      <c r="AC2957">
        <v>9.8000000000000004E-2</v>
      </c>
      <c r="AD2957">
        <v>9.8000000000000004E-2</v>
      </c>
    </row>
    <row r="2958" spans="2:30" x14ac:dyDescent="0.25">
      <c r="B2958" t="s">
        <v>133</v>
      </c>
      <c r="C2958" t="s">
        <v>3263</v>
      </c>
      <c r="D2958" t="s">
        <v>5041</v>
      </c>
      <c r="E2958" t="s">
        <v>5042</v>
      </c>
      <c r="F2958" t="s">
        <v>8804</v>
      </c>
      <c r="G2958" t="s">
        <v>3890</v>
      </c>
      <c r="H2958" t="s">
        <v>4653</v>
      </c>
      <c r="I2958" t="s">
        <v>4263</v>
      </c>
      <c r="J2958">
        <v>2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  <c r="W2958" t="e">
        <v>#N/A</v>
      </c>
      <c r="X2958" t="e">
        <v>#N/A</v>
      </c>
      <c r="Y2958" t="e">
        <v>#N/A</v>
      </c>
      <c r="Z2958" t="e">
        <v>#N/A</v>
      </c>
      <c r="AA2958" t="e">
        <v>#N/A</v>
      </c>
      <c r="AB2958" t="e">
        <v>#N/A</v>
      </c>
      <c r="AC2958" t="e">
        <v>#N/A</v>
      </c>
      <c r="AD2958" t="e">
        <v>#N/A</v>
      </c>
    </row>
    <row r="2959" spans="2:30" x14ac:dyDescent="0.25">
      <c r="B2959" t="s">
        <v>133</v>
      </c>
      <c r="C2959" t="s">
        <v>3263</v>
      </c>
      <c r="D2959" t="s">
        <v>5044</v>
      </c>
      <c r="E2959" t="s">
        <v>5045</v>
      </c>
      <c r="F2959" t="s">
        <v>8805</v>
      </c>
      <c r="G2959" t="s">
        <v>3890</v>
      </c>
      <c r="H2959" t="s">
        <v>4669</v>
      </c>
      <c r="I2959" t="s">
        <v>4263</v>
      </c>
      <c r="J2959">
        <v>2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2:30" x14ac:dyDescent="0.25">
      <c r="B2960" t="s">
        <v>133</v>
      </c>
      <c r="C2960" t="s">
        <v>3263</v>
      </c>
      <c r="D2960" t="s">
        <v>5047</v>
      </c>
      <c r="E2960" t="s">
        <v>5048</v>
      </c>
      <c r="F2960" t="s">
        <v>8806</v>
      </c>
      <c r="G2960" t="s">
        <v>3890</v>
      </c>
      <c r="H2960" t="s">
        <v>4673</v>
      </c>
      <c r="I2960" t="s">
        <v>4263</v>
      </c>
      <c r="J2960">
        <v>2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  <c r="W2960" t="e">
        <v>#N/A</v>
      </c>
      <c r="X2960" t="e">
        <v>#N/A</v>
      </c>
      <c r="Y2960" t="e">
        <v>#N/A</v>
      </c>
      <c r="Z2960" t="e">
        <v>#N/A</v>
      </c>
      <c r="AA2960" t="e">
        <v>#N/A</v>
      </c>
      <c r="AB2960" t="e">
        <v>#N/A</v>
      </c>
      <c r="AC2960" t="e">
        <v>#N/A</v>
      </c>
      <c r="AD2960" t="e">
        <v>#N/A</v>
      </c>
    </row>
    <row r="2961" spans="2:30" x14ac:dyDescent="0.25">
      <c r="B2961" t="s">
        <v>133</v>
      </c>
      <c r="C2961" t="s">
        <v>3263</v>
      </c>
      <c r="D2961" t="s">
        <v>5050</v>
      </c>
      <c r="E2961" t="s">
        <v>5051</v>
      </c>
      <c r="F2961" t="s">
        <v>8807</v>
      </c>
      <c r="G2961" t="s">
        <v>3890</v>
      </c>
      <c r="H2961" t="s">
        <v>5021</v>
      </c>
      <c r="I2961" t="s">
        <v>4263</v>
      </c>
      <c r="J2961">
        <v>2</v>
      </c>
      <c r="K2961">
        <v>6.0999999999999999E-2</v>
      </c>
      <c r="L2961">
        <v>5.1999999999999998E-2</v>
      </c>
      <c r="M2961">
        <v>4.5999999999999999E-2</v>
      </c>
      <c r="N2961">
        <v>4.2999999999999997E-2</v>
      </c>
      <c r="O2961">
        <v>4.5999999999999999E-2</v>
      </c>
      <c r="P2961">
        <v>4.7E-2</v>
      </c>
      <c r="Q2961">
        <v>4.7E-2</v>
      </c>
      <c r="R2961">
        <v>4.7E-2</v>
      </c>
      <c r="S2961">
        <v>4.5999999999999999E-2</v>
      </c>
      <c r="T2961">
        <v>4.5999999999999999E-2</v>
      </c>
      <c r="U2961">
        <v>4.5999999999999999E-2</v>
      </c>
      <c r="V2961">
        <v>4.5999999999999999E-2</v>
      </c>
      <c r="W2961">
        <v>4.5999999999999999E-2</v>
      </c>
      <c r="X2961">
        <v>4.5999999999999999E-2</v>
      </c>
      <c r="Y2961">
        <v>4.4999999999999998E-2</v>
      </c>
      <c r="Z2961">
        <v>4.4999999999999998E-2</v>
      </c>
      <c r="AA2961">
        <v>4.4999999999999998E-2</v>
      </c>
      <c r="AB2961">
        <v>4.4999999999999998E-2</v>
      </c>
      <c r="AC2961">
        <v>4.3999999999999997E-2</v>
      </c>
      <c r="AD2961">
        <v>4.3999999999999997E-2</v>
      </c>
    </row>
    <row r="2962" spans="2:30" x14ac:dyDescent="0.25">
      <c r="B2962" t="s">
        <v>133</v>
      </c>
      <c r="C2962" t="s">
        <v>3263</v>
      </c>
      <c r="D2962" t="s">
        <v>5053</v>
      </c>
      <c r="E2962" t="s">
        <v>5054</v>
      </c>
      <c r="F2962" t="s">
        <v>8808</v>
      </c>
      <c r="G2962" t="s">
        <v>3890</v>
      </c>
      <c r="H2962" t="s">
        <v>5025</v>
      </c>
      <c r="I2962" t="s">
        <v>4263</v>
      </c>
      <c r="J2962">
        <v>2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  <c r="W2962" t="e">
        <v>#N/A</v>
      </c>
      <c r="X2962" t="e">
        <v>#N/A</v>
      </c>
      <c r="Y2962" t="e">
        <v>#N/A</v>
      </c>
      <c r="Z2962" t="e">
        <v>#N/A</v>
      </c>
      <c r="AA2962" t="e">
        <v>#N/A</v>
      </c>
      <c r="AB2962" t="e">
        <v>#N/A</v>
      </c>
      <c r="AC2962" t="e">
        <v>#N/A</v>
      </c>
      <c r="AD2962" t="e">
        <v>#N/A</v>
      </c>
    </row>
    <row r="2963" spans="2:30" x14ac:dyDescent="0.25">
      <c r="B2963" t="s">
        <v>133</v>
      </c>
      <c r="C2963" t="s">
        <v>3263</v>
      </c>
      <c r="D2963" t="s">
        <v>5056</v>
      </c>
      <c r="E2963" t="s">
        <v>4437</v>
      </c>
      <c r="F2963" t="s">
        <v>8620</v>
      </c>
      <c r="G2963" t="s">
        <v>3890</v>
      </c>
      <c r="H2963" t="s">
        <v>4865</v>
      </c>
      <c r="I2963" t="s">
        <v>4263</v>
      </c>
      <c r="J2963">
        <v>1</v>
      </c>
      <c r="K2963">
        <v>2E-3</v>
      </c>
      <c r="L2963">
        <v>1E-3</v>
      </c>
      <c r="M2963">
        <v>-5.5E-2</v>
      </c>
      <c r="N2963">
        <v>-5.5E-2</v>
      </c>
      <c r="O2963">
        <v>-5.5E-2</v>
      </c>
      <c r="P2963">
        <v>-5.5E-2</v>
      </c>
      <c r="Q2963">
        <v>-5.5E-2</v>
      </c>
      <c r="R2963">
        <v>-5.5E-2</v>
      </c>
      <c r="S2963">
        <v>-5.5E-2</v>
      </c>
      <c r="T2963">
        <v>-5.5E-2</v>
      </c>
      <c r="U2963">
        <v>-5.5E-2</v>
      </c>
      <c r="V2963">
        <v>-5.5E-2</v>
      </c>
      <c r="W2963">
        <v>-5.5E-2</v>
      </c>
      <c r="X2963">
        <v>-5.5E-2</v>
      </c>
      <c r="Y2963">
        <v>-5.5E-2</v>
      </c>
      <c r="Z2963">
        <v>-5.5E-2</v>
      </c>
      <c r="AA2963">
        <v>-5.5E-2</v>
      </c>
      <c r="AB2963">
        <v>-5.5E-2</v>
      </c>
      <c r="AC2963">
        <v>-5.5E-2</v>
      </c>
      <c r="AD2963">
        <v>-5.5E-2</v>
      </c>
    </row>
    <row r="2964" spans="2:30" x14ac:dyDescent="0.25">
      <c r="B2964" t="s">
        <v>133</v>
      </c>
      <c r="C2964" t="s">
        <v>3263</v>
      </c>
      <c r="D2964" t="s">
        <v>5057</v>
      </c>
      <c r="E2964" t="s">
        <v>5058</v>
      </c>
      <c r="F2964" t="s">
        <v>8809</v>
      </c>
      <c r="G2964" t="s">
        <v>3890</v>
      </c>
      <c r="H2964" t="s">
        <v>4686</v>
      </c>
      <c r="I2964" t="s">
        <v>4687</v>
      </c>
      <c r="J2964">
        <v>1</v>
      </c>
      <c r="K2964" t="e">
        <v>#DIV/0!</v>
      </c>
      <c r="L2964" t="e">
        <v>#DIV/0!</v>
      </c>
      <c r="M2964" t="e">
        <v>#DIV/0!</v>
      </c>
      <c r="N2964" t="e">
        <v>#DIV/0!</v>
      </c>
      <c r="O2964" t="e">
        <v>#DIV/0!</v>
      </c>
      <c r="P2964" t="e">
        <v>#DIV/0!</v>
      </c>
      <c r="Q2964" t="e">
        <v>#DIV/0!</v>
      </c>
      <c r="R2964" t="e">
        <v>#DIV/0!</v>
      </c>
      <c r="S2964" t="e">
        <v>#DIV/0!</v>
      </c>
      <c r="T2964" t="e">
        <v>#DIV/0!</v>
      </c>
      <c r="U2964" t="e">
        <v>#DIV/0!</v>
      </c>
      <c r="V2964" t="e">
        <v>#DIV/0!</v>
      </c>
      <c r="W2964" t="e">
        <v>#DIV/0!</v>
      </c>
      <c r="X2964" t="e">
        <v>#DIV/0!</v>
      </c>
      <c r="Y2964" t="e">
        <v>#DIV/0!</v>
      </c>
      <c r="Z2964" t="e">
        <v>#DIV/0!</v>
      </c>
      <c r="AA2964" t="e">
        <v>#DIV/0!</v>
      </c>
      <c r="AB2964" t="e">
        <v>#DIV/0!</v>
      </c>
      <c r="AC2964" t="e">
        <v>#DIV/0!</v>
      </c>
      <c r="AD2964" t="e">
        <v>#DIV/0!</v>
      </c>
    </row>
    <row r="2965" spans="2:30" x14ac:dyDescent="0.25">
      <c r="B2965" t="s">
        <v>133</v>
      </c>
      <c r="C2965" t="s">
        <v>3263</v>
      </c>
      <c r="D2965" t="s">
        <v>5060</v>
      </c>
      <c r="E2965" t="s">
        <v>5061</v>
      </c>
      <c r="F2965" t="s">
        <v>8810</v>
      </c>
      <c r="G2965" t="s">
        <v>3890</v>
      </c>
      <c r="H2965" t="s">
        <v>5033</v>
      </c>
      <c r="I2965" t="s">
        <v>4263</v>
      </c>
      <c r="J2965">
        <v>2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  <c r="W2965" t="e">
        <v>#N/A</v>
      </c>
      <c r="X2965" t="e">
        <v>#N/A</v>
      </c>
      <c r="Y2965" t="e">
        <v>#N/A</v>
      </c>
      <c r="Z2965" t="e">
        <v>#N/A</v>
      </c>
      <c r="AA2965" t="e">
        <v>#N/A</v>
      </c>
      <c r="AB2965" t="e">
        <v>#N/A</v>
      </c>
      <c r="AC2965" t="e">
        <v>#N/A</v>
      </c>
      <c r="AD2965" t="e">
        <v>#N/A</v>
      </c>
    </row>
    <row r="2966" spans="2:30" x14ac:dyDescent="0.25">
      <c r="B2966" t="s">
        <v>133</v>
      </c>
      <c r="C2966" t="s">
        <v>3263</v>
      </c>
      <c r="D2966" t="s">
        <v>5063</v>
      </c>
      <c r="E2966" t="s">
        <v>5064</v>
      </c>
      <c r="F2966" t="s">
        <v>8811</v>
      </c>
      <c r="G2966" t="s">
        <v>3890</v>
      </c>
      <c r="H2966" t="s">
        <v>4695</v>
      </c>
      <c r="I2966" t="s">
        <v>4687</v>
      </c>
      <c r="J2966">
        <v>2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2:30" x14ac:dyDescent="0.25">
      <c r="B2967" t="s">
        <v>133</v>
      </c>
      <c r="C2967" t="s">
        <v>3263</v>
      </c>
      <c r="D2967" t="s">
        <v>5066</v>
      </c>
      <c r="E2967" t="s">
        <v>5067</v>
      </c>
      <c r="F2967" t="s">
        <v>8812</v>
      </c>
      <c r="G2967" t="s">
        <v>3890</v>
      </c>
      <c r="H2967" t="s">
        <v>4695</v>
      </c>
      <c r="I2967" t="s">
        <v>4687</v>
      </c>
      <c r="J2967">
        <v>1</v>
      </c>
      <c r="K2967">
        <v>2.6909999999999998</v>
      </c>
      <c r="L2967">
        <v>2.8210000000000002</v>
      </c>
      <c r="M2967">
        <v>3.3180000000000001</v>
      </c>
      <c r="N2967">
        <v>3.53</v>
      </c>
      <c r="O2967">
        <v>3.6869999999999998</v>
      </c>
      <c r="P2967">
        <v>3.7810000000000001</v>
      </c>
      <c r="Q2967">
        <v>3.8290000000000002</v>
      </c>
      <c r="R2967">
        <v>3.87</v>
      </c>
      <c r="S2967">
        <v>3.9060000000000001</v>
      </c>
      <c r="T2967">
        <v>3.93</v>
      </c>
      <c r="U2967">
        <v>3.9470000000000001</v>
      </c>
      <c r="V2967">
        <v>3.9569999999999999</v>
      </c>
      <c r="W2967">
        <v>3.964</v>
      </c>
      <c r="X2967">
        <v>3.9660000000000002</v>
      </c>
      <c r="Y2967">
        <v>3.9660000000000002</v>
      </c>
      <c r="Z2967">
        <v>3.96</v>
      </c>
      <c r="AA2967">
        <v>3.9510000000000001</v>
      </c>
      <c r="AB2967">
        <v>3.9359999999999999</v>
      </c>
      <c r="AC2967">
        <v>3.9159999999999999</v>
      </c>
      <c r="AD2967">
        <v>3.9020000000000001</v>
      </c>
    </row>
    <row r="2968" spans="2:30" x14ac:dyDescent="0.25">
      <c r="B2968" t="s">
        <v>133</v>
      </c>
      <c r="C2968" t="s">
        <v>3263</v>
      </c>
      <c r="D2968" t="s">
        <v>5069</v>
      </c>
      <c r="E2968" t="s">
        <v>5070</v>
      </c>
      <c r="F2968" t="s">
        <v>8813</v>
      </c>
      <c r="G2968" t="s">
        <v>3890</v>
      </c>
      <c r="H2968" t="s">
        <v>4695</v>
      </c>
      <c r="I2968" t="s">
        <v>4687</v>
      </c>
      <c r="J2968">
        <v>2</v>
      </c>
      <c r="K2968">
        <v>2.6909999999999998</v>
      </c>
      <c r="L2968">
        <v>2.8210000000000002</v>
      </c>
      <c r="M2968">
        <v>3.3180000000000001</v>
      </c>
      <c r="N2968">
        <v>3.53</v>
      </c>
      <c r="O2968">
        <v>3.6579999999999999</v>
      </c>
      <c r="P2968">
        <v>3.758</v>
      </c>
      <c r="Q2968">
        <v>3.7949999999999999</v>
      </c>
      <c r="R2968">
        <v>3.83</v>
      </c>
      <c r="S2968">
        <v>3.859</v>
      </c>
      <c r="T2968">
        <v>3.88</v>
      </c>
      <c r="U2968">
        <v>3.8959999999999999</v>
      </c>
      <c r="V2968">
        <v>3.907</v>
      </c>
      <c r="W2968">
        <v>3.9159999999999999</v>
      </c>
      <c r="X2968">
        <v>3.92</v>
      </c>
      <c r="Y2968">
        <v>3.9209999999999998</v>
      </c>
      <c r="Z2968">
        <v>3.9169999999999998</v>
      </c>
      <c r="AA2968">
        <v>3.9079999999999999</v>
      </c>
      <c r="AB2968">
        <v>3.8919999999999999</v>
      </c>
      <c r="AC2968">
        <v>3.8740000000000001</v>
      </c>
      <c r="AD2968">
        <v>3.863</v>
      </c>
    </row>
    <row r="2969" spans="2:30" x14ac:dyDescent="0.25">
      <c r="B2969" t="s">
        <v>133</v>
      </c>
      <c r="C2969" t="s">
        <v>3263</v>
      </c>
      <c r="D2969" t="s">
        <v>5072</v>
      </c>
      <c r="E2969" t="s">
        <v>5073</v>
      </c>
      <c r="F2969" t="s">
        <v>8814</v>
      </c>
      <c r="G2969" t="s">
        <v>3890</v>
      </c>
      <c r="H2969" t="s">
        <v>5075</v>
      </c>
      <c r="I2969" t="s">
        <v>4687</v>
      </c>
      <c r="J2969">
        <v>2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  <c r="W2969" t="e">
        <v>#N/A</v>
      </c>
      <c r="X2969" t="e">
        <v>#N/A</v>
      </c>
      <c r="Y2969" t="e">
        <v>#N/A</v>
      </c>
      <c r="Z2969" t="e">
        <v>#N/A</v>
      </c>
      <c r="AA2969" t="e">
        <v>#N/A</v>
      </c>
      <c r="AB2969" t="e">
        <v>#N/A</v>
      </c>
      <c r="AC2969" t="e">
        <v>#N/A</v>
      </c>
      <c r="AD2969" t="e">
        <v>#N/A</v>
      </c>
    </row>
    <row r="2970" spans="2:30" x14ac:dyDescent="0.25">
      <c r="B2970" t="s">
        <v>133</v>
      </c>
      <c r="C2970" t="s">
        <v>3263</v>
      </c>
      <c r="D2970" t="s">
        <v>5076</v>
      </c>
      <c r="E2970" t="s">
        <v>5077</v>
      </c>
      <c r="F2970" t="s">
        <v>8815</v>
      </c>
      <c r="G2970" t="s">
        <v>3890</v>
      </c>
      <c r="H2970" t="s">
        <v>5075</v>
      </c>
      <c r="I2970" t="s">
        <v>4687</v>
      </c>
      <c r="J2970">
        <v>2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  <c r="W2970" t="e">
        <v>#N/A</v>
      </c>
      <c r="X2970" t="e">
        <v>#N/A</v>
      </c>
      <c r="Y2970" t="e">
        <v>#N/A</v>
      </c>
      <c r="Z2970" t="e">
        <v>#N/A</v>
      </c>
      <c r="AA2970" t="e">
        <v>#N/A</v>
      </c>
      <c r="AB2970" t="e">
        <v>#N/A</v>
      </c>
      <c r="AC2970" t="e">
        <v>#N/A</v>
      </c>
      <c r="AD2970" t="e">
        <v>#N/A</v>
      </c>
    </row>
    <row r="2971" spans="2:30" x14ac:dyDescent="0.25">
      <c r="B2971" t="s">
        <v>133</v>
      </c>
      <c r="C2971" t="s">
        <v>3263</v>
      </c>
      <c r="D2971" t="s">
        <v>5079</v>
      </c>
      <c r="E2971" t="s">
        <v>5080</v>
      </c>
      <c r="F2971" t="s">
        <v>8816</v>
      </c>
      <c r="G2971" t="s">
        <v>3890</v>
      </c>
      <c r="H2971" t="s">
        <v>5075</v>
      </c>
      <c r="I2971" t="s">
        <v>4687</v>
      </c>
      <c r="J2971">
        <v>2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  <c r="W2971" t="e">
        <v>#N/A</v>
      </c>
      <c r="X2971" t="e">
        <v>#N/A</v>
      </c>
      <c r="Y2971" t="e">
        <v>#N/A</v>
      </c>
      <c r="Z2971" t="e">
        <v>#N/A</v>
      </c>
      <c r="AA2971" t="e">
        <v>#N/A</v>
      </c>
      <c r="AB2971" t="e">
        <v>#N/A</v>
      </c>
      <c r="AC2971" t="e">
        <v>#N/A</v>
      </c>
      <c r="AD2971" t="e">
        <v>#N/A</v>
      </c>
    </row>
    <row r="2972" spans="2:30" x14ac:dyDescent="0.25">
      <c r="B2972" t="s">
        <v>133</v>
      </c>
      <c r="C2972" t="s">
        <v>3263</v>
      </c>
      <c r="D2972" t="s">
        <v>5082</v>
      </c>
      <c r="E2972" t="s">
        <v>5083</v>
      </c>
      <c r="F2972" t="s">
        <v>8817</v>
      </c>
      <c r="G2972" t="s">
        <v>3890</v>
      </c>
      <c r="H2972" t="s">
        <v>5075</v>
      </c>
      <c r="I2972" t="s">
        <v>4687</v>
      </c>
      <c r="J2972">
        <v>2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  <c r="W2972" t="e">
        <v>#N/A</v>
      </c>
      <c r="X2972" t="e">
        <v>#N/A</v>
      </c>
      <c r="Y2972" t="e">
        <v>#N/A</v>
      </c>
      <c r="Z2972" t="e">
        <v>#N/A</v>
      </c>
      <c r="AA2972" t="e">
        <v>#N/A</v>
      </c>
      <c r="AB2972" t="e">
        <v>#N/A</v>
      </c>
      <c r="AC2972" t="e">
        <v>#N/A</v>
      </c>
      <c r="AD2972" t="e">
        <v>#N/A</v>
      </c>
    </row>
    <row r="2973" spans="2:30" x14ac:dyDescent="0.25">
      <c r="B2973" t="s">
        <v>133</v>
      </c>
      <c r="C2973" t="s">
        <v>3263</v>
      </c>
      <c r="D2973" t="s">
        <v>5085</v>
      </c>
      <c r="E2973" t="s">
        <v>5086</v>
      </c>
      <c r="F2973" t="s">
        <v>8818</v>
      </c>
      <c r="G2973" t="s">
        <v>3890</v>
      </c>
      <c r="H2973" t="s">
        <v>5075</v>
      </c>
      <c r="I2973" t="s">
        <v>4687</v>
      </c>
      <c r="J2973">
        <v>2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2:30" x14ac:dyDescent="0.25">
      <c r="B2974" t="s">
        <v>133</v>
      </c>
      <c r="C2974" t="s">
        <v>3263</v>
      </c>
      <c r="D2974" t="s">
        <v>5088</v>
      </c>
      <c r="E2974" t="s">
        <v>5089</v>
      </c>
      <c r="F2974" t="s">
        <v>8819</v>
      </c>
      <c r="G2974" t="s">
        <v>3890</v>
      </c>
      <c r="H2974" t="s">
        <v>5075</v>
      </c>
      <c r="I2974" t="s">
        <v>4687</v>
      </c>
      <c r="J2974">
        <v>2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2:30" x14ac:dyDescent="0.25">
      <c r="B2975" t="s">
        <v>133</v>
      </c>
      <c r="C2975" t="s">
        <v>3263</v>
      </c>
      <c r="D2975" t="s">
        <v>5091</v>
      </c>
      <c r="E2975" t="s">
        <v>5092</v>
      </c>
      <c r="F2975" t="s">
        <v>8820</v>
      </c>
      <c r="G2975" t="s">
        <v>3890</v>
      </c>
      <c r="H2975" t="s">
        <v>5075</v>
      </c>
      <c r="I2975" t="s">
        <v>4687</v>
      </c>
      <c r="J2975">
        <v>2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  <c r="W2975" t="e">
        <v>#N/A</v>
      </c>
      <c r="X2975" t="e">
        <v>#N/A</v>
      </c>
      <c r="Y2975" t="e">
        <v>#N/A</v>
      </c>
      <c r="Z2975" t="e">
        <v>#N/A</v>
      </c>
      <c r="AA2975" t="e">
        <v>#N/A</v>
      </c>
      <c r="AB2975" t="e">
        <v>#N/A</v>
      </c>
      <c r="AC2975" t="e">
        <v>#N/A</v>
      </c>
      <c r="AD2975" t="e">
        <v>#N/A</v>
      </c>
    </row>
    <row r="2976" spans="2:30" x14ac:dyDescent="0.25">
      <c r="B2976" t="s">
        <v>133</v>
      </c>
      <c r="C2976" t="s">
        <v>3263</v>
      </c>
      <c r="D2976" t="s">
        <v>5094</v>
      </c>
      <c r="E2976" t="s">
        <v>5095</v>
      </c>
      <c r="F2976" t="s">
        <v>8821</v>
      </c>
      <c r="G2976" t="s">
        <v>3890</v>
      </c>
      <c r="H2976" t="s">
        <v>5075</v>
      </c>
      <c r="I2976" t="s">
        <v>4687</v>
      </c>
      <c r="J2976">
        <v>2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  <c r="W2976" t="e">
        <v>#N/A</v>
      </c>
      <c r="X2976" t="e">
        <v>#N/A</v>
      </c>
      <c r="Y2976" t="e">
        <v>#N/A</v>
      </c>
      <c r="Z2976" t="e">
        <v>#N/A</v>
      </c>
      <c r="AA2976" t="e">
        <v>#N/A</v>
      </c>
      <c r="AB2976" t="e">
        <v>#N/A</v>
      </c>
      <c r="AC2976" t="e">
        <v>#N/A</v>
      </c>
      <c r="AD2976" t="e">
        <v>#N/A</v>
      </c>
    </row>
    <row r="2977" spans="2:30" x14ac:dyDescent="0.25">
      <c r="B2977" t="s">
        <v>133</v>
      </c>
      <c r="C2977" t="s">
        <v>3263</v>
      </c>
      <c r="D2977" t="s">
        <v>5097</v>
      </c>
      <c r="E2977" t="s">
        <v>5098</v>
      </c>
      <c r="F2977" t="s">
        <v>8822</v>
      </c>
      <c r="G2977" t="s">
        <v>3890</v>
      </c>
      <c r="H2977" t="s">
        <v>5075</v>
      </c>
      <c r="I2977" t="s">
        <v>4687</v>
      </c>
      <c r="J2977">
        <v>2</v>
      </c>
      <c r="K2977">
        <v>6.9362124947994486E-3</v>
      </c>
      <c r="L2977">
        <v>7.0523458064633395E-3</v>
      </c>
      <c r="M2977">
        <v>7.2140233585393544E-3</v>
      </c>
      <c r="N2977">
        <v>7.2930917877762026E-3</v>
      </c>
      <c r="O2977">
        <v>7.4007664736978956E-3</v>
      </c>
      <c r="P2977">
        <v>7.5059751190643736E-3</v>
      </c>
      <c r="Q2977">
        <v>7.6103051109899893E-3</v>
      </c>
      <c r="R2977">
        <v>7.7036393441181402E-3</v>
      </c>
      <c r="S2977">
        <v>7.7917482659545815E-3</v>
      </c>
      <c r="T2977">
        <v>7.8760804945162358E-3</v>
      </c>
      <c r="U2977">
        <v>7.9583684003904902E-3</v>
      </c>
      <c r="V2977">
        <v>8.038652939071269E-3</v>
      </c>
      <c r="W2977">
        <v>8.1175594177015885E-3</v>
      </c>
      <c r="X2977">
        <v>8.1946037194784455E-3</v>
      </c>
      <c r="Y2977">
        <v>8.2700469919705939E-3</v>
      </c>
      <c r="Z2977">
        <v>8.3436874059188426E-3</v>
      </c>
      <c r="AA2977">
        <v>8.3436874059188426E-3</v>
      </c>
      <c r="AB2977">
        <v>8.3436874059188426E-3</v>
      </c>
      <c r="AC2977">
        <v>8.3436874059188426E-3</v>
      </c>
      <c r="AD2977">
        <v>8.3436874059188409E-3</v>
      </c>
    </row>
    <row r="2978" spans="2:30" x14ac:dyDescent="0.25">
      <c r="B2978" t="s">
        <v>133</v>
      </c>
      <c r="C2978" t="s">
        <v>3263</v>
      </c>
      <c r="D2978" t="s">
        <v>5100</v>
      </c>
      <c r="E2978" t="s">
        <v>5101</v>
      </c>
      <c r="F2978" t="s">
        <v>8823</v>
      </c>
      <c r="G2978" t="s">
        <v>3890</v>
      </c>
      <c r="H2978" t="s">
        <v>5075</v>
      </c>
      <c r="I2978" t="s">
        <v>4687</v>
      </c>
      <c r="J2978">
        <v>2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  <c r="W2978" t="e">
        <v>#N/A</v>
      </c>
      <c r="X2978" t="e">
        <v>#N/A</v>
      </c>
      <c r="Y2978" t="e">
        <v>#N/A</v>
      </c>
      <c r="Z2978" t="e">
        <v>#N/A</v>
      </c>
      <c r="AA2978" t="e">
        <v>#N/A</v>
      </c>
      <c r="AB2978" t="e">
        <v>#N/A</v>
      </c>
      <c r="AC2978" t="e">
        <v>#N/A</v>
      </c>
      <c r="AD2978" t="e">
        <v>#N/A</v>
      </c>
    </row>
    <row r="2979" spans="2:30" x14ac:dyDescent="0.25">
      <c r="B2979" t="s">
        <v>133</v>
      </c>
      <c r="C2979" t="s">
        <v>3263</v>
      </c>
      <c r="D2979" t="s">
        <v>5103</v>
      </c>
      <c r="E2979" t="s">
        <v>5104</v>
      </c>
      <c r="F2979" t="s">
        <v>8824</v>
      </c>
      <c r="G2979" t="s">
        <v>3890</v>
      </c>
      <c r="H2979" t="s">
        <v>5075</v>
      </c>
      <c r="I2979" t="s">
        <v>4687</v>
      </c>
      <c r="J2979">
        <v>1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  <c r="W2979" t="e">
        <v>#N/A</v>
      </c>
      <c r="X2979" t="e">
        <v>#N/A</v>
      </c>
      <c r="Y2979" t="e">
        <v>#N/A</v>
      </c>
      <c r="Z2979" t="e">
        <v>#N/A</v>
      </c>
      <c r="AA2979" t="e">
        <v>#N/A</v>
      </c>
      <c r="AB2979" t="e">
        <v>#N/A</v>
      </c>
      <c r="AC2979" t="e">
        <v>#N/A</v>
      </c>
      <c r="AD2979" t="e">
        <v>#N/A</v>
      </c>
    </row>
    <row r="2980" spans="2:30" x14ac:dyDescent="0.25">
      <c r="B2980" t="s">
        <v>133</v>
      </c>
      <c r="C2980" t="s">
        <v>3263</v>
      </c>
      <c r="D2980" t="s">
        <v>5103</v>
      </c>
      <c r="E2980" t="s">
        <v>5106</v>
      </c>
      <c r="F2980" t="s">
        <v>8825</v>
      </c>
      <c r="G2980" t="s">
        <v>3890</v>
      </c>
      <c r="H2980" t="s">
        <v>5075</v>
      </c>
      <c r="I2980" t="s">
        <v>4687</v>
      </c>
      <c r="J2980">
        <v>2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  <c r="W2980" t="e">
        <v>#N/A</v>
      </c>
      <c r="X2980" t="e">
        <v>#N/A</v>
      </c>
      <c r="Y2980" t="e">
        <v>#N/A</v>
      </c>
      <c r="Z2980" t="e">
        <v>#N/A</v>
      </c>
      <c r="AA2980" t="e">
        <v>#N/A</v>
      </c>
      <c r="AB2980" t="e">
        <v>#N/A</v>
      </c>
      <c r="AC2980" t="e">
        <v>#N/A</v>
      </c>
      <c r="AD2980" t="e">
        <v>#N/A</v>
      </c>
    </row>
    <row r="2981" spans="2:30" x14ac:dyDescent="0.25">
      <c r="B2981" t="s">
        <v>133</v>
      </c>
      <c r="C2981" t="s">
        <v>3263</v>
      </c>
      <c r="D2981" t="s">
        <v>5108</v>
      </c>
      <c r="E2981" t="s">
        <v>5109</v>
      </c>
      <c r="F2981" t="s">
        <v>8826</v>
      </c>
      <c r="G2981" t="s">
        <v>3890</v>
      </c>
      <c r="H2981" t="s">
        <v>5111</v>
      </c>
      <c r="I2981" t="s">
        <v>4687</v>
      </c>
      <c r="J2981">
        <v>1</v>
      </c>
      <c r="K2981">
        <v>54.801765375148797</v>
      </c>
      <c r="L2981">
        <v>56.99383599015475</v>
      </c>
      <c r="M2981">
        <v>59.273589429760939</v>
      </c>
      <c r="N2981">
        <v>61.644533006951377</v>
      </c>
      <c r="O2981">
        <v>64.110314327229432</v>
      </c>
      <c r="P2981">
        <v>66.674726900318618</v>
      </c>
      <c r="Q2981">
        <v>69.341715976331358</v>
      </c>
      <c r="R2981">
        <v>72.115384615384613</v>
      </c>
      <c r="S2981">
        <v>75</v>
      </c>
      <c r="T2981">
        <v>78</v>
      </c>
      <c r="U2981">
        <v>81.12</v>
      </c>
      <c r="V2981">
        <v>84.364800000000002</v>
      </c>
      <c r="W2981">
        <v>87.739392000000009</v>
      </c>
      <c r="X2981">
        <v>91.248967680000007</v>
      </c>
      <c r="Y2981">
        <v>94.898926387200007</v>
      </c>
      <c r="Z2981">
        <v>98.69488344268801</v>
      </c>
      <c r="AA2981">
        <v>102.64267878039553</v>
      </c>
      <c r="AB2981">
        <v>106.74838593161135</v>
      </c>
      <c r="AC2981">
        <v>111.01832136887582</v>
      </c>
      <c r="AD2981">
        <v>115.45905422363086</v>
      </c>
    </row>
    <row r="2982" spans="2:30" x14ac:dyDescent="0.25">
      <c r="B2982" t="s">
        <v>133</v>
      </c>
      <c r="C2982" t="s">
        <v>3263</v>
      </c>
      <c r="D2982" t="s">
        <v>5112</v>
      </c>
      <c r="E2982" t="s">
        <v>5113</v>
      </c>
      <c r="F2982" t="s">
        <v>8827</v>
      </c>
      <c r="G2982" t="s">
        <v>3890</v>
      </c>
      <c r="H2982" t="s">
        <v>109</v>
      </c>
      <c r="I2982" t="s">
        <v>108</v>
      </c>
      <c r="J2982">
        <v>1</v>
      </c>
      <c r="K2982">
        <v>84652.787400000001</v>
      </c>
      <c r="L2982">
        <v>82605.210091752058</v>
      </c>
      <c r="M2982">
        <v>93076.263310735274</v>
      </c>
      <c r="N2982">
        <v>97660.903879172314</v>
      </c>
      <c r="O2982">
        <v>99883.26559557984</v>
      </c>
      <c r="P2982">
        <v>102725.50351107852</v>
      </c>
      <c r="Q2982">
        <v>106869.44318846347</v>
      </c>
      <c r="R2982">
        <v>111405.02564127475</v>
      </c>
      <c r="S2982">
        <v>116204.06279838546</v>
      </c>
      <c r="T2982">
        <v>121509.57269062284</v>
      </c>
      <c r="U2982">
        <v>127156.57263530469</v>
      </c>
      <c r="V2982">
        <v>133223.60772336368</v>
      </c>
      <c r="W2982">
        <v>139695.67565713078</v>
      </c>
      <c r="X2982">
        <v>146629.91705072028</v>
      </c>
      <c r="Y2982">
        <v>154032.26271624945</v>
      </c>
      <c r="Z2982">
        <v>161993.68269035983</v>
      </c>
      <c r="AA2982">
        <v>170574.56884279643</v>
      </c>
      <c r="AB2982">
        <v>179860.70302367941</v>
      </c>
      <c r="AC2982">
        <v>189936.71611465031</v>
      </c>
      <c r="AD2982">
        <v>200456.03204407732</v>
      </c>
    </row>
    <row r="2983" spans="2:30" x14ac:dyDescent="0.25">
      <c r="B2983" t="s">
        <v>133</v>
      </c>
      <c r="C2983" t="s">
        <v>3263</v>
      </c>
      <c r="D2983" t="s">
        <v>5115</v>
      </c>
      <c r="E2983" t="s">
        <v>5116</v>
      </c>
      <c r="F2983" t="s">
        <v>8828</v>
      </c>
      <c r="G2983" t="s">
        <v>3890</v>
      </c>
      <c r="H2983" t="s">
        <v>109</v>
      </c>
      <c r="I2983" t="s">
        <v>108</v>
      </c>
      <c r="J2983">
        <v>1</v>
      </c>
      <c r="K2983">
        <v>1651.0930000000001</v>
      </c>
      <c r="L2983">
        <v>1545.134</v>
      </c>
      <c r="M2983">
        <v>1836.8230000000001</v>
      </c>
      <c r="N2983">
        <v>1975.171</v>
      </c>
      <c r="O2983">
        <v>2006.8579999999999</v>
      </c>
      <c r="P2983">
        <v>2038.454</v>
      </c>
      <c r="Q2983">
        <v>2090.7600000000002</v>
      </c>
      <c r="R2983">
        <v>2141.0300000000002</v>
      </c>
      <c r="S2983">
        <v>2188.41</v>
      </c>
      <c r="T2983">
        <v>2235.8040000000001</v>
      </c>
      <c r="U2983">
        <v>2278.1129999999998</v>
      </c>
      <c r="V2983">
        <v>2320.529</v>
      </c>
      <c r="W2983">
        <v>2363.0390000000002</v>
      </c>
      <c r="X2983">
        <v>2405.6320000000001</v>
      </c>
      <c r="Y2983">
        <v>2448.2950000000001</v>
      </c>
      <c r="Z2983">
        <v>2491.0169999999998</v>
      </c>
      <c r="AA2983">
        <v>2533.7860000000001</v>
      </c>
      <c r="AB2983">
        <v>2576.5909999999999</v>
      </c>
      <c r="AC2983">
        <v>2619.4189999999999</v>
      </c>
      <c r="AD2983">
        <v>2662.26</v>
      </c>
    </row>
    <row r="2984" spans="2:30" x14ac:dyDescent="0.25">
      <c r="B2984" t="s">
        <v>133</v>
      </c>
      <c r="C2984" t="s">
        <v>3263</v>
      </c>
      <c r="D2984" t="s">
        <v>5118</v>
      </c>
      <c r="E2984" t="s">
        <v>5119</v>
      </c>
      <c r="F2984" t="s">
        <v>8829</v>
      </c>
      <c r="G2984" t="s">
        <v>3890</v>
      </c>
      <c r="H2984" t="s">
        <v>109</v>
      </c>
      <c r="I2984" t="s">
        <v>108</v>
      </c>
      <c r="J2984">
        <v>1</v>
      </c>
      <c r="K2984">
        <v>42937.004999999997</v>
      </c>
      <c r="L2984">
        <v>39972.894</v>
      </c>
      <c r="M2984">
        <v>47161.006999999998</v>
      </c>
      <c r="N2984">
        <v>48233.921000000002</v>
      </c>
      <c r="O2984">
        <v>47663.53</v>
      </c>
      <c r="P2984">
        <v>47791.707000000002</v>
      </c>
      <c r="Q2984">
        <v>49275.875999999997</v>
      </c>
      <c r="R2984">
        <v>50896.870999999999</v>
      </c>
      <c r="S2984">
        <v>52355.53</v>
      </c>
      <c r="T2984">
        <v>53866.05</v>
      </c>
      <c r="U2984">
        <v>55465.29</v>
      </c>
      <c r="V2984">
        <v>57237.817999999999</v>
      </c>
      <c r="W2984">
        <v>59178.915000000001</v>
      </c>
      <c r="X2984">
        <v>61338.178999999996</v>
      </c>
      <c r="Y2984">
        <v>63721.038</v>
      </c>
      <c r="Z2984">
        <v>66384.278999999995</v>
      </c>
      <c r="AA2984">
        <v>69370.365999999995</v>
      </c>
      <c r="AB2984">
        <v>72742.676000000007</v>
      </c>
      <c r="AC2984">
        <v>76575.350000000006</v>
      </c>
      <c r="AD2984">
        <v>80433.002999999997</v>
      </c>
    </row>
    <row r="2985" spans="2:30" x14ac:dyDescent="0.25">
      <c r="B2985" t="s">
        <v>133</v>
      </c>
      <c r="C2985" t="s">
        <v>3263</v>
      </c>
      <c r="D2985" t="s">
        <v>5121</v>
      </c>
      <c r="E2985" t="s">
        <v>5122</v>
      </c>
      <c r="F2985" t="s">
        <v>8830</v>
      </c>
      <c r="G2985" t="s">
        <v>3890</v>
      </c>
      <c r="H2985" t="s">
        <v>109</v>
      </c>
      <c r="I2985" t="s">
        <v>108</v>
      </c>
      <c r="J2985">
        <v>1</v>
      </c>
      <c r="K2985">
        <v>7688.0550000000003</v>
      </c>
      <c r="L2985">
        <v>7382.1220000000003</v>
      </c>
      <c r="M2985">
        <v>7820.5169999999998</v>
      </c>
      <c r="N2985">
        <v>9963.2890000000007</v>
      </c>
      <c r="O2985">
        <v>9996.473</v>
      </c>
      <c r="P2985">
        <v>10040.493</v>
      </c>
      <c r="Q2985">
        <v>10104.35</v>
      </c>
      <c r="R2985">
        <v>10170.476000000001</v>
      </c>
      <c r="S2985">
        <v>10233.127</v>
      </c>
      <c r="T2985">
        <v>10301.992</v>
      </c>
      <c r="U2985">
        <v>10378.269</v>
      </c>
      <c r="V2985">
        <v>10461.94</v>
      </c>
      <c r="W2985">
        <v>10553.672</v>
      </c>
      <c r="X2985">
        <v>10653.630999999999</v>
      </c>
      <c r="Y2985">
        <v>10762.258</v>
      </c>
      <c r="Z2985">
        <v>10879.782999999999</v>
      </c>
      <c r="AA2985">
        <v>11006.638999999999</v>
      </c>
      <c r="AB2985">
        <v>11143.370999999999</v>
      </c>
      <c r="AC2985">
        <v>11290.245000000001</v>
      </c>
      <c r="AD2985">
        <v>11447.72</v>
      </c>
    </row>
    <row r="2986" spans="2:30" x14ac:dyDescent="0.25">
      <c r="B2986" t="s">
        <v>133</v>
      </c>
      <c r="C2986" t="s">
        <v>3263</v>
      </c>
      <c r="D2986" t="s">
        <v>5124</v>
      </c>
      <c r="E2986" t="s">
        <v>5125</v>
      </c>
      <c r="F2986" t="s">
        <v>8831</v>
      </c>
      <c r="G2986" t="s">
        <v>3890</v>
      </c>
      <c r="H2986" t="s">
        <v>109</v>
      </c>
      <c r="I2986" t="s">
        <v>108</v>
      </c>
      <c r="J2986">
        <v>1</v>
      </c>
      <c r="K2986">
        <v>7404.3140000000003</v>
      </c>
      <c r="L2986">
        <v>7147.93</v>
      </c>
      <c r="M2986">
        <v>7001.1750000000002</v>
      </c>
      <c r="N2986">
        <v>6753.6639999999998</v>
      </c>
      <c r="O2986">
        <v>6886.5370000000003</v>
      </c>
      <c r="P2986">
        <v>7548.8450000000003</v>
      </c>
      <c r="Q2986">
        <v>8264.5689999999995</v>
      </c>
      <c r="R2986">
        <v>9039.0759999999991</v>
      </c>
      <c r="S2986">
        <v>9962.8960000000006</v>
      </c>
      <c r="T2986">
        <v>11055</v>
      </c>
      <c r="U2986">
        <v>12234.907999999999</v>
      </c>
      <c r="V2986">
        <v>13496.285</v>
      </c>
      <c r="W2986">
        <v>14832.485000000001</v>
      </c>
      <c r="X2986">
        <v>16236.275</v>
      </c>
      <c r="Y2986">
        <v>17698.248</v>
      </c>
      <c r="Z2986">
        <v>19231.596000000001</v>
      </c>
      <c r="AA2986">
        <v>20833.882000000001</v>
      </c>
      <c r="AB2986">
        <v>22502.595000000001</v>
      </c>
      <c r="AC2986">
        <v>24236.026999999998</v>
      </c>
      <c r="AD2986">
        <v>26000.758999999998</v>
      </c>
    </row>
    <row r="2987" spans="2:30" x14ac:dyDescent="0.25">
      <c r="B2987" t="s">
        <v>133</v>
      </c>
      <c r="C2987" t="s">
        <v>3263</v>
      </c>
      <c r="D2987" t="s">
        <v>5127</v>
      </c>
      <c r="E2987" t="s">
        <v>5128</v>
      </c>
      <c r="F2987" t="s">
        <v>8832</v>
      </c>
      <c r="G2987" t="s">
        <v>3890</v>
      </c>
      <c r="H2987" t="s">
        <v>109</v>
      </c>
      <c r="I2987" t="s">
        <v>108</v>
      </c>
      <c r="J2987">
        <v>1</v>
      </c>
      <c r="K2987">
        <v>15214.834999999999</v>
      </c>
      <c r="L2987">
        <v>16168.272999999999</v>
      </c>
      <c r="M2987">
        <v>17468.254000000001</v>
      </c>
      <c r="N2987">
        <v>17210.601999999999</v>
      </c>
      <c r="O2987">
        <v>17931.196</v>
      </c>
      <c r="P2987">
        <v>19045.128000000001</v>
      </c>
      <c r="Q2987">
        <v>20275.214</v>
      </c>
      <c r="R2987">
        <v>21586.026999999998</v>
      </c>
      <c r="S2987">
        <v>23101.032999999999</v>
      </c>
      <c r="T2987">
        <v>24867.493999999999</v>
      </c>
      <c r="U2987">
        <v>26778.224999999999</v>
      </c>
      <c r="V2987">
        <v>28823.225999999999</v>
      </c>
      <c r="W2987">
        <v>30976.754000000001</v>
      </c>
      <c r="X2987">
        <v>33242.692000000003</v>
      </c>
      <c r="Y2987">
        <v>35613.048000000003</v>
      </c>
      <c r="Z2987">
        <v>38098.769</v>
      </c>
      <c r="AA2987">
        <v>40699.949999999997</v>
      </c>
      <c r="AB2987">
        <v>43420.855000000003</v>
      </c>
      <c r="AC2987">
        <v>46267.17</v>
      </c>
      <c r="AD2987">
        <v>49230.813000000002</v>
      </c>
    </row>
    <row r="2988" spans="2:30" x14ac:dyDescent="0.25">
      <c r="B2988" t="s">
        <v>133</v>
      </c>
      <c r="C2988" t="s">
        <v>3263</v>
      </c>
      <c r="D2988" t="s">
        <v>5130</v>
      </c>
      <c r="E2988" t="s">
        <v>5131</v>
      </c>
      <c r="F2988" t="s">
        <v>8833</v>
      </c>
      <c r="G2988" t="s">
        <v>3890</v>
      </c>
      <c r="H2988" t="s">
        <v>109</v>
      </c>
      <c r="I2988" t="s">
        <v>108</v>
      </c>
      <c r="J2988">
        <v>1</v>
      </c>
      <c r="K2988">
        <v>5389.2640000000001</v>
      </c>
      <c r="L2988">
        <v>6059.357</v>
      </c>
      <c r="M2988">
        <v>7304.8469999999998</v>
      </c>
      <c r="N2988">
        <v>7485.0290000000005</v>
      </c>
      <c r="O2988">
        <v>7660.826</v>
      </c>
      <c r="P2988">
        <v>7867.7740000000003</v>
      </c>
      <c r="Q2988">
        <v>8112.866</v>
      </c>
      <c r="R2988">
        <v>8347.6450000000004</v>
      </c>
      <c r="S2988">
        <v>8567.366</v>
      </c>
      <c r="T2988">
        <v>8788.9699999999993</v>
      </c>
      <c r="U2988">
        <v>9013.2360000000008</v>
      </c>
      <c r="V2988">
        <v>9240.1190000000006</v>
      </c>
      <c r="W2988">
        <v>9469.5740000000005</v>
      </c>
      <c r="X2988">
        <v>9701.5529999999999</v>
      </c>
      <c r="Y2988">
        <v>9936.0069999999996</v>
      </c>
      <c r="Z2988">
        <v>10172.888000000001</v>
      </c>
      <c r="AA2988">
        <v>10412.143</v>
      </c>
      <c r="AB2988">
        <v>10653.721</v>
      </c>
      <c r="AC2988">
        <v>10897.566999999999</v>
      </c>
      <c r="AD2988">
        <v>11143.626</v>
      </c>
    </row>
    <row r="2989" spans="2:30" x14ac:dyDescent="0.25">
      <c r="B2989" t="s">
        <v>133</v>
      </c>
      <c r="C2989" t="s">
        <v>3263</v>
      </c>
      <c r="D2989" t="s">
        <v>5133</v>
      </c>
      <c r="E2989" t="s">
        <v>5134</v>
      </c>
      <c r="F2989" t="s">
        <v>8834</v>
      </c>
      <c r="G2989" t="s">
        <v>3890</v>
      </c>
      <c r="H2989" t="s">
        <v>109</v>
      </c>
      <c r="I2989" t="s">
        <v>108</v>
      </c>
      <c r="J2989">
        <v>1</v>
      </c>
      <c r="K2989">
        <v>659.322</v>
      </c>
      <c r="L2989">
        <v>771.90700000000004</v>
      </c>
      <c r="M2989">
        <v>857.73800000000006</v>
      </c>
      <c r="N2989">
        <v>889.11699999999996</v>
      </c>
      <c r="O2989">
        <v>920.298</v>
      </c>
      <c r="P2989">
        <v>957.94299999999998</v>
      </c>
      <c r="Q2989">
        <v>1003.823</v>
      </c>
      <c r="R2989">
        <v>1048.83</v>
      </c>
      <c r="S2989">
        <v>1091.8589999999999</v>
      </c>
      <c r="T2989">
        <v>1136.079</v>
      </c>
      <c r="U2989">
        <v>1181.4929999999999</v>
      </c>
      <c r="V2989">
        <v>1228.1030000000001</v>
      </c>
      <c r="W2989">
        <v>1275.9059999999999</v>
      </c>
      <c r="X2989">
        <v>1324.8989999999999</v>
      </c>
      <c r="Y2989">
        <v>1375.079</v>
      </c>
      <c r="Z2989">
        <v>1426.4359999999999</v>
      </c>
      <c r="AA2989">
        <v>1478.963</v>
      </c>
      <c r="AB2989">
        <v>1532.6469999999999</v>
      </c>
      <c r="AC2989">
        <v>1587.4749999999999</v>
      </c>
      <c r="AD2989">
        <v>1643.43</v>
      </c>
    </row>
    <row r="2990" spans="2:30" x14ac:dyDescent="0.25">
      <c r="B2990" t="s">
        <v>133</v>
      </c>
      <c r="C2990" t="s">
        <v>3263</v>
      </c>
      <c r="D2990" t="s">
        <v>5136</v>
      </c>
      <c r="E2990" t="s">
        <v>5137</v>
      </c>
      <c r="F2990" t="s">
        <v>8835</v>
      </c>
      <c r="G2990" t="s">
        <v>3890</v>
      </c>
      <c r="H2990" t="s">
        <v>109</v>
      </c>
      <c r="I2990" t="s">
        <v>108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</row>
    <row r="2991" spans="2:30" x14ac:dyDescent="0.25">
      <c r="B2991" t="s">
        <v>133</v>
      </c>
      <c r="C2991" t="s">
        <v>3263</v>
      </c>
      <c r="D2991" t="s">
        <v>5139</v>
      </c>
      <c r="E2991" t="s">
        <v>5140</v>
      </c>
      <c r="F2991" t="s">
        <v>8836</v>
      </c>
      <c r="G2991" t="s">
        <v>3890</v>
      </c>
      <c r="H2991" t="s">
        <v>109</v>
      </c>
      <c r="I2991" t="s">
        <v>108</v>
      </c>
      <c r="J2991">
        <v>1</v>
      </c>
      <c r="K2991">
        <v>2179.63</v>
      </c>
      <c r="L2991">
        <v>2350.8629999999998</v>
      </c>
      <c r="M2991">
        <v>2312.4969999999998</v>
      </c>
      <c r="N2991">
        <v>3841.2840000000001</v>
      </c>
      <c r="O2991">
        <v>5513.2820000000002</v>
      </c>
      <c r="P2991">
        <v>6135.44</v>
      </c>
      <c r="Q2991">
        <v>6446.7960000000003</v>
      </c>
      <c r="R2991">
        <v>6884.393</v>
      </c>
      <c r="S2991">
        <v>7417.6629999999996</v>
      </c>
      <c r="T2991">
        <v>7976.4889999999996</v>
      </c>
      <c r="U2991">
        <v>8549.81</v>
      </c>
      <c r="V2991">
        <v>9142.8109999999997</v>
      </c>
      <c r="W2991">
        <v>9776.9889999999996</v>
      </c>
      <c r="X2991">
        <v>10463.136</v>
      </c>
      <c r="Y2991">
        <v>11218.773999999999</v>
      </c>
      <c r="Z2991">
        <v>12053.789000000001</v>
      </c>
      <c r="AA2991">
        <v>12988.088</v>
      </c>
      <c r="AB2991">
        <v>14041.853999999999</v>
      </c>
      <c r="AC2991">
        <v>15221.414000000001</v>
      </c>
      <c r="AD2991">
        <v>16656.702000000001</v>
      </c>
    </row>
    <row r="2992" spans="2:30" x14ac:dyDescent="0.25">
      <c r="B2992" t="s">
        <v>133</v>
      </c>
      <c r="C2992" t="s">
        <v>3263</v>
      </c>
      <c r="D2992" t="s">
        <v>5142</v>
      </c>
      <c r="E2992" t="s">
        <v>5143</v>
      </c>
      <c r="F2992" t="s">
        <v>8837</v>
      </c>
      <c r="G2992" t="s">
        <v>3890</v>
      </c>
      <c r="H2992" t="s">
        <v>109</v>
      </c>
      <c r="I2992" t="s">
        <v>108</v>
      </c>
      <c r="J2992">
        <v>1</v>
      </c>
      <c r="K2992">
        <v>1529.27</v>
      </c>
      <c r="L2992">
        <v>1206.73</v>
      </c>
      <c r="M2992">
        <v>1313.405</v>
      </c>
      <c r="N2992">
        <v>1308.827</v>
      </c>
      <c r="O2992">
        <v>1304.2660000000001</v>
      </c>
      <c r="P2992">
        <v>1299.72</v>
      </c>
      <c r="Q2992">
        <v>1295.19</v>
      </c>
      <c r="R2992">
        <v>1290.6759999999999</v>
      </c>
      <c r="S2992">
        <v>1286.1780000000001</v>
      </c>
      <c r="T2992">
        <v>1281.6949999999999</v>
      </c>
      <c r="U2992">
        <v>1277.2280000000001</v>
      </c>
      <c r="V2992">
        <v>1272.777</v>
      </c>
      <c r="W2992">
        <v>1268.3409999999999</v>
      </c>
      <c r="X2992">
        <v>1263.921</v>
      </c>
      <c r="Y2992">
        <v>1259.5160000000001</v>
      </c>
      <c r="Z2992">
        <v>1255.126</v>
      </c>
      <c r="AA2992">
        <v>1250.752</v>
      </c>
      <c r="AB2992">
        <v>1246.393</v>
      </c>
      <c r="AC2992">
        <v>1242.049</v>
      </c>
      <c r="AD2992">
        <v>1237.72</v>
      </c>
    </row>
    <row r="2993" spans="2:30" x14ac:dyDescent="0.25">
      <c r="B2993" t="s">
        <v>133</v>
      </c>
      <c r="C2993" t="s">
        <v>3263</v>
      </c>
      <c r="D2993" t="s">
        <v>5145</v>
      </c>
      <c r="E2993" t="s">
        <v>5146</v>
      </c>
      <c r="F2993" t="s">
        <v>8838</v>
      </c>
      <c r="G2993" t="s">
        <v>3890</v>
      </c>
      <c r="H2993" t="s">
        <v>109</v>
      </c>
      <c r="I2993" t="s">
        <v>108</v>
      </c>
      <c r="J2993">
        <v>2</v>
      </c>
      <c r="K2993">
        <v>84652.786999999997</v>
      </c>
      <c r="L2993">
        <v>82604.562999999995</v>
      </c>
      <c r="M2993">
        <v>93075.634999999995</v>
      </c>
      <c r="N2993">
        <v>97660.293999999994</v>
      </c>
      <c r="O2993">
        <v>97388.576000000001</v>
      </c>
      <c r="P2993">
        <v>99718.345000000001</v>
      </c>
      <c r="Q2993">
        <v>102999.859</v>
      </c>
      <c r="R2993">
        <v>106309.84299999999</v>
      </c>
      <c r="S2993">
        <v>109859.084</v>
      </c>
      <c r="T2993">
        <v>113813.25599999999</v>
      </c>
      <c r="U2993">
        <v>117867.155</v>
      </c>
      <c r="V2993">
        <v>122263.503</v>
      </c>
      <c r="W2993">
        <v>126993.87300000001</v>
      </c>
      <c r="X2993">
        <v>132123.416</v>
      </c>
      <c r="Y2993">
        <v>137654.70000000001</v>
      </c>
      <c r="Z2993">
        <v>143685.41</v>
      </c>
      <c r="AA2993">
        <v>150270.595</v>
      </c>
      <c r="AB2993">
        <v>157521.49100000001</v>
      </c>
      <c r="AC2993">
        <v>165399.53700000001</v>
      </c>
      <c r="AD2993">
        <v>173652.01199999999</v>
      </c>
    </row>
    <row r="2994" spans="2:30" x14ac:dyDescent="0.25">
      <c r="B2994" t="s">
        <v>133</v>
      </c>
      <c r="C2994" t="s">
        <v>3263</v>
      </c>
      <c r="D2994" t="s">
        <v>5148</v>
      </c>
      <c r="E2994" t="s">
        <v>5149</v>
      </c>
      <c r="F2994" t="s">
        <v>8839</v>
      </c>
      <c r="G2994" t="s">
        <v>3890</v>
      </c>
      <c r="H2994" t="s">
        <v>109</v>
      </c>
      <c r="I2994" t="s">
        <v>108</v>
      </c>
      <c r="J2994">
        <v>2</v>
      </c>
      <c r="K2994">
        <v>1651.0930000000001</v>
      </c>
      <c r="L2994">
        <v>1545.134</v>
      </c>
      <c r="M2994">
        <v>1836.8230000000001</v>
      </c>
      <c r="N2994">
        <v>1975.171</v>
      </c>
      <c r="O2994">
        <v>1858.819</v>
      </c>
      <c r="P2994">
        <v>1837.354</v>
      </c>
      <c r="Q2994">
        <v>1834.204</v>
      </c>
      <c r="R2994">
        <v>1830.038</v>
      </c>
      <c r="S2994">
        <v>1823.9570000000001</v>
      </c>
      <c r="T2994">
        <v>1818.73</v>
      </c>
      <c r="U2994">
        <v>1811.626</v>
      </c>
      <c r="V2994">
        <v>1805.684</v>
      </c>
      <c r="W2994">
        <v>1800.8530000000001</v>
      </c>
      <c r="X2994">
        <v>1797.163</v>
      </c>
      <c r="Y2994">
        <v>1794.4839999999999</v>
      </c>
      <c r="Z2994">
        <v>1792.779</v>
      </c>
      <c r="AA2994">
        <v>1791.9380000000001</v>
      </c>
      <c r="AB2994">
        <v>1791.924</v>
      </c>
      <c r="AC2994">
        <v>1792.6949999999999</v>
      </c>
      <c r="AD2994">
        <v>1794.181</v>
      </c>
    </row>
    <row r="2995" spans="2:30" x14ac:dyDescent="0.25">
      <c r="B2995" t="s">
        <v>133</v>
      </c>
      <c r="C2995" t="s">
        <v>3263</v>
      </c>
      <c r="D2995" t="s">
        <v>5151</v>
      </c>
      <c r="E2995" t="s">
        <v>5152</v>
      </c>
      <c r="F2995" t="s">
        <v>8840</v>
      </c>
      <c r="G2995" t="s">
        <v>3890</v>
      </c>
      <c r="H2995" t="s">
        <v>109</v>
      </c>
      <c r="I2995" t="s">
        <v>108</v>
      </c>
      <c r="J2995">
        <v>2</v>
      </c>
      <c r="K2995">
        <v>42937.004999999997</v>
      </c>
      <c r="L2995">
        <v>39973.512999999999</v>
      </c>
      <c r="M2995">
        <v>47161.608</v>
      </c>
      <c r="N2995">
        <v>48234.506000000001</v>
      </c>
      <c r="O2995">
        <v>46904.281000000003</v>
      </c>
      <c r="P2995">
        <v>46459.453000000001</v>
      </c>
      <c r="Q2995">
        <v>47694.733</v>
      </c>
      <c r="R2995">
        <v>48945.25</v>
      </c>
      <c r="S2995">
        <v>50097.578999999998</v>
      </c>
      <c r="T2995">
        <v>51259.451000000001</v>
      </c>
      <c r="U2995">
        <v>52494.752</v>
      </c>
      <c r="V2995">
        <v>53911.951999999997</v>
      </c>
      <c r="W2995">
        <v>55520.023999999998</v>
      </c>
      <c r="X2995">
        <v>57372.927000000003</v>
      </c>
      <c r="Y2995">
        <v>59471.927000000003</v>
      </c>
      <c r="Z2995">
        <v>61885.620999999999</v>
      </c>
      <c r="AA2995">
        <v>64651.705000000002</v>
      </c>
      <c r="AB2995">
        <v>67880.379000000001</v>
      </c>
      <c r="AC2995">
        <v>71409.305999999997</v>
      </c>
      <c r="AD2995">
        <v>74965.040999999997</v>
      </c>
    </row>
    <row r="2996" spans="2:30" x14ac:dyDescent="0.25">
      <c r="B2996" t="s">
        <v>133</v>
      </c>
      <c r="C2996" t="s">
        <v>3263</v>
      </c>
      <c r="D2996" t="s">
        <v>5154</v>
      </c>
      <c r="E2996" t="s">
        <v>5155</v>
      </c>
      <c r="F2996" t="s">
        <v>8841</v>
      </c>
      <c r="G2996" t="s">
        <v>3890</v>
      </c>
      <c r="H2996" t="s">
        <v>109</v>
      </c>
      <c r="I2996" t="s">
        <v>108</v>
      </c>
      <c r="J2996">
        <v>2</v>
      </c>
      <c r="K2996">
        <v>7688.0550000000003</v>
      </c>
      <c r="L2996">
        <v>7380.6790000000001</v>
      </c>
      <c r="M2996">
        <v>7819.1149999999998</v>
      </c>
      <c r="N2996">
        <v>9961.9269999999997</v>
      </c>
      <c r="O2996">
        <v>9443.5139999999992</v>
      </c>
      <c r="P2996">
        <v>10078.611999999999</v>
      </c>
      <c r="Q2996">
        <v>10164.950999999999</v>
      </c>
      <c r="R2996">
        <v>10014.255999999999</v>
      </c>
      <c r="S2996">
        <v>9851.2119999999995</v>
      </c>
      <c r="T2996">
        <v>9720.7070000000003</v>
      </c>
      <c r="U2996">
        <v>9467.0519999999997</v>
      </c>
      <c r="V2996">
        <v>9243.24</v>
      </c>
      <c r="W2996">
        <v>9044.2749999999996</v>
      </c>
      <c r="X2996">
        <v>8866.6119999999992</v>
      </c>
      <c r="Y2996">
        <v>8707.14</v>
      </c>
      <c r="Z2996">
        <v>8563.6319999999996</v>
      </c>
      <c r="AA2996">
        <v>8434.1790000000001</v>
      </c>
      <c r="AB2996">
        <v>8317.4879999999994</v>
      </c>
      <c r="AC2996">
        <v>8212.3979999999992</v>
      </c>
      <c r="AD2996">
        <v>8117.9030000000002</v>
      </c>
    </row>
    <row r="2997" spans="2:30" x14ac:dyDescent="0.25">
      <c r="B2997" t="s">
        <v>133</v>
      </c>
      <c r="C2997" t="s">
        <v>3263</v>
      </c>
      <c r="D2997" t="s">
        <v>5157</v>
      </c>
      <c r="E2997" t="s">
        <v>5158</v>
      </c>
      <c r="F2997" t="s">
        <v>8842</v>
      </c>
      <c r="G2997" t="s">
        <v>3890</v>
      </c>
      <c r="H2997" t="s">
        <v>109</v>
      </c>
      <c r="I2997" t="s">
        <v>108</v>
      </c>
      <c r="J2997">
        <v>2</v>
      </c>
      <c r="K2997">
        <v>7404.3140000000003</v>
      </c>
      <c r="L2997">
        <v>7147.93</v>
      </c>
      <c r="M2997">
        <v>7001.1750000000002</v>
      </c>
      <c r="N2997">
        <v>6753.6639999999998</v>
      </c>
      <c r="O2997">
        <v>6690.6679999999997</v>
      </c>
      <c r="P2997">
        <v>7245.152</v>
      </c>
      <c r="Q2997">
        <v>7834.6719999999996</v>
      </c>
      <c r="R2997">
        <v>8461.9789999999994</v>
      </c>
      <c r="S2997">
        <v>9207.9660000000003</v>
      </c>
      <c r="T2997">
        <v>10083.465</v>
      </c>
      <c r="U2997">
        <v>11009.638999999999</v>
      </c>
      <c r="V2997">
        <v>11978.661</v>
      </c>
      <c r="W2997">
        <v>12983.132</v>
      </c>
      <c r="X2997">
        <v>14015.950999999999</v>
      </c>
      <c r="Y2997">
        <v>15068.311</v>
      </c>
      <c r="Z2997">
        <v>16151.061</v>
      </c>
      <c r="AA2997">
        <v>17260.972000000002</v>
      </c>
      <c r="AB2997">
        <v>18395.185000000001</v>
      </c>
      <c r="AC2997">
        <v>19551.881000000001</v>
      </c>
      <c r="AD2997">
        <v>20704.703000000001</v>
      </c>
    </row>
    <row r="2998" spans="2:30" x14ac:dyDescent="0.25">
      <c r="B2998" t="s">
        <v>133</v>
      </c>
      <c r="C2998" t="s">
        <v>3263</v>
      </c>
      <c r="D2998" t="s">
        <v>5160</v>
      </c>
      <c r="E2998" t="s">
        <v>5161</v>
      </c>
      <c r="F2998" t="s">
        <v>8843</v>
      </c>
      <c r="G2998" t="s">
        <v>3890</v>
      </c>
      <c r="H2998" t="s">
        <v>109</v>
      </c>
      <c r="I2998" t="s">
        <v>108</v>
      </c>
      <c r="J2998">
        <v>2</v>
      </c>
      <c r="K2998">
        <v>15214.834999999999</v>
      </c>
      <c r="L2998">
        <v>16168.272999999999</v>
      </c>
      <c r="M2998">
        <v>17468.254000000001</v>
      </c>
      <c r="N2998">
        <v>17210.601999999999</v>
      </c>
      <c r="O2998">
        <v>17462.740000000002</v>
      </c>
      <c r="P2998">
        <v>18342.21</v>
      </c>
      <c r="Q2998">
        <v>19307.100999999999</v>
      </c>
      <c r="R2998">
        <v>20320.201000000001</v>
      </c>
      <c r="S2998">
        <v>21488.651000000002</v>
      </c>
      <c r="T2998">
        <v>22846.468000000001</v>
      </c>
      <c r="U2998">
        <v>24287.043000000001</v>
      </c>
      <c r="V2998">
        <v>25792.311000000002</v>
      </c>
      <c r="W2998">
        <v>27330.758000000002</v>
      </c>
      <c r="X2998">
        <v>28907.727999999999</v>
      </c>
      <c r="Y2998">
        <v>30516.598000000002</v>
      </c>
      <c r="Z2998">
        <v>32167.239000000001</v>
      </c>
      <c r="AA2998">
        <v>33859.839999999997</v>
      </c>
      <c r="AB2998">
        <v>35598.370000000003</v>
      </c>
      <c r="AC2998">
        <v>37387.214999999997</v>
      </c>
      <c r="AD2998">
        <v>39220.491999999998</v>
      </c>
    </row>
    <row r="2999" spans="2:30" x14ac:dyDescent="0.25">
      <c r="B2999" t="s">
        <v>133</v>
      </c>
      <c r="C2999" t="s">
        <v>3263</v>
      </c>
      <c r="D2999" t="s">
        <v>5163</v>
      </c>
      <c r="E2999" t="s">
        <v>5164</v>
      </c>
      <c r="F2999" t="s">
        <v>8844</v>
      </c>
      <c r="G2999" t="s">
        <v>3890</v>
      </c>
      <c r="H2999" t="s">
        <v>109</v>
      </c>
      <c r="I2999" t="s">
        <v>108</v>
      </c>
      <c r="J2999">
        <v>2</v>
      </c>
      <c r="K2999">
        <v>5389.2640000000001</v>
      </c>
      <c r="L2999">
        <v>6059.357</v>
      </c>
      <c r="M2999">
        <v>7304.8469999999998</v>
      </c>
      <c r="N2999">
        <v>7485.0290000000005</v>
      </c>
      <c r="O2999">
        <v>7286.7960000000003</v>
      </c>
      <c r="P2999">
        <v>7354.46</v>
      </c>
      <c r="Q2999">
        <v>7459.3739999999998</v>
      </c>
      <c r="R2999">
        <v>7557.4639999999999</v>
      </c>
      <c r="S2999">
        <v>7643.692</v>
      </c>
      <c r="T2999">
        <v>7733.8239999999996</v>
      </c>
      <c r="U2999">
        <v>7828.2510000000002</v>
      </c>
      <c r="V2999">
        <v>7926.576</v>
      </c>
      <c r="W2999">
        <v>8028.8019999999997</v>
      </c>
      <c r="X2999">
        <v>8135.3620000000001</v>
      </c>
      <c r="Y2999">
        <v>8245.8130000000001</v>
      </c>
      <c r="Z2999">
        <v>8360.2000000000007</v>
      </c>
      <c r="AA2999">
        <v>8478.1419999999998</v>
      </c>
      <c r="AB2999">
        <v>8599.6419999999998</v>
      </c>
      <c r="AC2999">
        <v>8724.68</v>
      </c>
      <c r="AD2999">
        <v>8853.0419999999995</v>
      </c>
    </row>
    <row r="3000" spans="2:30" x14ac:dyDescent="0.25">
      <c r="B3000" t="s">
        <v>133</v>
      </c>
      <c r="C3000" t="s">
        <v>3263</v>
      </c>
      <c r="D3000" t="s">
        <v>5166</v>
      </c>
      <c r="E3000" t="s">
        <v>5167</v>
      </c>
      <c r="F3000" t="s">
        <v>8845</v>
      </c>
      <c r="G3000" t="s">
        <v>3890</v>
      </c>
      <c r="H3000" t="s">
        <v>109</v>
      </c>
      <c r="I3000" t="s">
        <v>108</v>
      </c>
      <c r="J3000">
        <v>2</v>
      </c>
      <c r="K3000">
        <v>659.322</v>
      </c>
      <c r="L3000">
        <v>771.90700000000004</v>
      </c>
      <c r="M3000">
        <v>857.73800000000006</v>
      </c>
      <c r="N3000">
        <v>889.11699999999996</v>
      </c>
      <c r="O3000">
        <v>920.298</v>
      </c>
      <c r="P3000">
        <v>958.03800000000001</v>
      </c>
      <c r="Q3000">
        <v>1003.794</v>
      </c>
      <c r="R3000">
        <v>1048.7449999999999</v>
      </c>
      <c r="S3000">
        <v>1091.569</v>
      </c>
      <c r="T3000">
        <v>1135.684</v>
      </c>
      <c r="U3000">
        <v>1181.1569999999999</v>
      </c>
      <c r="V3000">
        <v>1228.0170000000001</v>
      </c>
      <c r="W3000">
        <v>1276.3810000000001</v>
      </c>
      <c r="X3000">
        <v>1326.482</v>
      </c>
      <c r="Y3000">
        <v>1378.3150000000001</v>
      </c>
      <c r="Z3000">
        <v>1431.9970000000001</v>
      </c>
      <c r="AA3000">
        <v>1487.5139999999999</v>
      </c>
      <c r="AB3000">
        <v>1544.9580000000001</v>
      </c>
      <c r="AC3000">
        <v>1604.41</v>
      </c>
      <c r="AD3000">
        <v>1665.8869999999999</v>
      </c>
    </row>
    <row r="3001" spans="2:30" x14ac:dyDescent="0.25">
      <c r="B3001" t="s">
        <v>133</v>
      </c>
      <c r="C3001" t="s">
        <v>3263</v>
      </c>
      <c r="D3001" t="s">
        <v>5169</v>
      </c>
      <c r="E3001" t="s">
        <v>5170</v>
      </c>
      <c r="F3001" t="s">
        <v>8846</v>
      </c>
      <c r="G3001" t="s">
        <v>3890</v>
      </c>
      <c r="H3001" t="s">
        <v>109</v>
      </c>
      <c r="I3001" t="s">
        <v>108</v>
      </c>
      <c r="J3001">
        <v>2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2:30" x14ac:dyDescent="0.25">
      <c r="B3002" t="s">
        <v>133</v>
      </c>
      <c r="C3002" t="s">
        <v>3263</v>
      </c>
      <c r="D3002" t="s">
        <v>5172</v>
      </c>
      <c r="E3002" t="s">
        <v>5173</v>
      </c>
      <c r="F3002" t="s">
        <v>8847</v>
      </c>
      <c r="G3002" t="s">
        <v>3890</v>
      </c>
      <c r="H3002" t="s">
        <v>109</v>
      </c>
      <c r="I3002" t="s">
        <v>108</v>
      </c>
      <c r="J3002">
        <v>2</v>
      </c>
      <c r="K3002">
        <v>2179.63</v>
      </c>
      <c r="L3002">
        <v>2351.04</v>
      </c>
      <c r="M3002">
        <v>2312.6689999999999</v>
      </c>
      <c r="N3002">
        <v>3841.451</v>
      </c>
      <c r="O3002">
        <v>5517.1940000000004</v>
      </c>
      <c r="P3002">
        <v>6143.3459999999995</v>
      </c>
      <c r="Q3002">
        <v>6405.8410000000003</v>
      </c>
      <c r="R3002">
        <v>6841.2349999999997</v>
      </c>
      <c r="S3002">
        <v>7368.2809999999999</v>
      </c>
      <c r="T3002">
        <v>7933.232</v>
      </c>
      <c r="U3002">
        <v>8510.4060000000009</v>
      </c>
      <c r="V3002">
        <v>9104.2860000000001</v>
      </c>
      <c r="W3002">
        <v>9741.3070000000007</v>
      </c>
      <c r="X3002">
        <v>10437.269</v>
      </c>
      <c r="Y3002">
        <v>11212.597</v>
      </c>
      <c r="Z3002">
        <v>12077.753000000001</v>
      </c>
      <c r="AA3002">
        <v>13055.553</v>
      </c>
      <c r="AB3002">
        <v>14147.153</v>
      </c>
      <c r="AC3002">
        <v>15474.904</v>
      </c>
      <c r="AD3002">
        <v>17093.043000000001</v>
      </c>
    </row>
    <row r="3003" spans="2:30" x14ac:dyDescent="0.25">
      <c r="B3003" t="s">
        <v>133</v>
      </c>
      <c r="C3003" t="s">
        <v>3263</v>
      </c>
      <c r="D3003" t="s">
        <v>5175</v>
      </c>
      <c r="E3003" t="s">
        <v>5176</v>
      </c>
      <c r="F3003" t="s">
        <v>8848</v>
      </c>
      <c r="G3003" t="s">
        <v>3890</v>
      </c>
      <c r="H3003" t="s">
        <v>109</v>
      </c>
      <c r="I3003" t="s">
        <v>108</v>
      </c>
      <c r="J3003">
        <v>2</v>
      </c>
      <c r="K3003">
        <v>1529.27</v>
      </c>
      <c r="L3003">
        <v>1206.73</v>
      </c>
      <c r="M3003">
        <v>1313.405</v>
      </c>
      <c r="N3003">
        <v>1308.827</v>
      </c>
      <c r="O3003">
        <v>1304.2660000000001</v>
      </c>
      <c r="P3003">
        <v>1299.72</v>
      </c>
      <c r="Q3003">
        <v>1295.19</v>
      </c>
      <c r="R3003">
        <v>1290.6759999999999</v>
      </c>
      <c r="S3003">
        <v>1286.1780000000001</v>
      </c>
      <c r="T3003">
        <v>1281.6949999999999</v>
      </c>
      <c r="U3003">
        <v>1277.2280000000001</v>
      </c>
      <c r="V3003">
        <v>1272.777</v>
      </c>
      <c r="W3003">
        <v>1268.3409999999999</v>
      </c>
      <c r="X3003">
        <v>1263.921</v>
      </c>
      <c r="Y3003">
        <v>1259.5160000000001</v>
      </c>
      <c r="Z3003">
        <v>1255.126</v>
      </c>
      <c r="AA3003">
        <v>1250.752</v>
      </c>
      <c r="AB3003">
        <v>1246.393</v>
      </c>
      <c r="AC3003">
        <v>1242.049</v>
      </c>
      <c r="AD3003">
        <v>1237.72</v>
      </c>
    </row>
    <row r="3004" spans="2:30" x14ac:dyDescent="0.25">
      <c r="B3004" t="s">
        <v>133</v>
      </c>
      <c r="C3004" t="s">
        <v>3263</v>
      </c>
      <c r="D3004" t="s">
        <v>5178</v>
      </c>
      <c r="E3004" t="s">
        <v>5116</v>
      </c>
      <c r="F3004" t="s">
        <v>8828</v>
      </c>
      <c r="G3004" t="s">
        <v>3890</v>
      </c>
      <c r="H3004" t="s">
        <v>109</v>
      </c>
      <c r="I3004" t="s">
        <v>108</v>
      </c>
      <c r="J3004">
        <v>1</v>
      </c>
      <c r="K3004">
        <v>1651.0930000000001</v>
      </c>
      <c r="L3004">
        <v>1545.134</v>
      </c>
      <c r="M3004">
        <v>1836.8230000000001</v>
      </c>
      <c r="N3004">
        <v>1975.171</v>
      </c>
      <c r="O3004">
        <v>2006.8579999999999</v>
      </c>
      <c r="P3004">
        <v>2038.454</v>
      </c>
      <c r="Q3004">
        <v>2090.7600000000002</v>
      </c>
      <c r="R3004">
        <v>2141.0300000000002</v>
      </c>
      <c r="S3004">
        <v>2188.41</v>
      </c>
      <c r="T3004">
        <v>2235.8040000000001</v>
      </c>
      <c r="U3004">
        <v>2278.1129999999998</v>
      </c>
      <c r="V3004">
        <v>2320.529</v>
      </c>
      <c r="W3004">
        <v>2363.0390000000002</v>
      </c>
      <c r="X3004">
        <v>2405.6320000000001</v>
      </c>
      <c r="Y3004">
        <v>2448.2950000000001</v>
      </c>
      <c r="Z3004">
        <v>2491.0169999999998</v>
      </c>
      <c r="AA3004">
        <v>2533.7860000000001</v>
      </c>
      <c r="AB3004">
        <v>2576.5909999999999</v>
      </c>
      <c r="AC3004">
        <v>2619.4189999999999</v>
      </c>
      <c r="AD3004">
        <v>2662.26</v>
      </c>
    </row>
    <row r="3005" spans="2:30" x14ac:dyDescent="0.25">
      <c r="B3005" t="s">
        <v>133</v>
      </c>
      <c r="C3005" t="s">
        <v>3263</v>
      </c>
      <c r="D3005" t="s">
        <v>5179</v>
      </c>
      <c r="E3005" t="s">
        <v>5180</v>
      </c>
      <c r="F3005" t="s">
        <v>8849</v>
      </c>
      <c r="G3005" t="s">
        <v>3890</v>
      </c>
      <c r="H3005" t="s">
        <v>109</v>
      </c>
      <c r="I3005" t="s">
        <v>108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2:30" x14ac:dyDescent="0.25">
      <c r="B3006" t="s">
        <v>133</v>
      </c>
      <c r="C3006" t="s">
        <v>3263</v>
      </c>
      <c r="D3006" t="s">
        <v>5182</v>
      </c>
      <c r="E3006" t="s">
        <v>5183</v>
      </c>
      <c r="F3006" t="s">
        <v>8850</v>
      </c>
      <c r="G3006" t="s">
        <v>3890</v>
      </c>
      <c r="H3006" t="s">
        <v>109</v>
      </c>
      <c r="I3006" t="s">
        <v>108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2:30" x14ac:dyDescent="0.25">
      <c r="B3007" t="s">
        <v>133</v>
      </c>
      <c r="C3007" t="s">
        <v>3263</v>
      </c>
      <c r="D3007" t="s">
        <v>5185</v>
      </c>
      <c r="E3007" t="s">
        <v>5186</v>
      </c>
      <c r="F3007" t="s">
        <v>8851</v>
      </c>
      <c r="G3007" t="s">
        <v>3890</v>
      </c>
      <c r="H3007" t="s">
        <v>109</v>
      </c>
      <c r="I3007" t="s">
        <v>108</v>
      </c>
      <c r="J3007">
        <v>1</v>
      </c>
      <c r="K3007">
        <v>1.6379999999999999</v>
      </c>
      <c r="L3007">
        <v>1.6379999999999999</v>
      </c>
      <c r="M3007">
        <v>1.8740000000000001</v>
      </c>
      <c r="N3007">
        <v>1.978</v>
      </c>
      <c r="O3007">
        <v>1.994</v>
      </c>
      <c r="P3007">
        <v>2.008</v>
      </c>
      <c r="Q3007">
        <v>2.0369999999999999</v>
      </c>
      <c r="R3007">
        <v>2.0640000000000001</v>
      </c>
      <c r="S3007">
        <v>2.09</v>
      </c>
      <c r="T3007">
        <v>2.1150000000000002</v>
      </c>
      <c r="U3007">
        <v>2.1360000000000001</v>
      </c>
      <c r="V3007">
        <v>2.157</v>
      </c>
      <c r="W3007">
        <v>2.177</v>
      </c>
      <c r="X3007">
        <v>2.198</v>
      </c>
      <c r="Y3007">
        <v>2.218</v>
      </c>
      <c r="Z3007">
        <v>2.238</v>
      </c>
      <c r="AA3007">
        <v>2.258</v>
      </c>
      <c r="AB3007">
        <v>2.2770000000000001</v>
      </c>
      <c r="AC3007">
        <v>2.2970000000000002</v>
      </c>
      <c r="AD3007">
        <v>2.3159999999999998</v>
      </c>
    </row>
    <row r="3008" spans="2:30" x14ac:dyDescent="0.25">
      <c r="B3008" t="s">
        <v>133</v>
      </c>
      <c r="C3008" t="s">
        <v>3263</v>
      </c>
      <c r="D3008" t="s">
        <v>5188</v>
      </c>
      <c r="E3008" t="s">
        <v>5189</v>
      </c>
      <c r="F3008" t="s">
        <v>8852</v>
      </c>
      <c r="G3008" t="s">
        <v>3890</v>
      </c>
      <c r="H3008" t="s">
        <v>109</v>
      </c>
      <c r="I3008" t="s">
        <v>108</v>
      </c>
      <c r="J3008">
        <v>1</v>
      </c>
      <c r="K3008">
        <v>1649.4549999999999</v>
      </c>
      <c r="L3008">
        <v>1543.4960000000001</v>
      </c>
      <c r="M3008">
        <v>1834.9490000000001</v>
      </c>
      <c r="N3008">
        <v>1973.192</v>
      </c>
      <c r="O3008">
        <v>2004.864</v>
      </c>
      <c r="P3008">
        <v>2036.4459999999999</v>
      </c>
      <c r="Q3008">
        <v>2088.723</v>
      </c>
      <c r="R3008">
        <v>2138.9659999999999</v>
      </c>
      <c r="S3008">
        <v>2186.3200000000002</v>
      </c>
      <c r="T3008">
        <v>2233.6889999999999</v>
      </c>
      <c r="U3008">
        <v>2275.9769999999999</v>
      </c>
      <c r="V3008">
        <v>2318.3719999999998</v>
      </c>
      <c r="W3008">
        <v>2360.8620000000001</v>
      </c>
      <c r="X3008">
        <v>2403.4340000000002</v>
      </c>
      <c r="Y3008">
        <v>2446.0770000000002</v>
      </c>
      <c r="Z3008">
        <v>2488.779</v>
      </c>
      <c r="AA3008">
        <v>2531.529</v>
      </c>
      <c r="AB3008">
        <v>2574.3130000000001</v>
      </c>
      <c r="AC3008">
        <v>2617.1219999999998</v>
      </c>
      <c r="AD3008">
        <v>2659.944</v>
      </c>
    </row>
    <row r="3009" spans="2:30" x14ac:dyDescent="0.25">
      <c r="B3009" t="s">
        <v>133</v>
      </c>
      <c r="C3009" t="s">
        <v>3263</v>
      </c>
      <c r="D3009" t="s">
        <v>5191</v>
      </c>
      <c r="E3009" t="s">
        <v>5192</v>
      </c>
      <c r="F3009" t="s">
        <v>8853</v>
      </c>
      <c r="G3009" t="s">
        <v>3890</v>
      </c>
      <c r="H3009" t="s">
        <v>109</v>
      </c>
      <c r="I3009" t="s">
        <v>108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2:30" x14ac:dyDescent="0.25">
      <c r="B3010" t="s">
        <v>133</v>
      </c>
      <c r="C3010" t="s">
        <v>3263</v>
      </c>
      <c r="D3010" t="s">
        <v>5194</v>
      </c>
      <c r="E3010" t="s">
        <v>5119</v>
      </c>
      <c r="F3010" t="s">
        <v>8829</v>
      </c>
      <c r="G3010" t="s">
        <v>3890</v>
      </c>
      <c r="H3010" t="s">
        <v>109</v>
      </c>
      <c r="I3010" t="s">
        <v>108</v>
      </c>
      <c r="J3010">
        <v>1</v>
      </c>
      <c r="K3010">
        <v>42937.004999999997</v>
      </c>
      <c r="L3010">
        <v>39972.894</v>
      </c>
      <c r="M3010">
        <v>47161.006999999998</v>
      </c>
      <c r="N3010">
        <v>48233.921000000002</v>
      </c>
      <c r="O3010">
        <v>47663.53</v>
      </c>
      <c r="P3010">
        <v>47791.707000000002</v>
      </c>
      <c r="Q3010">
        <v>49275.875999999997</v>
      </c>
      <c r="R3010">
        <v>50896.870999999999</v>
      </c>
      <c r="S3010">
        <v>52355.53</v>
      </c>
      <c r="T3010">
        <v>53866.05</v>
      </c>
      <c r="U3010">
        <v>55465.29</v>
      </c>
      <c r="V3010">
        <v>57237.817999999999</v>
      </c>
      <c r="W3010">
        <v>59178.915000000001</v>
      </c>
      <c r="X3010">
        <v>61338.178999999996</v>
      </c>
      <c r="Y3010">
        <v>63721.038</v>
      </c>
      <c r="Z3010">
        <v>66384.278999999995</v>
      </c>
      <c r="AA3010">
        <v>69370.365999999995</v>
      </c>
      <c r="AB3010">
        <v>72742.676000000007</v>
      </c>
      <c r="AC3010">
        <v>76575.350000000006</v>
      </c>
      <c r="AD3010">
        <v>80433.002999999997</v>
      </c>
    </row>
    <row r="3011" spans="2:30" x14ac:dyDescent="0.25">
      <c r="B3011" t="s">
        <v>133</v>
      </c>
      <c r="C3011" t="s">
        <v>3263</v>
      </c>
      <c r="D3011" t="s">
        <v>5195</v>
      </c>
      <c r="E3011" t="s">
        <v>5196</v>
      </c>
      <c r="F3011" t="s">
        <v>8854</v>
      </c>
      <c r="G3011" t="s">
        <v>3890</v>
      </c>
      <c r="H3011" t="s">
        <v>109</v>
      </c>
      <c r="I3011" t="s">
        <v>108</v>
      </c>
      <c r="J3011">
        <v>1</v>
      </c>
      <c r="K3011">
        <v>29443.696</v>
      </c>
      <c r="L3011">
        <v>28005.871999999999</v>
      </c>
      <c r="M3011">
        <v>33519.074999999997</v>
      </c>
      <c r="N3011">
        <v>34176.673000000003</v>
      </c>
      <c r="O3011">
        <v>33170.572999999997</v>
      </c>
      <c r="P3011">
        <v>32743.955000000002</v>
      </c>
      <c r="Q3011">
        <v>33565.813999999998</v>
      </c>
      <c r="R3011">
        <v>34538.724000000002</v>
      </c>
      <c r="S3011">
        <v>35371.07</v>
      </c>
      <c r="T3011">
        <v>36232.254000000001</v>
      </c>
      <c r="U3011">
        <v>37162.347000000002</v>
      </c>
      <c r="V3011">
        <v>38246.281000000003</v>
      </c>
      <c r="W3011">
        <v>39479.815999999999</v>
      </c>
      <c r="X3011">
        <v>40913.029000000002</v>
      </c>
      <c r="Y3011">
        <v>42552.000999999997</v>
      </c>
      <c r="Z3011">
        <v>44452.589</v>
      </c>
      <c r="AA3011">
        <v>46657.432000000001</v>
      </c>
      <c r="AB3011">
        <v>49230.095999999998</v>
      </c>
      <c r="AC3011">
        <v>52244.862000000001</v>
      </c>
      <c r="AD3011">
        <v>55268.678</v>
      </c>
    </row>
    <row r="3012" spans="2:30" x14ac:dyDescent="0.25">
      <c r="B3012" t="s">
        <v>133</v>
      </c>
      <c r="C3012" t="s">
        <v>3263</v>
      </c>
      <c r="D3012" t="s">
        <v>5198</v>
      </c>
      <c r="E3012" t="s">
        <v>5199</v>
      </c>
      <c r="F3012" t="s">
        <v>8855</v>
      </c>
      <c r="G3012" t="s">
        <v>3890</v>
      </c>
      <c r="H3012" t="s">
        <v>109</v>
      </c>
      <c r="I3012" t="s">
        <v>108</v>
      </c>
      <c r="J3012">
        <v>1</v>
      </c>
      <c r="K3012">
        <v>495.238</v>
      </c>
      <c r="L3012">
        <v>484.52</v>
      </c>
      <c r="M3012">
        <v>472.24900000000002</v>
      </c>
      <c r="N3012">
        <v>454.66399999999999</v>
      </c>
      <c r="O3012">
        <v>463.9</v>
      </c>
      <c r="P3012">
        <v>509.44099999999997</v>
      </c>
      <c r="Q3012">
        <v>559.21799999999996</v>
      </c>
      <c r="R3012">
        <v>613.43499999999995</v>
      </c>
      <c r="S3012">
        <v>678.10400000000004</v>
      </c>
      <c r="T3012">
        <v>754.60400000000004</v>
      </c>
      <c r="U3012">
        <v>837.58299999999997</v>
      </c>
      <c r="V3012">
        <v>926.67499999999995</v>
      </c>
      <c r="W3012">
        <v>1021.415</v>
      </c>
      <c r="X3012">
        <v>1121.3409999999999</v>
      </c>
      <c r="Y3012">
        <v>1225.8330000000001</v>
      </c>
      <c r="Z3012">
        <v>1335.86</v>
      </c>
      <c r="AA3012">
        <v>1451.3019999999999</v>
      </c>
      <c r="AB3012">
        <v>1572.0329999999999</v>
      </c>
      <c r="AC3012">
        <v>1697.9860000000001</v>
      </c>
      <c r="AD3012">
        <v>1826.9159999999999</v>
      </c>
    </row>
    <row r="3013" spans="2:30" x14ac:dyDescent="0.25">
      <c r="B3013" t="s">
        <v>133</v>
      </c>
      <c r="C3013" t="s">
        <v>3263</v>
      </c>
      <c r="D3013" t="s">
        <v>5201</v>
      </c>
      <c r="E3013" t="s">
        <v>5202</v>
      </c>
      <c r="F3013" t="s">
        <v>8856</v>
      </c>
      <c r="G3013" t="s">
        <v>3890</v>
      </c>
      <c r="H3013" t="s">
        <v>109</v>
      </c>
      <c r="I3013" t="s">
        <v>108</v>
      </c>
      <c r="J3013">
        <v>1</v>
      </c>
      <c r="K3013">
        <v>1921.182</v>
      </c>
      <c r="L3013">
        <v>1978.2729999999999</v>
      </c>
      <c r="M3013">
        <v>2706.33</v>
      </c>
      <c r="N3013">
        <v>2725.7469999999998</v>
      </c>
      <c r="O3013">
        <v>2743.748</v>
      </c>
      <c r="P3013">
        <v>2766.3090000000002</v>
      </c>
      <c r="Q3013">
        <v>2794.2820000000002</v>
      </c>
      <c r="R3013">
        <v>2819.5949999999998</v>
      </c>
      <c r="S3013">
        <v>2841.6509999999998</v>
      </c>
      <c r="T3013">
        <v>2863.2159999999999</v>
      </c>
      <c r="U3013">
        <v>2884.4180000000001</v>
      </c>
      <c r="V3013">
        <v>2905.2550000000001</v>
      </c>
      <c r="W3013">
        <v>2925.7260000000001</v>
      </c>
      <c r="X3013">
        <v>2945.8290000000002</v>
      </c>
      <c r="Y3013">
        <v>2965.5630000000001</v>
      </c>
      <c r="Z3013">
        <v>2984.9279999999999</v>
      </c>
      <c r="AA3013">
        <v>3003.922</v>
      </c>
      <c r="AB3013">
        <v>3022.5450000000001</v>
      </c>
      <c r="AC3013">
        <v>3040.7950000000001</v>
      </c>
      <c r="AD3013">
        <v>3058.674</v>
      </c>
    </row>
    <row r="3014" spans="2:30" x14ac:dyDescent="0.25">
      <c r="B3014" t="s">
        <v>133</v>
      </c>
      <c r="C3014" t="s">
        <v>3263</v>
      </c>
      <c r="D3014" t="s">
        <v>5204</v>
      </c>
      <c r="E3014" t="s">
        <v>5205</v>
      </c>
      <c r="F3014" t="s">
        <v>8857</v>
      </c>
      <c r="G3014" t="s">
        <v>3890</v>
      </c>
      <c r="H3014" t="s">
        <v>109</v>
      </c>
      <c r="I3014" t="s">
        <v>108</v>
      </c>
      <c r="J3014">
        <v>1</v>
      </c>
      <c r="K3014">
        <v>11076.89</v>
      </c>
      <c r="L3014">
        <v>9504.23</v>
      </c>
      <c r="M3014">
        <v>10463.352999999999</v>
      </c>
      <c r="N3014">
        <v>10876.838</v>
      </c>
      <c r="O3014">
        <v>11285.308000000001</v>
      </c>
      <c r="P3014">
        <v>11772.002</v>
      </c>
      <c r="Q3014">
        <v>12356.561</v>
      </c>
      <c r="R3014">
        <v>12925.117</v>
      </c>
      <c r="S3014">
        <v>13464.705</v>
      </c>
      <c r="T3014">
        <v>14015.976000000001</v>
      </c>
      <c r="U3014">
        <v>14580.942999999999</v>
      </c>
      <c r="V3014">
        <v>15159.606</v>
      </c>
      <c r="W3014">
        <v>15751.958000000001</v>
      </c>
      <c r="X3014">
        <v>16357.98</v>
      </c>
      <c r="Y3014">
        <v>16977.641</v>
      </c>
      <c r="Z3014">
        <v>17610.901000000002</v>
      </c>
      <c r="AA3014">
        <v>18257.708999999999</v>
      </c>
      <c r="AB3014">
        <v>18918.002</v>
      </c>
      <c r="AC3014">
        <v>19591.705999999998</v>
      </c>
      <c r="AD3014">
        <v>20278.735000000001</v>
      </c>
    </row>
    <row r="3015" spans="2:30" x14ac:dyDescent="0.25">
      <c r="B3015" t="s">
        <v>133</v>
      </c>
      <c r="C3015" t="s">
        <v>3263</v>
      </c>
      <c r="D3015" t="s">
        <v>5207</v>
      </c>
      <c r="E3015" t="s">
        <v>5208</v>
      </c>
      <c r="F3015" t="s">
        <v>8858</v>
      </c>
      <c r="G3015" t="s">
        <v>3890</v>
      </c>
      <c r="H3015" t="s">
        <v>109</v>
      </c>
      <c r="I3015" t="s">
        <v>108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2:30" x14ac:dyDescent="0.25">
      <c r="B3016" t="s">
        <v>133</v>
      </c>
      <c r="C3016" t="s">
        <v>3263</v>
      </c>
      <c r="D3016" t="s">
        <v>5210</v>
      </c>
      <c r="E3016" t="s">
        <v>5125</v>
      </c>
      <c r="F3016" t="s">
        <v>8831</v>
      </c>
      <c r="G3016" t="s">
        <v>3890</v>
      </c>
      <c r="H3016" t="s">
        <v>109</v>
      </c>
      <c r="I3016" t="s">
        <v>108</v>
      </c>
      <c r="J3016">
        <v>1</v>
      </c>
      <c r="K3016">
        <v>7404.3140000000003</v>
      </c>
      <c r="L3016">
        <v>7147.93</v>
      </c>
      <c r="M3016">
        <v>7001.1750000000002</v>
      </c>
      <c r="N3016">
        <v>6753.6639999999998</v>
      </c>
      <c r="O3016">
        <v>6886.5370000000003</v>
      </c>
      <c r="P3016">
        <v>7548.8450000000003</v>
      </c>
      <c r="Q3016">
        <v>8264.5689999999995</v>
      </c>
      <c r="R3016">
        <v>9039.0759999999991</v>
      </c>
      <c r="S3016">
        <v>9962.8960000000006</v>
      </c>
      <c r="T3016">
        <v>11055</v>
      </c>
      <c r="U3016">
        <v>12234.907999999999</v>
      </c>
      <c r="V3016">
        <v>13496.285</v>
      </c>
      <c r="W3016">
        <v>14832.485000000001</v>
      </c>
      <c r="X3016">
        <v>16236.275</v>
      </c>
      <c r="Y3016">
        <v>17698.248</v>
      </c>
      <c r="Z3016">
        <v>19231.596000000001</v>
      </c>
      <c r="AA3016">
        <v>20833.882000000001</v>
      </c>
      <c r="AB3016">
        <v>22502.595000000001</v>
      </c>
      <c r="AC3016">
        <v>24236.026999999998</v>
      </c>
      <c r="AD3016">
        <v>26000.758999999998</v>
      </c>
    </row>
    <row r="3017" spans="2:30" x14ac:dyDescent="0.25">
      <c r="B3017" t="s">
        <v>133</v>
      </c>
      <c r="C3017" t="s">
        <v>3263</v>
      </c>
      <c r="D3017" t="s">
        <v>5211</v>
      </c>
      <c r="E3017" t="s">
        <v>5212</v>
      </c>
      <c r="F3017" t="s">
        <v>8859</v>
      </c>
      <c r="G3017" t="s">
        <v>3890</v>
      </c>
      <c r="H3017" t="s">
        <v>109</v>
      </c>
      <c r="I3017" t="s">
        <v>108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2:30" x14ac:dyDescent="0.25">
      <c r="B3018" t="s">
        <v>133</v>
      </c>
      <c r="C3018" t="s">
        <v>3263</v>
      </c>
      <c r="D3018" t="s">
        <v>5214</v>
      </c>
      <c r="E3018" t="s">
        <v>5215</v>
      </c>
      <c r="F3018" t="s">
        <v>8860</v>
      </c>
      <c r="G3018" t="s">
        <v>3890</v>
      </c>
      <c r="H3018" t="s">
        <v>109</v>
      </c>
      <c r="I3018" t="s">
        <v>108</v>
      </c>
      <c r="J3018">
        <v>1</v>
      </c>
      <c r="K3018">
        <v>7404.3140000000003</v>
      </c>
      <c r="L3018">
        <v>7147.93</v>
      </c>
      <c r="M3018">
        <v>7001.1750000000002</v>
      </c>
      <c r="N3018">
        <v>6753.6639999999998</v>
      </c>
      <c r="O3018">
        <v>6886.5370000000003</v>
      </c>
      <c r="P3018">
        <v>7548.8450000000003</v>
      </c>
      <c r="Q3018">
        <v>8264.5689999999995</v>
      </c>
      <c r="R3018">
        <v>9039.0759999999991</v>
      </c>
      <c r="S3018">
        <v>9962.8960000000006</v>
      </c>
      <c r="T3018">
        <v>11055</v>
      </c>
      <c r="U3018">
        <v>12234.907999999999</v>
      </c>
      <c r="V3018">
        <v>13496.285</v>
      </c>
      <c r="W3018">
        <v>14832.485000000001</v>
      </c>
      <c r="X3018">
        <v>16236.275</v>
      </c>
      <c r="Y3018">
        <v>17698.248</v>
      </c>
      <c r="Z3018">
        <v>19231.596000000001</v>
      </c>
      <c r="AA3018">
        <v>20833.882000000001</v>
      </c>
      <c r="AB3018">
        <v>22502.595000000001</v>
      </c>
      <c r="AC3018">
        <v>24236.026999999998</v>
      </c>
      <c r="AD3018">
        <v>26000.758999999998</v>
      </c>
    </row>
    <row r="3019" spans="2:30" x14ac:dyDescent="0.25">
      <c r="B3019" t="s">
        <v>133</v>
      </c>
      <c r="C3019" t="s">
        <v>3263</v>
      </c>
      <c r="D3019" t="s">
        <v>5217</v>
      </c>
      <c r="E3019" t="s">
        <v>5218</v>
      </c>
      <c r="F3019" t="s">
        <v>8861</v>
      </c>
      <c r="G3019" t="s">
        <v>3890</v>
      </c>
      <c r="H3019" t="s">
        <v>109</v>
      </c>
      <c r="I3019" t="s">
        <v>108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2:30" x14ac:dyDescent="0.25">
      <c r="B3020" t="s">
        <v>133</v>
      </c>
      <c r="C3020" t="s">
        <v>3263</v>
      </c>
      <c r="D3020" t="s">
        <v>5220</v>
      </c>
      <c r="E3020" t="s">
        <v>5221</v>
      </c>
      <c r="F3020" t="s">
        <v>8862</v>
      </c>
      <c r="G3020" t="s">
        <v>3890</v>
      </c>
      <c r="H3020" t="s">
        <v>109</v>
      </c>
      <c r="I3020" t="s">
        <v>108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2:30" x14ac:dyDescent="0.25">
      <c r="B3021" t="s">
        <v>133</v>
      </c>
      <c r="C3021" t="s">
        <v>3263</v>
      </c>
      <c r="D3021" t="s">
        <v>5223</v>
      </c>
      <c r="E3021" t="s">
        <v>5224</v>
      </c>
      <c r="F3021" t="s">
        <v>8863</v>
      </c>
      <c r="G3021" t="s">
        <v>3890</v>
      </c>
      <c r="H3021" t="s">
        <v>109</v>
      </c>
      <c r="I3021" t="s">
        <v>108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2:30" x14ac:dyDescent="0.25">
      <c r="B3022" t="s">
        <v>133</v>
      </c>
      <c r="C3022" t="s">
        <v>3263</v>
      </c>
      <c r="D3022" t="s">
        <v>5226</v>
      </c>
      <c r="E3022" t="s">
        <v>5128</v>
      </c>
      <c r="F3022" t="s">
        <v>8832</v>
      </c>
      <c r="G3022" t="s">
        <v>3890</v>
      </c>
      <c r="H3022" t="s">
        <v>109</v>
      </c>
      <c r="I3022" t="s">
        <v>108</v>
      </c>
      <c r="J3022">
        <v>1</v>
      </c>
      <c r="K3022">
        <v>15214.834999999999</v>
      </c>
      <c r="L3022">
        <v>16168.272999999999</v>
      </c>
      <c r="M3022">
        <v>17468.254000000001</v>
      </c>
      <c r="N3022">
        <v>17210.601999999999</v>
      </c>
      <c r="O3022">
        <v>17931.196</v>
      </c>
      <c r="P3022">
        <v>19045.128000000001</v>
      </c>
      <c r="Q3022">
        <v>20275.214</v>
      </c>
      <c r="R3022">
        <v>21586.026999999998</v>
      </c>
      <c r="S3022">
        <v>23101.032999999999</v>
      </c>
      <c r="T3022">
        <v>24867.493999999999</v>
      </c>
      <c r="U3022">
        <v>26778.224999999999</v>
      </c>
      <c r="V3022">
        <v>28823.225999999999</v>
      </c>
      <c r="W3022">
        <v>30976.754000000001</v>
      </c>
      <c r="X3022">
        <v>33242.692000000003</v>
      </c>
      <c r="Y3022">
        <v>35613.048000000003</v>
      </c>
      <c r="Z3022">
        <v>38098.769</v>
      </c>
      <c r="AA3022">
        <v>40699.949999999997</v>
      </c>
      <c r="AB3022">
        <v>43420.855000000003</v>
      </c>
      <c r="AC3022">
        <v>46267.17</v>
      </c>
      <c r="AD3022">
        <v>49230.813000000002</v>
      </c>
    </row>
    <row r="3023" spans="2:30" x14ac:dyDescent="0.25">
      <c r="B3023" t="s">
        <v>133</v>
      </c>
      <c r="C3023" t="s">
        <v>3263</v>
      </c>
      <c r="D3023" t="s">
        <v>5227</v>
      </c>
      <c r="E3023" t="s">
        <v>5228</v>
      </c>
      <c r="F3023" t="s">
        <v>8864</v>
      </c>
      <c r="G3023" t="s">
        <v>3890</v>
      </c>
      <c r="H3023" t="s">
        <v>109</v>
      </c>
      <c r="I3023" t="s">
        <v>108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2:30" x14ac:dyDescent="0.25">
      <c r="B3024" t="s">
        <v>133</v>
      </c>
      <c r="C3024" t="s">
        <v>3263</v>
      </c>
      <c r="D3024" t="s">
        <v>5230</v>
      </c>
      <c r="E3024" t="s">
        <v>5231</v>
      </c>
      <c r="F3024" t="s">
        <v>8865</v>
      </c>
      <c r="G3024" t="s">
        <v>3890</v>
      </c>
      <c r="H3024" t="s">
        <v>109</v>
      </c>
      <c r="I3024" t="s">
        <v>108</v>
      </c>
      <c r="J3024">
        <v>1</v>
      </c>
      <c r="K3024">
        <v>10010.589</v>
      </c>
      <c r="L3024">
        <v>9837.6170000000002</v>
      </c>
      <c r="M3024">
        <v>9543.0020000000004</v>
      </c>
      <c r="N3024">
        <v>9122.26</v>
      </c>
      <c r="O3024">
        <v>9684.2070000000003</v>
      </c>
      <c r="P3024">
        <v>10613.831</v>
      </c>
      <c r="Q3024">
        <v>11628.550999999999</v>
      </c>
      <c r="R3024">
        <v>12733.902</v>
      </c>
      <c r="S3024">
        <v>14057.061</v>
      </c>
      <c r="T3024">
        <v>15631.088</v>
      </c>
      <c r="U3024">
        <v>17348.161</v>
      </c>
      <c r="V3024">
        <v>19198.324000000001</v>
      </c>
      <c r="W3024">
        <v>21155.879000000001</v>
      </c>
      <c r="X3024">
        <v>23224.756000000001</v>
      </c>
      <c r="Y3024">
        <v>25397.007000000001</v>
      </c>
      <c r="Z3024">
        <v>27683.625</v>
      </c>
      <c r="AA3024">
        <v>30084.751</v>
      </c>
      <c r="AB3024">
        <v>32604.694</v>
      </c>
      <c r="AC3024">
        <v>35249.186000000002</v>
      </c>
      <c r="AD3024">
        <v>38010.19</v>
      </c>
    </row>
    <row r="3025" spans="2:30" x14ac:dyDescent="0.25">
      <c r="B3025" t="s">
        <v>133</v>
      </c>
      <c r="C3025" t="s">
        <v>3263</v>
      </c>
      <c r="D3025" t="s">
        <v>5233</v>
      </c>
      <c r="E3025" t="s">
        <v>5234</v>
      </c>
      <c r="F3025" t="s">
        <v>8866</v>
      </c>
      <c r="G3025" t="s">
        <v>3890</v>
      </c>
      <c r="H3025" t="s">
        <v>109</v>
      </c>
      <c r="I3025" t="s">
        <v>108</v>
      </c>
      <c r="J3025">
        <v>1</v>
      </c>
      <c r="K3025">
        <v>875.27200000000005</v>
      </c>
      <c r="L3025">
        <v>1064.7159999999999</v>
      </c>
      <c r="M3025">
        <v>1332.902</v>
      </c>
      <c r="N3025">
        <v>1360.3309999999999</v>
      </c>
      <c r="O3025">
        <v>1387.0129999999999</v>
      </c>
      <c r="P3025">
        <v>1418.011</v>
      </c>
      <c r="Q3025">
        <v>1454.232</v>
      </c>
      <c r="R3025">
        <v>1488.788</v>
      </c>
      <c r="S3025">
        <v>1521.0530000000001</v>
      </c>
      <c r="T3025">
        <v>1553.4179999999999</v>
      </c>
      <c r="U3025">
        <v>1585.9880000000001</v>
      </c>
      <c r="V3025">
        <v>1618.7570000000001</v>
      </c>
      <c r="W3025">
        <v>1651.7159999999999</v>
      </c>
      <c r="X3025">
        <v>1684.8589999999999</v>
      </c>
      <c r="Y3025">
        <v>1718.1769999999999</v>
      </c>
      <c r="Z3025">
        <v>1751.663</v>
      </c>
      <c r="AA3025">
        <v>1785.309</v>
      </c>
      <c r="AB3025">
        <v>1819.1079999999999</v>
      </c>
      <c r="AC3025">
        <v>1853.0509999999999</v>
      </c>
      <c r="AD3025">
        <v>1887.1320000000001</v>
      </c>
    </row>
    <row r="3026" spans="2:30" x14ac:dyDescent="0.25">
      <c r="B3026" t="s">
        <v>133</v>
      </c>
      <c r="C3026" t="s">
        <v>3263</v>
      </c>
      <c r="D3026" t="s">
        <v>5236</v>
      </c>
      <c r="E3026" t="s">
        <v>5237</v>
      </c>
      <c r="F3026" t="s">
        <v>8867</v>
      </c>
      <c r="G3026" t="s">
        <v>3890</v>
      </c>
      <c r="H3026" t="s">
        <v>109</v>
      </c>
      <c r="I3026" t="s">
        <v>108</v>
      </c>
      <c r="J3026">
        <v>1</v>
      </c>
      <c r="K3026">
        <v>4328.9740000000002</v>
      </c>
      <c r="L3026">
        <v>5265.94</v>
      </c>
      <c r="M3026">
        <v>6592.35</v>
      </c>
      <c r="N3026">
        <v>6728.01</v>
      </c>
      <c r="O3026">
        <v>6859.9750000000004</v>
      </c>
      <c r="P3026">
        <v>7013.2860000000001</v>
      </c>
      <c r="Q3026">
        <v>7192.4309999999996</v>
      </c>
      <c r="R3026">
        <v>7363.3370000000004</v>
      </c>
      <c r="S3026">
        <v>7522.9189999999999</v>
      </c>
      <c r="T3026">
        <v>7682.9880000000003</v>
      </c>
      <c r="U3026">
        <v>7844.076</v>
      </c>
      <c r="V3026">
        <v>8006.1459999999997</v>
      </c>
      <c r="W3026">
        <v>8169.1589999999997</v>
      </c>
      <c r="X3026">
        <v>8333.0769999999993</v>
      </c>
      <c r="Y3026">
        <v>8497.8639999999996</v>
      </c>
      <c r="Z3026">
        <v>8663.4809999999998</v>
      </c>
      <c r="AA3026">
        <v>8829.89</v>
      </c>
      <c r="AB3026">
        <v>8997.0540000000001</v>
      </c>
      <c r="AC3026">
        <v>9164.9339999999993</v>
      </c>
      <c r="AD3026">
        <v>9333.4920000000002</v>
      </c>
    </row>
    <row r="3027" spans="2:30" x14ac:dyDescent="0.25">
      <c r="B3027" t="s">
        <v>133</v>
      </c>
      <c r="C3027" t="s">
        <v>3263</v>
      </c>
      <c r="D3027" t="s">
        <v>5239</v>
      </c>
      <c r="E3027" t="s">
        <v>5240</v>
      </c>
      <c r="F3027" t="s">
        <v>8868</v>
      </c>
      <c r="G3027" t="s">
        <v>3890</v>
      </c>
      <c r="H3027" t="s">
        <v>109</v>
      </c>
      <c r="I3027" t="s">
        <v>108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</row>
    <row r="3028" spans="2:30" x14ac:dyDescent="0.25">
      <c r="B3028" t="s">
        <v>133</v>
      </c>
      <c r="C3028" t="s">
        <v>3263</v>
      </c>
      <c r="D3028" t="s">
        <v>5242</v>
      </c>
      <c r="E3028" t="s">
        <v>5131</v>
      </c>
      <c r="F3028" t="s">
        <v>8833</v>
      </c>
      <c r="G3028" t="s">
        <v>3890</v>
      </c>
      <c r="H3028" t="s">
        <v>109</v>
      </c>
      <c r="I3028" t="s">
        <v>108</v>
      </c>
      <c r="J3028">
        <v>1</v>
      </c>
      <c r="K3028">
        <v>5389.2640000000001</v>
      </c>
      <c r="L3028">
        <v>6059.357</v>
      </c>
      <c r="M3028">
        <v>7304.8469999999998</v>
      </c>
      <c r="N3028">
        <v>7485.0290000000005</v>
      </c>
      <c r="O3028">
        <v>7660.826</v>
      </c>
      <c r="P3028">
        <v>7867.7740000000003</v>
      </c>
      <c r="Q3028">
        <v>8112.866</v>
      </c>
      <c r="R3028">
        <v>8347.6450000000004</v>
      </c>
      <c r="S3028">
        <v>8567.366</v>
      </c>
      <c r="T3028">
        <v>8788.9699999999993</v>
      </c>
      <c r="U3028">
        <v>9013.2360000000008</v>
      </c>
      <c r="V3028">
        <v>9240.1190000000006</v>
      </c>
      <c r="W3028">
        <v>9469.5740000000005</v>
      </c>
      <c r="X3028">
        <v>9701.5529999999999</v>
      </c>
      <c r="Y3028">
        <v>9936.0069999999996</v>
      </c>
      <c r="Z3028">
        <v>10172.888000000001</v>
      </c>
      <c r="AA3028">
        <v>10412.143</v>
      </c>
      <c r="AB3028">
        <v>10653.721</v>
      </c>
      <c r="AC3028">
        <v>10897.566999999999</v>
      </c>
      <c r="AD3028">
        <v>11143.626</v>
      </c>
    </row>
    <row r="3029" spans="2:30" x14ac:dyDescent="0.25">
      <c r="B3029" t="s">
        <v>133</v>
      </c>
      <c r="C3029" t="s">
        <v>3263</v>
      </c>
      <c r="D3029" t="s">
        <v>5243</v>
      </c>
      <c r="E3029" t="s">
        <v>5244</v>
      </c>
      <c r="F3029" t="s">
        <v>8869</v>
      </c>
      <c r="G3029" t="s">
        <v>3890</v>
      </c>
      <c r="H3029" t="s">
        <v>109</v>
      </c>
      <c r="I3029" t="s">
        <v>108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</row>
    <row r="3030" spans="2:30" x14ac:dyDescent="0.25">
      <c r="B3030" t="s">
        <v>133</v>
      </c>
      <c r="C3030" t="s">
        <v>3263</v>
      </c>
      <c r="D3030" t="s">
        <v>5246</v>
      </c>
      <c r="E3030" t="s">
        <v>5247</v>
      </c>
      <c r="F3030" t="s">
        <v>8870</v>
      </c>
      <c r="G3030" t="s">
        <v>3890</v>
      </c>
      <c r="H3030" t="s">
        <v>109</v>
      </c>
      <c r="I3030" t="s">
        <v>108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2:30" x14ac:dyDescent="0.25">
      <c r="B3031" t="s">
        <v>133</v>
      </c>
      <c r="C3031" t="s">
        <v>3263</v>
      </c>
      <c r="D3031" t="s">
        <v>5249</v>
      </c>
      <c r="E3031" t="s">
        <v>5250</v>
      </c>
      <c r="F3031" t="s">
        <v>8871</v>
      </c>
      <c r="G3031" t="s">
        <v>3890</v>
      </c>
      <c r="H3031" t="s">
        <v>109</v>
      </c>
      <c r="I3031" t="s">
        <v>108</v>
      </c>
      <c r="J3031">
        <v>1</v>
      </c>
      <c r="K3031">
        <v>3107.4549999999999</v>
      </c>
      <c r="L3031">
        <v>3427.6979999999999</v>
      </c>
      <c r="M3031">
        <v>4102.9210000000003</v>
      </c>
      <c r="N3031">
        <v>4179.0079999999998</v>
      </c>
      <c r="O3031">
        <v>4252.4840000000004</v>
      </c>
      <c r="P3031">
        <v>4338.8559999999998</v>
      </c>
      <c r="Q3031">
        <v>4440.8180000000002</v>
      </c>
      <c r="R3031">
        <v>4537.2790000000005</v>
      </c>
      <c r="S3031">
        <v>4626.3739999999998</v>
      </c>
      <c r="T3031">
        <v>4715.3950000000004</v>
      </c>
      <c r="U3031">
        <v>4804.6670000000004</v>
      </c>
      <c r="V3031">
        <v>4894.165</v>
      </c>
      <c r="W3031">
        <v>4983.8620000000001</v>
      </c>
      <c r="X3031">
        <v>5073.7340000000004</v>
      </c>
      <c r="Y3031">
        <v>5163.7550000000001</v>
      </c>
      <c r="Z3031">
        <v>5253.9</v>
      </c>
      <c r="AA3031">
        <v>5344.1450000000004</v>
      </c>
      <c r="AB3031">
        <v>5434.4660000000003</v>
      </c>
      <c r="AC3031">
        <v>5524.8370000000004</v>
      </c>
      <c r="AD3031">
        <v>5615.2340000000004</v>
      </c>
    </row>
    <row r="3032" spans="2:30" x14ac:dyDescent="0.25">
      <c r="B3032" t="s">
        <v>133</v>
      </c>
      <c r="C3032" t="s">
        <v>3263</v>
      </c>
      <c r="D3032" t="s">
        <v>5252</v>
      </c>
      <c r="E3032" t="s">
        <v>5253</v>
      </c>
      <c r="F3032" t="s">
        <v>8872</v>
      </c>
      <c r="G3032" t="s">
        <v>3890</v>
      </c>
      <c r="H3032" t="s">
        <v>109</v>
      </c>
      <c r="I3032" t="s">
        <v>108</v>
      </c>
      <c r="J3032">
        <v>1</v>
      </c>
      <c r="K3032">
        <v>2281.8090000000002</v>
      </c>
      <c r="L3032">
        <v>2631.6590000000001</v>
      </c>
      <c r="M3032">
        <v>3201.9259999999999</v>
      </c>
      <c r="N3032">
        <v>3306.0210000000002</v>
      </c>
      <c r="O3032">
        <v>3408.3420000000001</v>
      </c>
      <c r="P3032">
        <v>3528.9180000000001</v>
      </c>
      <c r="Q3032">
        <v>3672.0479999999998</v>
      </c>
      <c r="R3032">
        <v>3810.3670000000002</v>
      </c>
      <c r="S3032">
        <v>3940.9920000000002</v>
      </c>
      <c r="T3032">
        <v>4073.5749999999998</v>
      </c>
      <c r="U3032">
        <v>4208.5680000000002</v>
      </c>
      <c r="V3032">
        <v>4345.9539999999997</v>
      </c>
      <c r="W3032">
        <v>4485.7120000000004</v>
      </c>
      <c r="X3032">
        <v>4627.8190000000004</v>
      </c>
      <c r="Y3032">
        <v>4772.2529999999997</v>
      </c>
      <c r="Z3032">
        <v>4918.9880000000003</v>
      </c>
      <c r="AA3032">
        <v>5067.9979999999996</v>
      </c>
      <c r="AB3032">
        <v>5219.2550000000001</v>
      </c>
      <c r="AC3032">
        <v>5372.73</v>
      </c>
      <c r="AD3032">
        <v>5528.3919999999998</v>
      </c>
    </row>
    <row r="3033" spans="2:30" x14ac:dyDescent="0.25">
      <c r="B3033" t="s">
        <v>133</v>
      </c>
      <c r="C3033" t="s">
        <v>3263</v>
      </c>
      <c r="D3033" t="s">
        <v>5255</v>
      </c>
      <c r="E3033" t="s">
        <v>5256</v>
      </c>
      <c r="F3033" t="s">
        <v>8873</v>
      </c>
      <c r="G3033" t="s">
        <v>3890</v>
      </c>
      <c r="H3033" t="s">
        <v>109</v>
      </c>
      <c r="I3033" t="s">
        <v>108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</row>
    <row r="3034" spans="2:30" x14ac:dyDescent="0.25">
      <c r="B3034" t="s">
        <v>133</v>
      </c>
      <c r="C3034" t="s">
        <v>3263</v>
      </c>
      <c r="D3034" t="s">
        <v>5258</v>
      </c>
      <c r="E3034" t="s">
        <v>5134</v>
      </c>
      <c r="F3034" t="s">
        <v>8834</v>
      </c>
      <c r="G3034" t="s">
        <v>3890</v>
      </c>
      <c r="H3034" t="s">
        <v>109</v>
      </c>
      <c r="I3034" t="s">
        <v>108</v>
      </c>
      <c r="J3034">
        <v>1</v>
      </c>
      <c r="K3034">
        <v>659.322</v>
      </c>
      <c r="L3034">
        <v>771.90700000000004</v>
      </c>
      <c r="M3034">
        <v>857.73800000000006</v>
      </c>
      <c r="N3034">
        <v>889.11699999999996</v>
      </c>
      <c r="O3034">
        <v>920.298</v>
      </c>
      <c r="P3034">
        <v>957.94299999999998</v>
      </c>
      <c r="Q3034">
        <v>1003.823</v>
      </c>
      <c r="R3034">
        <v>1048.83</v>
      </c>
      <c r="S3034">
        <v>1091.8589999999999</v>
      </c>
      <c r="T3034">
        <v>1136.079</v>
      </c>
      <c r="U3034">
        <v>1181.4929999999999</v>
      </c>
      <c r="V3034">
        <v>1228.1030000000001</v>
      </c>
      <c r="W3034">
        <v>1275.9059999999999</v>
      </c>
      <c r="X3034">
        <v>1324.8989999999999</v>
      </c>
      <c r="Y3034">
        <v>1375.079</v>
      </c>
      <c r="Z3034">
        <v>1426.4359999999999</v>
      </c>
      <c r="AA3034">
        <v>1478.963</v>
      </c>
      <c r="AB3034">
        <v>1532.6469999999999</v>
      </c>
      <c r="AC3034">
        <v>1587.4749999999999</v>
      </c>
      <c r="AD3034">
        <v>1643.43</v>
      </c>
    </row>
    <row r="3035" spans="2:30" x14ac:dyDescent="0.25">
      <c r="B3035" t="s">
        <v>133</v>
      </c>
      <c r="C3035" t="s">
        <v>3263</v>
      </c>
      <c r="D3035" t="s">
        <v>5259</v>
      </c>
      <c r="E3035" t="s">
        <v>5260</v>
      </c>
      <c r="F3035" t="s">
        <v>8874</v>
      </c>
      <c r="G3035" t="s">
        <v>3890</v>
      </c>
      <c r="H3035" t="s">
        <v>109</v>
      </c>
      <c r="I3035" t="s">
        <v>108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  <row r="3036" spans="2:30" x14ac:dyDescent="0.25">
      <c r="B3036" t="s">
        <v>133</v>
      </c>
      <c r="C3036" t="s">
        <v>3263</v>
      </c>
      <c r="D3036" t="s">
        <v>5262</v>
      </c>
      <c r="E3036" t="s">
        <v>5263</v>
      </c>
      <c r="F3036" t="s">
        <v>8875</v>
      </c>
      <c r="G3036" t="s">
        <v>3890</v>
      </c>
      <c r="H3036" t="s">
        <v>109</v>
      </c>
      <c r="I3036" t="s">
        <v>108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</row>
    <row r="3037" spans="2:30" x14ac:dyDescent="0.25">
      <c r="B3037" t="s">
        <v>133</v>
      </c>
      <c r="C3037" t="s">
        <v>3263</v>
      </c>
      <c r="D3037" t="s">
        <v>5265</v>
      </c>
      <c r="E3037" t="s">
        <v>5266</v>
      </c>
      <c r="F3037" t="s">
        <v>8876</v>
      </c>
      <c r="G3037" t="s">
        <v>3890</v>
      </c>
      <c r="H3037" t="s">
        <v>109</v>
      </c>
      <c r="I3037" t="s">
        <v>108</v>
      </c>
      <c r="J3037">
        <v>1</v>
      </c>
      <c r="K3037">
        <v>3</v>
      </c>
      <c r="L3037">
        <v>3.181</v>
      </c>
      <c r="M3037">
        <v>3.6320000000000001</v>
      </c>
      <c r="N3037">
        <v>3.7050000000000001</v>
      </c>
      <c r="O3037">
        <v>3.7759999999999998</v>
      </c>
      <c r="P3037">
        <v>3.859</v>
      </c>
      <c r="Q3037">
        <v>3.9569999999999999</v>
      </c>
      <c r="R3037">
        <v>4.0510000000000002</v>
      </c>
      <c r="S3037">
        <v>4.1369999999999996</v>
      </c>
      <c r="T3037">
        <v>4.2240000000000002</v>
      </c>
      <c r="U3037">
        <v>4.3120000000000003</v>
      </c>
      <c r="V3037">
        <v>4.399</v>
      </c>
      <c r="W3037">
        <v>4.4880000000000004</v>
      </c>
      <c r="X3037">
        <v>4.5759999999999996</v>
      </c>
      <c r="Y3037">
        <v>4.665</v>
      </c>
      <c r="Z3037">
        <v>4.7549999999999999</v>
      </c>
      <c r="AA3037">
        <v>4.8449999999999998</v>
      </c>
      <c r="AB3037">
        <v>4.9349999999999996</v>
      </c>
      <c r="AC3037">
        <v>5.0259999999999998</v>
      </c>
      <c r="AD3037">
        <v>5.117</v>
      </c>
    </row>
    <row r="3038" spans="2:30" x14ac:dyDescent="0.25">
      <c r="B3038" t="s">
        <v>133</v>
      </c>
      <c r="C3038" t="s">
        <v>3263</v>
      </c>
      <c r="D3038" t="s">
        <v>5268</v>
      </c>
      <c r="E3038" t="s">
        <v>5269</v>
      </c>
      <c r="F3038" t="s">
        <v>8877</v>
      </c>
      <c r="G3038" t="s">
        <v>3890</v>
      </c>
      <c r="H3038" t="s">
        <v>109</v>
      </c>
      <c r="I3038" t="s">
        <v>108</v>
      </c>
      <c r="J3038">
        <v>1</v>
      </c>
      <c r="K3038">
        <v>4</v>
      </c>
      <c r="L3038">
        <v>4.3959999999999999</v>
      </c>
      <c r="M3038">
        <v>5.07</v>
      </c>
      <c r="N3038">
        <v>5.234</v>
      </c>
      <c r="O3038">
        <v>5.3959999999999999</v>
      </c>
      <c r="P3038">
        <v>5.5869999999999997</v>
      </c>
      <c r="Q3038">
        <v>5.8140000000000001</v>
      </c>
      <c r="R3038">
        <v>6.0330000000000004</v>
      </c>
      <c r="S3038">
        <v>6.24</v>
      </c>
      <c r="T3038">
        <v>6.45</v>
      </c>
      <c r="U3038">
        <v>6.6630000000000003</v>
      </c>
      <c r="V3038">
        <v>6.8810000000000002</v>
      </c>
      <c r="W3038">
        <v>7.1020000000000003</v>
      </c>
      <c r="X3038">
        <v>7.327</v>
      </c>
      <c r="Y3038">
        <v>7.556</v>
      </c>
      <c r="Z3038">
        <v>7.7880000000000003</v>
      </c>
      <c r="AA3038">
        <v>8.0239999999999991</v>
      </c>
      <c r="AB3038">
        <v>8.2629999999999999</v>
      </c>
      <c r="AC3038">
        <v>8.5060000000000002</v>
      </c>
      <c r="AD3038">
        <v>8.7530000000000001</v>
      </c>
    </row>
    <row r="3039" spans="2:30" x14ac:dyDescent="0.25">
      <c r="B3039" t="s">
        <v>133</v>
      </c>
      <c r="C3039" t="s">
        <v>3263</v>
      </c>
      <c r="D3039" t="s">
        <v>5271</v>
      </c>
      <c r="E3039" t="s">
        <v>5272</v>
      </c>
      <c r="F3039" t="s">
        <v>8878</v>
      </c>
      <c r="G3039" t="s">
        <v>3890</v>
      </c>
      <c r="H3039" t="s">
        <v>109</v>
      </c>
      <c r="I3039" t="s">
        <v>108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</row>
    <row r="3040" spans="2:30" x14ac:dyDescent="0.25">
      <c r="B3040" t="s">
        <v>133</v>
      </c>
      <c r="C3040" t="s">
        <v>3263</v>
      </c>
      <c r="D3040" t="s">
        <v>5274</v>
      </c>
      <c r="E3040" t="s">
        <v>5122</v>
      </c>
      <c r="F3040" t="s">
        <v>8830</v>
      </c>
      <c r="G3040" t="s">
        <v>3890</v>
      </c>
      <c r="H3040" t="s">
        <v>109</v>
      </c>
      <c r="I3040" t="s">
        <v>108</v>
      </c>
      <c r="J3040">
        <v>1</v>
      </c>
      <c r="K3040">
        <v>7688.0550000000003</v>
      </c>
      <c r="L3040">
        <v>7382.1220000000003</v>
      </c>
      <c r="M3040">
        <v>7820.5169999999998</v>
      </c>
      <c r="N3040">
        <v>9963.2890000000007</v>
      </c>
      <c r="O3040">
        <v>9996.473</v>
      </c>
      <c r="P3040">
        <v>10040.493</v>
      </c>
      <c r="Q3040">
        <v>10104.35</v>
      </c>
      <c r="R3040">
        <v>10170.476000000001</v>
      </c>
      <c r="S3040">
        <v>10233.127</v>
      </c>
      <c r="T3040">
        <v>10301.992</v>
      </c>
      <c r="U3040">
        <v>10378.269</v>
      </c>
      <c r="V3040">
        <v>10461.94</v>
      </c>
      <c r="W3040">
        <v>10553.672</v>
      </c>
      <c r="X3040">
        <v>10653.630999999999</v>
      </c>
      <c r="Y3040">
        <v>10762.258</v>
      </c>
      <c r="Z3040">
        <v>10879.782999999999</v>
      </c>
      <c r="AA3040">
        <v>11006.638999999999</v>
      </c>
      <c r="AB3040">
        <v>11143.370999999999</v>
      </c>
      <c r="AC3040">
        <v>11290.245000000001</v>
      </c>
      <c r="AD3040">
        <v>11447.72</v>
      </c>
    </row>
    <row r="3041" spans="2:30" x14ac:dyDescent="0.25">
      <c r="B3041" t="s">
        <v>133</v>
      </c>
      <c r="C3041" t="s">
        <v>3263</v>
      </c>
      <c r="D3041" t="s">
        <v>5275</v>
      </c>
      <c r="E3041" t="s">
        <v>5276</v>
      </c>
      <c r="F3041" t="s">
        <v>8879</v>
      </c>
      <c r="G3041" t="s">
        <v>3890</v>
      </c>
      <c r="H3041" t="s">
        <v>109</v>
      </c>
      <c r="I3041" t="s">
        <v>108</v>
      </c>
      <c r="J3041">
        <v>1</v>
      </c>
      <c r="K3041">
        <v>4691.6719999999996</v>
      </c>
      <c r="L3041">
        <v>4566.808</v>
      </c>
      <c r="M3041">
        <v>4436.3280000000004</v>
      </c>
      <c r="N3041">
        <v>5363.9560000000001</v>
      </c>
      <c r="O3041">
        <v>5260.9070000000002</v>
      </c>
      <c r="P3041">
        <v>5144.1360000000004</v>
      </c>
      <c r="Q3041">
        <v>5016.8670000000002</v>
      </c>
      <c r="R3041">
        <v>4898.4859999999999</v>
      </c>
      <c r="S3041">
        <v>4787.1270000000004</v>
      </c>
      <c r="T3041">
        <v>4679.4560000000001</v>
      </c>
      <c r="U3041">
        <v>4576.0609999999997</v>
      </c>
      <c r="V3041">
        <v>4476.9549999999999</v>
      </c>
      <c r="W3041">
        <v>4382.8310000000001</v>
      </c>
      <c r="X3041">
        <v>4293.8890000000001</v>
      </c>
      <c r="Y3041">
        <v>4210.6049999999996</v>
      </c>
      <c r="Z3041">
        <v>4133.2449999999999</v>
      </c>
      <c r="AA3041">
        <v>4062.2779999999998</v>
      </c>
      <c r="AB3041">
        <v>3998.2890000000002</v>
      </c>
      <c r="AC3041">
        <v>3941.587</v>
      </c>
      <c r="AD3041">
        <v>3892.674</v>
      </c>
    </row>
    <row r="3042" spans="2:30" x14ac:dyDescent="0.25">
      <c r="B3042" t="s">
        <v>133</v>
      </c>
      <c r="C3042" t="s">
        <v>3263</v>
      </c>
      <c r="D3042" t="s">
        <v>5278</v>
      </c>
      <c r="E3042" t="s">
        <v>5279</v>
      </c>
      <c r="F3042" t="s">
        <v>8880</v>
      </c>
      <c r="G3042" t="s">
        <v>3890</v>
      </c>
      <c r="H3042" t="s">
        <v>109</v>
      </c>
      <c r="I3042" t="s">
        <v>108</v>
      </c>
      <c r="J3042">
        <v>1</v>
      </c>
      <c r="K3042">
        <v>271.34100000000001</v>
      </c>
      <c r="L3042">
        <v>251.108</v>
      </c>
      <c r="M3042">
        <v>298.85899999999998</v>
      </c>
      <c r="N3042">
        <v>395.57299999999998</v>
      </c>
      <c r="O3042">
        <v>406.19900000000001</v>
      </c>
      <c r="P3042">
        <v>418.90199999999999</v>
      </c>
      <c r="Q3042">
        <v>434.16399999999999</v>
      </c>
      <c r="R3042">
        <v>448.73200000000003</v>
      </c>
      <c r="S3042">
        <v>462.27499999999998</v>
      </c>
      <c r="T3042">
        <v>475.93200000000002</v>
      </c>
      <c r="U3042">
        <v>489.75400000000002</v>
      </c>
      <c r="V3042">
        <v>503.73700000000002</v>
      </c>
      <c r="W3042">
        <v>517.875</v>
      </c>
      <c r="X3042">
        <v>532.16300000000001</v>
      </c>
      <c r="Y3042">
        <v>546.59500000000003</v>
      </c>
      <c r="Z3042">
        <v>561.16800000000001</v>
      </c>
      <c r="AA3042">
        <v>575.875</v>
      </c>
      <c r="AB3042">
        <v>590.71100000000001</v>
      </c>
      <c r="AC3042">
        <v>605.66999999999996</v>
      </c>
      <c r="AD3042">
        <v>620.74699999999996</v>
      </c>
    </row>
    <row r="3043" spans="2:30" x14ac:dyDescent="0.25">
      <c r="B3043" t="s">
        <v>133</v>
      </c>
      <c r="C3043" t="s">
        <v>3263</v>
      </c>
      <c r="D3043" t="s">
        <v>5281</v>
      </c>
      <c r="E3043" t="s">
        <v>5282</v>
      </c>
      <c r="F3043" t="s">
        <v>8881</v>
      </c>
      <c r="G3043" t="s">
        <v>3890</v>
      </c>
      <c r="H3043" t="s">
        <v>109</v>
      </c>
      <c r="I3043" t="s">
        <v>108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</row>
    <row r="3044" spans="2:30" x14ac:dyDescent="0.25">
      <c r="B3044" t="s">
        <v>133</v>
      </c>
      <c r="C3044" t="s">
        <v>3263</v>
      </c>
      <c r="D3044" t="s">
        <v>5284</v>
      </c>
      <c r="E3044" t="s">
        <v>5285</v>
      </c>
      <c r="F3044" t="s">
        <v>8882</v>
      </c>
      <c r="G3044" t="s">
        <v>3890</v>
      </c>
      <c r="H3044" t="s">
        <v>109</v>
      </c>
      <c r="I3044" t="s">
        <v>108</v>
      </c>
      <c r="J3044">
        <v>1</v>
      </c>
      <c r="K3044">
        <v>2631.7759999999998</v>
      </c>
      <c r="L3044">
        <v>2478.98</v>
      </c>
      <c r="M3044">
        <v>2984.6860000000001</v>
      </c>
      <c r="N3044">
        <v>4071.1979999999999</v>
      </c>
      <c r="O3044">
        <v>4197.2</v>
      </c>
      <c r="P3044">
        <v>4345.6840000000002</v>
      </c>
      <c r="Q3044">
        <v>4521.9409999999998</v>
      </c>
      <c r="R3044">
        <v>4692.2730000000001</v>
      </c>
      <c r="S3044">
        <v>4853.1319999999996</v>
      </c>
      <c r="T3044">
        <v>5016.4009999999998</v>
      </c>
      <c r="U3044">
        <v>5182.6390000000001</v>
      </c>
      <c r="V3044">
        <v>5351.8220000000001</v>
      </c>
      <c r="W3044">
        <v>5523.9269999999997</v>
      </c>
      <c r="X3044">
        <v>5698.9250000000002</v>
      </c>
      <c r="Y3044">
        <v>5876.7870000000003</v>
      </c>
      <c r="Z3044">
        <v>6057.4840000000004</v>
      </c>
      <c r="AA3044">
        <v>6240.982</v>
      </c>
      <c r="AB3044">
        <v>6427.2479999999996</v>
      </c>
      <c r="AC3044">
        <v>6616.2449999999999</v>
      </c>
      <c r="AD3044">
        <v>6807.9340000000002</v>
      </c>
    </row>
    <row r="3045" spans="2:30" x14ac:dyDescent="0.25">
      <c r="B3045" t="s">
        <v>133</v>
      </c>
      <c r="C3045" t="s">
        <v>3263</v>
      </c>
      <c r="D3045" t="s">
        <v>5287</v>
      </c>
      <c r="E3045" t="s">
        <v>5288</v>
      </c>
      <c r="F3045" t="s">
        <v>8883</v>
      </c>
      <c r="G3045" t="s">
        <v>3890</v>
      </c>
      <c r="H3045" t="s">
        <v>109</v>
      </c>
      <c r="I3045" t="s">
        <v>108</v>
      </c>
      <c r="J3045">
        <v>1</v>
      </c>
      <c r="K3045">
        <v>93.265000000000001</v>
      </c>
      <c r="L3045">
        <v>85.225999999999999</v>
      </c>
      <c r="M3045">
        <v>100.645</v>
      </c>
      <c r="N3045">
        <v>132.56200000000001</v>
      </c>
      <c r="O3045">
        <v>132.166</v>
      </c>
      <c r="P3045">
        <v>131.77099999999999</v>
      </c>
      <c r="Q3045">
        <v>131.37799999999999</v>
      </c>
      <c r="R3045">
        <v>130.98500000000001</v>
      </c>
      <c r="S3045">
        <v>130.59399999999999</v>
      </c>
      <c r="T3045">
        <v>130.203</v>
      </c>
      <c r="U3045">
        <v>129.81399999999999</v>
      </c>
      <c r="V3045">
        <v>129.42599999999999</v>
      </c>
      <c r="W3045">
        <v>129.04</v>
      </c>
      <c r="X3045">
        <v>128.654</v>
      </c>
      <c r="Y3045">
        <v>128.27000000000001</v>
      </c>
      <c r="Z3045">
        <v>127.886</v>
      </c>
      <c r="AA3045">
        <v>127.504</v>
      </c>
      <c r="AB3045">
        <v>127.123</v>
      </c>
      <c r="AC3045">
        <v>126.74299999999999</v>
      </c>
      <c r="AD3045">
        <v>126.36499999999999</v>
      </c>
    </row>
    <row r="3046" spans="2:30" x14ac:dyDescent="0.25">
      <c r="B3046" t="s">
        <v>133</v>
      </c>
      <c r="C3046" t="s">
        <v>3263</v>
      </c>
      <c r="D3046" t="s">
        <v>5290</v>
      </c>
      <c r="E3046" t="s">
        <v>5291</v>
      </c>
      <c r="F3046" t="s">
        <v>8884</v>
      </c>
      <c r="G3046" t="s">
        <v>3890</v>
      </c>
      <c r="H3046" t="s">
        <v>109</v>
      </c>
      <c r="I3046" t="s">
        <v>108</v>
      </c>
      <c r="J3046">
        <v>1</v>
      </c>
      <c r="K3046">
        <v>80943.887000000002</v>
      </c>
      <c r="L3046">
        <v>79047.616999999998</v>
      </c>
      <c r="M3046">
        <v>89450.361999999994</v>
      </c>
      <c r="N3046">
        <v>92510.793000000005</v>
      </c>
      <c r="O3046">
        <v>93065.717999999993</v>
      </c>
      <c r="P3046">
        <v>95290.343999999997</v>
      </c>
      <c r="Q3046">
        <v>99127.456999999995</v>
      </c>
      <c r="R3046">
        <v>103229.95600000001</v>
      </c>
      <c r="S3046">
        <v>107500.22100000001</v>
      </c>
      <c r="T3046">
        <v>112251.38800000001</v>
      </c>
      <c r="U3046">
        <v>117329.534</v>
      </c>
      <c r="V3046">
        <v>122808.019</v>
      </c>
      <c r="W3046">
        <v>128650.345</v>
      </c>
      <c r="X3046">
        <v>134902.85999999999</v>
      </c>
      <c r="Y3046">
        <v>141553.973</v>
      </c>
      <c r="Z3046">
        <v>148684.76800000001</v>
      </c>
      <c r="AA3046">
        <v>156335.72899999999</v>
      </c>
      <c r="AB3046">
        <v>164572.45699999999</v>
      </c>
      <c r="AC3046">
        <v>173473.253</v>
      </c>
      <c r="AD3046">
        <v>182561.61</v>
      </c>
    </row>
    <row r="3047" spans="2:30" x14ac:dyDescent="0.25">
      <c r="B3047" t="s">
        <v>133</v>
      </c>
      <c r="C3047" t="s">
        <v>3263</v>
      </c>
      <c r="D3047" t="s">
        <v>5293</v>
      </c>
      <c r="E3047" t="s">
        <v>5143</v>
      </c>
      <c r="F3047" t="s">
        <v>8837</v>
      </c>
      <c r="G3047" t="s">
        <v>3890</v>
      </c>
      <c r="H3047" t="s">
        <v>109</v>
      </c>
      <c r="I3047" t="s">
        <v>108</v>
      </c>
      <c r="J3047">
        <v>1</v>
      </c>
      <c r="K3047">
        <v>1529.27</v>
      </c>
      <c r="L3047">
        <v>1206.73</v>
      </c>
      <c r="M3047">
        <v>1313.405</v>
      </c>
      <c r="N3047">
        <v>1308.827</v>
      </c>
      <c r="O3047">
        <v>1304.2660000000001</v>
      </c>
      <c r="P3047">
        <v>1299.72</v>
      </c>
      <c r="Q3047">
        <v>1295.19</v>
      </c>
      <c r="R3047">
        <v>1290.6759999999999</v>
      </c>
      <c r="S3047">
        <v>1286.1780000000001</v>
      </c>
      <c r="T3047">
        <v>1281.6949999999999</v>
      </c>
      <c r="U3047">
        <v>1277.2280000000001</v>
      </c>
      <c r="V3047">
        <v>1272.777</v>
      </c>
      <c r="W3047">
        <v>1268.3409999999999</v>
      </c>
      <c r="X3047">
        <v>1263.921</v>
      </c>
      <c r="Y3047">
        <v>1259.5160000000001</v>
      </c>
      <c r="Z3047">
        <v>1255.126</v>
      </c>
      <c r="AA3047">
        <v>1250.752</v>
      </c>
      <c r="AB3047">
        <v>1246.393</v>
      </c>
      <c r="AC3047">
        <v>1242.049</v>
      </c>
      <c r="AD3047">
        <v>1237.72</v>
      </c>
    </row>
    <row r="3048" spans="2:30" x14ac:dyDescent="0.25">
      <c r="B3048" t="s">
        <v>133</v>
      </c>
      <c r="C3048" t="s">
        <v>3263</v>
      </c>
      <c r="D3048" t="s">
        <v>5294</v>
      </c>
      <c r="E3048" t="s">
        <v>5295</v>
      </c>
      <c r="F3048" t="s">
        <v>8885</v>
      </c>
      <c r="G3048" t="s">
        <v>3890</v>
      </c>
      <c r="H3048" t="s">
        <v>109</v>
      </c>
      <c r="I3048" t="s">
        <v>108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</row>
    <row r="3049" spans="2:30" x14ac:dyDescent="0.25">
      <c r="B3049" t="s">
        <v>133</v>
      </c>
      <c r="C3049" t="s">
        <v>3263</v>
      </c>
      <c r="D3049" t="s">
        <v>5297</v>
      </c>
      <c r="E3049" t="s">
        <v>5298</v>
      </c>
      <c r="F3049" t="s">
        <v>8886</v>
      </c>
      <c r="G3049" t="s">
        <v>3890</v>
      </c>
      <c r="H3049" t="s">
        <v>109</v>
      </c>
      <c r="I3049" t="s">
        <v>108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</row>
    <row r="3050" spans="2:30" x14ac:dyDescent="0.25">
      <c r="B3050" t="s">
        <v>133</v>
      </c>
      <c r="C3050" t="s">
        <v>3263</v>
      </c>
      <c r="D3050" t="s">
        <v>5300</v>
      </c>
      <c r="E3050" t="s">
        <v>5301</v>
      </c>
      <c r="F3050" t="s">
        <v>8887</v>
      </c>
      <c r="G3050" t="s">
        <v>3890</v>
      </c>
      <c r="H3050" t="s">
        <v>109</v>
      </c>
      <c r="I3050" t="s">
        <v>108</v>
      </c>
      <c r="J3050">
        <v>1</v>
      </c>
      <c r="K3050">
        <v>1529.27</v>
      </c>
      <c r="L3050">
        <v>1206.73</v>
      </c>
      <c r="M3050">
        <v>1313.405</v>
      </c>
      <c r="N3050">
        <v>1308.827</v>
      </c>
      <c r="O3050">
        <v>1304.2660000000001</v>
      </c>
      <c r="P3050">
        <v>1299.72</v>
      </c>
      <c r="Q3050">
        <v>1295.19</v>
      </c>
      <c r="R3050">
        <v>1290.6759999999999</v>
      </c>
      <c r="S3050">
        <v>1286.1780000000001</v>
      </c>
      <c r="T3050">
        <v>1281.6949999999999</v>
      </c>
      <c r="U3050">
        <v>1277.2280000000001</v>
      </c>
      <c r="V3050">
        <v>1272.777</v>
      </c>
      <c r="W3050">
        <v>1268.3409999999999</v>
      </c>
      <c r="X3050">
        <v>1263.921</v>
      </c>
      <c r="Y3050">
        <v>1259.5160000000001</v>
      </c>
      <c r="Z3050">
        <v>1255.126</v>
      </c>
      <c r="AA3050">
        <v>1250.752</v>
      </c>
      <c r="AB3050">
        <v>1246.393</v>
      </c>
      <c r="AC3050">
        <v>1242.049</v>
      </c>
      <c r="AD3050">
        <v>1237.72</v>
      </c>
    </row>
    <row r="3051" spans="2:30" x14ac:dyDescent="0.25">
      <c r="B3051" t="s">
        <v>133</v>
      </c>
      <c r="C3051" t="s">
        <v>3263</v>
      </c>
      <c r="D3051" t="s">
        <v>5303</v>
      </c>
      <c r="E3051" t="s">
        <v>5304</v>
      </c>
      <c r="F3051" t="s">
        <v>8888</v>
      </c>
      <c r="G3051" t="s">
        <v>3890</v>
      </c>
      <c r="H3051" t="s">
        <v>109</v>
      </c>
      <c r="I3051" t="s">
        <v>108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</row>
    <row r="3052" spans="2:30" x14ac:dyDescent="0.25">
      <c r="B3052" t="s">
        <v>133</v>
      </c>
      <c r="C3052" t="s">
        <v>3263</v>
      </c>
      <c r="D3052" t="s">
        <v>5306</v>
      </c>
      <c r="E3052" t="s">
        <v>5307</v>
      </c>
      <c r="F3052" t="s">
        <v>8889</v>
      </c>
      <c r="G3052" t="s">
        <v>3890</v>
      </c>
      <c r="H3052" t="s">
        <v>109</v>
      </c>
      <c r="I3052" t="s">
        <v>108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</row>
    <row r="3053" spans="2:30" x14ac:dyDescent="0.25">
      <c r="B3053" t="s">
        <v>133</v>
      </c>
      <c r="C3053" t="s">
        <v>3263</v>
      </c>
      <c r="D3053" t="s">
        <v>5309</v>
      </c>
      <c r="E3053" t="s">
        <v>5113</v>
      </c>
      <c r="F3053" t="s">
        <v>8827</v>
      </c>
      <c r="G3053" t="s">
        <v>3890</v>
      </c>
      <c r="H3053" t="s">
        <v>109</v>
      </c>
      <c r="I3053" t="s">
        <v>108</v>
      </c>
      <c r="J3053">
        <v>1</v>
      </c>
      <c r="K3053">
        <v>84652.786999999997</v>
      </c>
      <c r="L3053">
        <v>82605.210000000006</v>
      </c>
      <c r="M3053">
        <v>93076.263000000006</v>
      </c>
      <c r="N3053">
        <v>97660.903999999995</v>
      </c>
      <c r="O3053">
        <v>99883.266000000003</v>
      </c>
      <c r="P3053">
        <v>102725.504</v>
      </c>
      <c r="Q3053">
        <v>106869.443</v>
      </c>
      <c r="R3053">
        <v>111405.026</v>
      </c>
      <c r="S3053">
        <v>116204.06299999999</v>
      </c>
      <c r="T3053">
        <v>121509.573</v>
      </c>
      <c r="U3053">
        <v>127156.573</v>
      </c>
      <c r="V3053">
        <v>133223.60800000001</v>
      </c>
      <c r="W3053">
        <v>139695.67600000001</v>
      </c>
      <c r="X3053">
        <v>146629.91699999999</v>
      </c>
      <c r="Y3053">
        <v>154032.26300000001</v>
      </c>
      <c r="Z3053">
        <v>161993.68299999999</v>
      </c>
      <c r="AA3053">
        <v>170574.56899999999</v>
      </c>
      <c r="AB3053">
        <v>179860.70300000001</v>
      </c>
      <c r="AC3053">
        <v>189936.71599999999</v>
      </c>
      <c r="AD3053">
        <v>200456.03200000001</v>
      </c>
    </row>
    <row r="3054" spans="2:30" x14ac:dyDescent="0.25">
      <c r="B3054" t="s">
        <v>133</v>
      </c>
      <c r="C3054" t="s">
        <v>3263</v>
      </c>
      <c r="D3054" t="s">
        <v>5310</v>
      </c>
      <c r="E3054" t="s">
        <v>5116</v>
      </c>
      <c r="F3054" t="s">
        <v>8828</v>
      </c>
      <c r="G3054" t="s">
        <v>3890</v>
      </c>
      <c r="H3054" t="s">
        <v>109</v>
      </c>
      <c r="I3054" t="s">
        <v>108</v>
      </c>
      <c r="J3054">
        <v>1</v>
      </c>
      <c r="K3054">
        <v>1651.0930000000001</v>
      </c>
      <c r="L3054">
        <v>1545.134</v>
      </c>
      <c r="M3054">
        <v>1836.8230000000001</v>
      </c>
      <c r="N3054">
        <v>1975.171</v>
      </c>
      <c r="O3054">
        <v>2006.8579999999999</v>
      </c>
      <c r="P3054">
        <v>2038.454</v>
      </c>
      <c r="Q3054">
        <v>2090.7600000000002</v>
      </c>
      <c r="R3054">
        <v>2141.0300000000002</v>
      </c>
      <c r="S3054">
        <v>2188.41</v>
      </c>
      <c r="T3054">
        <v>2235.8040000000001</v>
      </c>
      <c r="U3054">
        <v>2278.1129999999998</v>
      </c>
      <c r="V3054">
        <v>2320.529</v>
      </c>
      <c r="W3054">
        <v>2363.0390000000002</v>
      </c>
      <c r="X3054">
        <v>2405.6320000000001</v>
      </c>
      <c r="Y3054">
        <v>2448.2950000000001</v>
      </c>
      <c r="Z3054">
        <v>2491.0169999999998</v>
      </c>
      <c r="AA3054">
        <v>2533.7860000000001</v>
      </c>
      <c r="AB3054">
        <v>2576.5909999999999</v>
      </c>
      <c r="AC3054">
        <v>2619.4189999999999</v>
      </c>
      <c r="AD3054">
        <v>2662.26</v>
      </c>
    </row>
    <row r="3055" spans="2:30" x14ac:dyDescent="0.25">
      <c r="B3055" t="s">
        <v>133</v>
      </c>
      <c r="C3055" t="s">
        <v>3263</v>
      </c>
      <c r="D3055" t="s">
        <v>5311</v>
      </c>
      <c r="E3055" t="s">
        <v>5119</v>
      </c>
      <c r="F3055" t="s">
        <v>8829</v>
      </c>
      <c r="G3055" t="s">
        <v>3890</v>
      </c>
      <c r="H3055" t="s">
        <v>109</v>
      </c>
      <c r="I3055" t="s">
        <v>108</v>
      </c>
      <c r="J3055">
        <v>1</v>
      </c>
      <c r="K3055">
        <v>42937.004999999997</v>
      </c>
      <c r="L3055">
        <v>39972.894</v>
      </c>
      <c r="M3055">
        <v>47161.006999999998</v>
      </c>
      <c r="N3055">
        <v>48233.921000000002</v>
      </c>
      <c r="O3055">
        <v>47663.53</v>
      </c>
      <c r="P3055">
        <v>47791.707000000002</v>
      </c>
      <c r="Q3055">
        <v>49275.875999999997</v>
      </c>
      <c r="R3055">
        <v>50896.870999999999</v>
      </c>
      <c r="S3055">
        <v>52355.53</v>
      </c>
      <c r="T3055">
        <v>53866.05</v>
      </c>
      <c r="U3055">
        <v>55465.29</v>
      </c>
      <c r="V3055">
        <v>57237.817999999999</v>
      </c>
      <c r="W3055">
        <v>59178.915000000001</v>
      </c>
      <c r="X3055">
        <v>61338.178999999996</v>
      </c>
      <c r="Y3055">
        <v>63721.038</v>
      </c>
      <c r="Z3055">
        <v>66384.278999999995</v>
      </c>
      <c r="AA3055">
        <v>69370.365999999995</v>
      </c>
      <c r="AB3055">
        <v>72742.676000000007</v>
      </c>
      <c r="AC3055">
        <v>76575.350000000006</v>
      </c>
      <c r="AD3055">
        <v>80433.002999999997</v>
      </c>
    </row>
    <row r="3056" spans="2:30" x14ac:dyDescent="0.25">
      <c r="B3056" t="s">
        <v>133</v>
      </c>
      <c r="C3056" t="s">
        <v>3263</v>
      </c>
      <c r="D3056" t="s">
        <v>5312</v>
      </c>
      <c r="E3056" t="s">
        <v>5122</v>
      </c>
      <c r="F3056" t="s">
        <v>8830</v>
      </c>
      <c r="G3056" t="s">
        <v>3890</v>
      </c>
      <c r="H3056" t="s">
        <v>109</v>
      </c>
      <c r="I3056" t="s">
        <v>108</v>
      </c>
      <c r="J3056">
        <v>1</v>
      </c>
      <c r="K3056">
        <v>7688.0550000000003</v>
      </c>
      <c r="L3056">
        <v>7382.1220000000003</v>
      </c>
      <c r="M3056">
        <v>7820.5169999999998</v>
      </c>
      <c r="N3056">
        <v>9963.2890000000007</v>
      </c>
      <c r="O3056">
        <v>9996.473</v>
      </c>
      <c r="P3056">
        <v>10040.493</v>
      </c>
      <c r="Q3056">
        <v>10104.35</v>
      </c>
      <c r="R3056">
        <v>10170.476000000001</v>
      </c>
      <c r="S3056">
        <v>10233.127</v>
      </c>
      <c r="T3056">
        <v>10301.992</v>
      </c>
      <c r="U3056">
        <v>10378.269</v>
      </c>
      <c r="V3056">
        <v>10461.94</v>
      </c>
      <c r="W3056">
        <v>10553.672</v>
      </c>
      <c r="X3056">
        <v>10653.630999999999</v>
      </c>
      <c r="Y3056">
        <v>10762.258</v>
      </c>
      <c r="Z3056">
        <v>10879.782999999999</v>
      </c>
      <c r="AA3056">
        <v>11006.638999999999</v>
      </c>
      <c r="AB3056">
        <v>11143.370999999999</v>
      </c>
      <c r="AC3056">
        <v>11290.245000000001</v>
      </c>
      <c r="AD3056">
        <v>11447.72</v>
      </c>
    </row>
    <row r="3057" spans="2:30" x14ac:dyDescent="0.25">
      <c r="B3057" t="s">
        <v>133</v>
      </c>
      <c r="C3057" t="s">
        <v>3263</v>
      </c>
      <c r="D3057" t="s">
        <v>5313</v>
      </c>
      <c r="E3057" t="s">
        <v>5125</v>
      </c>
      <c r="F3057" t="s">
        <v>8831</v>
      </c>
      <c r="G3057" t="s">
        <v>3890</v>
      </c>
      <c r="H3057" t="s">
        <v>109</v>
      </c>
      <c r="I3057" t="s">
        <v>108</v>
      </c>
      <c r="J3057">
        <v>1</v>
      </c>
      <c r="K3057">
        <v>7404.3140000000003</v>
      </c>
      <c r="L3057">
        <v>7147.93</v>
      </c>
      <c r="M3057">
        <v>7001.1750000000002</v>
      </c>
      <c r="N3057">
        <v>6753.6639999999998</v>
      </c>
      <c r="O3057">
        <v>6886.5370000000003</v>
      </c>
      <c r="P3057">
        <v>7548.8450000000003</v>
      </c>
      <c r="Q3057">
        <v>8264.5689999999995</v>
      </c>
      <c r="R3057">
        <v>9039.0759999999991</v>
      </c>
      <c r="S3057">
        <v>9962.8960000000006</v>
      </c>
      <c r="T3057">
        <v>11055</v>
      </c>
      <c r="U3057">
        <v>12234.907999999999</v>
      </c>
      <c r="V3057">
        <v>13496.285</v>
      </c>
      <c r="W3057">
        <v>14832.485000000001</v>
      </c>
      <c r="X3057">
        <v>16236.275</v>
      </c>
      <c r="Y3057">
        <v>17698.248</v>
      </c>
      <c r="Z3057">
        <v>19231.596000000001</v>
      </c>
      <c r="AA3057">
        <v>20833.882000000001</v>
      </c>
      <c r="AB3057">
        <v>22502.595000000001</v>
      </c>
      <c r="AC3057">
        <v>24236.026999999998</v>
      </c>
      <c r="AD3057">
        <v>26000.758999999998</v>
      </c>
    </row>
    <row r="3058" spans="2:30" x14ac:dyDescent="0.25">
      <c r="B3058" t="s">
        <v>133</v>
      </c>
      <c r="C3058" t="s">
        <v>3263</v>
      </c>
      <c r="D3058" t="s">
        <v>5314</v>
      </c>
      <c r="E3058" t="s">
        <v>5128</v>
      </c>
      <c r="F3058" t="s">
        <v>8832</v>
      </c>
      <c r="G3058" t="s">
        <v>3890</v>
      </c>
      <c r="H3058" t="s">
        <v>109</v>
      </c>
      <c r="I3058" t="s">
        <v>108</v>
      </c>
      <c r="J3058">
        <v>1</v>
      </c>
      <c r="K3058">
        <v>15214.834999999999</v>
      </c>
      <c r="L3058">
        <v>16168.272999999999</v>
      </c>
      <c r="M3058">
        <v>17468.254000000001</v>
      </c>
      <c r="N3058">
        <v>17210.601999999999</v>
      </c>
      <c r="O3058">
        <v>17931.196</v>
      </c>
      <c r="P3058">
        <v>19045.128000000001</v>
      </c>
      <c r="Q3058">
        <v>20275.214</v>
      </c>
      <c r="R3058">
        <v>21586.026999999998</v>
      </c>
      <c r="S3058">
        <v>23101.032999999999</v>
      </c>
      <c r="T3058">
        <v>24867.493999999999</v>
      </c>
      <c r="U3058">
        <v>26778.224999999999</v>
      </c>
      <c r="V3058">
        <v>28823.225999999999</v>
      </c>
      <c r="W3058">
        <v>30976.754000000001</v>
      </c>
      <c r="X3058">
        <v>33242.692000000003</v>
      </c>
      <c r="Y3058">
        <v>35613.048000000003</v>
      </c>
      <c r="Z3058">
        <v>38098.769</v>
      </c>
      <c r="AA3058">
        <v>40699.949999999997</v>
      </c>
      <c r="AB3058">
        <v>43420.855000000003</v>
      </c>
      <c r="AC3058">
        <v>46267.17</v>
      </c>
      <c r="AD3058">
        <v>49230.813000000002</v>
      </c>
    </row>
    <row r="3059" spans="2:30" x14ac:dyDescent="0.25">
      <c r="B3059" t="s">
        <v>133</v>
      </c>
      <c r="C3059" t="s">
        <v>3263</v>
      </c>
      <c r="D3059" t="s">
        <v>5315</v>
      </c>
      <c r="E3059" t="s">
        <v>5131</v>
      </c>
      <c r="F3059" t="s">
        <v>8833</v>
      </c>
      <c r="G3059" t="s">
        <v>3890</v>
      </c>
      <c r="H3059" t="s">
        <v>109</v>
      </c>
      <c r="I3059" t="s">
        <v>108</v>
      </c>
      <c r="J3059">
        <v>1</v>
      </c>
      <c r="K3059">
        <v>5389.2640000000001</v>
      </c>
      <c r="L3059">
        <v>6059.357</v>
      </c>
      <c r="M3059">
        <v>7304.8469999999998</v>
      </c>
      <c r="N3059">
        <v>7485.0290000000005</v>
      </c>
      <c r="O3059">
        <v>7660.826</v>
      </c>
      <c r="P3059">
        <v>7867.7740000000003</v>
      </c>
      <c r="Q3059">
        <v>8112.866</v>
      </c>
      <c r="R3059">
        <v>8347.6450000000004</v>
      </c>
      <c r="S3059">
        <v>8567.366</v>
      </c>
      <c r="T3059">
        <v>8788.9699999999993</v>
      </c>
      <c r="U3059">
        <v>9013.2360000000008</v>
      </c>
      <c r="V3059">
        <v>9240.1190000000006</v>
      </c>
      <c r="W3059">
        <v>9469.5740000000005</v>
      </c>
      <c r="X3059">
        <v>9701.5529999999999</v>
      </c>
      <c r="Y3059">
        <v>9936.0069999999996</v>
      </c>
      <c r="Z3059">
        <v>10172.888000000001</v>
      </c>
      <c r="AA3059">
        <v>10412.143</v>
      </c>
      <c r="AB3059">
        <v>10653.721</v>
      </c>
      <c r="AC3059">
        <v>10897.566999999999</v>
      </c>
      <c r="AD3059">
        <v>11143.626</v>
      </c>
    </row>
    <row r="3060" spans="2:30" x14ac:dyDescent="0.25">
      <c r="B3060" t="s">
        <v>133</v>
      </c>
      <c r="C3060" t="s">
        <v>3263</v>
      </c>
      <c r="D3060" t="s">
        <v>5316</v>
      </c>
      <c r="E3060" t="s">
        <v>5134</v>
      </c>
      <c r="F3060" t="s">
        <v>8834</v>
      </c>
      <c r="G3060" t="s">
        <v>3890</v>
      </c>
      <c r="H3060" t="s">
        <v>109</v>
      </c>
      <c r="I3060" t="s">
        <v>108</v>
      </c>
      <c r="J3060">
        <v>1</v>
      </c>
      <c r="K3060">
        <v>659.322</v>
      </c>
      <c r="L3060">
        <v>771.90700000000004</v>
      </c>
      <c r="M3060">
        <v>857.73800000000006</v>
      </c>
      <c r="N3060">
        <v>889.11699999999996</v>
      </c>
      <c r="O3060">
        <v>920.298</v>
      </c>
      <c r="P3060">
        <v>957.94299999999998</v>
      </c>
      <c r="Q3060">
        <v>1003.823</v>
      </c>
      <c r="R3060">
        <v>1048.83</v>
      </c>
      <c r="S3060">
        <v>1091.8589999999999</v>
      </c>
      <c r="T3060">
        <v>1136.079</v>
      </c>
      <c r="U3060">
        <v>1181.4929999999999</v>
      </c>
      <c r="V3060">
        <v>1228.1030000000001</v>
      </c>
      <c r="W3060">
        <v>1275.9059999999999</v>
      </c>
      <c r="X3060">
        <v>1324.8989999999999</v>
      </c>
      <c r="Y3060">
        <v>1375.079</v>
      </c>
      <c r="Z3060">
        <v>1426.4359999999999</v>
      </c>
      <c r="AA3060">
        <v>1478.963</v>
      </c>
      <c r="AB3060">
        <v>1532.6469999999999</v>
      </c>
      <c r="AC3060">
        <v>1587.4749999999999</v>
      </c>
      <c r="AD3060">
        <v>1643.43</v>
      </c>
    </row>
    <row r="3061" spans="2:30" x14ac:dyDescent="0.25">
      <c r="B3061" t="s">
        <v>133</v>
      </c>
      <c r="C3061" t="s">
        <v>3263</v>
      </c>
      <c r="D3061" t="s">
        <v>5317</v>
      </c>
      <c r="E3061" t="s">
        <v>5143</v>
      </c>
      <c r="F3061" t="s">
        <v>8837</v>
      </c>
      <c r="G3061" t="s">
        <v>3890</v>
      </c>
      <c r="H3061" t="s">
        <v>109</v>
      </c>
      <c r="I3061" t="s">
        <v>108</v>
      </c>
      <c r="J3061">
        <v>1</v>
      </c>
      <c r="K3061">
        <v>1529.27</v>
      </c>
      <c r="L3061">
        <v>1206.73</v>
      </c>
      <c r="M3061">
        <v>1313.405</v>
      </c>
      <c r="N3061">
        <v>1308.827</v>
      </c>
      <c r="O3061">
        <v>1304.2660000000001</v>
      </c>
      <c r="P3061">
        <v>1299.72</v>
      </c>
      <c r="Q3061">
        <v>1295.19</v>
      </c>
      <c r="R3061">
        <v>1290.6759999999999</v>
      </c>
      <c r="S3061">
        <v>1286.1780000000001</v>
      </c>
      <c r="T3061">
        <v>1281.6949999999999</v>
      </c>
      <c r="U3061">
        <v>1277.2280000000001</v>
      </c>
      <c r="V3061">
        <v>1272.777</v>
      </c>
      <c r="W3061">
        <v>1268.3409999999999</v>
      </c>
      <c r="X3061">
        <v>1263.921</v>
      </c>
      <c r="Y3061">
        <v>1259.5160000000001</v>
      </c>
      <c r="Z3061">
        <v>1255.126</v>
      </c>
      <c r="AA3061">
        <v>1250.752</v>
      </c>
      <c r="AB3061">
        <v>1246.393</v>
      </c>
      <c r="AC3061">
        <v>1242.049</v>
      </c>
      <c r="AD3061">
        <v>1237.72</v>
      </c>
    </row>
    <row r="3062" spans="2:30" x14ac:dyDescent="0.25">
      <c r="B3062" t="s">
        <v>133</v>
      </c>
      <c r="C3062" t="s">
        <v>3263</v>
      </c>
      <c r="D3062" t="s">
        <v>5318</v>
      </c>
      <c r="E3062" t="s">
        <v>5319</v>
      </c>
      <c r="F3062" t="s">
        <v>8890</v>
      </c>
      <c r="G3062" t="s">
        <v>3890</v>
      </c>
      <c r="H3062" t="s">
        <v>109</v>
      </c>
      <c r="I3062" t="s">
        <v>108</v>
      </c>
      <c r="J3062">
        <v>1</v>
      </c>
      <c r="K3062">
        <v>2179.63</v>
      </c>
      <c r="L3062">
        <v>2350.8629999999998</v>
      </c>
      <c r="M3062">
        <v>2312.4969999999998</v>
      </c>
      <c r="N3062">
        <v>3841.2840000000001</v>
      </c>
      <c r="O3062">
        <v>5513.2820000000002</v>
      </c>
      <c r="P3062">
        <v>6135.44</v>
      </c>
      <c r="Q3062">
        <v>6446.7960000000003</v>
      </c>
      <c r="R3062">
        <v>6884.393</v>
      </c>
      <c r="S3062">
        <v>7417.6629999999996</v>
      </c>
      <c r="T3062">
        <v>7976.4889999999996</v>
      </c>
      <c r="U3062">
        <v>8549.81</v>
      </c>
      <c r="V3062">
        <v>9142.8109999999997</v>
      </c>
      <c r="W3062">
        <v>9776.9889999999996</v>
      </c>
      <c r="X3062">
        <v>10463.136</v>
      </c>
      <c r="Y3062">
        <v>11218.773999999999</v>
      </c>
      <c r="Z3062">
        <v>12053.789000000001</v>
      </c>
      <c r="AA3062">
        <v>12988.088</v>
      </c>
      <c r="AB3062">
        <v>14041.853999999999</v>
      </c>
      <c r="AC3062">
        <v>15221.414000000001</v>
      </c>
      <c r="AD3062">
        <v>16656.702000000001</v>
      </c>
    </row>
    <row r="3063" spans="2:30" x14ac:dyDescent="0.25">
      <c r="B3063" t="s">
        <v>133</v>
      </c>
      <c r="C3063" t="s">
        <v>3263</v>
      </c>
      <c r="D3063" t="s">
        <v>5321</v>
      </c>
      <c r="E3063" t="s">
        <v>5149</v>
      </c>
      <c r="F3063" t="s">
        <v>8839</v>
      </c>
      <c r="G3063" t="s">
        <v>3890</v>
      </c>
      <c r="H3063" t="s">
        <v>109</v>
      </c>
      <c r="I3063" t="s">
        <v>108</v>
      </c>
      <c r="J3063">
        <v>1</v>
      </c>
      <c r="K3063">
        <v>1651.0930000000001</v>
      </c>
      <c r="L3063">
        <v>1545.134</v>
      </c>
      <c r="M3063">
        <v>1836.8230000000001</v>
      </c>
      <c r="N3063">
        <v>1975.171</v>
      </c>
      <c r="O3063">
        <v>1858.819</v>
      </c>
      <c r="P3063">
        <v>1837.354</v>
      </c>
      <c r="Q3063">
        <v>1834.204</v>
      </c>
      <c r="R3063">
        <v>1830.038</v>
      </c>
      <c r="S3063">
        <v>1823.9570000000001</v>
      </c>
      <c r="T3063">
        <v>1818.73</v>
      </c>
      <c r="U3063">
        <v>1811.626</v>
      </c>
      <c r="V3063">
        <v>1805.684</v>
      </c>
      <c r="W3063">
        <v>1800.8530000000001</v>
      </c>
      <c r="X3063">
        <v>1797.163</v>
      </c>
      <c r="Y3063">
        <v>1794.4839999999999</v>
      </c>
      <c r="Z3063">
        <v>1792.779</v>
      </c>
      <c r="AA3063">
        <v>1791.9380000000001</v>
      </c>
      <c r="AB3063">
        <v>1791.924</v>
      </c>
      <c r="AC3063">
        <v>1792.6949999999999</v>
      </c>
      <c r="AD3063">
        <v>1794.181</v>
      </c>
    </row>
    <row r="3064" spans="2:30" x14ac:dyDescent="0.25">
      <c r="B3064" t="s">
        <v>133</v>
      </c>
      <c r="C3064" t="s">
        <v>3263</v>
      </c>
      <c r="D3064" t="s">
        <v>5322</v>
      </c>
      <c r="E3064" t="s">
        <v>5323</v>
      </c>
      <c r="F3064" t="s">
        <v>8891</v>
      </c>
      <c r="G3064" t="s">
        <v>3890</v>
      </c>
      <c r="H3064" t="s">
        <v>109</v>
      </c>
      <c r="I3064" t="s">
        <v>108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</row>
    <row r="3065" spans="2:30" x14ac:dyDescent="0.25">
      <c r="B3065" t="s">
        <v>133</v>
      </c>
      <c r="C3065" t="s">
        <v>3263</v>
      </c>
      <c r="D3065" t="s">
        <v>5325</v>
      </c>
      <c r="E3065" t="s">
        <v>5326</v>
      </c>
      <c r="F3065" t="s">
        <v>8892</v>
      </c>
      <c r="G3065" t="s">
        <v>3890</v>
      </c>
      <c r="H3065" t="s">
        <v>109</v>
      </c>
      <c r="I3065" t="s">
        <v>108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</row>
    <row r="3066" spans="2:30" x14ac:dyDescent="0.25">
      <c r="B3066" t="s">
        <v>133</v>
      </c>
      <c r="C3066" t="s">
        <v>3263</v>
      </c>
      <c r="D3066" t="s">
        <v>5328</v>
      </c>
      <c r="E3066" t="s">
        <v>5329</v>
      </c>
      <c r="F3066" t="s">
        <v>8893</v>
      </c>
      <c r="G3066" t="s">
        <v>3890</v>
      </c>
      <c r="H3066" t="s">
        <v>109</v>
      </c>
      <c r="I3066" t="s">
        <v>108</v>
      </c>
      <c r="J3066">
        <v>1</v>
      </c>
      <c r="K3066">
        <v>1.6379999999999999</v>
      </c>
      <c r="L3066">
        <v>1.6379999999999999</v>
      </c>
      <c r="M3066">
        <v>1.8740000000000001</v>
      </c>
      <c r="N3066">
        <v>1.978</v>
      </c>
      <c r="O3066">
        <v>1.994</v>
      </c>
      <c r="P3066">
        <v>2.008</v>
      </c>
      <c r="Q3066">
        <v>2.0369999999999999</v>
      </c>
      <c r="R3066">
        <v>2.0640000000000001</v>
      </c>
      <c r="S3066">
        <v>2.09</v>
      </c>
      <c r="T3066">
        <v>2.1150000000000002</v>
      </c>
      <c r="U3066">
        <v>2.1360000000000001</v>
      </c>
      <c r="V3066">
        <v>2.157</v>
      </c>
      <c r="W3066">
        <v>2.177</v>
      </c>
      <c r="X3066">
        <v>2.198</v>
      </c>
      <c r="Y3066">
        <v>2.2189999999999999</v>
      </c>
      <c r="Z3066">
        <v>2.2400000000000002</v>
      </c>
      <c r="AA3066">
        <v>2.2610000000000001</v>
      </c>
      <c r="AB3066">
        <v>2.282</v>
      </c>
      <c r="AC3066">
        <v>2.3039999999999998</v>
      </c>
      <c r="AD3066">
        <v>2.3250000000000002</v>
      </c>
    </row>
    <row r="3067" spans="2:30" x14ac:dyDescent="0.25">
      <c r="B3067" t="s">
        <v>133</v>
      </c>
      <c r="C3067" t="s">
        <v>3263</v>
      </c>
      <c r="D3067" t="s">
        <v>5331</v>
      </c>
      <c r="E3067" t="s">
        <v>5332</v>
      </c>
      <c r="F3067" t="s">
        <v>8894</v>
      </c>
      <c r="G3067" t="s">
        <v>3890</v>
      </c>
      <c r="H3067" t="s">
        <v>109</v>
      </c>
      <c r="I3067" t="s">
        <v>108</v>
      </c>
      <c r="J3067">
        <v>2</v>
      </c>
      <c r="K3067">
        <v>1649.4549999999999</v>
      </c>
      <c r="L3067">
        <v>1543.4960000000001</v>
      </c>
      <c r="M3067">
        <v>1834.9490000000001</v>
      </c>
      <c r="N3067">
        <v>1973.192</v>
      </c>
      <c r="O3067">
        <v>1856.825</v>
      </c>
      <c r="P3067">
        <v>1835.346</v>
      </c>
      <c r="Q3067">
        <v>1832.1669999999999</v>
      </c>
      <c r="R3067">
        <v>1827.9739999999999</v>
      </c>
      <c r="S3067">
        <v>1821.867</v>
      </c>
      <c r="T3067">
        <v>1816.615</v>
      </c>
      <c r="U3067">
        <v>1809.49</v>
      </c>
      <c r="V3067">
        <v>1803.527</v>
      </c>
      <c r="W3067">
        <v>1798.6759999999999</v>
      </c>
      <c r="X3067">
        <v>1794.9649999999999</v>
      </c>
      <c r="Y3067">
        <v>1792.2650000000001</v>
      </c>
      <c r="Z3067">
        <v>1790.539</v>
      </c>
      <c r="AA3067">
        <v>1789.6769999999999</v>
      </c>
      <c r="AB3067">
        <v>1789.6410000000001</v>
      </c>
      <c r="AC3067">
        <v>1790.3910000000001</v>
      </c>
      <c r="AD3067">
        <v>1791.857</v>
      </c>
    </row>
    <row r="3068" spans="2:30" x14ac:dyDescent="0.25">
      <c r="B3068" t="s">
        <v>133</v>
      </c>
      <c r="C3068" t="s">
        <v>3263</v>
      </c>
      <c r="D3068" t="s">
        <v>5334</v>
      </c>
      <c r="E3068" t="s">
        <v>5335</v>
      </c>
      <c r="F3068" t="s">
        <v>8895</v>
      </c>
      <c r="G3068" t="s">
        <v>3890</v>
      </c>
      <c r="H3068" t="s">
        <v>109</v>
      </c>
      <c r="I3068" t="s">
        <v>108</v>
      </c>
      <c r="J3068">
        <v>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</row>
    <row r="3069" spans="2:30" x14ac:dyDescent="0.25">
      <c r="B3069" t="s">
        <v>133</v>
      </c>
      <c r="C3069" t="s">
        <v>3263</v>
      </c>
      <c r="D3069" t="s">
        <v>5337</v>
      </c>
      <c r="E3069" t="s">
        <v>5152</v>
      </c>
      <c r="F3069" t="s">
        <v>8840</v>
      </c>
      <c r="G3069" t="s">
        <v>3890</v>
      </c>
      <c r="H3069" t="s">
        <v>109</v>
      </c>
      <c r="I3069" t="s">
        <v>108</v>
      </c>
      <c r="J3069">
        <v>2</v>
      </c>
      <c r="K3069">
        <v>42937.004999999997</v>
      </c>
      <c r="L3069">
        <v>39973.512999999999</v>
      </c>
      <c r="M3069">
        <v>47161.608</v>
      </c>
      <c r="N3069">
        <v>48234.506000000001</v>
      </c>
      <c r="O3069">
        <v>46904.281000000003</v>
      </c>
      <c r="P3069">
        <v>46459.453000000001</v>
      </c>
      <c r="Q3069">
        <v>47694.733</v>
      </c>
      <c r="R3069">
        <v>48945.25</v>
      </c>
      <c r="S3069">
        <v>50097.578999999998</v>
      </c>
      <c r="T3069">
        <v>51259.451000000001</v>
      </c>
      <c r="U3069">
        <v>52494.752</v>
      </c>
      <c r="V3069">
        <v>53911.951999999997</v>
      </c>
      <c r="W3069">
        <v>55520.023999999998</v>
      </c>
      <c r="X3069">
        <v>57372.927000000003</v>
      </c>
      <c r="Y3069">
        <v>59471.927000000003</v>
      </c>
      <c r="Z3069">
        <v>61885.620999999999</v>
      </c>
      <c r="AA3069">
        <v>64651.705000000002</v>
      </c>
      <c r="AB3069">
        <v>67880.379000000001</v>
      </c>
      <c r="AC3069">
        <v>71409.305999999997</v>
      </c>
      <c r="AD3069">
        <v>74965.040999999997</v>
      </c>
    </row>
    <row r="3070" spans="2:30" x14ac:dyDescent="0.25">
      <c r="B3070" t="s">
        <v>133</v>
      </c>
      <c r="C3070" t="s">
        <v>3263</v>
      </c>
      <c r="D3070" t="s">
        <v>5338</v>
      </c>
      <c r="E3070" t="s">
        <v>5339</v>
      </c>
      <c r="F3070" t="s">
        <v>8896</v>
      </c>
      <c r="G3070" t="s">
        <v>3890</v>
      </c>
      <c r="H3070" t="s">
        <v>109</v>
      </c>
      <c r="I3070" t="s">
        <v>108</v>
      </c>
      <c r="J3070">
        <v>2</v>
      </c>
      <c r="K3070">
        <v>29443.696</v>
      </c>
      <c r="L3070">
        <v>28006.49</v>
      </c>
      <c r="M3070">
        <v>33519.675999999999</v>
      </c>
      <c r="N3070">
        <v>34177.256999999998</v>
      </c>
      <c r="O3070">
        <v>33187.22</v>
      </c>
      <c r="P3070">
        <v>32505.562000000002</v>
      </c>
      <c r="Q3070">
        <v>33414.875999999997</v>
      </c>
      <c r="R3070">
        <v>34358.900999999998</v>
      </c>
      <c r="S3070">
        <v>35230.639000000003</v>
      </c>
      <c r="T3070">
        <v>36095.339999999997</v>
      </c>
      <c r="U3070">
        <v>37020.298000000003</v>
      </c>
      <c r="V3070">
        <v>38114.523999999998</v>
      </c>
      <c r="W3070">
        <v>39386.695</v>
      </c>
      <c r="X3070">
        <v>40889.379000000001</v>
      </c>
      <c r="Y3070">
        <v>42625.038</v>
      </c>
      <c r="Z3070">
        <v>44660.625999999997</v>
      </c>
      <c r="AA3070">
        <v>47034.552000000003</v>
      </c>
      <c r="AB3070">
        <v>49856.714</v>
      </c>
      <c r="AC3070">
        <v>52964.506999999998</v>
      </c>
      <c r="AD3070">
        <v>56086.819000000003</v>
      </c>
    </row>
    <row r="3071" spans="2:30" x14ac:dyDescent="0.25">
      <c r="B3071" t="s">
        <v>133</v>
      </c>
      <c r="C3071" t="s">
        <v>3263</v>
      </c>
      <c r="D3071" t="s">
        <v>5341</v>
      </c>
      <c r="E3071" t="s">
        <v>5342</v>
      </c>
      <c r="F3071" t="s">
        <v>8897</v>
      </c>
      <c r="G3071" t="s">
        <v>3890</v>
      </c>
      <c r="H3071" t="s">
        <v>109</v>
      </c>
      <c r="I3071" t="s">
        <v>108</v>
      </c>
      <c r="J3071">
        <v>2</v>
      </c>
      <c r="K3071">
        <v>495.238</v>
      </c>
      <c r="L3071">
        <v>484.52</v>
      </c>
      <c r="M3071">
        <v>472.24900000000002</v>
      </c>
      <c r="N3071">
        <v>454.66399999999999</v>
      </c>
      <c r="O3071">
        <v>464.01499999999999</v>
      </c>
      <c r="P3071">
        <v>509.71</v>
      </c>
      <c r="Q3071">
        <v>559.66700000000003</v>
      </c>
      <c r="R3071">
        <v>614.03399999999999</v>
      </c>
      <c r="S3071">
        <v>678.74699999999996</v>
      </c>
      <c r="T3071">
        <v>755.05200000000002</v>
      </c>
      <c r="U3071">
        <v>837.49400000000003</v>
      </c>
      <c r="V3071">
        <v>925.697</v>
      </c>
      <c r="W3071">
        <v>1019.207</v>
      </c>
      <c r="X3071">
        <v>1117.607</v>
      </c>
      <c r="Y3071">
        <v>1220.306</v>
      </c>
      <c r="Z3071">
        <v>1328.309</v>
      </c>
      <c r="AA3071">
        <v>1441.4860000000001</v>
      </c>
      <c r="AB3071">
        <v>1559.723</v>
      </c>
      <c r="AC3071">
        <v>1682.982</v>
      </c>
      <c r="AD3071">
        <v>1809.1769999999999</v>
      </c>
    </row>
    <row r="3072" spans="2:30" x14ac:dyDescent="0.25">
      <c r="B3072" t="s">
        <v>133</v>
      </c>
      <c r="C3072" t="s">
        <v>3263</v>
      </c>
      <c r="D3072" t="s">
        <v>5344</v>
      </c>
      <c r="E3072" t="s">
        <v>5345</v>
      </c>
      <c r="F3072" t="s">
        <v>8898</v>
      </c>
      <c r="G3072" t="s">
        <v>3890</v>
      </c>
      <c r="H3072" t="s">
        <v>109</v>
      </c>
      <c r="I3072" t="s">
        <v>108</v>
      </c>
      <c r="J3072">
        <v>2</v>
      </c>
      <c r="K3072">
        <v>1921.182</v>
      </c>
      <c r="L3072">
        <v>1978.2729999999999</v>
      </c>
      <c r="M3072">
        <v>2706.33</v>
      </c>
      <c r="N3072">
        <v>2725.7469999999998</v>
      </c>
      <c r="O3072">
        <v>2743.748</v>
      </c>
      <c r="P3072">
        <v>2766.3910000000001</v>
      </c>
      <c r="Q3072">
        <v>2794.2579999999998</v>
      </c>
      <c r="R3072">
        <v>2819.5279999999998</v>
      </c>
      <c r="S3072">
        <v>2841.4319999999998</v>
      </c>
      <c r="T3072">
        <v>2862.9290000000001</v>
      </c>
      <c r="U3072">
        <v>2884.1819999999998</v>
      </c>
      <c r="V3072">
        <v>2905.1970000000001</v>
      </c>
      <c r="W3072">
        <v>2926.0369999999998</v>
      </c>
      <c r="X3072">
        <v>2946.8319999999999</v>
      </c>
      <c r="Y3072">
        <v>2967.5459999999998</v>
      </c>
      <c r="Z3072">
        <v>2988.2240000000002</v>
      </c>
      <c r="AA3072">
        <v>3008.828</v>
      </c>
      <c r="AB3072">
        <v>3029.386</v>
      </c>
      <c r="AC3072">
        <v>3049.9140000000002</v>
      </c>
      <c r="AD3072">
        <v>3070.3939999999998</v>
      </c>
    </row>
    <row r="3073" spans="2:30" x14ac:dyDescent="0.25">
      <c r="B3073" t="s">
        <v>133</v>
      </c>
      <c r="C3073" t="s">
        <v>3263</v>
      </c>
      <c r="D3073" t="s">
        <v>5347</v>
      </c>
      <c r="E3073" t="s">
        <v>5348</v>
      </c>
      <c r="F3073" t="s">
        <v>8899</v>
      </c>
      <c r="G3073" t="s">
        <v>3890</v>
      </c>
      <c r="H3073" t="s">
        <v>109</v>
      </c>
      <c r="I3073" t="s">
        <v>108</v>
      </c>
      <c r="J3073">
        <v>2</v>
      </c>
      <c r="K3073">
        <v>11076.89</v>
      </c>
      <c r="L3073">
        <v>9504.23</v>
      </c>
      <c r="M3073">
        <v>10463.352999999999</v>
      </c>
      <c r="N3073">
        <v>10876.838</v>
      </c>
      <c r="O3073">
        <v>10509.299000000001</v>
      </c>
      <c r="P3073">
        <v>10677.79</v>
      </c>
      <c r="Q3073">
        <v>10925.932000000001</v>
      </c>
      <c r="R3073">
        <v>11152.787</v>
      </c>
      <c r="S3073">
        <v>11346.761</v>
      </c>
      <c r="T3073">
        <v>11546.130999999999</v>
      </c>
      <c r="U3073">
        <v>11752.778</v>
      </c>
      <c r="V3073">
        <v>11966.532999999999</v>
      </c>
      <c r="W3073">
        <v>12188.084999999999</v>
      </c>
      <c r="X3073">
        <v>12419.108</v>
      </c>
      <c r="Y3073">
        <v>12659.037</v>
      </c>
      <c r="Z3073">
        <v>12908.462</v>
      </c>
      <c r="AA3073">
        <v>13166.839</v>
      </c>
      <c r="AB3073">
        <v>13434.556</v>
      </c>
      <c r="AC3073">
        <v>13711.903</v>
      </c>
      <c r="AD3073">
        <v>13998.651</v>
      </c>
    </row>
    <row r="3074" spans="2:30" x14ac:dyDescent="0.25">
      <c r="B3074" t="s">
        <v>133</v>
      </c>
      <c r="C3074" t="s">
        <v>3263</v>
      </c>
      <c r="D3074" t="s">
        <v>5350</v>
      </c>
      <c r="E3074" t="s">
        <v>5351</v>
      </c>
      <c r="F3074" t="s">
        <v>8900</v>
      </c>
      <c r="G3074" t="s">
        <v>3890</v>
      </c>
      <c r="H3074" t="s">
        <v>109</v>
      </c>
      <c r="I3074" t="s">
        <v>108</v>
      </c>
      <c r="J3074">
        <v>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</row>
    <row r="3075" spans="2:30" x14ac:dyDescent="0.25">
      <c r="B3075" t="s">
        <v>133</v>
      </c>
      <c r="C3075" t="s">
        <v>3263</v>
      </c>
      <c r="D3075" t="s">
        <v>5353</v>
      </c>
      <c r="E3075" t="s">
        <v>5158</v>
      </c>
      <c r="F3075" t="s">
        <v>8842</v>
      </c>
      <c r="G3075" t="s">
        <v>3890</v>
      </c>
      <c r="H3075" t="s">
        <v>109</v>
      </c>
      <c r="I3075" t="s">
        <v>108</v>
      </c>
      <c r="J3075">
        <v>2</v>
      </c>
      <c r="K3075">
        <v>7404.3140000000003</v>
      </c>
      <c r="L3075">
        <v>7147.93</v>
      </c>
      <c r="M3075">
        <v>7001.1750000000002</v>
      </c>
      <c r="N3075">
        <v>6753.6639999999998</v>
      </c>
      <c r="O3075">
        <v>6690.6679999999997</v>
      </c>
      <c r="P3075">
        <v>7245.152</v>
      </c>
      <c r="Q3075">
        <v>7834.6719999999996</v>
      </c>
      <c r="R3075">
        <v>8461.9789999999994</v>
      </c>
      <c r="S3075">
        <v>9207.9660000000003</v>
      </c>
      <c r="T3075">
        <v>10083.465</v>
      </c>
      <c r="U3075">
        <v>11009.638999999999</v>
      </c>
      <c r="V3075">
        <v>11978.661</v>
      </c>
      <c r="W3075">
        <v>12983.132</v>
      </c>
      <c r="X3075">
        <v>14015.950999999999</v>
      </c>
      <c r="Y3075">
        <v>15068.311</v>
      </c>
      <c r="Z3075">
        <v>16151.061</v>
      </c>
      <c r="AA3075">
        <v>17260.972000000002</v>
      </c>
      <c r="AB3075">
        <v>18395.185000000001</v>
      </c>
      <c r="AC3075">
        <v>19551.881000000001</v>
      </c>
      <c r="AD3075">
        <v>20704.703000000001</v>
      </c>
    </row>
    <row r="3076" spans="2:30" x14ac:dyDescent="0.25">
      <c r="B3076" t="s">
        <v>133</v>
      </c>
      <c r="C3076" t="s">
        <v>3263</v>
      </c>
      <c r="D3076" t="s">
        <v>5354</v>
      </c>
      <c r="E3076" t="s">
        <v>5355</v>
      </c>
      <c r="F3076" t="s">
        <v>8901</v>
      </c>
      <c r="G3076" t="s">
        <v>3890</v>
      </c>
      <c r="H3076" t="s">
        <v>109</v>
      </c>
      <c r="I3076" t="s">
        <v>108</v>
      </c>
      <c r="J3076">
        <v>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</row>
    <row r="3077" spans="2:30" x14ac:dyDescent="0.25">
      <c r="B3077" t="s">
        <v>133</v>
      </c>
      <c r="C3077" t="s">
        <v>3263</v>
      </c>
      <c r="D3077" t="s">
        <v>5357</v>
      </c>
      <c r="E3077" t="s">
        <v>5358</v>
      </c>
      <c r="F3077" t="s">
        <v>8902</v>
      </c>
      <c r="G3077" t="s">
        <v>3890</v>
      </c>
      <c r="H3077" t="s">
        <v>109</v>
      </c>
      <c r="I3077" t="s">
        <v>108</v>
      </c>
      <c r="J3077">
        <v>2</v>
      </c>
      <c r="K3077">
        <v>7404.3140000000003</v>
      </c>
      <c r="L3077">
        <v>7147.93</v>
      </c>
      <c r="M3077">
        <v>7001.1750000000002</v>
      </c>
      <c r="N3077">
        <v>6753.6639999999998</v>
      </c>
      <c r="O3077">
        <v>6690.6679999999997</v>
      </c>
      <c r="P3077">
        <v>7245.152</v>
      </c>
      <c r="Q3077">
        <v>7834.6719999999996</v>
      </c>
      <c r="R3077">
        <v>8461.9789999999994</v>
      </c>
      <c r="S3077">
        <v>9207.9660000000003</v>
      </c>
      <c r="T3077">
        <v>10083.465</v>
      </c>
      <c r="U3077">
        <v>11009.638999999999</v>
      </c>
      <c r="V3077">
        <v>11978.661</v>
      </c>
      <c r="W3077">
        <v>12983.132</v>
      </c>
      <c r="X3077">
        <v>14015.950999999999</v>
      </c>
      <c r="Y3077">
        <v>15068.311</v>
      </c>
      <c r="Z3077">
        <v>16151.061</v>
      </c>
      <c r="AA3077">
        <v>17260.972000000002</v>
      </c>
      <c r="AB3077">
        <v>18395.185000000001</v>
      </c>
      <c r="AC3077">
        <v>19551.881000000001</v>
      </c>
      <c r="AD3077">
        <v>20704.703000000001</v>
      </c>
    </row>
    <row r="3078" spans="2:30" x14ac:dyDescent="0.25">
      <c r="B3078" t="s">
        <v>133</v>
      </c>
      <c r="C3078" t="s">
        <v>3263</v>
      </c>
      <c r="D3078" t="s">
        <v>5360</v>
      </c>
      <c r="E3078" t="s">
        <v>5361</v>
      </c>
      <c r="F3078" t="s">
        <v>8903</v>
      </c>
      <c r="G3078" t="s">
        <v>3890</v>
      </c>
      <c r="H3078" t="s">
        <v>109</v>
      </c>
      <c r="I3078" t="s">
        <v>108</v>
      </c>
      <c r="J3078">
        <v>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</row>
    <row r="3079" spans="2:30" x14ac:dyDescent="0.25">
      <c r="B3079" t="s">
        <v>133</v>
      </c>
      <c r="C3079" t="s">
        <v>3263</v>
      </c>
      <c r="D3079" t="s">
        <v>5363</v>
      </c>
      <c r="E3079" t="s">
        <v>5364</v>
      </c>
      <c r="F3079" t="s">
        <v>8904</v>
      </c>
      <c r="G3079" t="s">
        <v>3890</v>
      </c>
      <c r="H3079" t="s">
        <v>109</v>
      </c>
      <c r="I3079" t="s">
        <v>108</v>
      </c>
      <c r="J3079">
        <v>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</row>
    <row r="3080" spans="2:30" x14ac:dyDescent="0.25">
      <c r="B3080" t="s">
        <v>133</v>
      </c>
      <c r="C3080" t="s">
        <v>3263</v>
      </c>
      <c r="D3080" t="s">
        <v>5366</v>
      </c>
      <c r="E3080" t="s">
        <v>5367</v>
      </c>
      <c r="F3080" t="s">
        <v>8905</v>
      </c>
      <c r="G3080" t="s">
        <v>3890</v>
      </c>
      <c r="H3080" t="s">
        <v>109</v>
      </c>
      <c r="I3080" t="s">
        <v>108</v>
      </c>
      <c r="J3080">
        <v>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</row>
    <row r="3081" spans="2:30" x14ac:dyDescent="0.25">
      <c r="B3081" t="s">
        <v>133</v>
      </c>
      <c r="C3081" t="s">
        <v>3263</v>
      </c>
      <c r="D3081" t="s">
        <v>5369</v>
      </c>
      <c r="E3081" t="s">
        <v>5161</v>
      </c>
      <c r="F3081" t="s">
        <v>8843</v>
      </c>
      <c r="G3081" t="s">
        <v>3890</v>
      </c>
      <c r="H3081" t="s">
        <v>109</v>
      </c>
      <c r="I3081" t="s">
        <v>108</v>
      </c>
      <c r="J3081">
        <v>2</v>
      </c>
      <c r="K3081">
        <v>15214.834999999999</v>
      </c>
      <c r="L3081">
        <v>16168.272999999999</v>
      </c>
      <c r="M3081">
        <v>17468.254000000001</v>
      </c>
      <c r="N3081">
        <v>17210.601999999999</v>
      </c>
      <c r="O3081">
        <v>17462.740000000002</v>
      </c>
      <c r="P3081">
        <v>18342.21</v>
      </c>
      <c r="Q3081">
        <v>19307.100999999999</v>
      </c>
      <c r="R3081">
        <v>20320.201000000001</v>
      </c>
      <c r="S3081">
        <v>21488.651000000002</v>
      </c>
      <c r="T3081">
        <v>22846.468000000001</v>
      </c>
      <c r="U3081">
        <v>24287.043000000001</v>
      </c>
      <c r="V3081">
        <v>25792.311000000002</v>
      </c>
      <c r="W3081">
        <v>27330.758000000002</v>
      </c>
      <c r="X3081">
        <v>28907.727999999999</v>
      </c>
      <c r="Y3081">
        <v>30516.598000000002</v>
      </c>
      <c r="Z3081">
        <v>32167.239000000001</v>
      </c>
      <c r="AA3081">
        <v>33859.839999999997</v>
      </c>
      <c r="AB3081">
        <v>35598.370000000003</v>
      </c>
      <c r="AC3081">
        <v>37387.214999999997</v>
      </c>
      <c r="AD3081">
        <v>39220.491999999998</v>
      </c>
    </row>
    <row r="3082" spans="2:30" x14ac:dyDescent="0.25">
      <c r="B3082" t="s">
        <v>133</v>
      </c>
      <c r="C3082" t="s">
        <v>3263</v>
      </c>
      <c r="D3082" t="s">
        <v>5370</v>
      </c>
      <c r="E3082" t="s">
        <v>5371</v>
      </c>
      <c r="F3082" t="s">
        <v>8906</v>
      </c>
      <c r="G3082" t="s">
        <v>3890</v>
      </c>
      <c r="H3082" t="s">
        <v>109</v>
      </c>
      <c r="I3082" t="s">
        <v>108</v>
      </c>
      <c r="J3082">
        <v>2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</row>
    <row r="3083" spans="2:30" x14ac:dyDescent="0.25">
      <c r="B3083" t="s">
        <v>133</v>
      </c>
      <c r="C3083" t="s">
        <v>3263</v>
      </c>
      <c r="D3083" t="s">
        <v>5373</v>
      </c>
      <c r="E3083" t="s">
        <v>5374</v>
      </c>
      <c r="F3083" t="s">
        <v>8907</v>
      </c>
      <c r="G3083" t="s">
        <v>3890</v>
      </c>
      <c r="H3083" t="s">
        <v>109</v>
      </c>
      <c r="I3083" t="s">
        <v>108</v>
      </c>
      <c r="J3083">
        <v>2</v>
      </c>
      <c r="K3083">
        <v>10010.589</v>
      </c>
      <c r="L3083">
        <v>9837.6170000000002</v>
      </c>
      <c r="M3083">
        <v>9543.0020000000004</v>
      </c>
      <c r="N3083">
        <v>9122.26</v>
      </c>
      <c r="O3083">
        <v>9343.7029999999995</v>
      </c>
      <c r="P3083">
        <v>10086.691000000001</v>
      </c>
      <c r="Q3083">
        <v>10884.37</v>
      </c>
      <c r="R3083">
        <v>11738.569</v>
      </c>
      <c r="S3083">
        <v>12760.861999999999</v>
      </c>
      <c r="T3083">
        <v>13970.549000000001</v>
      </c>
      <c r="U3083">
        <v>15260.32</v>
      </c>
      <c r="V3083">
        <v>16612.192999999999</v>
      </c>
      <c r="W3083">
        <v>17994.412</v>
      </c>
      <c r="X3083">
        <v>19411.701000000001</v>
      </c>
      <c r="Y3083">
        <v>20857.68</v>
      </c>
      <c r="Z3083">
        <v>22342.02</v>
      </c>
      <c r="AA3083">
        <v>23865.143</v>
      </c>
      <c r="AB3083">
        <v>25430.901000000002</v>
      </c>
      <c r="AC3083">
        <v>27043.599999999999</v>
      </c>
      <c r="AD3083">
        <v>28697.475999999999</v>
      </c>
    </row>
    <row r="3084" spans="2:30" x14ac:dyDescent="0.25">
      <c r="B3084" t="s">
        <v>133</v>
      </c>
      <c r="C3084" t="s">
        <v>3263</v>
      </c>
      <c r="D3084" t="s">
        <v>5376</v>
      </c>
      <c r="E3084" t="s">
        <v>5377</v>
      </c>
      <c r="F3084" t="s">
        <v>8908</v>
      </c>
      <c r="G3084" t="s">
        <v>3890</v>
      </c>
      <c r="H3084" t="s">
        <v>109</v>
      </c>
      <c r="I3084" t="s">
        <v>108</v>
      </c>
      <c r="J3084">
        <v>2</v>
      </c>
      <c r="K3084">
        <v>875.27200000000005</v>
      </c>
      <c r="L3084">
        <v>1064.7159999999999</v>
      </c>
      <c r="M3084">
        <v>1332.902</v>
      </c>
      <c r="N3084">
        <v>1360.3309999999999</v>
      </c>
      <c r="O3084">
        <v>1387.0129999999999</v>
      </c>
      <c r="P3084">
        <v>1418.0809999999999</v>
      </c>
      <c r="Q3084">
        <v>1454.211</v>
      </c>
      <c r="R3084">
        <v>1488.729</v>
      </c>
      <c r="S3084">
        <v>1520.8579999999999</v>
      </c>
      <c r="T3084">
        <v>1553.1579999999999</v>
      </c>
      <c r="U3084">
        <v>1585.7719999999999</v>
      </c>
      <c r="V3084">
        <v>1618.703</v>
      </c>
      <c r="W3084">
        <v>1652.009</v>
      </c>
      <c r="X3084">
        <v>1685.8150000000001</v>
      </c>
      <c r="Y3084">
        <v>1720.0920000000001</v>
      </c>
      <c r="Z3084">
        <v>1754.8869999999999</v>
      </c>
      <c r="AA3084">
        <v>1790.171</v>
      </c>
      <c r="AB3084">
        <v>1825.9749999999999</v>
      </c>
      <c r="AC3084">
        <v>1862.3219999999999</v>
      </c>
      <c r="AD3084">
        <v>1899.1990000000001</v>
      </c>
    </row>
    <row r="3085" spans="2:30" x14ac:dyDescent="0.25">
      <c r="B3085" t="s">
        <v>133</v>
      </c>
      <c r="C3085" t="s">
        <v>3263</v>
      </c>
      <c r="D3085" t="s">
        <v>5379</v>
      </c>
      <c r="E3085" t="s">
        <v>5380</v>
      </c>
      <c r="F3085" t="s">
        <v>8909</v>
      </c>
      <c r="G3085" t="s">
        <v>3890</v>
      </c>
      <c r="H3085" t="s">
        <v>109</v>
      </c>
      <c r="I3085" t="s">
        <v>108</v>
      </c>
      <c r="J3085">
        <v>2</v>
      </c>
      <c r="K3085">
        <v>4328.9740000000002</v>
      </c>
      <c r="L3085">
        <v>5265.94</v>
      </c>
      <c r="M3085">
        <v>6592.35</v>
      </c>
      <c r="N3085">
        <v>6728.01</v>
      </c>
      <c r="O3085">
        <v>6732.0230000000001</v>
      </c>
      <c r="P3085">
        <v>6837.4380000000001</v>
      </c>
      <c r="Q3085">
        <v>6968.5190000000002</v>
      </c>
      <c r="R3085">
        <v>7092.9030000000002</v>
      </c>
      <c r="S3085">
        <v>7206.9309999999996</v>
      </c>
      <c r="T3085">
        <v>7322.7610000000004</v>
      </c>
      <c r="U3085">
        <v>7440.951</v>
      </c>
      <c r="V3085">
        <v>7561.415</v>
      </c>
      <c r="W3085">
        <v>7684.3370000000004</v>
      </c>
      <c r="X3085">
        <v>7810.2110000000002</v>
      </c>
      <c r="Y3085">
        <v>7938.826</v>
      </c>
      <c r="Z3085">
        <v>8070.3320000000003</v>
      </c>
      <c r="AA3085">
        <v>8204.5259999999998</v>
      </c>
      <c r="AB3085">
        <v>8341.4940000000006</v>
      </c>
      <c r="AC3085">
        <v>8481.2929999999997</v>
      </c>
      <c r="AD3085">
        <v>8623.8169999999991</v>
      </c>
    </row>
    <row r="3086" spans="2:30" x14ac:dyDescent="0.25">
      <c r="B3086" t="s">
        <v>133</v>
      </c>
      <c r="C3086" t="s">
        <v>3263</v>
      </c>
      <c r="D3086" t="s">
        <v>5382</v>
      </c>
      <c r="E3086" t="s">
        <v>5383</v>
      </c>
      <c r="F3086" t="s">
        <v>8910</v>
      </c>
      <c r="G3086" t="s">
        <v>3890</v>
      </c>
      <c r="H3086" t="s">
        <v>109</v>
      </c>
      <c r="I3086" t="s">
        <v>108</v>
      </c>
      <c r="J3086">
        <v>2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</row>
    <row r="3087" spans="2:30" x14ac:dyDescent="0.25">
      <c r="B3087" t="s">
        <v>133</v>
      </c>
      <c r="C3087" t="s">
        <v>3263</v>
      </c>
      <c r="D3087" t="s">
        <v>5385</v>
      </c>
      <c r="E3087" t="s">
        <v>5164</v>
      </c>
      <c r="F3087" t="s">
        <v>8844</v>
      </c>
      <c r="G3087" t="s">
        <v>3890</v>
      </c>
      <c r="H3087" t="s">
        <v>109</v>
      </c>
      <c r="I3087" t="s">
        <v>108</v>
      </c>
      <c r="J3087">
        <v>2</v>
      </c>
      <c r="K3087">
        <v>5389.2640000000001</v>
      </c>
      <c r="L3087">
        <v>6059.357</v>
      </c>
      <c r="M3087">
        <v>7304.8469999999998</v>
      </c>
      <c r="N3087">
        <v>7485.0290000000005</v>
      </c>
      <c r="O3087">
        <v>7286.7960000000003</v>
      </c>
      <c r="P3087">
        <v>7354.46</v>
      </c>
      <c r="Q3087">
        <v>7459.3739999999998</v>
      </c>
      <c r="R3087">
        <v>7557.4639999999999</v>
      </c>
      <c r="S3087">
        <v>7643.692</v>
      </c>
      <c r="T3087">
        <v>7733.8239999999996</v>
      </c>
      <c r="U3087">
        <v>7828.2510000000002</v>
      </c>
      <c r="V3087">
        <v>7926.576</v>
      </c>
      <c r="W3087">
        <v>8028.8019999999997</v>
      </c>
      <c r="X3087">
        <v>8135.3620000000001</v>
      </c>
      <c r="Y3087">
        <v>8245.8130000000001</v>
      </c>
      <c r="Z3087">
        <v>8360.2000000000007</v>
      </c>
      <c r="AA3087">
        <v>8478.1419999999998</v>
      </c>
      <c r="AB3087">
        <v>8599.6419999999998</v>
      </c>
      <c r="AC3087">
        <v>8724.68</v>
      </c>
      <c r="AD3087">
        <v>8853.0419999999995</v>
      </c>
    </row>
    <row r="3088" spans="2:30" x14ac:dyDescent="0.25">
      <c r="B3088" t="s">
        <v>133</v>
      </c>
      <c r="C3088" t="s">
        <v>3263</v>
      </c>
      <c r="D3088" t="s">
        <v>5386</v>
      </c>
      <c r="E3088" t="s">
        <v>5387</v>
      </c>
      <c r="F3088" t="s">
        <v>8911</v>
      </c>
      <c r="G3088" t="s">
        <v>3890</v>
      </c>
      <c r="H3088" t="s">
        <v>109</v>
      </c>
      <c r="I3088" t="s">
        <v>108</v>
      </c>
      <c r="J3088">
        <v>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</row>
    <row r="3089" spans="2:30" x14ac:dyDescent="0.25">
      <c r="B3089" t="s">
        <v>133</v>
      </c>
      <c r="C3089" t="s">
        <v>3263</v>
      </c>
      <c r="D3089" t="s">
        <v>5389</v>
      </c>
      <c r="E3089" t="s">
        <v>5390</v>
      </c>
      <c r="F3089" t="s">
        <v>8912</v>
      </c>
      <c r="G3089" t="s">
        <v>3890</v>
      </c>
      <c r="H3089" t="s">
        <v>109</v>
      </c>
      <c r="I3089" t="s">
        <v>108</v>
      </c>
      <c r="J3089">
        <v>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</row>
    <row r="3090" spans="2:30" x14ac:dyDescent="0.25">
      <c r="B3090" t="s">
        <v>133</v>
      </c>
      <c r="C3090" t="s">
        <v>3263</v>
      </c>
      <c r="D3090" t="s">
        <v>5392</v>
      </c>
      <c r="E3090" t="s">
        <v>5393</v>
      </c>
      <c r="F3090" t="s">
        <v>8913</v>
      </c>
      <c r="G3090" t="s">
        <v>3890</v>
      </c>
      <c r="H3090" t="s">
        <v>109</v>
      </c>
      <c r="I3090" t="s">
        <v>108</v>
      </c>
      <c r="J3090">
        <v>2</v>
      </c>
      <c r="K3090">
        <v>3107.4549999999999</v>
      </c>
      <c r="L3090">
        <v>3427.6979999999999</v>
      </c>
      <c r="M3090">
        <v>4102.9210000000003</v>
      </c>
      <c r="N3090">
        <v>4179.0079999999998</v>
      </c>
      <c r="O3090">
        <v>4252.4840000000004</v>
      </c>
      <c r="P3090">
        <v>4339.07</v>
      </c>
      <c r="Q3090">
        <v>4440.7529999999997</v>
      </c>
      <c r="R3090">
        <v>4537.1009999999997</v>
      </c>
      <c r="S3090">
        <v>4625.7780000000002</v>
      </c>
      <c r="T3090">
        <v>4714.607</v>
      </c>
      <c r="U3090">
        <v>4804.0140000000001</v>
      </c>
      <c r="V3090">
        <v>4894.0020000000004</v>
      </c>
      <c r="W3090">
        <v>4984.7460000000001</v>
      </c>
      <c r="X3090">
        <v>5076.6130000000003</v>
      </c>
      <c r="Y3090">
        <v>5169.509</v>
      </c>
      <c r="Z3090">
        <v>5263.5720000000001</v>
      </c>
      <c r="AA3090">
        <v>5358.7</v>
      </c>
      <c r="AB3090">
        <v>5454.9809999999998</v>
      </c>
      <c r="AC3090">
        <v>5552.4769999999999</v>
      </c>
      <c r="AD3090">
        <v>5651.1409999999996</v>
      </c>
    </row>
    <row r="3091" spans="2:30" x14ac:dyDescent="0.25">
      <c r="B3091" t="s">
        <v>133</v>
      </c>
      <c r="C3091" t="s">
        <v>3263</v>
      </c>
      <c r="D3091" t="s">
        <v>5395</v>
      </c>
      <c r="E3091" t="s">
        <v>5396</v>
      </c>
      <c r="F3091" t="s">
        <v>8914</v>
      </c>
      <c r="G3091" t="s">
        <v>3890</v>
      </c>
      <c r="H3091" t="s">
        <v>109</v>
      </c>
      <c r="I3091" t="s">
        <v>108</v>
      </c>
      <c r="J3091">
        <v>2</v>
      </c>
      <c r="K3091">
        <v>2281.8090000000002</v>
      </c>
      <c r="L3091">
        <v>2631.6590000000001</v>
      </c>
      <c r="M3091">
        <v>3201.9259999999999</v>
      </c>
      <c r="N3091">
        <v>3306.0210000000002</v>
      </c>
      <c r="O3091">
        <v>3034.3119999999999</v>
      </c>
      <c r="P3091">
        <v>3015.39</v>
      </c>
      <c r="Q3091">
        <v>3018.6210000000001</v>
      </c>
      <c r="R3091">
        <v>3020.3629999999998</v>
      </c>
      <c r="S3091">
        <v>3017.9140000000002</v>
      </c>
      <c r="T3091">
        <v>3019.2170000000001</v>
      </c>
      <c r="U3091">
        <v>3024.2370000000001</v>
      </c>
      <c r="V3091">
        <v>3032.5740000000001</v>
      </c>
      <c r="W3091">
        <v>3044.056</v>
      </c>
      <c r="X3091">
        <v>3058.7489999999998</v>
      </c>
      <c r="Y3091">
        <v>3076.3029999999999</v>
      </c>
      <c r="Z3091">
        <v>3096.6280000000002</v>
      </c>
      <c r="AA3091">
        <v>3119.4409999999998</v>
      </c>
      <c r="AB3091">
        <v>3144.6610000000001</v>
      </c>
      <c r="AC3091">
        <v>3172.203</v>
      </c>
      <c r="AD3091">
        <v>3201.9009999999998</v>
      </c>
    </row>
    <row r="3092" spans="2:30" x14ac:dyDescent="0.25">
      <c r="B3092" t="s">
        <v>133</v>
      </c>
      <c r="C3092" t="s">
        <v>3263</v>
      </c>
      <c r="D3092" t="s">
        <v>5398</v>
      </c>
      <c r="E3092" t="s">
        <v>5399</v>
      </c>
      <c r="F3092" t="s">
        <v>8915</v>
      </c>
      <c r="G3092" t="s">
        <v>3890</v>
      </c>
      <c r="H3092" t="s">
        <v>109</v>
      </c>
      <c r="I3092" t="s">
        <v>108</v>
      </c>
      <c r="J3092">
        <v>2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</row>
    <row r="3093" spans="2:30" x14ac:dyDescent="0.25">
      <c r="B3093" t="s">
        <v>133</v>
      </c>
      <c r="C3093" t="s">
        <v>3263</v>
      </c>
      <c r="D3093" t="s">
        <v>5401</v>
      </c>
      <c r="E3093" t="s">
        <v>5167</v>
      </c>
      <c r="F3093" t="s">
        <v>8845</v>
      </c>
      <c r="G3093" t="s">
        <v>3890</v>
      </c>
      <c r="H3093" t="s">
        <v>109</v>
      </c>
      <c r="I3093" t="s">
        <v>108</v>
      </c>
      <c r="J3093">
        <v>2</v>
      </c>
      <c r="K3093">
        <v>659.322</v>
      </c>
      <c r="L3093">
        <v>771.90700000000004</v>
      </c>
      <c r="M3093">
        <v>857.73800000000006</v>
      </c>
      <c r="N3093">
        <v>889.11699999999996</v>
      </c>
      <c r="O3093">
        <v>920.298</v>
      </c>
      <c r="P3093">
        <v>958.03800000000001</v>
      </c>
      <c r="Q3093">
        <v>1003.794</v>
      </c>
      <c r="R3093">
        <v>1048.7449999999999</v>
      </c>
      <c r="S3093">
        <v>1091.569</v>
      </c>
      <c r="T3093">
        <v>1135.684</v>
      </c>
      <c r="U3093">
        <v>1181.1569999999999</v>
      </c>
      <c r="V3093">
        <v>1228.0170000000001</v>
      </c>
      <c r="W3093">
        <v>1276.3810000000001</v>
      </c>
      <c r="X3093">
        <v>1326.482</v>
      </c>
      <c r="Y3093">
        <v>1378.3150000000001</v>
      </c>
      <c r="Z3093">
        <v>1431.9970000000001</v>
      </c>
      <c r="AA3093">
        <v>1487.5139999999999</v>
      </c>
      <c r="AB3093">
        <v>1544.9580000000001</v>
      </c>
      <c r="AC3093">
        <v>1604.41</v>
      </c>
      <c r="AD3093">
        <v>1665.8869999999999</v>
      </c>
    </row>
    <row r="3094" spans="2:30" x14ac:dyDescent="0.25">
      <c r="B3094" t="s">
        <v>133</v>
      </c>
      <c r="C3094" t="s">
        <v>3263</v>
      </c>
      <c r="D3094" t="s">
        <v>5402</v>
      </c>
      <c r="E3094" t="s">
        <v>5403</v>
      </c>
      <c r="F3094" t="s">
        <v>8916</v>
      </c>
      <c r="G3094" t="s">
        <v>3890</v>
      </c>
      <c r="H3094" t="s">
        <v>109</v>
      </c>
      <c r="I3094" t="s">
        <v>108</v>
      </c>
      <c r="J3094">
        <v>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</row>
    <row r="3095" spans="2:30" x14ac:dyDescent="0.25">
      <c r="B3095" t="s">
        <v>133</v>
      </c>
      <c r="C3095" t="s">
        <v>3263</v>
      </c>
      <c r="D3095" t="s">
        <v>5405</v>
      </c>
      <c r="E3095" t="s">
        <v>5406</v>
      </c>
      <c r="F3095" t="s">
        <v>8917</v>
      </c>
      <c r="G3095" t="s">
        <v>3890</v>
      </c>
      <c r="H3095" t="s">
        <v>109</v>
      </c>
      <c r="I3095" t="s">
        <v>108</v>
      </c>
      <c r="J3095">
        <v>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</row>
    <row r="3096" spans="2:30" x14ac:dyDescent="0.25">
      <c r="B3096" t="s">
        <v>133</v>
      </c>
      <c r="C3096" t="s">
        <v>3263</v>
      </c>
      <c r="D3096" t="s">
        <v>5408</v>
      </c>
      <c r="E3096" t="s">
        <v>5409</v>
      </c>
      <c r="F3096" t="s">
        <v>8918</v>
      </c>
      <c r="G3096" t="s">
        <v>3890</v>
      </c>
      <c r="H3096" t="s">
        <v>109</v>
      </c>
      <c r="I3096" t="s">
        <v>108</v>
      </c>
      <c r="J3096">
        <v>2</v>
      </c>
      <c r="K3096">
        <v>3</v>
      </c>
      <c r="L3096">
        <v>3.181</v>
      </c>
      <c r="M3096">
        <v>3.6320000000000001</v>
      </c>
      <c r="N3096">
        <v>3.7050000000000001</v>
      </c>
      <c r="O3096">
        <v>3.7759999999999998</v>
      </c>
      <c r="P3096">
        <v>3.859</v>
      </c>
      <c r="Q3096">
        <v>3.9569999999999999</v>
      </c>
      <c r="R3096">
        <v>4.0510000000000002</v>
      </c>
      <c r="S3096">
        <v>4.1369999999999996</v>
      </c>
      <c r="T3096">
        <v>4.2229999999999999</v>
      </c>
      <c r="U3096">
        <v>4.3109999999999999</v>
      </c>
      <c r="V3096">
        <v>4.399</v>
      </c>
      <c r="W3096">
        <v>4.4880000000000004</v>
      </c>
      <c r="X3096">
        <v>4.5789999999999997</v>
      </c>
      <c r="Y3096">
        <v>4.6710000000000003</v>
      </c>
      <c r="Z3096">
        <v>4.7640000000000002</v>
      </c>
      <c r="AA3096">
        <v>4.859</v>
      </c>
      <c r="AB3096">
        <v>4.9550000000000001</v>
      </c>
      <c r="AC3096">
        <v>5.0529999999999999</v>
      </c>
      <c r="AD3096">
        <v>5.1520000000000001</v>
      </c>
    </row>
    <row r="3097" spans="2:30" x14ac:dyDescent="0.25">
      <c r="B3097" t="s">
        <v>133</v>
      </c>
      <c r="C3097" t="s">
        <v>3263</v>
      </c>
      <c r="D3097" t="s">
        <v>5411</v>
      </c>
      <c r="E3097" t="s">
        <v>5412</v>
      </c>
      <c r="F3097" t="s">
        <v>8919</v>
      </c>
      <c r="G3097" t="s">
        <v>3890</v>
      </c>
      <c r="H3097" t="s">
        <v>109</v>
      </c>
      <c r="I3097" t="s">
        <v>108</v>
      </c>
      <c r="J3097">
        <v>2</v>
      </c>
      <c r="K3097">
        <v>4</v>
      </c>
      <c r="L3097">
        <v>4.3959999999999999</v>
      </c>
      <c r="M3097">
        <v>5.07</v>
      </c>
      <c r="N3097">
        <v>5.234</v>
      </c>
      <c r="O3097">
        <v>5.3959999999999999</v>
      </c>
      <c r="P3097">
        <v>5.5880000000000001</v>
      </c>
      <c r="Q3097">
        <v>5.8140000000000001</v>
      </c>
      <c r="R3097">
        <v>6.032</v>
      </c>
      <c r="S3097">
        <v>6.2380000000000004</v>
      </c>
      <c r="T3097">
        <v>6.4480000000000004</v>
      </c>
      <c r="U3097">
        <v>6.6619999999999999</v>
      </c>
      <c r="V3097">
        <v>6.88</v>
      </c>
      <c r="W3097">
        <v>7.1040000000000001</v>
      </c>
      <c r="X3097">
        <v>7.3339999999999996</v>
      </c>
      <c r="Y3097">
        <v>7.569</v>
      </c>
      <c r="Z3097">
        <v>7.8109999999999999</v>
      </c>
      <c r="AA3097">
        <v>8.0589999999999993</v>
      </c>
      <c r="AB3097">
        <v>8.3130000000000006</v>
      </c>
      <c r="AC3097">
        <v>8.5749999999999993</v>
      </c>
      <c r="AD3097">
        <v>8.843</v>
      </c>
    </row>
    <row r="3098" spans="2:30" x14ac:dyDescent="0.25">
      <c r="B3098" t="s">
        <v>133</v>
      </c>
      <c r="C3098" t="s">
        <v>3263</v>
      </c>
      <c r="D3098" t="s">
        <v>5414</v>
      </c>
      <c r="E3098" t="s">
        <v>5415</v>
      </c>
      <c r="F3098" t="s">
        <v>8920</v>
      </c>
      <c r="G3098" t="s">
        <v>3890</v>
      </c>
      <c r="H3098" t="s">
        <v>109</v>
      </c>
      <c r="I3098" t="s">
        <v>108</v>
      </c>
      <c r="J3098">
        <v>2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</row>
    <row r="3099" spans="2:30" x14ac:dyDescent="0.25">
      <c r="B3099" t="s">
        <v>133</v>
      </c>
      <c r="C3099" t="s">
        <v>3263</v>
      </c>
      <c r="D3099" t="s">
        <v>5417</v>
      </c>
      <c r="E3099" t="s">
        <v>5155</v>
      </c>
      <c r="F3099" t="s">
        <v>8841</v>
      </c>
      <c r="G3099" t="s">
        <v>3890</v>
      </c>
      <c r="H3099" t="s">
        <v>109</v>
      </c>
      <c r="I3099" t="s">
        <v>108</v>
      </c>
      <c r="J3099">
        <v>2</v>
      </c>
      <c r="K3099">
        <v>7688.0550000000003</v>
      </c>
      <c r="L3099">
        <v>7380.6790000000001</v>
      </c>
      <c r="M3099">
        <v>7819.1149999999998</v>
      </c>
      <c r="N3099">
        <v>9961.9269999999997</v>
      </c>
      <c r="O3099">
        <v>9443.5139999999992</v>
      </c>
      <c r="P3099">
        <v>10078.611999999999</v>
      </c>
      <c r="Q3099">
        <v>10164.950999999999</v>
      </c>
      <c r="R3099">
        <v>10014.255999999999</v>
      </c>
      <c r="S3099">
        <v>9851.2119999999995</v>
      </c>
      <c r="T3099">
        <v>9720.7070000000003</v>
      </c>
      <c r="U3099">
        <v>9467.0519999999997</v>
      </c>
      <c r="V3099">
        <v>9243.24</v>
      </c>
      <c r="W3099">
        <v>9044.2749999999996</v>
      </c>
      <c r="X3099">
        <v>8866.6119999999992</v>
      </c>
      <c r="Y3099">
        <v>8707.14</v>
      </c>
      <c r="Z3099">
        <v>8563.6319999999996</v>
      </c>
      <c r="AA3099">
        <v>8434.1790000000001</v>
      </c>
      <c r="AB3099">
        <v>8317.4879999999994</v>
      </c>
      <c r="AC3099">
        <v>8212.3979999999992</v>
      </c>
      <c r="AD3099">
        <v>8117.9030000000002</v>
      </c>
    </row>
    <row r="3100" spans="2:30" x14ac:dyDescent="0.25">
      <c r="B3100" t="s">
        <v>133</v>
      </c>
      <c r="C3100" t="s">
        <v>3263</v>
      </c>
      <c r="D3100" t="s">
        <v>5418</v>
      </c>
      <c r="E3100" t="s">
        <v>5419</v>
      </c>
      <c r="F3100" t="s">
        <v>8921</v>
      </c>
      <c r="G3100" t="s">
        <v>3890</v>
      </c>
      <c r="H3100" t="s">
        <v>109</v>
      </c>
      <c r="I3100" t="s">
        <v>108</v>
      </c>
      <c r="J3100">
        <v>2</v>
      </c>
      <c r="K3100">
        <v>4691.6719999999996</v>
      </c>
      <c r="L3100">
        <v>4565.3649999999998</v>
      </c>
      <c r="M3100">
        <v>4434.9260000000004</v>
      </c>
      <c r="N3100">
        <v>5362.5940000000001</v>
      </c>
      <c r="O3100">
        <v>5248.2269999999999</v>
      </c>
      <c r="P3100">
        <v>5123.0839999999998</v>
      </c>
      <c r="Q3100">
        <v>4989.0829999999996</v>
      </c>
      <c r="R3100">
        <v>4863.3959999999997</v>
      </c>
      <c r="S3100">
        <v>4742.7299999999996</v>
      </c>
      <c r="T3100">
        <v>4625.0730000000003</v>
      </c>
      <c r="U3100">
        <v>4510.335</v>
      </c>
      <c r="V3100">
        <v>4398.4570000000003</v>
      </c>
      <c r="W3100">
        <v>4289.8440000000001</v>
      </c>
      <c r="X3100">
        <v>4184.5929999999998</v>
      </c>
      <c r="Y3100">
        <v>4082.8710000000001</v>
      </c>
      <c r="Z3100">
        <v>3984.6750000000002</v>
      </c>
      <c r="AA3100">
        <v>3890.1010000000001</v>
      </c>
      <c r="AB3100">
        <v>3799.2269999999999</v>
      </c>
      <c r="AC3100">
        <v>3712.0059999999999</v>
      </c>
      <c r="AD3100">
        <v>3628.4569999999999</v>
      </c>
    </row>
    <row r="3101" spans="2:30" x14ac:dyDescent="0.25">
      <c r="B3101" t="s">
        <v>133</v>
      </c>
      <c r="C3101" t="s">
        <v>3263</v>
      </c>
      <c r="D3101" t="s">
        <v>5421</v>
      </c>
      <c r="E3101" t="s">
        <v>5422</v>
      </c>
      <c r="F3101" t="s">
        <v>8922</v>
      </c>
      <c r="G3101" t="s">
        <v>3890</v>
      </c>
      <c r="H3101" t="s">
        <v>109</v>
      </c>
      <c r="I3101" t="s">
        <v>108</v>
      </c>
      <c r="J3101">
        <v>2</v>
      </c>
      <c r="K3101">
        <v>271.34100000000001</v>
      </c>
      <c r="L3101">
        <v>251.108</v>
      </c>
      <c r="M3101">
        <v>298.85899999999998</v>
      </c>
      <c r="N3101">
        <v>395.57299999999998</v>
      </c>
      <c r="O3101">
        <v>361.71899999999999</v>
      </c>
      <c r="P3101">
        <v>418.935</v>
      </c>
      <c r="Q3101">
        <v>433.90899999999999</v>
      </c>
      <c r="R3101">
        <v>430.28300000000002</v>
      </c>
      <c r="S3101">
        <v>425.04599999999999</v>
      </c>
      <c r="T3101">
        <v>421.59699999999998</v>
      </c>
      <c r="U3101">
        <v>410.18099999999998</v>
      </c>
      <c r="V3101">
        <v>400.911</v>
      </c>
      <c r="W3101">
        <v>393.36399999999998</v>
      </c>
      <c r="X3101">
        <v>387.25400000000002</v>
      </c>
      <c r="Y3101">
        <v>382.31900000000002</v>
      </c>
      <c r="Z3101">
        <v>378.38299999999998</v>
      </c>
      <c r="AA3101">
        <v>375.28399999999999</v>
      </c>
      <c r="AB3101">
        <v>372.91199999999998</v>
      </c>
      <c r="AC3101">
        <v>371.17599999999999</v>
      </c>
      <c r="AD3101">
        <v>369.99299999999999</v>
      </c>
    </row>
    <row r="3102" spans="2:30" x14ac:dyDescent="0.25">
      <c r="B3102" t="s">
        <v>133</v>
      </c>
      <c r="C3102" t="s">
        <v>3263</v>
      </c>
      <c r="D3102" t="s">
        <v>5424</v>
      </c>
      <c r="E3102" t="s">
        <v>5425</v>
      </c>
      <c r="F3102" t="s">
        <v>8923</v>
      </c>
      <c r="G3102" t="s">
        <v>3890</v>
      </c>
      <c r="H3102" t="s">
        <v>109</v>
      </c>
      <c r="I3102" t="s">
        <v>108</v>
      </c>
      <c r="J3102">
        <v>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</row>
    <row r="3103" spans="2:30" x14ac:dyDescent="0.25">
      <c r="B3103" t="s">
        <v>133</v>
      </c>
      <c r="C3103" t="s">
        <v>3263</v>
      </c>
      <c r="D3103" t="s">
        <v>5427</v>
      </c>
      <c r="E3103" t="s">
        <v>5428</v>
      </c>
      <c r="F3103" t="s">
        <v>8924</v>
      </c>
      <c r="G3103" t="s">
        <v>3890</v>
      </c>
      <c r="H3103" t="s">
        <v>109</v>
      </c>
      <c r="I3103" t="s">
        <v>108</v>
      </c>
      <c r="J3103">
        <v>2</v>
      </c>
      <c r="K3103">
        <v>2631.7759999999998</v>
      </c>
      <c r="L3103">
        <v>2478.98</v>
      </c>
      <c r="M3103">
        <v>2984.6860000000001</v>
      </c>
      <c r="N3103">
        <v>4071.1979999999999</v>
      </c>
      <c r="O3103">
        <v>3693.0219999999999</v>
      </c>
      <c r="P3103">
        <v>4346.0280000000002</v>
      </c>
      <c r="Q3103">
        <v>4519.0249999999996</v>
      </c>
      <c r="R3103">
        <v>4479.8900000000003</v>
      </c>
      <c r="S3103">
        <v>4423.7950000000001</v>
      </c>
      <c r="T3103">
        <v>4388.442</v>
      </c>
      <c r="U3103">
        <v>4261.7939999999999</v>
      </c>
      <c r="V3103">
        <v>4159.9809999999998</v>
      </c>
      <c r="W3103">
        <v>4078.0239999999999</v>
      </c>
      <c r="X3103">
        <v>4012.569</v>
      </c>
      <c r="Y3103">
        <v>3960.596</v>
      </c>
      <c r="Z3103">
        <v>3920.0610000000001</v>
      </c>
      <c r="AA3103">
        <v>3889.1190000000001</v>
      </c>
      <c r="AB3103">
        <v>3866.511</v>
      </c>
      <c r="AC3103">
        <v>3851.21</v>
      </c>
      <c r="AD3103">
        <v>3842.277</v>
      </c>
    </row>
    <row r="3104" spans="2:30" x14ac:dyDescent="0.25">
      <c r="B3104" t="s">
        <v>133</v>
      </c>
      <c r="C3104" t="s">
        <v>3263</v>
      </c>
      <c r="D3104" t="s">
        <v>5430</v>
      </c>
      <c r="E3104" t="s">
        <v>5431</v>
      </c>
      <c r="F3104" t="s">
        <v>8925</v>
      </c>
      <c r="G3104" t="s">
        <v>3890</v>
      </c>
      <c r="H3104" t="s">
        <v>109</v>
      </c>
      <c r="I3104" t="s">
        <v>108</v>
      </c>
      <c r="J3104">
        <v>2</v>
      </c>
      <c r="K3104">
        <v>93.265000000000001</v>
      </c>
      <c r="L3104">
        <v>85.225999999999999</v>
      </c>
      <c r="M3104">
        <v>100.645</v>
      </c>
      <c r="N3104">
        <v>132.56200000000001</v>
      </c>
      <c r="O3104">
        <v>140.54599999999999</v>
      </c>
      <c r="P3104">
        <v>190.565</v>
      </c>
      <c r="Q3104">
        <v>222.934</v>
      </c>
      <c r="R3104">
        <v>240.68700000000001</v>
      </c>
      <c r="S3104">
        <v>259.64100000000002</v>
      </c>
      <c r="T3104">
        <v>285.59500000000003</v>
      </c>
      <c r="U3104">
        <v>284.74200000000002</v>
      </c>
      <c r="V3104">
        <v>283.89100000000002</v>
      </c>
      <c r="W3104">
        <v>283.04300000000001</v>
      </c>
      <c r="X3104">
        <v>282.197</v>
      </c>
      <c r="Y3104">
        <v>281.35399999999998</v>
      </c>
      <c r="Z3104">
        <v>280.51299999999998</v>
      </c>
      <c r="AA3104">
        <v>279.67500000000001</v>
      </c>
      <c r="AB3104">
        <v>278.839</v>
      </c>
      <c r="AC3104">
        <v>278.00599999999997</v>
      </c>
      <c r="AD3104">
        <v>277.17500000000001</v>
      </c>
    </row>
    <row r="3105" spans="2:30" x14ac:dyDescent="0.25">
      <c r="B3105" t="s">
        <v>133</v>
      </c>
      <c r="C3105" t="s">
        <v>3263</v>
      </c>
      <c r="D3105" t="s">
        <v>5433</v>
      </c>
      <c r="E3105" t="s">
        <v>5434</v>
      </c>
      <c r="F3105" t="s">
        <v>8926</v>
      </c>
      <c r="G3105" t="s">
        <v>3890</v>
      </c>
      <c r="H3105" t="s">
        <v>109</v>
      </c>
      <c r="I3105" t="s">
        <v>108</v>
      </c>
      <c r="J3105">
        <v>2</v>
      </c>
      <c r="K3105">
        <v>80943.887000000002</v>
      </c>
      <c r="L3105">
        <v>79046.792000000001</v>
      </c>
      <c r="M3105">
        <v>89449.561000000002</v>
      </c>
      <c r="N3105">
        <v>92510.016000000003</v>
      </c>
      <c r="O3105">
        <v>90567.115999999995</v>
      </c>
      <c r="P3105">
        <v>92275.278999999995</v>
      </c>
      <c r="Q3105">
        <v>95298.827999999994</v>
      </c>
      <c r="R3105">
        <v>98177.932000000001</v>
      </c>
      <c r="S3105">
        <v>101204.624</v>
      </c>
      <c r="T3105">
        <v>104598.329</v>
      </c>
      <c r="U3105">
        <v>108079.52</v>
      </c>
      <c r="V3105">
        <v>111886.44</v>
      </c>
      <c r="W3105">
        <v>115984.22500000001</v>
      </c>
      <c r="X3105">
        <v>120422.226</v>
      </c>
      <c r="Y3105">
        <v>125182.587</v>
      </c>
      <c r="Z3105">
        <v>130352.53</v>
      </c>
      <c r="AA3105">
        <v>135964.291</v>
      </c>
      <c r="AB3105">
        <v>142127.946</v>
      </c>
      <c r="AC3105">
        <v>148682.58499999999</v>
      </c>
      <c r="AD3105">
        <v>155321.24900000001</v>
      </c>
    </row>
    <row r="3106" spans="2:30" x14ac:dyDescent="0.25">
      <c r="B3106" t="s">
        <v>133</v>
      </c>
      <c r="C3106" t="s">
        <v>3263</v>
      </c>
      <c r="D3106" t="s">
        <v>5436</v>
      </c>
      <c r="E3106" t="s">
        <v>5176</v>
      </c>
      <c r="F3106" t="s">
        <v>8848</v>
      </c>
      <c r="G3106" t="s">
        <v>3890</v>
      </c>
      <c r="H3106" t="s">
        <v>109</v>
      </c>
      <c r="I3106" t="s">
        <v>108</v>
      </c>
      <c r="J3106">
        <v>2</v>
      </c>
      <c r="K3106">
        <v>1529.27</v>
      </c>
      <c r="L3106">
        <v>1206.73</v>
      </c>
      <c r="M3106">
        <v>1313.405</v>
      </c>
      <c r="N3106">
        <v>1308.827</v>
      </c>
      <c r="O3106">
        <v>1304.2660000000001</v>
      </c>
      <c r="P3106">
        <v>1299.72</v>
      </c>
      <c r="Q3106">
        <v>1295.19</v>
      </c>
      <c r="R3106">
        <v>1290.6759999999999</v>
      </c>
      <c r="S3106">
        <v>1286.1780000000001</v>
      </c>
      <c r="T3106">
        <v>1281.6949999999999</v>
      </c>
      <c r="U3106">
        <v>1277.2280000000001</v>
      </c>
      <c r="V3106">
        <v>1272.777</v>
      </c>
      <c r="W3106">
        <v>1268.3409999999999</v>
      </c>
      <c r="X3106">
        <v>1263.921</v>
      </c>
      <c r="Y3106">
        <v>1259.5160000000001</v>
      </c>
      <c r="Z3106">
        <v>1255.126</v>
      </c>
      <c r="AA3106">
        <v>1250.752</v>
      </c>
      <c r="AB3106">
        <v>1246.393</v>
      </c>
      <c r="AC3106">
        <v>1242.049</v>
      </c>
      <c r="AD3106">
        <v>1237.72</v>
      </c>
    </row>
    <row r="3107" spans="2:30" x14ac:dyDescent="0.25">
      <c r="B3107" t="s">
        <v>133</v>
      </c>
      <c r="C3107" t="s">
        <v>3263</v>
      </c>
      <c r="D3107" t="s">
        <v>5437</v>
      </c>
      <c r="E3107" t="s">
        <v>5438</v>
      </c>
      <c r="F3107" t="s">
        <v>8927</v>
      </c>
      <c r="G3107" t="s">
        <v>3890</v>
      </c>
      <c r="H3107" t="s">
        <v>109</v>
      </c>
      <c r="I3107" t="s">
        <v>108</v>
      </c>
      <c r="J3107">
        <v>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</row>
    <row r="3108" spans="2:30" x14ac:dyDescent="0.25">
      <c r="B3108" t="s">
        <v>133</v>
      </c>
      <c r="C3108" t="s">
        <v>3263</v>
      </c>
      <c r="D3108" t="s">
        <v>5440</v>
      </c>
      <c r="E3108" t="s">
        <v>5441</v>
      </c>
      <c r="F3108" t="s">
        <v>8928</v>
      </c>
      <c r="G3108" t="s">
        <v>3890</v>
      </c>
      <c r="H3108" t="s">
        <v>109</v>
      </c>
      <c r="I3108" t="s">
        <v>108</v>
      </c>
      <c r="J3108">
        <v>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</row>
    <row r="3109" spans="2:30" x14ac:dyDescent="0.25">
      <c r="B3109" t="s">
        <v>133</v>
      </c>
      <c r="C3109" t="s">
        <v>3263</v>
      </c>
      <c r="D3109" t="s">
        <v>5443</v>
      </c>
      <c r="E3109" t="s">
        <v>5444</v>
      </c>
      <c r="F3109" t="s">
        <v>8929</v>
      </c>
      <c r="G3109" t="s">
        <v>3890</v>
      </c>
      <c r="H3109" t="s">
        <v>109</v>
      </c>
      <c r="I3109" t="s">
        <v>108</v>
      </c>
      <c r="J3109">
        <v>2</v>
      </c>
      <c r="K3109">
        <v>1529.27</v>
      </c>
      <c r="L3109">
        <v>1206.73</v>
      </c>
      <c r="M3109">
        <v>1313.405</v>
      </c>
      <c r="N3109">
        <v>1308.827</v>
      </c>
      <c r="O3109">
        <v>1304.2660000000001</v>
      </c>
      <c r="P3109">
        <v>1299.72</v>
      </c>
      <c r="Q3109">
        <v>1295.19</v>
      </c>
      <c r="R3109">
        <v>1290.6759999999999</v>
      </c>
      <c r="S3109">
        <v>1286.1780000000001</v>
      </c>
      <c r="T3109">
        <v>1281.6949999999999</v>
      </c>
      <c r="U3109">
        <v>1277.2280000000001</v>
      </c>
      <c r="V3109">
        <v>1272.777</v>
      </c>
      <c r="W3109">
        <v>1268.3409999999999</v>
      </c>
      <c r="X3109">
        <v>1263.921</v>
      </c>
      <c r="Y3109">
        <v>1259.5160000000001</v>
      </c>
      <c r="Z3109">
        <v>1255.126</v>
      </c>
      <c r="AA3109">
        <v>1250.752</v>
      </c>
      <c r="AB3109">
        <v>1246.393</v>
      </c>
      <c r="AC3109">
        <v>1242.049</v>
      </c>
      <c r="AD3109">
        <v>1237.72</v>
      </c>
    </row>
    <row r="3110" spans="2:30" x14ac:dyDescent="0.25">
      <c r="B3110" t="s">
        <v>133</v>
      </c>
      <c r="C3110" t="s">
        <v>3263</v>
      </c>
      <c r="D3110" t="s">
        <v>5446</v>
      </c>
      <c r="E3110" t="s">
        <v>5447</v>
      </c>
      <c r="F3110" t="s">
        <v>8930</v>
      </c>
      <c r="G3110" t="s">
        <v>3890</v>
      </c>
      <c r="H3110" t="s">
        <v>109</v>
      </c>
      <c r="I3110" t="s">
        <v>108</v>
      </c>
      <c r="J3110">
        <v>2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</row>
    <row r="3111" spans="2:30" x14ac:dyDescent="0.25">
      <c r="B3111" t="s">
        <v>133</v>
      </c>
      <c r="C3111" t="s">
        <v>3263</v>
      </c>
      <c r="D3111" t="s">
        <v>5449</v>
      </c>
      <c r="E3111" t="s">
        <v>5450</v>
      </c>
      <c r="F3111" t="s">
        <v>8931</v>
      </c>
      <c r="G3111" t="s">
        <v>3890</v>
      </c>
      <c r="H3111" t="s">
        <v>109</v>
      </c>
      <c r="I3111" t="s">
        <v>108</v>
      </c>
      <c r="J3111">
        <v>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</row>
    <row r="3112" spans="2:30" x14ac:dyDescent="0.25">
      <c r="B3112" t="s">
        <v>133</v>
      </c>
      <c r="C3112" t="s">
        <v>3263</v>
      </c>
      <c r="D3112" t="s">
        <v>5452</v>
      </c>
      <c r="E3112" t="s">
        <v>5146</v>
      </c>
      <c r="F3112" t="s">
        <v>8838</v>
      </c>
      <c r="G3112" t="s">
        <v>3890</v>
      </c>
      <c r="H3112" t="s">
        <v>109</v>
      </c>
      <c r="I3112" t="s">
        <v>108</v>
      </c>
      <c r="J3112">
        <v>2</v>
      </c>
      <c r="K3112">
        <v>84652.786999999997</v>
      </c>
      <c r="L3112">
        <v>82604.562999999995</v>
      </c>
      <c r="M3112">
        <v>93075.634999999995</v>
      </c>
      <c r="N3112">
        <v>97660.293999999994</v>
      </c>
      <c r="O3112">
        <v>97388.576000000001</v>
      </c>
      <c r="P3112">
        <v>99718.345000000001</v>
      </c>
      <c r="Q3112">
        <v>102999.859</v>
      </c>
      <c r="R3112">
        <v>106309.84299999999</v>
      </c>
      <c r="S3112">
        <v>109859.084</v>
      </c>
      <c r="T3112">
        <v>113813.25599999999</v>
      </c>
      <c r="U3112">
        <v>117867.155</v>
      </c>
      <c r="V3112">
        <v>122263.503</v>
      </c>
      <c r="W3112">
        <v>126993.87300000001</v>
      </c>
      <c r="X3112">
        <v>132123.416</v>
      </c>
      <c r="Y3112">
        <v>137654.70000000001</v>
      </c>
      <c r="Z3112">
        <v>143685.41</v>
      </c>
      <c r="AA3112">
        <v>150270.595</v>
      </c>
      <c r="AB3112">
        <v>157521.49100000001</v>
      </c>
      <c r="AC3112">
        <v>165399.53700000001</v>
      </c>
      <c r="AD3112">
        <v>173652.01199999999</v>
      </c>
    </row>
    <row r="3113" spans="2:30" x14ac:dyDescent="0.25">
      <c r="B3113" t="s">
        <v>133</v>
      </c>
      <c r="C3113" t="s">
        <v>3263</v>
      </c>
      <c r="D3113" t="s">
        <v>5453</v>
      </c>
      <c r="E3113" t="s">
        <v>5149</v>
      </c>
      <c r="F3113" t="s">
        <v>8839</v>
      </c>
      <c r="G3113" t="s">
        <v>3890</v>
      </c>
      <c r="H3113" t="s">
        <v>109</v>
      </c>
      <c r="I3113" t="s">
        <v>108</v>
      </c>
      <c r="J3113">
        <v>2</v>
      </c>
      <c r="K3113">
        <v>1651.0930000000001</v>
      </c>
      <c r="L3113">
        <v>1545.134</v>
      </c>
      <c r="M3113">
        <v>1836.8230000000001</v>
      </c>
      <c r="N3113">
        <v>1975.171</v>
      </c>
      <c r="O3113">
        <v>1858.819</v>
      </c>
      <c r="P3113">
        <v>1837.354</v>
      </c>
      <c r="Q3113">
        <v>1834.204</v>
      </c>
      <c r="R3113">
        <v>1830.038</v>
      </c>
      <c r="S3113">
        <v>1823.9570000000001</v>
      </c>
      <c r="T3113">
        <v>1818.73</v>
      </c>
      <c r="U3113">
        <v>1811.626</v>
      </c>
      <c r="V3113">
        <v>1805.684</v>
      </c>
      <c r="W3113">
        <v>1800.8530000000001</v>
      </c>
      <c r="X3113">
        <v>1797.163</v>
      </c>
      <c r="Y3113">
        <v>1794.4839999999999</v>
      </c>
      <c r="Z3113">
        <v>1792.779</v>
      </c>
      <c r="AA3113">
        <v>1791.9380000000001</v>
      </c>
      <c r="AB3113">
        <v>1791.924</v>
      </c>
      <c r="AC3113">
        <v>1792.6949999999999</v>
      </c>
      <c r="AD3113">
        <v>1794.181</v>
      </c>
    </row>
    <row r="3114" spans="2:30" x14ac:dyDescent="0.25">
      <c r="B3114" t="s">
        <v>133</v>
      </c>
      <c r="C3114" t="s">
        <v>3263</v>
      </c>
      <c r="D3114" t="s">
        <v>5454</v>
      </c>
      <c r="E3114" t="s">
        <v>5152</v>
      </c>
      <c r="F3114" t="s">
        <v>8840</v>
      </c>
      <c r="G3114" t="s">
        <v>3890</v>
      </c>
      <c r="H3114" t="s">
        <v>109</v>
      </c>
      <c r="I3114" t="s">
        <v>108</v>
      </c>
      <c r="J3114">
        <v>2</v>
      </c>
      <c r="K3114">
        <v>42937.004999999997</v>
      </c>
      <c r="L3114">
        <v>39973.512999999999</v>
      </c>
      <c r="M3114">
        <v>47161.608</v>
      </c>
      <c r="N3114">
        <v>48234.506000000001</v>
      </c>
      <c r="O3114">
        <v>46904.281000000003</v>
      </c>
      <c r="P3114">
        <v>46459.453000000001</v>
      </c>
      <c r="Q3114">
        <v>47694.733</v>
      </c>
      <c r="R3114">
        <v>48945.25</v>
      </c>
      <c r="S3114">
        <v>50097.578999999998</v>
      </c>
      <c r="T3114">
        <v>51259.451000000001</v>
      </c>
      <c r="U3114">
        <v>52494.752</v>
      </c>
      <c r="V3114">
        <v>53911.951999999997</v>
      </c>
      <c r="W3114">
        <v>55520.023999999998</v>
      </c>
      <c r="X3114">
        <v>57372.927000000003</v>
      </c>
      <c r="Y3114">
        <v>59471.927000000003</v>
      </c>
      <c r="Z3114">
        <v>61885.620999999999</v>
      </c>
      <c r="AA3114">
        <v>64651.705000000002</v>
      </c>
      <c r="AB3114">
        <v>67880.379000000001</v>
      </c>
      <c r="AC3114">
        <v>71409.305999999997</v>
      </c>
      <c r="AD3114">
        <v>74965.040999999997</v>
      </c>
    </row>
    <row r="3115" spans="2:30" x14ac:dyDescent="0.25">
      <c r="B3115" t="s">
        <v>133</v>
      </c>
      <c r="C3115" t="s">
        <v>3263</v>
      </c>
      <c r="D3115" t="s">
        <v>5455</v>
      </c>
      <c r="E3115" t="s">
        <v>5155</v>
      </c>
      <c r="F3115" t="s">
        <v>8841</v>
      </c>
      <c r="G3115" t="s">
        <v>3890</v>
      </c>
      <c r="H3115" t="s">
        <v>109</v>
      </c>
      <c r="I3115" t="s">
        <v>108</v>
      </c>
      <c r="J3115">
        <v>2</v>
      </c>
      <c r="K3115">
        <v>7688.0550000000003</v>
      </c>
      <c r="L3115">
        <v>7380.6790000000001</v>
      </c>
      <c r="M3115">
        <v>7819.1149999999998</v>
      </c>
      <c r="N3115">
        <v>9961.9269999999997</v>
      </c>
      <c r="O3115">
        <v>9443.5139999999992</v>
      </c>
      <c r="P3115">
        <v>10078.611999999999</v>
      </c>
      <c r="Q3115">
        <v>10164.950999999999</v>
      </c>
      <c r="R3115">
        <v>10014.255999999999</v>
      </c>
      <c r="S3115">
        <v>9851.2119999999995</v>
      </c>
      <c r="T3115">
        <v>9720.7070000000003</v>
      </c>
      <c r="U3115">
        <v>9467.0519999999997</v>
      </c>
      <c r="V3115">
        <v>9243.24</v>
      </c>
      <c r="W3115">
        <v>9044.2749999999996</v>
      </c>
      <c r="X3115">
        <v>8866.6119999999992</v>
      </c>
      <c r="Y3115">
        <v>8707.14</v>
      </c>
      <c r="Z3115">
        <v>8563.6319999999996</v>
      </c>
      <c r="AA3115">
        <v>8434.1790000000001</v>
      </c>
      <c r="AB3115">
        <v>8317.4879999999994</v>
      </c>
      <c r="AC3115">
        <v>8212.3979999999992</v>
      </c>
      <c r="AD3115">
        <v>8117.9030000000002</v>
      </c>
    </row>
    <row r="3116" spans="2:30" x14ac:dyDescent="0.25">
      <c r="B3116" t="s">
        <v>133</v>
      </c>
      <c r="C3116" t="s">
        <v>3263</v>
      </c>
      <c r="D3116" t="s">
        <v>5456</v>
      </c>
      <c r="E3116" t="s">
        <v>5158</v>
      </c>
      <c r="F3116" t="s">
        <v>8842</v>
      </c>
      <c r="G3116" t="s">
        <v>3890</v>
      </c>
      <c r="H3116" t="s">
        <v>109</v>
      </c>
      <c r="I3116" t="s">
        <v>108</v>
      </c>
      <c r="J3116">
        <v>2</v>
      </c>
      <c r="K3116">
        <v>7404.3140000000003</v>
      </c>
      <c r="L3116">
        <v>7147.93</v>
      </c>
      <c r="M3116">
        <v>7001.1750000000002</v>
      </c>
      <c r="N3116">
        <v>6753.6639999999998</v>
      </c>
      <c r="O3116">
        <v>6690.6679999999997</v>
      </c>
      <c r="P3116">
        <v>7245.152</v>
      </c>
      <c r="Q3116">
        <v>7834.6719999999996</v>
      </c>
      <c r="R3116">
        <v>8461.9789999999994</v>
      </c>
      <c r="S3116">
        <v>9207.9660000000003</v>
      </c>
      <c r="T3116">
        <v>10083.465</v>
      </c>
      <c r="U3116">
        <v>11009.638999999999</v>
      </c>
      <c r="V3116">
        <v>11978.661</v>
      </c>
      <c r="W3116">
        <v>12983.132</v>
      </c>
      <c r="X3116">
        <v>14015.950999999999</v>
      </c>
      <c r="Y3116">
        <v>15068.311</v>
      </c>
      <c r="Z3116">
        <v>16151.061</v>
      </c>
      <c r="AA3116">
        <v>17260.972000000002</v>
      </c>
      <c r="AB3116">
        <v>18395.185000000001</v>
      </c>
      <c r="AC3116">
        <v>19551.881000000001</v>
      </c>
      <c r="AD3116">
        <v>20704.703000000001</v>
      </c>
    </row>
    <row r="3117" spans="2:30" x14ac:dyDescent="0.25">
      <c r="B3117" t="s">
        <v>133</v>
      </c>
      <c r="C3117" t="s">
        <v>3263</v>
      </c>
      <c r="D3117" t="s">
        <v>5457</v>
      </c>
      <c r="E3117" t="s">
        <v>5161</v>
      </c>
      <c r="F3117" t="s">
        <v>8843</v>
      </c>
      <c r="G3117" t="s">
        <v>3890</v>
      </c>
      <c r="H3117" t="s">
        <v>109</v>
      </c>
      <c r="I3117" t="s">
        <v>108</v>
      </c>
      <c r="J3117">
        <v>2</v>
      </c>
      <c r="K3117">
        <v>15214.834999999999</v>
      </c>
      <c r="L3117">
        <v>16168.272999999999</v>
      </c>
      <c r="M3117">
        <v>17468.254000000001</v>
      </c>
      <c r="N3117">
        <v>17210.601999999999</v>
      </c>
      <c r="O3117">
        <v>17462.740000000002</v>
      </c>
      <c r="P3117">
        <v>18342.21</v>
      </c>
      <c r="Q3117">
        <v>19307.100999999999</v>
      </c>
      <c r="R3117">
        <v>20320.201000000001</v>
      </c>
      <c r="S3117">
        <v>21488.651000000002</v>
      </c>
      <c r="T3117">
        <v>22846.468000000001</v>
      </c>
      <c r="U3117">
        <v>24287.043000000001</v>
      </c>
      <c r="V3117">
        <v>25792.311000000002</v>
      </c>
      <c r="W3117">
        <v>27330.758000000002</v>
      </c>
      <c r="X3117">
        <v>28907.727999999999</v>
      </c>
      <c r="Y3117">
        <v>30516.598000000002</v>
      </c>
      <c r="Z3117">
        <v>32167.239000000001</v>
      </c>
      <c r="AA3117">
        <v>33859.839999999997</v>
      </c>
      <c r="AB3117">
        <v>35598.370000000003</v>
      </c>
      <c r="AC3117">
        <v>37387.214999999997</v>
      </c>
      <c r="AD3117">
        <v>39220.491999999998</v>
      </c>
    </row>
    <row r="3118" spans="2:30" x14ac:dyDescent="0.25">
      <c r="B3118" t="s">
        <v>133</v>
      </c>
      <c r="C3118" t="s">
        <v>3263</v>
      </c>
      <c r="D3118" t="s">
        <v>5458</v>
      </c>
      <c r="E3118" t="s">
        <v>5164</v>
      </c>
      <c r="F3118" t="s">
        <v>8844</v>
      </c>
      <c r="G3118" t="s">
        <v>3890</v>
      </c>
      <c r="H3118" t="s">
        <v>109</v>
      </c>
      <c r="I3118" t="s">
        <v>108</v>
      </c>
      <c r="J3118">
        <v>2</v>
      </c>
      <c r="K3118">
        <v>5389.2640000000001</v>
      </c>
      <c r="L3118">
        <v>6059.357</v>
      </c>
      <c r="M3118">
        <v>7304.8469999999998</v>
      </c>
      <c r="N3118">
        <v>7485.0290000000005</v>
      </c>
      <c r="O3118">
        <v>7286.7960000000003</v>
      </c>
      <c r="P3118">
        <v>7354.46</v>
      </c>
      <c r="Q3118">
        <v>7459.3739999999998</v>
      </c>
      <c r="R3118">
        <v>7557.4639999999999</v>
      </c>
      <c r="S3118">
        <v>7643.692</v>
      </c>
      <c r="T3118">
        <v>7733.8239999999996</v>
      </c>
      <c r="U3118">
        <v>7828.2510000000002</v>
      </c>
      <c r="V3118">
        <v>7926.576</v>
      </c>
      <c r="W3118">
        <v>8028.8019999999997</v>
      </c>
      <c r="X3118">
        <v>8135.3620000000001</v>
      </c>
      <c r="Y3118">
        <v>8245.8130000000001</v>
      </c>
      <c r="Z3118">
        <v>8360.2000000000007</v>
      </c>
      <c r="AA3118">
        <v>8478.1419999999998</v>
      </c>
      <c r="AB3118">
        <v>8599.6419999999998</v>
      </c>
      <c r="AC3118">
        <v>8724.68</v>
      </c>
      <c r="AD3118">
        <v>8853.0419999999995</v>
      </c>
    </row>
    <row r="3119" spans="2:30" x14ac:dyDescent="0.25">
      <c r="B3119" t="s">
        <v>133</v>
      </c>
      <c r="C3119" t="s">
        <v>3263</v>
      </c>
      <c r="D3119" t="s">
        <v>5459</v>
      </c>
      <c r="E3119" t="s">
        <v>5167</v>
      </c>
      <c r="F3119" t="s">
        <v>8845</v>
      </c>
      <c r="G3119" t="s">
        <v>3890</v>
      </c>
      <c r="H3119" t="s">
        <v>109</v>
      </c>
      <c r="I3119" t="s">
        <v>108</v>
      </c>
      <c r="J3119">
        <v>2</v>
      </c>
      <c r="K3119">
        <v>659.322</v>
      </c>
      <c r="L3119">
        <v>771.90700000000004</v>
      </c>
      <c r="M3119">
        <v>857.73800000000006</v>
      </c>
      <c r="N3119">
        <v>889.11699999999996</v>
      </c>
      <c r="O3119">
        <v>920.298</v>
      </c>
      <c r="P3119">
        <v>958.03800000000001</v>
      </c>
      <c r="Q3119">
        <v>1003.794</v>
      </c>
      <c r="R3119">
        <v>1048.7449999999999</v>
      </c>
      <c r="S3119">
        <v>1091.569</v>
      </c>
      <c r="T3119">
        <v>1135.684</v>
      </c>
      <c r="U3119">
        <v>1181.1569999999999</v>
      </c>
      <c r="V3119">
        <v>1228.0170000000001</v>
      </c>
      <c r="W3119">
        <v>1276.3810000000001</v>
      </c>
      <c r="X3119">
        <v>1326.482</v>
      </c>
      <c r="Y3119">
        <v>1378.3150000000001</v>
      </c>
      <c r="Z3119">
        <v>1431.9970000000001</v>
      </c>
      <c r="AA3119">
        <v>1487.5139999999999</v>
      </c>
      <c r="AB3119">
        <v>1544.9580000000001</v>
      </c>
      <c r="AC3119">
        <v>1604.41</v>
      </c>
      <c r="AD3119">
        <v>1665.8869999999999</v>
      </c>
    </row>
    <row r="3120" spans="2:30" x14ac:dyDescent="0.25">
      <c r="B3120" t="s">
        <v>133</v>
      </c>
      <c r="C3120" t="s">
        <v>3263</v>
      </c>
      <c r="D3120" t="s">
        <v>5460</v>
      </c>
      <c r="E3120" t="s">
        <v>5176</v>
      </c>
      <c r="F3120" t="s">
        <v>8848</v>
      </c>
      <c r="G3120" t="s">
        <v>3890</v>
      </c>
      <c r="H3120" t="s">
        <v>109</v>
      </c>
      <c r="I3120" t="s">
        <v>108</v>
      </c>
      <c r="J3120">
        <v>2</v>
      </c>
      <c r="K3120">
        <v>1529.27</v>
      </c>
      <c r="L3120">
        <v>1206.73</v>
      </c>
      <c r="M3120">
        <v>1313.405</v>
      </c>
      <c r="N3120">
        <v>1308.827</v>
      </c>
      <c r="O3120">
        <v>1304.2660000000001</v>
      </c>
      <c r="P3120">
        <v>1299.72</v>
      </c>
      <c r="Q3120">
        <v>1295.19</v>
      </c>
      <c r="R3120">
        <v>1290.6759999999999</v>
      </c>
      <c r="S3120">
        <v>1286.1780000000001</v>
      </c>
      <c r="T3120">
        <v>1281.6949999999999</v>
      </c>
      <c r="U3120">
        <v>1277.2280000000001</v>
      </c>
      <c r="V3120">
        <v>1272.777</v>
      </c>
      <c r="W3120">
        <v>1268.3409999999999</v>
      </c>
      <c r="X3120">
        <v>1263.921</v>
      </c>
      <c r="Y3120">
        <v>1259.5160000000001</v>
      </c>
      <c r="Z3120">
        <v>1255.126</v>
      </c>
      <c r="AA3120">
        <v>1250.752</v>
      </c>
      <c r="AB3120">
        <v>1246.393</v>
      </c>
      <c r="AC3120">
        <v>1242.049</v>
      </c>
      <c r="AD3120">
        <v>1237.72</v>
      </c>
    </row>
    <row r="3121" spans="2:30" x14ac:dyDescent="0.25">
      <c r="B3121" t="s">
        <v>133</v>
      </c>
      <c r="C3121" t="s">
        <v>3263</v>
      </c>
      <c r="D3121" t="s">
        <v>5461</v>
      </c>
      <c r="E3121" t="s">
        <v>5462</v>
      </c>
      <c r="F3121" t="s">
        <v>8932</v>
      </c>
      <c r="G3121" t="s">
        <v>3890</v>
      </c>
      <c r="H3121" t="s">
        <v>109</v>
      </c>
      <c r="I3121" t="s">
        <v>108</v>
      </c>
      <c r="J3121">
        <v>2</v>
      </c>
      <c r="K3121">
        <v>2179.63</v>
      </c>
      <c r="L3121">
        <v>2351.04</v>
      </c>
      <c r="M3121">
        <v>2312.6689999999999</v>
      </c>
      <c r="N3121">
        <v>3841.451</v>
      </c>
      <c r="O3121">
        <v>5517.1940000000004</v>
      </c>
      <c r="P3121">
        <v>6143.3459999999995</v>
      </c>
      <c r="Q3121">
        <v>6405.8410000000003</v>
      </c>
      <c r="R3121">
        <v>6841.2349999999997</v>
      </c>
      <c r="S3121">
        <v>7368.2809999999999</v>
      </c>
      <c r="T3121">
        <v>7933.232</v>
      </c>
      <c r="U3121">
        <v>8510.4060000000009</v>
      </c>
      <c r="V3121">
        <v>9104.2860000000001</v>
      </c>
      <c r="W3121">
        <v>9741.3070000000007</v>
      </c>
      <c r="X3121">
        <v>10437.269</v>
      </c>
      <c r="Y3121">
        <v>11212.597</v>
      </c>
      <c r="Z3121">
        <v>12077.753000000001</v>
      </c>
      <c r="AA3121">
        <v>13055.553</v>
      </c>
      <c r="AB3121">
        <v>14147.153</v>
      </c>
      <c r="AC3121">
        <v>15474.904</v>
      </c>
      <c r="AD3121">
        <v>17093.043000000001</v>
      </c>
    </row>
    <row r="3122" spans="2:30" x14ac:dyDescent="0.25">
      <c r="B3122" t="s">
        <v>133</v>
      </c>
      <c r="C3122" t="s">
        <v>3263</v>
      </c>
      <c r="D3122" t="s">
        <v>5464</v>
      </c>
      <c r="E3122" t="s">
        <v>5465</v>
      </c>
      <c r="F3122" t="s">
        <v>8933</v>
      </c>
      <c r="G3122" t="s">
        <v>3890</v>
      </c>
      <c r="H3122" t="s">
        <v>5467</v>
      </c>
      <c r="I3122" t="s">
        <v>5468</v>
      </c>
      <c r="J3122">
        <v>1</v>
      </c>
      <c r="K3122">
        <v>208.74</v>
      </c>
      <c r="L3122">
        <v>202.17599999999999</v>
      </c>
      <c r="M3122">
        <v>232.196</v>
      </c>
      <c r="N3122">
        <v>257.23</v>
      </c>
      <c r="O3122">
        <v>270.62900000000002</v>
      </c>
      <c r="P3122">
        <v>275.02</v>
      </c>
      <c r="Q3122">
        <v>282.76900000000001</v>
      </c>
      <c r="R3122">
        <v>292.86900000000003</v>
      </c>
      <c r="S3122">
        <v>303.31799999999998</v>
      </c>
      <c r="T3122">
        <v>314.24099999999999</v>
      </c>
      <c r="U3122">
        <v>325.73700000000002</v>
      </c>
      <c r="V3122">
        <v>338.34100000000001</v>
      </c>
      <c r="W3122">
        <v>352.28399999999999</v>
      </c>
      <c r="X3122">
        <v>367.97300000000001</v>
      </c>
      <c r="Y3122">
        <v>385.64800000000002</v>
      </c>
      <c r="Z3122">
        <v>405.738</v>
      </c>
      <c r="AA3122">
        <v>428.71600000000001</v>
      </c>
      <c r="AB3122">
        <v>455.17599999999999</v>
      </c>
      <c r="AC3122">
        <v>485.61</v>
      </c>
      <c r="AD3122">
        <v>519.1</v>
      </c>
    </row>
    <row r="3123" spans="2:30" x14ac:dyDescent="0.25">
      <c r="B3123" t="s">
        <v>133</v>
      </c>
      <c r="C3123" t="s">
        <v>3263</v>
      </c>
      <c r="D3123" t="s">
        <v>5469</v>
      </c>
      <c r="E3123" t="s">
        <v>5470</v>
      </c>
      <c r="F3123" t="s">
        <v>8934</v>
      </c>
      <c r="G3123" t="s">
        <v>3890</v>
      </c>
      <c r="H3123" t="s">
        <v>5467</v>
      </c>
      <c r="I3123" t="s">
        <v>5468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</row>
    <row r="3124" spans="2:30" x14ac:dyDescent="0.25">
      <c r="B3124" t="s">
        <v>133</v>
      </c>
      <c r="C3124" t="s">
        <v>3263</v>
      </c>
      <c r="D3124" t="s">
        <v>5472</v>
      </c>
      <c r="E3124" t="s">
        <v>5473</v>
      </c>
      <c r="F3124" t="s">
        <v>8935</v>
      </c>
      <c r="G3124" t="s">
        <v>3890</v>
      </c>
      <c r="H3124" t="s">
        <v>5467</v>
      </c>
      <c r="I3124" t="s">
        <v>5468</v>
      </c>
      <c r="J3124">
        <v>1</v>
      </c>
      <c r="K3124">
        <v>165.38399999999999</v>
      </c>
      <c r="L3124">
        <v>157.30799999999999</v>
      </c>
      <c r="M3124">
        <v>188.27600000000001</v>
      </c>
      <c r="N3124">
        <v>191.96899999999999</v>
      </c>
      <c r="O3124">
        <v>186.31800000000001</v>
      </c>
      <c r="P3124">
        <v>183.922</v>
      </c>
      <c r="Q3124">
        <v>188.53800000000001</v>
      </c>
      <c r="R3124">
        <v>194.00299999999999</v>
      </c>
      <c r="S3124">
        <v>198.678</v>
      </c>
      <c r="T3124">
        <v>203.51599999999999</v>
      </c>
      <c r="U3124">
        <v>208.74</v>
      </c>
      <c r="V3124">
        <v>214.828</v>
      </c>
      <c r="W3124">
        <v>221.75700000000001</v>
      </c>
      <c r="X3124">
        <v>229.80699999999999</v>
      </c>
      <c r="Y3124">
        <v>239.01300000000001</v>
      </c>
      <c r="Z3124">
        <v>249.68899999999999</v>
      </c>
      <c r="AA3124">
        <v>262.07400000000001</v>
      </c>
      <c r="AB3124">
        <v>276.524</v>
      </c>
      <c r="AC3124">
        <v>293.45800000000003</v>
      </c>
      <c r="AD3124">
        <v>310.44299999999998</v>
      </c>
    </row>
    <row r="3125" spans="2:30" x14ac:dyDescent="0.25">
      <c r="B3125" t="s">
        <v>133</v>
      </c>
      <c r="C3125" t="s">
        <v>3263</v>
      </c>
      <c r="D3125" t="s">
        <v>5475</v>
      </c>
      <c r="E3125" t="s">
        <v>5476</v>
      </c>
      <c r="F3125" t="s">
        <v>8936</v>
      </c>
      <c r="G3125" t="s">
        <v>3890</v>
      </c>
      <c r="H3125" t="s">
        <v>5467</v>
      </c>
      <c r="I3125" t="s">
        <v>5468</v>
      </c>
      <c r="J3125">
        <v>1</v>
      </c>
      <c r="K3125">
        <v>18.006</v>
      </c>
      <c r="L3125">
        <v>17.527000000000001</v>
      </c>
      <c r="M3125">
        <v>17.026</v>
      </c>
      <c r="N3125">
        <v>20.585999999999999</v>
      </c>
      <c r="O3125">
        <v>20.190999999999999</v>
      </c>
      <c r="P3125">
        <v>19.742999999999999</v>
      </c>
      <c r="Q3125">
        <v>19.254000000000001</v>
      </c>
      <c r="R3125">
        <v>18.8</v>
      </c>
      <c r="S3125">
        <v>18.373000000000001</v>
      </c>
      <c r="T3125">
        <v>17.959</v>
      </c>
      <c r="U3125">
        <v>17.562000000000001</v>
      </c>
      <c r="V3125">
        <v>17.181999999999999</v>
      </c>
      <c r="W3125">
        <v>16.821000000000002</v>
      </c>
      <c r="X3125">
        <v>16.48</v>
      </c>
      <c r="Y3125">
        <v>16.16</v>
      </c>
      <c r="Z3125">
        <v>15.863</v>
      </c>
      <c r="AA3125">
        <v>15.590999999999999</v>
      </c>
      <c r="AB3125">
        <v>15.345000000000001</v>
      </c>
      <c r="AC3125">
        <v>15.127000000000001</v>
      </c>
      <c r="AD3125">
        <v>14.94</v>
      </c>
    </row>
    <row r="3126" spans="2:30" x14ac:dyDescent="0.25">
      <c r="B3126" t="s">
        <v>133</v>
      </c>
      <c r="C3126" t="s">
        <v>3263</v>
      </c>
      <c r="D3126" t="s">
        <v>5478</v>
      </c>
      <c r="E3126" t="s">
        <v>5479</v>
      </c>
      <c r="F3126" t="s">
        <v>8937</v>
      </c>
      <c r="G3126" t="s">
        <v>3890</v>
      </c>
      <c r="H3126" t="s">
        <v>5467</v>
      </c>
      <c r="I3126" t="s">
        <v>5468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</row>
    <row r="3127" spans="2:30" x14ac:dyDescent="0.25">
      <c r="B3127" t="s">
        <v>133</v>
      </c>
      <c r="C3127" t="s">
        <v>3263</v>
      </c>
      <c r="D3127" t="s">
        <v>5481</v>
      </c>
      <c r="E3127" t="s">
        <v>5482</v>
      </c>
      <c r="F3127" t="s">
        <v>8938</v>
      </c>
      <c r="G3127" t="s">
        <v>3890</v>
      </c>
      <c r="H3127" t="s">
        <v>5467</v>
      </c>
      <c r="I3127" t="s">
        <v>5468</v>
      </c>
      <c r="J3127">
        <v>1</v>
      </c>
      <c r="K3127">
        <v>5.8109999999999999</v>
      </c>
      <c r="L3127">
        <v>7.1920000000000002</v>
      </c>
      <c r="M3127">
        <v>6.952</v>
      </c>
      <c r="N3127">
        <v>10.766999999999999</v>
      </c>
      <c r="O3127">
        <v>14.978</v>
      </c>
      <c r="P3127">
        <v>19.523</v>
      </c>
      <c r="Q3127">
        <v>21.742999999999999</v>
      </c>
      <c r="R3127">
        <v>24.707999999999998</v>
      </c>
      <c r="S3127">
        <v>28.148</v>
      </c>
      <c r="T3127">
        <v>31.581</v>
      </c>
      <c r="U3127">
        <v>35.052999999999997</v>
      </c>
      <c r="V3127">
        <v>38.595999999999997</v>
      </c>
      <c r="W3127">
        <v>42.343000000000004</v>
      </c>
      <c r="X3127">
        <v>46.35</v>
      </c>
      <c r="Y3127">
        <v>50.713999999999999</v>
      </c>
      <c r="Z3127">
        <v>55.487000000000002</v>
      </c>
      <c r="AA3127">
        <v>60.774999999999999</v>
      </c>
      <c r="AB3127">
        <v>66.691000000000003</v>
      </c>
      <c r="AC3127">
        <v>72.968000000000004</v>
      </c>
      <c r="AD3127">
        <v>79.566000000000003</v>
      </c>
    </row>
    <row r="3128" spans="2:30" x14ac:dyDescent="0.25">
      <c r="B3128" t="s">
        <v>133</v>
      </c>
      <c r="C3128" t="s">
        <v>3263</v>
      </c>
      <c r="D3128" t="s">
        <v>5484</v>
      </c>
      <c r="E3128" t="s">
        <v>5485</v>
      </c>
      <c r="F3128" t="s">
        <v>8939</v>
      </c>
      <c r="G3128" t="s">
        <v>3890</v>
      </c>
      <c r="H3128" t="s">
        <v>5467</v>
      </c>
      <c r="I3128" t="s">
        <v>5468</v>
      </c>
      <c r="J3128">
        <v>1</v>
      </c>
      <c r="K3128">
        <v>4.8929999999999998</v>
      </c>
      <c r="L3128">
        <v>5.1619999999999999</v>
      </c>
      <c r="M3128">
        <v>4.9550000000000001</v>
      </c>
      <c r="N3128">
        <v>8.8030000000000008</v>
      </c>
      <c r="O3128">
        <v>13.021000000000001</v>
      </c>
      <c r="P3128">
        <v>14.672000000000001</v>
      </c>
      <c r="Q3128">
        <v>15.468</v>
      </c>
      <c r="R3128">
        <v>16.826000000000001</v>
      </c>
      <c r="S3128">
        <v>18.71</v>
      </c>
      <c r="T3128">
        <v>20.882999999999999</v>
      </c>
      <c r="U3128">
        <v>23.148</v>
      </c>
      <c r="V3128">
        <v>25.530999999999999</v>
      </c>
      <c r="W3128">
        <v>28.122</v>
      </c>
      <c r="X3128">
        <v>30.981999999999999</v>
      </c>
      <c r="Y3128">
        <v>34.195999999999998</v>
      </c>
      <c r="Z3128">
        <v>37.816000000000003</v>
      </c>
      <c r="AA3128">
        <v>41.948</v>
      </c>
      <c r="AB3128">
        <v>46.688000000000002</v>
      </c>
      <c r="AC3128">
        <v>52.363</v>
      </c>
      <c r="AD3128">
        <v>59.298000000000002</v>
      </c>
    </row>
    <row r="3129" spans="2:30" x14ac:dyDescent="0.25">
      <c r="B3129" t="s">
        <v>133</v>
      </c>
      <c r="C3129" t="s">
        <v>3263</v>
      </c>
      <c r="D3129" t="s">
        <v>5487</v>
      </c>
      <c r="E3129" t="s">
        <v>5488</v>
      </c>
      <c r="F3129" t="s">
        <v>8940</v>
      </c>
      <c r="G3129" t="s">
        <v>3890</v>
      </c>
      <c r="H3129" t="s">
        <v>5467</v>
      </c>
      <c r="I3129" t="s">
        <v>5468</v>
      </c>
      <c r="J3129">
        <v>1</v>
      </c>
      <c r="K3129">
        <v>14.646000000000001</v>
      </c>
      <c r="L3129">
        <v>14.987</v>
      </c>
      <c r="M3129">
        <v>14.987</v>
      </c>
      <c r="N3129">
        <v>25.103999999999999</v>
      </c>
      <c r="O3129">
        <v>36.119999999999997</v>
      </c>
      <c r="P3129">
        <v>37.161000000000001</v>
      </c>
      <c r="Q3129">
        <v>37.765000000000001</v>
      </c>
      <c r="R3129">
        <v>38.531999999999996</v>
      </c>
      <c r="S3129">
        <v>39.408999999999999</v>
      </c>
      <c r="T3129">
        <v>40.302999999999997</v>
      </c>
      <c r="U3129">
        <v>41.232999999999997</v>
      </c>
      <c r="V3129">
        <v>42.204000000000001</v>
      </c>
      <c r="W3129">
        <v>43.241</v>
      </c>
      <c r="X3129">
        <v>44.354999999999997</v>
      </c>
      <c r="Y3129">
        <v>45.564</v>
      </c>
      <c r="Z3129">
        <v>46.881999999999998</v>
      </c>
      <c r="AA3129">
        <v>48.329000000000001</v>
      </c>
      <c r="AB3129">
        <v>49.927</v>
      </c>
      <c r="AC3129">
        <v>51.694000000000003</v>
      </c>
      <c r="AD3129">
        <v>54.853000000000002</v>
      </c>
    </row>
    <row r="3130" spans="2:30" x14ac:dyDescent="0.25">
      <c r="B3130" t="s">
        <v>133</v>
      </c>
      <c r="C3130" t="s">
        <v>3263</v>
      </c>
      <c r="D3130" t="s">
        <v>5490</v>
      </c>
      <c r="E3130" t="s">
        <v>5491</v>
      </c>
      <c r="F3130" t="s">
        <v>8941</v>
      </c>
      <c r="G3130" t="s">
        <v>3890</v>
      </c>
      <c r="H3130" t="s">
        <v>5467</v>
      </c>
      <c r="I3130" t="s">
        <v>5468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</row>
    <row r="3131" spans="2:30" x14ac:dyDescent="0.25">
      <c r="B3131" t="s">
        <v>133</v>
      </c>
      <c r="C3131" t="s">
        <v>3263</v>
      </c>
      <c r="D3131" t="s">
        <v>5493</v>
      </c>
      <c r="E3131" t="s">
        <v>5494</v>
      </c>
      <c r="F3131" t="s">
        <v>8942</v>
      </c>
      <c r="G3131" t="s">
        <v>3890</v>
      </c>
      <c r="H3131" t="s">
        <v>5467</v>
      </c>
      <c r="I3131" t="s">
        <v>5468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</row>
    <row r="3132" spans="2:30" x14ac:dyDescent="0.25">
      <c r="B3132" t="s">
        <v>133</v>
      </c>
      <c r="C3132" t="s">
        <v>3263</v>
      </c>
      <c r="D3132" t="s">
        <v>5496</v>
      </c>
      <c r="E3132" t="s">
        <v>5497</v>
      </c>
      <c r="F3132" t="s">
        <v>8943</v>
      </c>
      <c r="G3132" t="s">
        <v>3890</v>
      </c>
      <c r="H3132" t="s">
        <v>5467</v>
      </c>
      <c r="I3132" t="s">
        <v>5468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</row>
    <row r="3133" spans="2:30" x14ac:dyDescent="0.25">
      <c r="B3133" t="s">
        <v>133</v>
      </c>
      <c r="C3133" t="s">
        <v>3263</v>
      </c>
      <c r="D3133" t="s">
        <v>5499</v>
      </c>
      <c r="E3133" t="s">
        <v>5500</v>
      </c>
      <c r="F3133" t="s">
        <v>8944</v>
      </c>
      <c r="G3133" t="s">
        <v>3890</v>
      </c>
      <c r="H3133" t="s">
        <v>5467</v>
      </c>
      <c r="I3133" t="s">
        <v>5468</v>
      </c>
      <c r="J3133">
        <v>2</v>
      </c>
      <c r="K3133">
        <v>208.74</v>
      </c>
      <c r="L3133">
        <v>202.17599999999999</v>
      </c>
      <c r="M3133">
        <v>232.196</v>
      </c>
      <c r="N3133">
        <v>257.23</v>
      </c>
      <c r="O3133">
        <v>270.71899999999999</v>
      </c>
      <c r="P3133">
        <v>273.69200000000001</v>
      </c>
      <c r="Q3133">
        <v>281.33800000000002</v>
      </c>
      <c r="R3133">
        <v>291.22199999999998</v>
      </c>
      <c r="S3133">
        <v>301.78500000000003</v>
      </c>
      <c r="T3133">
        <v>312.76100000000002</v>
      </c>
      <c r="U3133">
        <v>324.22800000000001</v>
      </c>
      <c r="V3133">
        <v>336.85199999999998</v>
      </c>
      <c r="W3133">
        <v>350.98899999999998</v>
      </c>
      <c r="X3133">
        <v>367.12</v>
      </c>
      <c r="Y3133">
        <v>385.49599999999998</v>
      </c>
      <c r="Z3133">
        <v>406.61500000000001</v>
      </c>
      <c r="AA3133">
        <v>430.95800000000003</v>
      </c>
      <c r="AB3133">
        <v>459.15600000000001</v>
      </c>
      <c r="AC3133">
        <v>491.72</v>
      </c>
      <c r="AD3133">
        <v>527.75599999999997</v>
      </c>
    </row>
    <row r="3134" spans="2:30" x14ac:dyDescent="0.25">
      <c r="B3134" t="s">
        <v>133</v>
      </c>
      <c r="C3134" t="s">
        <v>3263</v>
      </c>
      <c r="D3134" t="s">
        <v>5502</v>
      </c>
      <c r="E3134" t="s">
        <v>5503</v>
      </c>
      <c r="F3134" t="s">
        <v>8945</v>
      </c>
      <c r="G3134" t="s">
        <v>3890</v>
      </c>
      <c r="H3134" t="s">
        <v>5467</v>
      </c>
      <c r="I3134" t="s">
        <v>5468</v>
      </c>
      <c r="J3134">
        <v>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</row>
    <row r="3135" spans="2:30" x14ac:dyDescent="0.25">
      <c r="B3135" t="s">
        <v>133</v>
      </c>
      <c r="C3135" t="s">
        <v>3263</v>
      </c>
      <c r="D3135" t="s">
        <v>5505</v>
      </c>
      <c r="E3135" t="s">
        <v>5506</v>
      </c>
      <c r="F3135" t="s">
        <v>8946</v>
      </c>
      <c r="G3135" t="s">
        <v>3890</v>
      </c>
      <c r="H3135" t="s">
        <v>5467</v>
      </c>
      <c r="I3135" t="s">
        <v>5468</v>
      </c>
      <c r="J3135">
        <v>2</v>
      </c>
      <c r="K3135">
        <v>165.38399999999999</v>
      </c>
      <c r="L3135">
        <v>157.31200000000001</v>
      </c>
      <c r="M3135">
        <v>188.279</v>
      </c>
      <c r="N3135">
        <v>191.97300000000001</v>
      </c>
      <c r="O3135">
        <v>186.41200000000001</v>
      </c>
      <c r="P3135">
        <v>182.583</v>
      </c>
      <c r="Q3135">
        <v>187.69</v>
      </c>
      <c r="R3135">
        <v>192.99299999999999</v>
      </c>
      <c r="S3135">
        <v>197.89</v>
      </c>
      <c r="T3135">
        <v>202.74700000000001</v>
      </c>
      <c r="U3135">
        <v>207.94200000000001</v>
      </c>
      <c r="V3135">
        <v>214.08799999999999</v>
      </c>
      <c r="W3135">
        <v>221.23400000000001</v>
      </c>
      <c r="X3135">
        <v>229.67500000000001</v>
      </c>
      <c r="Y3135">
        <v>239.42400000000001</v>
      </c>
      <c r="Z3135">
        <v>250.858</v>
      </c>
      <c r="AA3135">
        <v>264.19200000000001</v>
      </c>
      <c r="AB3135">
        <v>280.04399999999998</v>
      </c>
      <c r="AC3135">
        <v>297.5</v>
      </c>
      <c r="AD3135">
        <v>315.03800000000001</v>
      </c>
    </row>
    <row r="3136" spans="2:30" x14ac:dyDescent="0.25">
      <c r="B3136" t="s">
        <v>133</v>
      </c>
      <c r="C3136" t="s">
        <v>3263</v>
      </c>
      <c r="D3136" t="s">
        <v>5508</v>
      </c>
      <c r="E3136" t="s">
        <v>5509</v>
      </c>
      <c r="F3136" t="s">
        <v>8947</v>
      </c>
      <c r="G3136" t="s">
        <v>3890</v>
      </c>
      <c r="H3136" t="s">
        <v>5467</v>
      </c>
      <c r="I3136" t="s">
        <v>5468</v>
      </c>
      <c r="J3136">
        <v>2</v>
      </c>
      <c r="K3136">
        <v>18.006</v>
      </c>
      <c r="L3136">
        <v>17.521000000000001</v>
      </c>
      <c r="M3136">
        <v>17.021000000000001</v>
      </c>
      <c r="N3136">
        <v>20.581</v>
      </c>
      <c r="O3136">
        <v>20.141999999999999</v>
      </c>
      <c r="P3136">
        <v>19.661999999999999</v>
      </c>
      <c r="Q3136">
        <v>19.148</v>
      </c>
      <c r="R3136">
        <v>18.664999999999999</v>
      </c>
      <c r="S3136">
        <v>18.202000000000002</v>
      </c>
      <c r="T3136">
        <v>17.751000000000001</v>
      </c>
      <c r="U3136">
        <v>17.309999999999999</v>
      </c>
      <c r="V3136">
        <v>16.881</v>
      </c>
      <c r="W3136">
        <v>16.463999999999999</v>
      </c>
      <c r="X3136">
        <v>16.059999999999999</v>
      </c>
      <c r="Y3136">
        <v>15.67</v>
      </c>
      <c r="Z3136">
        <v>15.292999999999999</v>
      </c>
      <c r="AA3136">
        <v>14.93</v>
      </c>
      <c r="AB3136">
        <v>14.581</v>
      </c>
      <c r="AC3136">
        <v>14.246</v>
      </c>
      <c r="AD3136">
        <v>13.926</v>
      </c>
    </row>
    <row r="3137" spans="2:30" x14ac:dyDescent="0.25">
      <c r="B3137" t="s">
        <v>133</v>
      </c>
      <c r="C3137" t="s">
        <v>3263</v>
      </c>
      <c r="D3137" t="s">
        <v>5511</v>
      </c>
      <c r="E3137" t="s">
        <v>5512</v>
      </c>
      <c r="F3137" t="s">
        <v>8948</v>
      </c>
      <c r="G3137" t="s">
        <v>3890</v>
      </c>
      <c r="H3137" t="s">
        <v>5467</v>
      </c>
      <c r="I3137" t="s">
        <v>5468</v>
      </c>
      <c r="J3137">
        <v>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</row>
    <row r="3138" spans="2:30" x14ac:dyDescent="0.25">
      <c r="B3138" t="s">
        <v>133</v>
      </c>
      <c r="C3138" t="s">
        <v>3263</v>
      </c>
      <c r="D3138" t="s">
        <v>5514</v>
      </c>
      <c r="E3138" t="s">
        <v>5515</v>
      </c>
      <c r="F3138" t="s">
        <v>8949</v>
      </c>
      <c r="G3138" t="s">
        <v>3890</v>
      </c>
      <c r="H3138" t="s">
        <v>5467</v>
      </c>
      <c r="I3138" t="s">
        <v>5468</v>
      </c>
      <c r="J3138">
        <v>2</v>
      </c>
      <c r="K3138">
        <v>5.8109999999999999</v>
      </c>
      <c r="L3138">
        <v>7.1929999999999996</v>
      </c>
      <c r="M3138">
        <v>6.9539999999999997</v>
      </c>
      <c r="N3138">
        <v>10.768000000000001</v>
      </c>
      <c r="O3138">
        <v>14.98</v>
      </c>
      <c r="P3138">
        <v>19.550999999999998</v>
      </c>
      <c r="Q3138">
        <v>21.434999999999999</v>
      </c>
      <c r="R3138">
        <v>24.387</v>
      </c>
      <c r="S3138">
        <v>27.79</v>
      </c>
      <c r="T3138">
        <v>31.262</v>
      </c>
      <c r="U3138">
        <v>34.761000000000003</v>
      </c>
      <c r="V3138">
        <v>38.311999999999998</v>
      </c>
      <c r="W3138">
        <v>42.078000000000003</v>
      </c>
      <c r="X3138">
        <v>46.145000000000003</v>
      </c>
      <c r="Y3138">
        <v>50.628999999999998</v>
      </c>
      <c r="Z3138">
        <v>55.581000000000003</v>
      </c>
      <c r="AA3138">
        <v>61.124000000000002</v>
      </c>
      <c r="AB3138">
        <v>67.144999999999996</v>
      </c>
      <c r="AC3138">
        <v>73.451999999999998</v>
      </c>
      <c r="AD3138">
        <v>80.113</v>
      </c>
    </row>
    <row r="3139" spans="2:30" x14ac:dyDescent="0.25">
      <c r="B3139" t="s">
        <v>133</v>
      </c>
      <c r="C3139" t="s">
        <v>3263</v>
      </c>
      <c r="D3139" t="s">
        <v>5517</v>
      </c>
      <c r="E3139" t="s">
        <v>5518</v>
      </c>
      <c r="F3139" t="s">
        <v>8950</v>
      </c>
      <c r="G3139" t="s">
        <v>3890</v>
      </c>
      <c r="H3139" t="s">
        <v>5467</v>
      </c>
      <c r="I3139" t="s">
        <v>5468</v>
      </c>
      <c r="J3139">
        <v>2</v>
      </c>
      <c r="K3139">
        <v>4.8929999999999998</v>
      </c>
      <c r="L3139">
        <v>5.1619999999999999</v>
      </c>
      <c r="M3139">
        <v>4.9550000000000001</v>
      </c>
      <c r="N3139">
        <v>8.8040000000000003</v>
      </c>
      <c r="O3139">
        <v>13.022</v>
      </c>
      <c r="P3139">
        <v>14.685</v>
      </c>
      <c r="Q3139">
        <v>15.319000000000001</v>
      </c>
      <c r="R3139">
        <v>16.670999999999999</v>
      </c>
      <c r="S3139">
        <v>18.532</v>
      </c>
      <c r="T3139">
        <v>20.731000000000002</v>
      </c>
      <c r="U3139">
        <v>23.013000000000002</v>
      </c>
      <c r="V3139">
        <v>25.399000000000001</v>
      </c>
      <c r="W3139">
        <v>28.003</v>
      </c>
      <c r="X3139">
        <v>30.905999999999999</v>
      </c>
      <c r="Y3139">
        <v>34.207999999999998</v>
      </c>
      <c r="Z3139">
        <v>37.963000000000001</v>
      </c>
      <c r="AA3139">
        <v>42.292999999999999</v>
      </c>
      <c r="AB3139">
        <v>47.298999999999999</v>
      </c>
      <c r="AC3139">
        <v>53.951999999999998</v>
      </c>
      <c r="AD3139">
        <v>60.904000000000003</v>
      </c>
    </row>
    <row r="3140" spans="2:30" x14ac:dyDescent="0.25">
      <c r="B3140" t="s">
        <v>133</v>
      </c>
      <c r="C3140" t="s">
        <v>3263</v>
      </c>
      <c r="D3140" t="s">
        <v>5520</v>
      </c>
      <c r="E3140" t="s">
        <v>5521</v>
      </c>
      <c r="F3140" t="s">
        <v>8951</v>
      </c>
      <c r="G3140" t="s">
        <v>3890</v>
      </c>
      <c r="H3140" t="s">
        <v>5467</v>
      </c>
      <c r="I3140" t="s">
        <v>5468</v>
      </c>
      <c r="J3140">
        <v>2</v>
      </c>
      <c r="K3140">
        <v>14.646000000000001</v>
      </c>
      <c r="L3140">
        <v>14.987</v>
      </c>
      <c r="M3140">
        <v>14.987</v>
      </c>
      <c r="N3140">
        <v>25.103999999999999</v>
      </c>
      <c r="O3140">
        <v>36.164000000000001</v>
      </c>
      <c r="P3140">
        <v>37.210999999999999</v>
      </c>
      <c r="Q3140">
        <v>37.746000000000002</v>
      </c>
      <c r="R3140">
        <v>38.506</v>
      </c>
      <c r="S3140">
        <v>39.372</v>
      </c>
      <c r="T3140">
        <v>40.270000000000003</v>
      </c>
      <c r="U3140">
        <v>41.201999999999998</v>
      </c>
      <c r="V3140">
        <v>42.171999999999997</v>
      </c>
      <c r="W3140">
        <v>43.21</v>
      </c>
      <c r="X3140">
        <v>44.334000000000003</v>
      </c>
      <c r="Y3140">
        <v>45.566000000000003</v>
      </c>
      <c r="Z3140">
        <v>46.92</v>
      </c>
      <c r="AA3140">
        <v>48.418999999999997</v>
      </c>
      <c r="AB3140">
        <v>50.088000000000001</v>
      </c>
      <c r="AC3140">
        <v>52.569000000000003</v>
      </c>
      <c r="AD3140">
        <v>57.774999999999999</v>
      </c>
    </row>
    <row r="3141" spans="2:30" x14ac:dyDescent="0.25">
      <c r="B3141" t="s">
        <v>133</v>
      </c>
      <c r="C3141" t="s">
        <v>3263</v>
      </c>
      <c r="D3141" t="s">
        <v>5523</v>
      </c>
      <c r="E3141" t="s">
        <v>5524</v>
      </c>
      <c r="F3141" t="s">
        <v>8952</v>
      </c>
      <c r="G3141" t="s">
        <v>3890</v>
      </c>
      <c r="H3141" t="s">
        <v>5467</v>
      </c>
      <c r="I3141" t="s">
        <v>5468</v>
      </c>
      <c r="J3141">
        <v>2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</row>
    <row r="3142" spans="2:30" x14ac:dyDescent="0.25">
      <c r="B3142" t="s">
        <v>133</v>
      </c>
      <c r="C3142" t="s">
        <v>3263</v>
      </c>
      <c r="D3142" t="s">
        <v>5526</v>
      </c>
      <c r="E3142" t="s">
        <v>5527</v>
      </c>
      <c r="F3142" t="s">
        <v>8953</v>
      </c>
      <c r="G3142" t="s">
        <v>3890</v>
      </c>
      <c r="H3142" t="s">
        <v>5467</v>
      </c>
      <c r="I3142" t="s">
        <v>5468</v>
      </c>
      <c r="J3142">
        <v>2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</row>
    <row r="3143" spans="2:30" x14ac:dyDescent="0.25">
      <c r="B3143" t="s">
        <v>133</v>
      </c>
      <c r="C3143" t="s">
        <v>3263</v>
      </c>
      <c r="D3143" t="s">
        <v>5529</v>
      </c>
      <c r="E3143" t="s">
        <v>5530</v>
      </c>
      <c r="F3143" t="s">
        <v>8954</v>
      </c>
      <c r="G3143" t="s">
        <v>3890</v>
      </c>
      <c r="H3143" t="s">
        <v>5467</v>
      </c>
      <c r="I3143" t="s">
        <v>5468</v>
      </c>
      <c r="J3143">
        <v>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</row>
    <row r="3144" spans="2:30" x14ac:dyDescent="0.25">
      <c r="B3144" t="s">
        <v>133</v>
      </c>
      <c r="C3144" t="s">
        <v>3263</v>
      </c>
      <c r="D3144" t="s">
        <v>5532</v>
      </c>
      <c r="E3144" t="s">
        <v>5533</v>
      </c>
      <c r="F3144" t="s">
        <v>8955</v>
      </c>
      <c r="G3144" t="s">
        <v>3890</v>
      </c>
      <c r="H3144" t="s">
        <v>109</v>
      </c>
      <c r="I3144" t="s">
        <v>108</v>
      </c>
      <c r="J3144">
        <v>2</v>
      </c>
      <c r="K3144">
        <v>0.33900000000000002</v>
      </c>
      <c r="L3144">
        <v>0.32700000000000001</v>
      </c>
      <c r="M3144">
        <v>0.32</v>
      </c>
      <c r="N3144">
        <v>0.309</v>
      </c>
      <c r="O3144">
        <v>0.315</v>
      </c>
      <c r="P3144">
        <v>0.34499999999999997</v>
      </c>
      <c r="Q3144">
        <v>0.379</v>
      </c>
      <c r="R3144">
        <v>0.41399999999999998</v>
      </c>
      <c r="S3144">
        <v>0.45700000000000002</v>
      </c>
      <c r="T3144">
        <v>0.50700000000000001</v>
      </c>
      <c r="U3144">
        <v>0.56100000000000005</v>
      </c>
      <c r="V3144">
        <v>0.61899999999999999</v>
      </c>
      <c r="W3144">
        <v>0.67900000000000005</v>
      </c>
      <c r="X3144">
        <v>0.74299999999999999</v>
      </c>
      <c r="Y3144">
        <v>0.80900000000000005</v>
      </c>
      <c r="Z3144">
        <v>0.877</v>
      </c>
      <c r="AA3144">
        <v>0.94899999999999995</v>
      </c>
      <c r="AB3144">
        <v>1.024</v>
      </c>
      <c r="AC3144">
        <v>1.101</v>
      </c>
      <c r="AD3144">
        <v>1.18</v>
      </c>
    </row>
    <row r="3145" spans="2:30" x14ac:dyDescent="0.25">
      <c r="B3145" t="s">
        <v>133</v>
      </c>
      <c r="C3145" t="s">
        <v>3263</v>
      </c>
      <c r="D3145" t="s">
        <v>5535</v>
      </c>
      <c r="E3145" t="s">
        <v>5536</v>
      </c>
      <c r="F3145" t="s">
        <v>8956</v>
      </c>
      <c r="G3145" t="s">
        <v>3890</v>
      </c>
      <c r="H3145" t="s">
        <v>109</v>
      </c>
      <c r="I3145" t="s">
        <v>108</v>
      </c>
      <c r="J3145">
        <v>2</v>
      </c>
      <c r="K3145">
        <v>495.238</v>
      </c>
      <c r="L3145">
        <v>484.52</v>
      </c>
      <c r="M3145">
        <v>472.24900000000002</v>
      </c>
      <c r="N3145">
        <v>454.66399999999999</v>
      </c>
      <c r="O3145">
        <v>464.01499999999999</v>
      </c>
      <c r="P3145">
        <v>509.71</v>
      </c>
      <c r="Q3145">
        <v>559.66700000000003</v>
      </c>
      <c r="R3145">
        <v>614.03399999999999</v>
      </c>
      <c r="S3145">
        <v>678.74699999999996</v>
      </c>
      <c r="T3145">
        <v>755.05200000000002</v>
      </c>
      <c r="U3145">
        <v>837.49400000000003</v>
      </c>
      <c r="V3145">
        <v>925.697</v>
      </c>
      <c r="W3145">
        <v>1019.207</v>
      </c>
      <c r="X3145">
        <v>1117.607</v>
      </c>
      <c r="Y3145">
        <v>1220.306</v>
      </c>
      <c r="Z3145">
        <v>1328.309</v>
      </c>
      <c r="AA3145">
        <v>1441.4860000000001</v>
      </c>
      <c r="AB3145">
        <v>1559.723</v>
      </c>
      <c r="AC3145">
        <v>1682.982</v>
      </c>
      <c r="AD3145">
        <v>1809.1769999999999</v>
      </c>
    </row>
    <row r="3146" spans="2:30" x14ac:dyDescent="0.25">
      <c r="B3146" t="s">
        <v>133</v>
      </c>
      <c r="C3146" t="s">
        <v>3263</v>
      </c>
      <c r="D3146" t="s">
        <v>5538</v>
      </c>
      <c r="E3146">
        <v>0</v>
      </c>
      <c r="F3146" t="s">
        <v>8957</v>
      </c>
      <c r="G3146" t="s">
        <v>3890</v>
      </c>
      <c r="H3146" t="s">
        <v>109</v>
      </c>
      <c r="I3146" t="s">
        <v>108</v>
      </c>
      <c r="J3146">
        <v>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</row>
    <row r="3147" spans="2:30" x14ac:dyDescent="0.25">
      <c r="B3147" t="s">
        <v>133</v>
      </c>
      <c r="C3147" t="s">
        <v>3263</v>
      </c>
      <c r="D3147" t="s">
        <v>5540</v>
      </c>
      <c r="E3147">
        <v>0</v>
      </c>
      <c r="F3147" t="s">
        <v>8957</v>
      </c>
      <c r="G3147" t="s">
        <v>3890</v>
      </c>
      <c r="H3147" t="s">
        <v>109</v>
      </c>
      <c r="I3147" t="s">
        <v>108</v>
      </c>
      <c r="J3147">
        <v>2</v>
      </c>
      <c r="K3147">
        <v>0.02</v>
      </c>
      <c r="L3147">
        <v>2.5000000000000001E-2</v>
      </c>
      <c r="M3147">
        <v>3.4000000000000002E-2</v>
      </c>
      <c r="N3147">
        <v>4.3999999999999997E-2</v>
      </c>
      <c r="O3147">
        <v>7.1999999999999995E-2</v>
      </c>
      <c r="P3147">
        <v>0.13100000000000001</v>
      </c>
      <c r="Q3147">
        <v>0.251</v>
      </c>
      <c r="R3147">
        <v>0.48799999999999999</v>
      </c>
      <c r="S3147">
        <v>0.95499999999999996</v>
      </c>
      <c r="T3147">
        <v>1.8089999999999999</v>
      </c>
      <c r="U3147">
        <v>3.2519999999999998</v>
      </c>
      <c r="V3147">
        <v>5.5670000000000002</v>
      </c>
      <c r="W3147">
        <v>8.9619999999999997</v>
      </c>
      <c r="X3147">
        <v>13.721</v>
      </c>
      <c r="Y3147">
        <v>20.061</v>
      </c>
      <c r="Z3147">
        <v>28.314</v>
      </c>
      <c r="AA3147">
        <v>38.887</v>
      </c>
      <c r="AB3147">
        <v>52.259</v>
      </c>
      <c r="AC3147">
        <v>68.828000000000003</v>
      </c>
      <c r="AD3147">
        <v>87.84</v>
      </c>
    </row>
    <row r="3148" spans="2:30" x14ac:dyDescent="0.25">
      <c r="B3148" t="s">
        <v>133</v>
      </c>
      <c r="C3148" t="s">
        <v>3263</v>
      </c>
      <c r="D3148" t="s">
        <v>5541</v>
      </c>
      <c r="E3148" t="s">
        <v>5542</v>
      </c>
      <c r="F3148" t="s">
        <v>8958</v>
      </c>
      <c r="G3148" t="s">
        <v>3890</v>
      </c>
      <c r="H3148" t="s">
        <v>109</v>
      </c>
      <c r="I3148" t="s">
        <v>108</v>
      </c>
      <c r="J3148">
        <v>2</v>
      </c>
      <c r="K3148">
        <v>1.6890000000000001</v>
      </c>
      <c r="L3148">
        <v>2.1659999999999999</v>
      </c>
      <c r="M3148">
        <v>2.9460000000000002</v>
      </c>
      <c r="N3148">
        <v>3.7509999999999999</v>
      </c>
      <c r="O3148">
        <v>6.1779999999999999</v>
      </c>
      <c r="P3148">
        <v>11.237</v>
      </c>
      <c r="Q3148">
        <v>21.606999999999999</v>
      </c>
      <c r="R3148">
        <v>41.93</v>
      </c>
      <c r="S3148">
        <v>82.125</v>
      </c>
      <c r="T3148">
        <v>155.52500000000001</v>
      </c>
      <c r="U3148">
        <v>279.64999999999998</v>
      </c>
      <c r="V3148">
        <v>478.66899999999998</v>
      </c>
      <c r="W3148">
        <v>770.59299999999996</v>
      </c>
      <c r="X3148">
        <v>1179.8209999999999</v>
      </c>
      <c r="Y3148">
        <v>1724.896</v>
      </c>
      <c r="Z3148">
        <v>2434.5770000000002</v>
      </c>
      <c r="AA3148">
        <v>3343.654</v>
      </c>
      <c r="AB3148">
        <v>4493.4790000000003</v>
      </c>
      <c r="AC3148">
        <v>5918.174</v>
      </c>
      <c r="AD3148">
        <v>7552.9139999999998</v>
      </c>
    </row>
    <row r="3149" spans="2:30" x14ac:dyDescent="0.25">
      <c r="B3149" t="s">
        <v>133</v>
      </c>
      <c r="C3149" t="s">
        <v>3263</v>
      </c>
      <c r="D3149" t="s">
        <v>5544</v>
      </c>
      <c r="E3149">
        <v>0</v>
      </c>
      <c r="F3149" t="s">
        <v>8957</v>
      </c>
      <c r="G3149" t="s">
        <v>3890</v>
      </c>
      <c r="H3149" t="s">
        <v>109</v>
      </c>
      <c r="I3149" t="s">
        <v>108</v>
      </c>
      <c r="J3149">
        <v>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</row>
    <row r="3150" spans="2:30" x14ac:dyDescent="0.25">
      <c r="B3150" t="s">
        <v>133</v>
      </c>
      <c r="C3150" t="s">
        <v>3263</v>
      </c>
      <c r="D3150" t="s">
        <v>5545</v>
      </c>
      <c r="E3150" t="s">
        <v>5546</v>
      </c>
      <c r="F3150" t="s">
        <v>8959</v>
      </c>
      <c r="G3150" t="s">
        <v>3890</v>
      </c>
      <c r="H3150" t="s">
        <v>109</v>
      </c>
      <c r="I3150" t="s">
        <v>108</v>
      </c>
      <c r="J3150">
        <v>2</v>
      </c>
      <c r="K3150">
        <v>197.274</v>
      </c>
      <c r="L3150">
        <v>195.66</v>
      </c>
      <c r="M3150">
        <v>189.69</v>
      </c>
      <c r="N3150">
        <v>181.21199999999999</v>
      </c>
      <c r="O3150">
        <v>179.81899999999999</v>
      </c>
      <c r="P3150">
        <v>196.22800000000001</v>
      </c>
      <c r="Q3150">
        <v>214.46600000000001</v>
      </c>
      <c r="R3150">
        <v>234.828</v>
      </c>
      <c r="S3150">
        <v>260.048</v>
      </c>
      <c r="T3150">
        <v>291.19499999999999</v>
      </c>
      <c r="U3150">
        <v>326.96800000000002</v>
      </c>
      <c r="V3150">
        <v>368.19</v>
      </c>
      <c r="W3150">
        <v>415.83199999999999</v>
      </c>
      <c r="X3150">
        <v>471.17</v>
      </c>
      <c r="Y3150">
        <v>535.07399999999996</v>
      </c>
      <c r="Z3150">
        <v>609.71600000000001</v>
      </c>
      <c r="AA3150">
        <v>697.29300000000001</v>
      </c>
      <c r="AB3150">
        <v>800.50400000000002</v>
      </c>
      <c r="AC3150">
        <v>921.72</v>
      </c>
      <c r="AD3150">
        <v>1056.413</v>
      </c>
    </row>
    <row r="3151" spans="2:30" x14ac:dyDescent="0.25">
      <c r="B3151" t="s">
        <v>133</v>
      </c>
      <c r="C3151" t="s">
        <v>3263</v>
      </c>
      <c r="D3151" t="s">
        <v>5548</v>
      </c>
      <c r="E3151" t="s">
        <v>5549</v>
      </c>
      <c r="F3151" t="s">
        <v>8960</v>
      </c>
      <c r="G3151" t="s">
        <v>3890</v>
      </c>
      <c r="H3151" t="s">
        <v>109</v>
      </c>
      <c r="I3151" t="s">
        <v>108</v>
      </c>
      <c r="J3151">
        <v>2</v>
      </c>
      <c r="K3151">
        <v>11.728</v>
      </c>
      <c r="L3151">
        <v>11.728</v>
      </c>
      <c r="M3151">
        <v>11.37</v>
      </c>
      <c r="N3151">
        <v>10.861000000000001</v>
      </c>
      <c r="O3151">
        <v>11.595000000000001</v>
      </c>
      <c r="P3151">
        <v>12.651999999999999</v>
      </c>
      <c r="Q3151">
        <v>13.819000000000001</v>
      </c>
      <c r="R3151">
        <v>15.109</v>
      </c>
      <c r="S3151">
        <v>16.684999999999999</v>
      </c>
      <c r="T3151">
        <v>18.611999999999998</v>
      </c>
      <c r="U3151">
        <v>20.803999999999998</v>
      </c>
      <c r="V3151">
        <v>23.321999999999999</v>
      </c>
      <c r="W3151">
        <v>26.12</v>
      </c>
      <c r="X3151">
        <v>29.260999999999999</v>
      </c>
      <c r="Y3151">
        <v>32.795000000000002</v>
      </c>
      <c r="Z3151">
        <v>36.783999999999999</v>
      </c>
      <c r="AA3151">
        <v>41.292000000000002</v>
      </c>
      <c r="AB3151">
        <v>46.408000000000001</v>
      </c>
      <c r="AC3151">
        <v>52.232999999999997</v>
      </c>
      <c r="AD3151">
        <v>58.811</v>
      </c>
    </row>
    <row r="3152" spans="2:30" x14ac:dyDescent="0.25">
      <c r="B3152" t="s">
        <v>133</v>
      </c>
      <c r="C3152" t="s">
        <v>3263</v>
      </c>
      <c r="D3152" t="s">
        <v>5551</v>
      </c>
      <c r="E3152" t="s">
        <v>5552</v>
      </c>
      <c r="F3152" t="s">
        <v>8961</v>
      </c>
      <c r="G3152" t="s">
        <v>3890</v>
      </c>
      <c r="H3152" t="s">
        <v>109</v>
      </c>
      <c r="I3152" t="s">
        <v>108</v>
      </c>
      <c r="J3152">
        <v>2</v>
      </c>
      <c r="K3152">
        <v>6.758</v>
      </c>
      <c r="L3152">
        <v>7.0880000000000001</v>
      </c>
      <c r="M3152">
        <v>7.0940000000000003</v>
      </c>
      <c r="N3152">
        <v>7.0309999999999997</v>
      </c>
      <c r="O3152">
        <v>7.4139999999999997</v>
      </c>
      <c r="P3152">
        <v>7.9790000000000001</v>
      </c>
      <c r="Q3152">
        <v>8.1869999999999994</v>
      </c>
      <c r="R3152">
        <v>8.2309999999999999</v>
      </c>
      <c r="S3152">
        <v>8.3960000000000008</v>
      </c>
      <c r="T3152">
        <v>8.7050000000000001</v>
      </c>
      <c r="U3152">
        <v>9.0579999999999998</v>
      </c>
      <c r="V3152">
        <v>9.4740000000000002</v>
      </c>
      <c r="W3152">
        <v>9.9550000000000001</v>
      </c>
      <c r="X3152">
        <v>10.513</v>
      </c>
      <c r="Y3152">
        <v>11.167</v>
      </c>
      <c r="Z3152">
        <v>11.923</v>
      </c>
      <c r="AA3152">
        <v>12.803000000000001</v>
      </c>
      <c r="AB3152">
        <v>13.829000000000001</v>
      </c>
      <c r="AC3152">
        <v>15.029</v>
      </c>
      <c r="AD3152">
        <v>16.414999999999999</v>
      </c>
    </row>
    <row r="3153" spans="2:30" x14ac:dyDescent="0.25">
      <c r="B3153" t="s">
        <v>133</v>
      </c>
      <c r="C3153" t="s">
        <v>3263</v>
      </c>
      <c r="D3153" t="s">
        <v>5554</v>
      </c>
      <c r="E3153">
        <v>0</v>
      </c>
      <c r="F3153" t="s">
        <v>8957</v>
      </c>
      <c r="G3153" t="s">
        <v>3890</v>
      </c>
      <c r="H3153" t="s">
        <v>109</v>
      </c>
      <c r="I3153" t="s">
        <v>108</v>
      </c>
      <c r="J3153">
        <v>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</row>
    <row r="3154" spans="2:30" x14ac:dyDescent="0.25">
      <c r="B3154" t="s">
        <v>133</v>
      </c>
      <c r="C3154" t="s">
        <v>3263</v>
      </c>
      <c r="D3154" t="s">
        <v>5555</v>
      </c>
      <c r="E3154">
        <v>0</v>
      </c>
      <c r="F3154" t="s">
        <v>8957</v>
      </c>
      <c r="G3154" t="s">
        <v>3890</v>
      </c>
      <c r="H3154" t="s">
        <v>109</v>
      </c>
      <c r="I3154" t="s">
        <v>108</v>
      </c>
      <c r="J3154">
        <v>2</v>
      </c>
      <c r="K3154">
        <v>12.917999999999999</v>
      </c>
      <c r="L3154">
        <v>13.292</v>
      </c>
      <c r="M3154">
        <v>13.16</v>
      </c>
      <c r="N3154">
        <v>13.037000000000001</v>
      </c>
      <c r="O3154">
        <v>13.037000000000001</v>
      </c>
      <c r="P3154">
        <v>13.138</v>
      </c>
      <c r="Q3154">
        <v>13.259</v>
      </c>
      <c r="R3154">
        <v>13.398</v>
      </c>
      <c r="S3154">
        <v>13.554</v>
      </c>
      <c r="T3154">
        <v>13.725</v>
      </c>
      <c r="U3154">
        <v>13.912000000000001</v>
      </c>
      <c r="V3154">
        <v>14.112</v>
      </c>
      <c r="W3154">
        <v>14.324999999999999</v>
      </c>
      <c r="X3154">
        <v>14.55</v>
      </c>
      <c r="Y3154">
        <v>14.786</v>
      </c>
      <c r="Z3154">
        <v>15.034000000000001</v>
      </c>
      <c r="AA3154">
        <v>15.291</v>
      </c>
      <c r="AB3154">
        <v>15.557</v>
      </c>
      <c r="AC3154">
        <v>15.833</v>
      </c>
      <c r="AD3154">
        <v>16.117000000000001</v>
      </c>
    </row>
    <row r="3155" spans="2:30" x14ac:dyDescent="0.25">
      <c r="B3155" t="s">
        <v>133</v>
      </c>
      <c r="C3155" t="s">
        <v>3263</v>
      </c>
      <c r="D3155" t="s">
        <v>5556</v>
      </c>
      <c r="E3155">
        <v>0</v>
      </c>
      <c r="F3155" t="s">
        <v>8957</v>
      </c>
      <c r="G3155" t="s">
        <v>3890</v>
      </c>
      <c r="H3155" t="s">
        <v>109</v>
      </c>
      <c r="I3155" t="s">
        <v>108</v>
      </c>
      <c r="J3155">
        <v>2</v>
      </c>
      <c r="K3155">
        <v>1.83</v>
      </c>
      <c r="L3155">
        <v>1.84</v>
      </c>
      <c r="M3155">
        <v>1.85</v>
      </c>
      <c r="N3155">
        <v>1.86</v>
      </c>
      <c r="O3155">
        <v>1.86</v>
      </c>
      <c r="P3155">
        <v>1.877</v>
      </c>
      <c r="Q3155">
        <v>1.897</v>
      </c>
      <c r="R3155">
        <v>1.92</v>
      </c>
      <c r="S3155">
        <v>1.944</v>
      </c>
      <c r="T3155">
        <v>1.97</v>
      </c>
      <c r="U3155">
        <v>1.9990000000000001</v>
      </c>
      <c r="V3155">
        <v>2.028</v>
      </c>
      <c r="W3155">
        <v>2.06</v>
      </c>
      <c r="X3155">
        <v>2.0920000000000001</v>
      </c>
      <c r="Y3155">
        <v>2.1259999999999999</v>
      </c>
      <c r="Z3155">
        <v>2.161</v>
      </c>
      <c r="AA3155">
        <v>2.1970000000000001</v>
      </c>
      <c r="AB3155">
        <v>2.234</v>
      </c>
      <c r="AC3155">
        <v>2.2719999999999998</v>
      </c>
      <c r="AD3155">
        <v>2.31</v>
      </c>
    </row>
    <row r="3156" spans="2:30" x14ac:dyDescent="0.25">
      <c r="B3156" t="s">
        <v>133</v>
      </c>
      <c r="C3156" t="s">
        <v>3263</v>
      </c>
      <c r="D3156" t="s">
        <v>5557</v>
      </c>
      <c r="E3156" t="s">
        <v>5558</v>
      </c>
      <c r="F3156" t="s">
        <v>8962</v>
      </c>
      <c r="G3156" t="s">
        <v>3890</v>
      </c>
      <c r="H3156" t="s">
        <v>109</v>
      </c>
      <c r="I3156" t="s">
        <v>108</v>
      </c>
      <c r="J3156">
        <v>2</v>
      </c>
      <c r="K3156">
        <v>6.327</v>
      </c>
      <c r="L3156">
        <v>6.3979999999999997</v>
      </c>
      <c r="M3156">
        <v>6.3920000000000003</v>
      </c>
      <c r="N3156">
        <v>6.3879999999999999</v>
      </c>
      <c r="O3156">
        <v>6.1719999999999997</v>
      </c>
      <c r="P3156">
        <v>6.2149999999999999</v>
      </c>
      <c r="Q3156">
        <v>6.266</v>
      </c>
      <c r="R3156">
        <v>6.3239999999999998</v>
      </c>
      <c r="S3156">
        <v>6.3879999999999999</v>
      </c>
      <c r="T3156">
        <v>6.4550000000000001</v>
      </c>
      <c r="U3156">
        <v>6.5259999999999998</v>
      </c>
      <c r="V3156">
        <v>6.6020000000000003</v>
      </c>
      <c r="W3156">
        <v>6.69</v>
      </c>
      <c r="X3156">
        <v>6.7830000000000004</v>
      </c>
      <c r="Y3156">
        <v>6.8810000000000002</v>
      </c>
      <c r="Z3156">
        <v>6.9829999999999997</v>
      </c>
      <c r="AA3156">
        <v>7.09</v>
      </c>
      <c r="AB3156">
        <v>7.1980000000000004</v>
      </c>
      <c r="AC3156">
        <v>7.3070000000000004</v>
      </c>
      <c r="AD3156">
        <v>7.4109999999999996</v>
      </c>
    </row>
    <row r="3157" spans="2:30" x14ac:dyDescent="0.25">
      <c r="B3157" t="s">
        <v>133</v>
      </c>
      <c r="C3157" t="s">
        <v>3263</v>
      </c>
      <c r="D3157" t="s">
        <v>5560</v>
      </c>
      <c r="E3157">
        <v>0</v>
      </c>
      <c r="F3157" t="s">
        <v>8957</v>
      </c>
      <c r="G3157" t="s">
        <v>3890</v>
      </c>
      <c r="H3157" t="s">
        <v>109</v>
      </c>
      <c r="I3157" t="s">
        <v>108</v>
      </c>
      <c r="J3157">
        <v>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</row>
    <row r="3158" spans="2:30" x14ac:dyDescent="0.25">
      <c r="B3158" t="s">
        <v>133</v>
      </c>
      <c r="C3158" t="s">
        <v>3263</v>
      </c>
      <c r="D3158" t="s">
        <v>5561</v>
      </c>
      <c r="E3158">
        <v>0</v>
      </c>
      <c r="F3158" t="s">
        <v>8957</v>
      </c>
      <c r="G3158" t="s">
        <v>3890</v>
      </c>
      <c r="H3158" t="s">
        <v>109</v>
      </c>
      <c r="I3158" t="s">
        <v>108</v>
      </c>
      <c r="J3158">
        <v>2</v>
      </c>
      <c r="K3158">
        <v>11.183999999999999</v>
      </c>
      <c r="L3158">
        <v>11.509</v>
      </c>
      <c r="M3158">
        <v>11.387</v>
      </c>
      <c r="N3158">
        <v>11.282999999999999</v>
      </c>
      <c r="O3158">
        <v>11.282999999999999</v>
      </c>
      <c r="P3158">
        <v>11.401999999999999</v>
      </c>
      <c r="Q3158">
        <v>11.545999999999999</v>
      </c>
      <c r="R3158">
        <v>11.715</v>
      </c>
      <c r="S3158">
        <v>11.904999999999999</v>
      </c>
      <c r="T3158">
        <v>12.116</v>
      </c>
      <c r="U3158">
        <v>12.345000000000001</v>
      </c>
      <c r="V3158">
        <v>12.59</v>
      </c>
      <c r="W3158">
        <v>12.851000000000001</v>
      </c>
      <c r="X3158">
        <v>13.127000000000001</v>
      </c>
      <c r="Y3158">
        <v>13.416</v>
      </c>
      <c r="Z3158">
        <v>13.717000000000001</v>
      </c>
      <c r="AA3158">
        <v>14.029</v>
      </c>
      <c r="AB3158">
        <v>14.352</v>
      </c>
      <c r="AC3158">
        <v>14.685</v>
      </c>
      <c r="AD3158">
        <v>15.026999999999999</v>
      </c>
    </row>
    <row r="3159" spans="2:30" x14ac:dyDescent="0.25">
      <c r="B3159" t="s">
        <v>133</v>
      </c>
      <c r="C3159" t="s">
        <v>3263</v>
      </c>
      <c r="D3159" t="s">
        <v>5562</v>
      </c>
      <c r="E3159">
        <v>0</v>
      </c>
      <c r="F3159" t="s">
        <v>8957</v>
      </c>
      <c r="G3159" t="s">
        <v>3890</v>
      </c>
      <c r="H3159" t="s">
        <v>109</v>
      </c>
      <c r="I3159" t="s">
        <v>108</v>
      </c>
      <c r="J3159">
        <v>2</v>
      </c>
      <c r="K3159">
        <v>1.31</v>
      </c>
      <c r="L3159">
        <v>1.32</v>
      </c>
      <c r="M3159">
        <v>1.32</v>
      </c>
      <c r="N3159">
        <v>1.33</v>
      </c>
      <c r="O3159">
        <v>1.33</v>
      </c>
      <c r="P3159">
        <v>1.3460000000000001</v>
      </c>
      <c r="Q3159">
        <v>1.365</v>
      </c>
      <c r="R3159">
        <v>1.3859999999999999</v>
      </c>
      <c r="S3159">
        <v>1.41</v>
      </c>
      <c r="T3159">
        <v>1.4350000000000001</v>
      </c>
      <c r="U3159">
        <v>1.4630000000000001</v>
      </c>
      <c r="V3159">
        <v>1.4910000000000001</v>
      </c>
      <c r="W3159">
        <v>1.5209999999999999</v>
      </c>
      <c r="X3159">
        <v>1.5529999999999999</v>
      </c>
      <c r="Y3159">
        <v>1.585</v>
      </c>
      <c r="Z3159">
        <v>1.619</v>
      </c>
      <c r="AA3159">
        <v>1.653</v>
      </c>
      <c r="AB3159">
        <v>1.6879999999999999</v>
      </c>
      <c r="AC3159">
        <v>1.724</v>
      </c>
      <c r="AD3159">
        <v>1.76</v>
      </c>
    </row>
    <row r="3160" spans="2:30" x14ac:dyDescent="0.25">
      <c r="B3160" t="s">
        <v>133</v>
      </c>
      <c r="C3160" t="s">
        <v>3263</v>
      </c>
      <c r="D3160" t="s">
        <v>5563</v>
      </c>
      <c r="E3160" t="s">
        <v>5564</v>
      </c>
      <c r="F3160" t="s">
        <v>8963</v>
      </c>
      <c r="G3160" t="s">
        <v>3890</v>
      </c>
      <c r="H3160" t="s">
        <v>109</v>
      </c>
      <c r="I3160" t="s">
        <v>108</v>
      </c>
      <c r="J3160">
        <v>2</v>
      </c>
      <c r="K3160">
        <v>6.2469999999999999</v>
      </c>
      <c r="L3160">
        <v>6.415</v>
      </c>
      <c r="M3160">
        <v>6.3540000000000001</v>
      </c>
      <c r="N3160">
        <v>6.3070000000000004</v>
      </c>
      <c r="O3160">
        <v>6.3070000000000004</v>
      </c>
      <c r="P3160">
        <v>6.3739999999999997</v>
      </c>
      <c r="Q3160">
        <v>6.4560000000000004</v>
      </c>
      <c r="R3160">
        <v>6.5510000000000002</v>
      </c>
      <c r="S3160">
        <v>6.6580000000000004</v>
      </c>
      <c r="T3160">
        <v>6.7759999999999998</v>
      </c>
      <c r="U3160">
        <v>6.9039999999999999</v>
      </c>
      <c r="V3160">
        <v>7.0410000000000004</v>
      </c>
      <c r="W3160">
        <v>7.1859999999999999</v>
      </c>
      <c r="X3160">
        <v>7.34</v>
      </c>
      <c r="Y3160">
        <v>7.5</v>
      </c>
      <c r="Z3160">
        <v>7.6680000000000001</v>
      </c>
      <c r="AA3160">
        <v>7.8410000000000002</v>
      </c>
      <c r="AB3160">
        <v>8.02</v>
      </c>
      <c r="AC3160">
        <v>8.2040000000000006</v>
      </c>
      <c r="AD3160">
        <v>8.3940000000000001</v>
      </c>
    </row>
    <row r="3161" spans="2:30" x14ac:dyDescent="0.25">
      <c r="B3161" t="s">
        <v>133</v>
      </c>
      <c r="C3161" t="s">
        <v>3263</v>
      </c>
      <c r="D3161" t="s">
        <v>5566</v>
      </c>
      <c r="E3161">
        <v>0</v>
      </c>
      <c r="F3161" t="s">
        <v>8957</v>
      </c>
      <c r="G3161" t="s">
        <v>3890</v>
      </c>
      <c r="H3161" t="s">
        <v>109</v>
      </c>
      <c r="I3161" t="s">
        <v>108</v>
      </c>
      <c r="J3161">
        <v>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</row>
    <row r="3162" spans="2:30" x14ac:dyDescent="0.25">
      <c r="B3162" t="s">
        <v>133</v>
      </c>
      <c r="C3162" t="s">
        <v>3263</v>
      </c>
      <c r="D3162" t="s">
        <v>5567</v>
      </c>
      <c r="E3162">
        <v>0</v>
      </c>
      <c r="F3162" t="s">
        <v>8957</v>
      </c>
      <c r="G3162" t="s">
        <v>3890</v>
      </c>
      <c r="H3162" t="s">
        <v>109</v>
      </c>
      <c r="I3162" t="s">
        <v>108</v>
      </c>
      <c r="J3162">
        <v>2</v>
      </c>
      <c r="K3162">
        <v>12.163</v>
      </c>
      <c r="L3162">
        <v>12.509</v>
      </c>
      <c r="M3162">
        <v>12.385999999999999</v>
      </c>
      <c r="N3162">
        <v>12.263</v>
      </c>
      <c r="O3162">
        <v>12.263</v>
      </c>
      <c r="P3162">
        <v>12.319000000000001</v>
      </c>
      <c r="Q3162">
        <v>12.379</v>
      </c>
      <c r="R3162">
        <v>12.445</v>
      </c>
      <c r="S3162">
        <v>12.516999999999999</v>
      </c>
      <c r="T3162">
        <v>12.592000000000001</v>
      </c>
      <c r="U3162">
        <v>12.672000000000001</v>
      </c>
      <c r="V3162">
        <v>12.757</v>
      </c>
      <c r="W3162">
        <v>12.845000000000001</v>
      </c>
      <c r="X3162">
        <v>12.936999999999999</v>
      </c>
      <c r="Y3162">
        <v>13.032999999999999</v>
      </c>
      <c r="Z3162">
        <v>13.132</v>
      </c>
      <c r="AA3162">
        <v>13.234999999999999</v>
      </c>
      <c r="AB3162">
        <v>13.340999999999999</v>
      </c>
      <c r="AC3162">
        <v>13.45</v>
      </c>
      <c r="AD3162">
        <v>13.561</v>
      </c>
    </row>
    <row r="3163" spans="2:30" x14ac:dyDescent="0.25">
      <c r="B3163" t="s">
        <v>133</v>
      </c>
      <c r="C3163" t="s">
        <v>3263</v>
      </c>
      <c r="D3163" t="s">
        <v>5568</v>
      </c>
      <c r="E3163">
        <v>0</v>
      </c>
      <c r="F3163" t="s">
        <v>8957</v>
      </c>
      <c r="G3163" t="s">
        <v>3890</v>
      </c>
      <c r="H3163" t="s">
        <v>109</v>
      </c>
      <c r="I3163" t="s">
        <v>108</v>
      </c>
      <c r="J3163">
        <v>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</row>
    <row r="3164" spans="2:30" x14ac:dyDescent="0.25">
      <c r="B3164" t="s">
        <v>133</v>
      </c>
      <c r="C3164" t="s">
        <v>3263</v>
      </c>
      <c r="D3164" t="s">
        <v>5569</v>
      </c>
      <c r="E3164">
        <v>0</v>
      </c>
      <c r="F3164" t="s">
        <v>8957</v>
      </c>
      <c r="G3164" t="s">
        <v>3890</v>
      </c>
      <c r="H3164" t="s">
        <v>109</v>
      </c>
      <c r="I3164" t="s">
        <v>108</v>
      </c>
      <c r="J3164">
        <v>2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</row>
    <row r="3165" spans="2:30" x14ac:dyDescent="0.25">
      <c r="B3165" t="s">
        <v>133</v>
      </c>
      <c r="C3165" t="s">
        <v>3263</v>
      </c>
      <c r="D3165" t="s">
        <v>5570</v>
      </c>
      <c r="E3165">
        <v>0</v>
      </c>
      <c r="F3165" t="s">
        <v>8957</v>
      </c>
      <c r="G3165" t="s">
        <v>3890</v>
      </c>
      <c r="H3165" t="s">
        <v>109</v>
      </c>
      <c r="I3165" t="s">
        <v>108</v>
      </c>
      <c r="J3165">
        <v>2</v>
      </c>
      <c r="K3165">
        <v>17910.141</v>
      </c>
      <c r="L3165">
        <v>17964.946</v>
      </c>
      <c r="M3165">
        <v>21786.334999999999</v>
      </c>
      <c r="N3165">
        <v>22261.268</v>
      </c>
      <c r="O3165">
        <v>22719.177</v>
      </c>
      <c r="P3165">
        <v>23267.919999999998</v>
      </c>
      <c r="Q3165">
        <v>23922.235000000001</v>
      </c>
      <c r="R3165">
        <v>24541.625</v>
      </c>
      <c r="S3165">
        <v>25109.272000000001</v>
      </c>
      <c r="T3165">
        <v>25679.198</v>
      </c>
      <c r="U3165">
        <v>26254.357</v>
      </c>
      <c r="V3165">
        <v>26834.767</v>
      </c>
      <c r="W3165">
        <v>27421.643</v>
      </c>
      <c r="X3165">
        <v>28017.606</v>
      </c>
      <c r="Y3165">
        <v>28622.013999999999</v>
      </c>
      <c r="Z3165">
        <v>29235.867999999999</v>
      </c>
      <c r="AA3165">
        <v>29858.485000000001</v>
      </c>
      <c r="AB3165">
        <v>30490.513999999999</v>
      </c>
      <c r="AC3165">
        <v>31132.433000000001</v>
      </c>
      <c r="AD3165">
        <v>31783.941999999999</v>
      </c>
    </row>
    <row r="3166" spans="2:30" x14ac:dyDescent="0.25">
      <c r="B3166" t="s">
        <v>133</v>
      </c>
      <c r="C3166" t="s">
        <v>3263</v>
      </c>
      <c r="D3166" t="s">
        <v>5571</v>
      </c>
      <c r="E3166">
        <v>0</v>
      </c>
      <c r="F3166" t="s">
        <v>8957</v>
      </c>
      <c r="G3166" t="s">
        <v>3890</v>
      </c>
      <c r="H3166" t="s">
        <v>109</v>
      </c>
      <c r="I3166" t="s">
        <v>108</v>
      </c>
      <c r="J3166">
        <v>2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</row>
    <row r="3167" spans="2:30" x14ac:dyDescent="0.25">
      <c r="B3167" t="s">
        <v>133</v>
      </c>
      <c r="C3167" t="s">
        <v>3263</v>
      </c>
      <c r="D3167" t="s">
        <v>5572</v>
      </c>
      <c r="E3167" t="s">
        <v>38</v>
      </c>
      <c r="F3167" t="s">
        <v>8964</v>
      </c>
      <c r="G3167" t="s">
        <v>3890</v>
      </c>
      <c r="H3167" t="s">
        <v>109</v>
      </c>
      <c r="I3167" t="s">
        <v>108</v>
      </c>
      <c r="J3167">
        <v>2</v>
      </c>
      <c r="K3167">
        <v>2022</v>
      </c>
      <c r="L3167">
        <v>2023</v>
      </c>
      <c r="M3167">
        <v>2024</v>
      </c>
      <c r="N3167">
        <v>2025</v>
      </c>
      <c r="O3167">
        <v>2026</v>
      </c>
      <c r="P3167">
        <v>2027</v>
      </c>
      <c r="Q3167">
        <v>2028</v>
      </c>
      <c r="R3167">
        <v>2029</v>
      </c>
      <c r="S3167">
        <v>2030</v>
      </c>
      <c r="T3167">
        <v>2031</v>
      </c>
      <c r="U3167">
        <v>2032</v>
      </c>
      <c r="V3167">
        <v>2033</v>
      </c>
      <c r="W3167">
        <v>2034</v>
      </c>
      <c r="X3167">
        <v>2035</v>
      </c>
      <c r="Y3167">
        <v>2036</v>
      </c>
      <c r="Z3167">
        <v>2037</v>
      </c>
      <c r="AA3167">
        <v>2038</v>
      </c>
      <c r="AB3167">
        <v>2039</v>
      </c>
      <c r="AC3167">
        <v>2040</v>
      </c>
      <c r="AD3167">
        <v>2041</v>
      </c>
    </row>
    <row r="3168" spans="2:30" x14ac:dyDescent="0.25">
      <c r="B3168" t="s">
        <v>133</v>
      </c>
      <c r="C3168" t="s">
        <v>3263</v>
      </c>
      <c r="D3168" t="s">
        <v>5574</v>
      </c>
      <c r="E3168">
        <v>0</v>
      </c>
      <c r="F3168" t="s">
        <v>8957</v>
      </c>
      <c r="G3168" t="s">
        <v>3890</v>
      </c>
      <c r="H3168" t="s">
        <v>109</v>
      </c>
      <c r="I3168" t="s">
        <v>108</v>
      </c>
      <c r="J3168">
        <v>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</row>
    <row r="3169" spans="2:30" x14ac:dyDescent="0.25">
      <c r="B3169" t="s">
        <v>133</v>
      </c>
      <c r="C3169" t="s">
        <v>3263</v>
      </c>
      <c r="D3169" t="s">
        <v>5575</v>
      </c>
      <c r="E3169" t="s">
        <v>5576</v>
      </c>
      <c r="F3169" t="s">
        <v>8965</v>
      </c>
      <c r="G3169" t="s">
        <v>3890</v>
      </c>
      <c r="H3169" t="s">
        <v>109</v>
      </c>
      <c r="I3169" t="s">
        <v>108</v>
      </c>
      <c r="J3169">
        <v>2</v>
      </c>
      <c r="K3169">
        <v>23.399000000000001</v>
      </c>
      <c r="L3169">
        <v>15.864000000000001</v>
      </c>
      <c r="M3169">
        <v>14.744</v>
      </c>
      <c r="N3169">
        <v>13.651999999999999</v>
      </c>
      <c r="O3169">
        <v>13.680999999999999</v>
      </c>
      <c r="P3169">
        <v>13.768000000000001</v>
      </c>
      <c r="Q3169">
        <v>13.727</v>
      </c>
      <c r="R3169">
        <v>13.683</v>
      </c>
      <c r="S3169">
        <v>13.635999999999999</v>
      </c>
      <c r="T3169">
        <v>13.59</v>
      </c>
      <c r="U3169">
        <v>13.59</v>
      </c>
      <c r="V3169">
        <v>13.59</v>
      </c>
      <c r="W3169">
        <v>13.59</v>
      </c>
      <c r="X3169">
        <v>13.59</v>
      </c>
      <c r="Y3169">
        <v>13.59</v>
      </c>
      <c r="Z3169">
        <v>13.59</v>
      </c>
      <c r="AA3169">
        <v>13.59</v>
      </c>
      <c r="AB3169">
        <v>13.59</v>
      </c>
      <c r="AC3169">
        <v>13.59</v>
      </c>
      <c r="AD3169">
        <v>13.59</v>
      </c>
    </row>
    <row r="3170" spans="2:30" x14ac:dyDescent="0.25">
      <c r="B3170" t="s">
        <v>133</v>
      </c>
      <c r="C3170" t="s">
        <v>3263</v>
      </c>
      <c r="D3170" t="s">
        <v>5578</v>
      </c>
      <c r="E3170" t="s">
        <v>5579</v>
      </c>
      <c r="F3170" t="s">
        <v>8966</v>
      </c>
      <c r="G3170" t="s">
        <v>3890</v>
      </c>
      <c r="H3170" t="s">
        <v>109</v>
      </c>
      <c r="I3170" t="s">
        <v>108</v>
      </c>
      <c r="J3170">
        <v>2</v>
      </c>
      <c r="K3170">
        <v>4.6340000000000003</v>
      </c>
      <c r="L3170">
        <v>3.2090000000000001</v>
      </c>
      <c r="M3170">
        <v>2.331</v>
      </c>
      <c r="N3170">
        <v>2.331</v>
      </c>
      <c r="O3170">
        <v>2.331</v>
      </c>
      <c r="P3170">
        <v>2.331</v>
      </c>
      <c r="Q3170">
        <v>2.331</v>
      </c>
      <c r="R3170">
        <v>2.331</v>
      </c>
      <c r="S3170">
        <v>2.331</v>
      </c>
      <c r="T3170">
        <v>2.331</v>
      </c>
      <c r="U3170">
        <v>2.331</v>
      </c>
      <c r="V3170">
        <v>2.331</v>
      </c>
      <c r="W3170">
        <v>2.331</v>
      </c>
      <c r="X3170">
        <v>2.331</v>
      </c>
      <c r="Y3170">
        <v>2.331</v>
      </c>
      <c r="Z3170">
        <v>2.331</v>
      </c>
      <c r="AA3170">
        <v>2.331</v>
      </c>
      <c r="AB3170">
        <v>2.331</v>
      </c>
      <c r="AC3170">
        <v>2.331</v>
      </c>
      <c r="AD3170">
        <v>2.331</v>
      </c>
    </row>
    <row r="3171" spans="2:30" x14ac:dyDescent="0.25">
      <c r="B3171" t="s">
        <v>133</v>
      </c>
      <c r="C3171" t="s">
        <v>3263</v>
      </c>
      <c r="D3171" t="s">
        <v>5581</v>
      </c>
      <c r="E3171" t="s">
        <v>5582</v>
      </c>
      <c r="F3171" t="s">
        <v>8967</v>
      </c>
      <c r="G3171" t="s">
        <v>3890</v>
      </c>
      <c r="H3171" t="s">
        <v>109</v>
      </c>
      <c r="I3171" t="s">
        <v>108</v>
      </c>
      <c r="J3171">
        <v>2</v>
      </c>
      <c r="K3171">
        <v>0.6</v>
      </c>
      <c r="L3171">
        <v>0.41099999999999998</v>
      </c>
      <c r="M3171">
        <v>0.33500000000000002</v>
      </c>
      <c r="N3171">
        <v>0.33500000000000002</v>
      </c>
      <c r="O3171">
        <v>0.33500000000000002</v>
      </c>
      <c r="P3171">
        <v>0.33500000000000002</v>
      </c>
      <c r="Q3171">
        <v>0.33500000000000002</v>
      </c>
      <c r="R3171">
        <v>0.33500000000000002</v>
      </c>
      <c r="S3171">
        <v>0.33500000000000002</v>
      </c>
      <c r="T3171">
        <v>0.33500000000000002</v>
      </c>
      <c r="U3171">
        <v>0.33500000000000002</v>
      </c>
      <c r="V3171">
        <v>0.33500000000000002</v>
      </c>
      <c r="W3171">
        <v>0.33500000000000002</v>
      </c>
      <c r="X3171">
        <v>0.33500000000000002</v>
      </c>
      <c r="Y3171">
        <v>0.33500000000000002</v>
      </c>
      <c r="Z3171">
        <v>0.33500000000000002</v>
      </c>
      <c r="AA3171">
        <v>0.33500000000000002</v>
      </c>
      <c r="AB3171">
        <v>0.33500000000000002</v>
      </c>
      <c r="AC3171">
        <v>0.33500000000000002</v>
      </c>
      <c r="AD3171">
        <v>0.33500000000000002</v>
      </c>
    </row>
    <row r="3172" spans="2:30" x14ac:dyDescent="0.25">
      <c r="B3172" t="s">
        <v>133</v>
      </c>
      <c r="C3172" t="s">
        <v>3263</v>
      </c>
      <c r="D3172" t="s">
        <v>5584</v>
      </c>
      <c r="E3172">
        <v>0</v>
      </c>
      <c r="F3172" t="s">
        <v>8957</v>
      </c>
      <c r="G3172" t="s">
        <v>3890</v>
      </c>
      <c r="H3172" t="s">
        <v>109</v>
      </c>
      <c r="I3172" t="s">
        <v>108</v>
      </c>
      <c r="J3172">
        <v>2</v>
      </c>
      <c r="K3172">
        <v>4.6340000000000003</v>
      </c>
      <c r="L3172">
        <v>3.2090000000000001</v>
      </c>
      <c r="M3172">
        <v>2.331</v>
      </c>
      <c r="N3172">
        <v>2.331</v>
      </c>
      <c r="O3172">
        <v>2.331</v>
      </c>
      <c r="P3172">
        <v>2.331</v>
      </c>
      <c r="Q3172">
        <v>2.331</v>
      </c>
      <c r="R3172">
        <v>2.331</v>
      </c>
      <c r="S3172">
        <v>2.331</v>
      </c>
      <c r="T3172">
        <v>2.331</v>
      </c>
      <c r="U3172">
        <v>2.331</v>
      </c>
      <c r="V3172">
        <v>2.331</v>
      </c>
      <c r="W3172">
        <v>2.331</v>
      </c>
      <c r="X3172">
        <v>2.331</v>
      </c>
      <c r="Y3172">
        <v>2.331</v>
      </c>
      <c r="Z3172">
        <v>2.331</v>
      </c>
      <c r="AA3172">
        <v>2.331</v>
      </c>
      <c r="AB3172">
        <v>2.331</v>
      </c>
      <c r="AC3172">
        <v>2.331</v>
      </c>
      <c r="AD3172">
        <v>2.331</v>
      </c>
    </row>
    <row r="3173" spans="2:30" x14ac:dyDescent="0.25">
      <c r="B3173" t="s">
        <v>133</v>
      </c>
      <c r="C3173" t="s">
        <v>3263</v>
      </c>
      <c r="D3173" t="s">
        <v>5585</v>
      </c>
      <c r="E3173">
        <v>0</v>
      </c>
      <c r="F3173" t="s">
        <v>8957</v>
      </c>
      <c r="G3173" t="s">
        <v>3890</v>
      </c>
      <c r="H3173" t="s">
        <v>109</v>
      </c>
      <c r="I3173" t="s">
        <v>108</v>
      </c>
      <c r="J3173">
        <v>2</v>
      </c>
      <c r="K3173">
        <v>0.6</v>
      </c>
      <c r="L3173">
        <v>0.41099999999999998</v>
      </c>
      <c r="M3173">
        <v>0.33500000000000002</v>
      </c>
      <c r="N3173">
        <v>0.33500000000000002</v>
      </c>
      <c r="O3173">
        <v>0.33500000000000002</v>
      </c>
      <c r="P3173">
        <v>0.33500000000000002</v>
      </c>
      <c r="Q3173">
        <v>0.33500000000000002</v>
      </c>
      <c r="R3173">
        <v>0.33500000000000002</v>
      </c>
      <c r="S3173">
        <v>0.33500000000000002</v>
      </c>
      <c r="T3173">
        <v>0.33500000000000002</v>
      </c>
      <c r="U3173">
        <v>0.33500000000000002</v>
      </c>
      <c r="V3173">
        <v>0.33500000000000002</v>
      </c>
      <c r="W3173">
        <v>0.33500000000000002</v>
      </c>
      <c r="X3173">
        <v>0.33500000000000002</v>
      </c>
      <c r="Y3173">
        <v>0.33500000000000002</v>
      </c>
      <c r="Z3173">
        <v>0.33500000000000002</v>
      </c>
      <c r="AA3173">
        <v>0.33500000000000002</v>
      </c>
      <c r="AB3173">
        <v>0.33500000000000002</v>
      </c>
      <c r="AC3173">
        <v>0.33500000000000002</v>
      </c>
      <c r="AD3173">
        <v>0.33500000000000002</v>
      </c>
    </row>
    <row r="3174" spans="2:30" x14ac:dyDescent="0.25">
      <c r="B3174" t="s">
        <v>133</v>
      </c>
      <c r="C3174" t="s">
        <v>3263</v>
      </c>
      <c r="D3174" t="s">
        <v>5586</v>
      </c>
      <c r="E3174">
        <v>0</v>
      </c>
      <c r="F3174" t="s">
        <v>8957</v>
      </c>
      <c r="G3174" t="s">
        <v>3890</v>
      </c>
      <c r="H3174" t="s">
        <v>109</v>
      </c>
      <c r="I3174" t="s">
        <v>108</v>
      </c>
      <c r="J3174">
        <v>2</v>
      </c>
      <c r="K3174">
        <v>0.41399999999999998</v>
      </c>
      <c r="L3174">
        <v>0.28100000000000003</v>
      </c>
      <c r="M3174">
        <v>0.249</v>
      </c>
      <c r="N3174">
        <v>0.249</v>
      </c>
      <c r="O3174">
        <v>0.249</v>
      </c>
      <c r="P3174">
        <v>0.249</v>
      </c>
      <c r="Q3174">
        <v>0.249</v>
      </c>
      <c r="R3174">
        <v>0.249</v>
      </c>
      <c r="S3174">
        <v>0.249</v>
      </c>
      <c r="T3174">
        <v>0.249</v>
      </c>
      <c r="U3174">
        <v>0.249</v>
      </c>
      <c r="V3174">
        <v>0.249</v>
      </c>
      <c r="W3174">
        <v>0.249</v>
      </c>
      <c r="X3174">
        <v>0.249</v>
      </c>
      <c r="Y3174">
        <v>0.249</v>
      </c>
      <c r="Z3174">
        <v>0.249</v>
      </c>
      <c r="AA3174">
        <v>0.249</v>
      </c>
      <c r="AB3174">
        <v>0.249</v>
      </c>
      <c r="AC3174">
        <v>0.249</v>
      </c>
      <c r="AD3174">
        <v>0.249</v>
      </c>
    </row>
    <row r="3175" spans="2:30" x14ac:dyDescent="0.25">
      <c r="B3175" t="s">
        <v>133</v>
      </c>
      <c r="C3175" t="s">
        <v>3263</v>
      </c>
      <c r="D3175" t="s">
        <v>5587</v>
      </c>
      <c r="E3175">
        <v>0</v>
      </c>
      <c r="F3175" t="s">
        <v>8957</v>
      </c>
      <c r="G3175" t="s">
        <v>3890</v>
      </c>
      <c r="H3175" t="s">
        <v>109</v>
      </c>
      <c r="I3175" t="s">
        <v>108</v>
      </c>
      <c r="J3175">
        <v>2</v>
      </c>
      <c r="K3175">
        <v>0.17499999999999999</v>
      </c>
      <c r="L3175">
        <v>0.10199999999999999</v>
      </c>
      <c r="M3175">
        <v>8.7999999999999995E-2</v>
      </c>
      <c r="N3175">
        <v>8.7999999999999995E-2</v>
      </c>
      <c r="O3175">
        <v>8.7999999999999995E-2</v>
      </c>
      <c r="P3175">
        <v>8.7999999999999995E-2</v>
      </c>
      <c r="Q3175">
        <v>8.7999999999999995E-2</v>
      </c>
      <c r="R3175">
        <v>8.7999999999999995E-2</v>
      </c>
      <c r="S3175">
        <v>8.7999999999999995E-2</v>
      </c>
      <c r="T3175">
        <v>8.7999999999999995E-2</v>
      </c>
      <c r="U3175">
        <v>8.7999999999999995E-2</v>
      </c>
      <c r="V3175">
        <v>8.7999999999999995E-2</v>
      </c>
      <c r="W3175">
        <v>8.7999999999999995E-2</v>
      </c>
      <c r="X3175">
        <v>8.7999999999999995E-2</v>
      </c>
      <c r="Y3175">
        <v>8.7999999999999995E-2</v>
      </c>
      <c r="Z3175">
        <v>8.7999999999999995E-2</v>
      </c>
      <c r="AA3175">
        <v>8.7999999999999995E-2</v>
      </c>
      <c r="AB3175">
        <v>8.7999999999999995E-2</v>
      </c>
      <c r="AC3175">
        <v>8.7999999999999995E-2</v>
      </c>
      <c r="AD3175">
        <v>8.7999999999999995E-2</v>
      </c>
    </row>
    <row r="3176" spans="2:30" x14ac:dyDescent="0.25">
      <c r="B3176" t="s">
        <v>133</v>
      </c>
      <c r="C3176" t="s">
        <v>3263</v>
      </c>
      <c r="D3176" t="s">
        <v>5588</v>
      </c>
      <c r="E3176">
        <v>0</v>
      </c>
      <c r="F3176" t="s">
        <v>8957</v>
      </c>
      <c r="G3176" t="s">
        <v>3890</v>
      </c>
      <c r="H3176" t="s">
        <v>109</v>
      </c>
      <c r="I3176" t="s">
        <v>108</v>
      </c>
      <c r="J3176">
        <v>2</v>
      </c>
      <c r="K3176">
        <v>0.41399999999999998</v>
      </c>
      <c r="L3176">
        <v>0.25900000000000001</v>
      </c>
      <c r="M3176">
        <v>0.24399999999999999</v>
      </c>
      <c r="N3176">
        <v>0.24399999999999999</v>
      </c>
      <c r="O3176">
        <v>0.24399999999999999</v>
      </c>
      <c r="P3176">
        <v>0.24399999999999999</v>
      </c>
      <c r="Q3176">
        <v>0.24399999999999999</v>
      </c>
      <c r="R3176">
        <v>0.24399999999999999</v>
      </c>
      <c r="S3176">
        <v>0.24399999999999999</v>
      </c>
      <c r="T3176">
        <v>0.24399999999999999</v>
      </c>
      <c r="U3176">
        <v>0.24399999999999999</v>
      </c>
      <c r="V3176">
        <v>0.24399999999999999</v>
      </c>
      <c r="W3176">
        <v>0.24399999999999999</v>
      </c>
      <c r="X3176">
        <v>0.24399999999999999</v>
      </c>
      <c r="Y3176">
        <v>0.24399999999999999</v>
      </c>
      <c r="Z3176">
        <v>0.24399999999999999</v>
      </c>
      <c r="AA3176">
        <v>0.24399999999999999</v>
      </c>
      <c r="AB3176">
        <v>0.24399999999999999</v>
      </c>
      <c r="AC3176">
        <v>0.24399999999999999</v>
      </c>
      <c r="AD3176">
        <v>0.24399999999999999</v>
      </c>
    </row>
    <row r="3177" spans="2:30" x14ac:dyDescent="0.25">
      <c r="B3177" t="s">
        <v>133</v>
      </c>
      <c r="C3177" t="s">
        <v>3263</v>
      </c>
      <c r="D3177" t="s">
        <v>5589</v>
      </c>
      <c r="E3177">
        <v>0</v>
      </c>
      <c r="F3177" t="s">
        <v>8957</v>
      </c>
      <c r="G3177" t="s">
        <v>3890</v>
      </c>
      <c r="H3177" t="s">
        <v>109</v>
      </c>
      <c r="I3177" t="s">
        <v>108</v>
      </c>
      <c r="J3177">
        <v>2</v>
      </c>
      <c r="K3177">
        <v>33.051000000000002</v>
      </c>
      <c r="L3177">
        <v>26.300999999999998</v>
      </c>
      <c r="M3177">
        <v>23.175999999999998</v>
      </c>
      <c r="N3177">
        <v>15</v>
      </c>
      <c r="O3177">
        <v>18.32</v>
      </c>
      <c r="P3177">
        <v>15</v>
      </c>
      <c r="Q3177">
        <v>15.015000000000001</v>
      </c>
      <c r="R3177">
        <v>16.123999999999999</v>
      </c>
      <c r="S3177">
        <v>17.329999999999998</v>
      </c>
      <c r="T3177">
        <v>18.478000000000002</v>
      </c>
      <c r="U3177">
        <v>20.356000000000002</v>
      </c>
      <c r="V3177">
        <v>22.234000000000002</v>
      </c>
      <c r="W3177">
        <v>24.111000000000001</v>
      </c>
      <c r="X3177">
        <v>25.989000000000001</v>
      </c>
      <c r="Y3177">
        <v>27.866</v>
      </c>
      <c r="Z3177">
        <v>29.744</v>
      </c>
      <c r="AA3177">
        <v>31.622</v>
      </c>
      <c r="AB3177">
        <v>33.499000000000002</v>
      </c>
      <c r="AC3177">
        <v>35.377000000000002</v>
      </c>
      <c r="AD3177">
        <v>37.253999999999998</v>
      </c>
    </row>
    <row r="3178" spans="2:30" x14ac:dyDescent="0.25">
      <c r="B3178" t="s">
        <v>133</v>
      </c>
      <c r="C3178" t="s">
        <v>3263</v>
      </c>
      <c r="D3178" t="s">
        <v>5590</v>
      </c>
      <c r="E3178">
        <v>0</v>
      </c>
      <c r="F3178" t="s">
        <v>8957</v>
      </c>
      <c r="G3178" t="s">
        <v>3890</v>
      </c>
      <c r="H3178" t="s">
        <v>109</v>
      </c>
      <c r="I3178" t="s">
        <v>108</v>
      </c>
      <c r="J3178">
        <v>2</v>
      </c>
      <c r="K3178">
        <v>14.471</v>
      </c>
      <c r="L3178">
        <v>14.471</v>
      </c>
      <c r="M3178">
        <v>14.476000000000001</v>
      </c>
      <c r="N3178">
        <v>14.476000000000001</v>
      </c>
      <c r="O3178">
        <v>14.476000000000001</v>
      </c>
      <c r="P3178">
        <v>14.476000000000001</v>
      </c>
      <c r="Q3178">
        <v>14.476000000000001</v>
      </c>
      <c r="R3178">
        <v>14.476000000000001</v>
      </c>
      <c r="S3178">
        <v>14.476000000000001</v>
      </c>
      <c r="T3178">
        <v>14.476000000000001</v>
      </c>
      <c r="U3178">
        <v>14.476000000000001</v>
      </c>
      <c r="V3178">
        <v>14.476000000000001</v>
      </c>
      <c r="W3178">
        <v>14.476000000000001</v>
      </c>
      <c r="X3178">
        <v>14.476000000000001</v>
      </c>
      <c r="Y3178">
        <v>14.476000000000001</v>
      </c>
      <c r="Z3178">
        <v>14.476000000000001</v>
      </c>
      <c r="AA3178">
        <v>14.476000000000001</v>
      </c>
      <c r="AB3178">
        <v>14.476000000000001</v>
      </c>
      <c r="AC3178">
        <v>14.476000000000001</v>
      </c>
      <c r="AD3178">
        <v>14.476000000000001</v>
      </c>
    </row>
    <row r="3179" spans="2:30" x14ac:dyDescent="0.25">
      <c r="B3179" t="s">
        <v>133</v>
      </c>
      <c r="C3179" t="s">
        <v>3263</v>
      </c>
      <c r="D3179" t="s">
        <v>5591</v>
      </c>
      <c r="E3179">
        <v>0</v>
      </c>
      <c r="F3179" t="s">
        <v>8957</v>
      </c>
      <c r="G3179" t="s">
        <v>3890</v>
      </c>
      <c r="H3179" t="s">
        <v>109</v>
      </c>
      <c r="I3179" t="s">
        <v>108</v>
      </c>
      <c r="J3179">
        <v>2</v>
      </c>
      <c r="K3179">
        <v>0.6</v>
      </c>
      <c r="L3179">
        <v>0.41099999999999998</v>
      </c>
      <c r="M3179">
        <v>0.33500000000000002</v>
      </c>
      <c r="N3179">
        <v>0.33500000000000002</v>
      </c>
      <c r="O3179">
        <v>0.33500000000000002</v>
      </c>
      <c r="P3179">
        <v>0.33500000000000002</v>
      </c>
      <c r="Q3179">
        <v>0.33500000000000002</v>
      </c>
      <c r="R3179">
        <v>0.33500000000000002</v>
      </c>
      <c r="S3179">
        <v>0.33500000000000002</v>
      </c>
      <c r="T3179">
        <v>0.33500000000000002</v>
      </c>
      <c r="U3179">
        <v>0.33500000000000002</v>
      </c>
      <c r="V3179">
        <v>0.33500000000000002</v>
      </c>
      <c r="W3179">
        <v>0.33500000000000002</v>
      </c>
      <c r="X3179">
        <v>0.33500000000000002</v>
      </c>
      <c r="Y3179">
        <v>0.33500000000000002</v>
      </c>
      <c r="Z3179">
        <v>0.33500000000000002</v>
      </c>
      <c r="AA3179">
        <v>0.33500000000000002</v>
      </c>
      <c r="AB3179">
        <v>0.33500000000000002</v>
      </c>
      <c r="AC3179">
        <v>0.33500000000000002</v>
      </c>
      <c r="AD3179">
        <v>0.33500000000000002</v>
      </c>
    </row>
    <row r="3180" spans="2:30" x14ac:dyDescent="0.25">
      <c r="B3180" t="s">
        <v>133</v>
      </c>
      <c r="C3180" t="s">
        <v>3263</v>
      </c>
      <c r="D3180" t="s">
        <v>5592</v>
      </c>
      <c r="E3180">
        <v>0</v>
      </c>
      <c r="F3180" t="s">
        <v>8957</v>
      </c>
      <c r="G3180" t="s">
        <v>3890</v>
      </c>
      <c r="H3180" t="s">
        <v>109</v>
      </c>
      <c r="I3180" t="s">
        <v>108</v>
      </c>
      <c r="J3180">
        <v>2</v>
      </c>
      <c r="K3180">
        <v>0.41399999999999998</v>
      </c>
      <c r="L3180">
        <v>0.28100000000000003</v>
      </c>
      <c r="M3180">
        <v>0.249</v>
      </c>
      <c r="N3180">
        <v>0.249</v>
      </c>
      <c r="O3180">
        <v>0.249</v>
      </c>
      <c r="P3180">
        <v>0.249</v>
      </c>
      <c r="Q3180">
        <v>0.249</v>
      </c>
      <c r="R3180">
        <v>0.249</v>
      </c>
      <c r="S3180">
        <v>0.249</v>
      </c>
      <c r="T3180">
        <v>0.249</v>
      </c>
      <c r="U3180">
        <v>0.249</v>
      </c>
      <c r="V3180">
        <v>0.249</v>
      </c>
      <c r="W3180">
        <v>0.249</v>
      </c>
      <c r="X3180">
        <v>0.249</v>
      </c>
      <c r="Y3180">
        <v>0.249</v>
      </c>
      <c r="Z3180">
        <v>0.249</v>
      </c>
      <c r="AA3180">
        <v>0.249</v>
      </c>
      <c r="AB3180">
        <v>0.249</v>
      </c>
      <c r="AC3180">
        <v>0.249</v>
      </c>
      <c r="AD3180">
        <v>0.249</v>
      </c>
    </row>
    <row r="3181" spans="2:30" x14ac:dyDescent="0.25">
      <c r="B3181" t="s">
        <v>133</v>
      </c>
      <c r="C3181" t="s">
        <v>3263</v>
      </c>
      <c r="D3181" t="s">
        <v>5593</v>
      </c>
      <c r="E3181">
        <v>0</v>
      </c>
      <c r="F3181" t="s">
        <v>8957</v>
      </c>
      <c r="G3181" t="s">
        <v>3890</v>
      </c>
      <c r="H3181" t="s">
        <v>109</v>
      </c>
      <c r="I3181" t="s">
        <v>108</v>
      </c>
      <c r="J3181">
        <v>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</row>
    <row r="3182" spans="2:30" x14ac:dyDescent="0.25">
      <c r="B3182" t="s">
        <v>133</v>
      </c>
      <c r="C3182" t="s">
        <v>3263</v>
      </c>
      <c r="D3182" t="s">
        <v>5594</v>
      </c>
      <c r="E3182">
        <v>0</v>
      </c>
      <c r="F3182" t="s">
        <v>8957</v>
      </c>
      <c r="G3182" t="s">
        <v>3890</v>
      </c>
      <c r="H3182" t="s">
        <v>109</v>
      </c>
      <c r="I3182" t="s">
        <v>108</v>
      </c>
      <c r="J3182">
        <v>2</v>
      </c>
      <c r="K3182">
        <v>6562.2219999999998</v>
      </c>
      <c r="L3182">
        <v>6617.1670000000004</v>
      </c>
      <c r="M3182">
        <v>8127.7539999999999</v>
      </c>
      <c r="N3182">
        <v>8218.8449999999993</v>
      </c>
      <c r="O3182">
        <v>8305.8330000000005</v>
      </c>
      <c r="P3182">
        <v>8410.5990000000002</v>
      </c>
      <c r="Q3182">
        <v>8535.7279999999992</v>
      </c>
      <c r="R3182">
        <v>8652.9349999999995</v>
      </c>
      <c r="S3182">
        <v>8759.1129999999994</v>
      </c>
      <c r="T3182">
        <v>8865.0509999999995</v>
      </c>
      <c r="U3182">
        <v>8971.3359999999993</v>
      </c>
      <c r="V3182">
        <v>9077.9789999999994</v>
      </c>
      <c r="W3182">
        <v>9185.2189999999991</v>
      </c>
      <c r="X3182">
        <v>9293.5540000000001</v>
      </c>
      <c r="Y3182">
        <v>9402.8529999999992</v>
      </c>
      <c r="Z3182">
        <v>9513.2990000000009</v>
      </c>
      <c r="AA3182">
        <v>9624.7530000000006</v>
      </c>
      <c r="AB3182">
        <v>9737.3289999999997</v>
      </c>
      <c r="AC3182">
        <v>9851.107</v>
      </c>
      <c r="AD3182">
        <v>9966.0210000000006</v>
      </c>
    </row>
    <row r="3183" spans="2:30" x14ac:dyDescent="0.25">
      <c r="B3183" t="s">
        <v>133</v>
      </c>
      <c r="C3183" t="s">
        <v>3263</v>
      </c>
      <c r="D3183" t="s">
        <v>5595</v>
      </c>
      <c r="E3183" t="s">
        <v>5596</v>
      </c>
      <c r="F3183" t="s">
        <v>8968</v>
      </c>
      <c r="G3183" t="s">
        <v>3890</v>
      </c>
      <c r="H3183" t="s">
        <v>109</v>
      </c>
      <c r="I3183" t="s">
        <v>108</v>
      </c>
      <c r="J3183">
        <v>2</v>
      </c>
      <c r="K3183">
        <v>33.051000000000002</v>
      </c>
      <c r="L3183">
        <v>26.300999999999998</v>
      </c>
      <c r="M3183">
        <v>23.175999999999998</v>
      </c>
      <c r="N3183">
        <v>15</v>
      </c>
      <c r="O3183">
        <v>18.32</v>
      </c>
      <c r="P3183">
        <v>15</v>
      </c>
      <c r="Q3183">
        <v>15.015000000000001</v>
      </c>
      <c r="R3183">
        <v>16.123999999999999</v>
      </c>
      <c r="S3183">
        <v>17.329999999999998</v>
      </c>
      <c r="T3183">
        <v>18.478000000000002</v>
      </c>
      <c r="U3183">
        <v>20.356000000000002</v>
      </c>
      <c r="V3183">
        <v>22.234000000000002</v>
      </c>
      <c r="W3183">
        <v>24.111000000000001</v>
      </c>
      <c r="X3183">
        <v>25.989000000000001</v>
      </c>
      <c r="Y3183">
        <v>27.866</v>
      </c>
      <c r="Z3183">
        <v>29.744</v>
      </c>
      <c r="AA3183">
        <v>31.622</v>
      </c>
      <c r="AB3183">
        <v>33.499000000000002</v>
      </c>
      <c r="AC3183">
        <v>35.377000000000002</v>
      </c>
      <c r="AD3183">
        <v>37.253999999999998</v>
      </c>
    </row>
    <row r="3184" spans="2:30" x14ac:dyDescent="0.25">
      <c r="B3184" t="s">
        <v>133</v>
      </c>
      <c r="C3184" t="s">
        <v>3263</v>
      </c>
      <c r="D3184" t="s">
        <v>5598</v>
      </c>
      <c r="E3184" t="s">
        <v>5599</v>
      </c>
      <c r="F3184" t="s">
        <v>8969</v>
      </c>
      <c r="G3184" t="s">
        <v>3890</v>
      </c>
      <c r="H3184" t="s">
        <v>109</v>
      </c>
      <c r="I3184" t="s">
        <v>108</v>
      </c>
      <c r="J3184">
        <v>2</v>
      </c>
      <c r="K3184">
        <v>14.471</v>
      </c>
      <c r="L3184">
        <v>14.471</v>
      </c>
      <c r="M3184">
        <v>14.476000000000001</v>
      </c>
      <c r="N3184">
        <v>14.476000000000001</v>
      </c>
      <c r="O3184">
        <v>14.476000000000001</v>
      </c>
      <c r="P3184">
        <v>14.476000000000001</v>
      </c>
      <c r="Q3184">
        <v>14.476000000000001</v>
      </c>
      <c r="R3184">
        <v>14.476000000000001</v>
      </c>
      <c r="S3184">
        <v>14.476000000000001</v>
      </c>
      <c r="T3184">
        <v>14.476000000000001</v>
      </c>
      <c r="U3184">
        <v>14.476000000000001</v>
      </c>
      <c r="V3184">
        <v>14.476000000000001</v>
      </c>
      <c r="W3184">
        <v>14.476000000000001</v>
      </c>
      <c r="X3184">
        <v>14.476000000000001</v>
      </c>
      <c r="Y3184">
        <v>14.476000000000001</v>
      </c>
      <c r="Z3184">
        <v>14.476000000000001</v>
      </c>
      <c r="AA3184">
        <v>14.476000000000001</v>
      </c>
      <c r="AB3184">
        <v>14.476000000000001</v>
      </c>
      <c r="AC3184">
        <v>14.476000000000001</v>
      </c>
      <c r="AD3184">
        <v>14.476000000000001</v>
      </c>
    </row>
    <row r="3185" spans="2:30" x14ac:dyDescent="0.25">
      <c r="B3185" t="s">
        <v>133</v>
      </c>
      <c r="C3185" t="s">
        <v>3263</v>
      </c>
      <c r="D3185" t="s">
        <v>5601</v>
      </c>
      <c r="E3185" t="s">
        <v>5602</v>
      </c>
      <c r="F3185" t="s">
        <v>8970</v>
      </c>
      <c r="G3185" t="s">
        <v>3890</v>
      </c>
      <c r="H3185" t="s">
        <v>109</v>
      </c>
      <c r="I3185" t="s">
        <v>108</v>
      </c>
      <c r="J3185">
        <v>2</v>
      </c>
      <c r="K3185">
        <v>0.14399999999999999</v>
      </c>
      <c r="L3185">
        <v>0.14000000000000001</v>
      </c>
      <c r="M3185">
        <v>0.13400000000000001</v>
      </c>
      <c r="N3185">
        <v>0.13200000000000001</v>
      </c>
      <c r="O3185">
        <v>0.129</v>
      </c>
      <c r="P3185">
        <v>0.126</v>
      </c>
      <c r="Q3185">
        <v>0.122</v>
      </c>
      <c r="R3185">
        <v>0.11799999999999999</v>
      </c>
      <c r="S3185">
        <v>0.114</v>
      </c>
      <c r="T3185">
        <v>0.113</v>
      </c>
      <c r="U3185">
        <v>0.112</v>
      </c>
      <c r="V3185">
        <v>0.111</v>
      </c>
      <c r="W3185">
        <v>0.11</v>
      </c>
      <c r="X3185">
        <v>0.109</v>
      </c>
      <c r="Y3185">
        <v>0.109</v>
      </c>
      <c r="Z3185">
        <v>0.108</v>
      </c>
      <c r="AA3185">
        <v>0.107</v>
      </c>
      <c r="AB3185">
        <v>0.104</v>
      </c>
      <c r="AC3185">
        <v>0.10199999999999999</v>
      </c>
      <c r="AD3185">
        <v>0.1</v>
      </c>
    </row>
    <row r="3186" spans="2:30" x14ac:dyDescent="0.25">
      <c r="B3186" t="s">
        <v>133</v>
      </c>
      <c r="C3186" t="s">
        <v>3263</v>
      </c>
      <c r="D3186" t="s">
        <v>5604</v>
      </c>
      <c r="E3186">
        <v>0</v>
      </c>
      <c r="F3186" t="s">
        <v>8957</v>
      </c>
      <c r="G3186" t="s">
        <v>3890</v>
      </c>
      <c r="H3186" t="s">
        <v>109</v>
      </c>
      <c r="I3186" t="s">
        <v>108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 s="190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</row>
    <row r="3187" spans="2:30" x14ac:dyDescent="0.25">
      <c r="B3187" t="s">
        <v>133</v>
      </c>
      <c r="C3187" t="s">
        <v>3263</v>
      </c>
      <c r="D3187" t="s">
        <v>5605</v>
      </c>
      <c r="E3187">
        <v>0</v>
      </c>
      <c r="F3187" t="s">
        <v>8957</v>
      </c>
      <c r="G3187" t="s">
        <v>3890</v>
      </c>
      <c r="H3187" t="s">
        <v>109</v>
      </c>
      <c r="I3187" t="s">
        <v>108</v>
      </c>
      <c r="J3187">
        <v>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</row>
    <row r="3188" spans="2:30" x14ac:dyDescent="0.25">
      <c r="B3188" t="s">
        <v>133</v>
      </c>
      <c r="C3188" t="s">
        <v>3263</v>
      </c>
      <c r="D3188" t="s">
        <v>5606</v>
      </c>
      <c r="E3188" t="s">
        <v>5607</v>
      </c>
      <c r="F3188" t="s">
        <v>8971</v>
      </c>
      <c r="G3188" t="s">
        <v>3890</v>
      </c>
      <c r="H3188" t="s">
        <v>109</v>
      </c>
      <c r="I3188" t="s">
        <v>108</v>
      </c>
      <c r="J3188">
        <v>2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</row>
    <row r="3189" spans="2:30" x14ac:dyDescent="0.25">
      <c r="B3189" t="s">
        <v>133</v>
      </c>
      <c r="C3189" t="s">
        <v>3263</v>
      </c>
      <c r="D3189" t="s">
        <v>5609</v>
      </c>
      <c r="E3189" t="s">
        <v>5610</v>
      </c>
      <c r="F3189" t="s">
        <v>8972</v>
      </c>
      <c r="G3189" t="s">
        <v>3890</v>
      </c>
      <c r="H3189" t="s">
        <v>109</v>
      </c>
      <c r="I3189" t="s">
        <v>108</v>
      </c>
      <c r="J3189">
        <v>2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</row>
    <row r="3190" spans="2:30" x14ac:dyDescent="0.25">
      <c r="B3190" t="s">
        <v>133</v>
      </c>
      <c r="C3190" t="s">
        <v>3263</v>
      </c>
      <c r="D3190" t="s">
        <v>5612</v>
      </c>
      <c r="E3190" t="s">
        <v>5613</v>
      </c>
      <c r="F3190" t="s">
        <v>8973</v>
      </c>
      <c r="G3190" t="s">
        <v>3890</v>
      </c>
      <c r="H3190" t="s">
        <v>109</v>
      </c>
      <c r="I3190" t="s">
        <v>108</v>
      </c>
      <c r="J3190">
        <v>2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</row>
    <row r="3191" spans="2:30" x14ac:dyDescent="0.25">
      <c r="B3191" t="s">
        <v>133</v>
      </c>
      <c r="C3191" t="s">
        <v>3263</v>
      </c>
      <c r="D3191" t="s">
        <v>5615</v>
      </c>
      <c r="E3191" t="s">
        <v>5616</v>
      </c>
      <c r="F3191" t="s">
        <v>8974</v>
      </c>
      <c r="G3191" t="s">
        <v>3890</v>
      </c>
      <c r="H3191" t="s">
        <v>109</v>
      </c>
      <c r="I3191" t="s">
        <v>108</v>
      </c>
      <c r="J3191">
        <v>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</row>
    <row r="3192" spans="2:30" x14ac:dyDescent="0.25">
      <c r="B3192" t="s">
        <v>133</v>
      </c>
      <c r="C3192" t="s">
        <v>3263</v>
      </c>
      <c r="D3192" t="s">
        <v>5618</v>
      </c>
      <c r="E3192" t="s">
        <v>5619</v>
      </c>
      <c r="F3192" t="s">
        <v>8975</v>
      </c>
      <c r="G3192" t="s">
        <v>3890</v>
      </c>
      <c r="H3192" t="s">
        <v>109</v>
      </c>
      <c r="I3192" t="s">
        <v>108</v>
      </c>
      <c r="J3192">
        <v>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</row>
    <row r="3193" spans="2:30" x14ac:dyDescent="0.25">
      <c r="B3193" t="s">
        <v>133</v>
      </c>
      <c r="C3193" t="s">
        <v>3263</v>
      </c>
      <c r="D3193" t="s">
        <v>5621</v>
      </c>
      <c r="E3193" t="s">
        <v>5622</v>
      </c>
      <c r="F3193" t="s">
        <v>8976</v>
      </c>
      <c r="G3193" t="s">
        <v>3890</v>
      </c>
      <c r="H3193" t="s">
        <v>109</v>
      </c>
      <c r="I3193" t="s">
        <v>108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</row>
    <row r="3194" spans="2:30" x14ac:dyDescent="0.25">
      <c r="B3194" t="s">
        <v>133</v>
      </c>
      <c r="C3194" t="s">
        <v>3263</v>
      </c>
      <c r="D3194" t="s">
        <v>5624</v>
      </c>
      <c r="E3194" t="s">
        <v>5625</v>
      </c>
      <c r="F3194" t="s">
        <v>8977</v>
      </c>
      <c r="G3194" t="s">
        <v>3890</v>
      </c>
      <c r="H3194" t="s">
        <v>109</v>
      </c>
      <c r="I3194" t="s">
        <v>108</v>
      </c>
      <c r="J3194">
        <v>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</row>
    <row r="3195" spans="2:30" x14ac:dyDescent="0.25">
      <c r="B3195" t="s">
        <v>133</v>
      </c>
      <c r="C3195" t="s">
        <v>3263</v>
      </c>
      <c r="D3195" t="s">
        <v>5627</v>
      </c>
      <c r="E3195" t="s">
        <v>5628</v>
      </c>
      <c r="F3195" t="s">
        <v>8978</v>
      </c>
      <c r="G3195" t="s">
        <v>3890</v>
      </c>
      <c r="H3195" t="s">
        <v>109</v>
      </c>
      <c r="I3195" t="s">
        <v>108</v>
      </c>
      <c r="J3195">
        <v>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</row>
    <row r="3196" spans="2:30" x14ac:dyDescent="0.25">
      <c r="B3196" t="s">
        <v>133</v>
      </c>
      <c r="C3196" t="s">
        <v>3263</v>
      </c>
      <c r="D3196" t="s">
        <v>5630</v>
      </c>
      <c r="E3196" t="s">
        <v>5631</v>
      </c>
      <c r="F3196" t="s">
        <v>8979</v>
      </c>
      <c r="G3196" t="s">
        <v>3890</v>
      </c>
      <c r="H3196" t="s">
        <v>109</v>
      </c>
      <c r="I3196" t="s">
        <v>108</v>
      </c>
      <c r="J3196">
        <v>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</row>
    <row r="3197" spans="2:30" x14ac:dyDescent="0.25">
      <c r="B3197" t="s">
        <v>133</v>
      </c>
      <c r="C3197" t="s">
        <v>3263</v>
      </c>
      <c r="D3197" t="s">
        <v>5633</v>
      </c>
      <c r="E3197" t="s">
        <v>5634</v>
      </c>
      <c r="F3197" t="s">
        <v>8980</v>
      </c>
      <c r="G3197" t="s">
        <v>3890</v>
      </c>
      <c r="H3197" t="s">
        <v>109</v>
      </c>
      <c r="I3197" t="s">
        <v>108</v>
      </c>
      <c r="J3197">
        <v>2</v>
      </c>
      <c r="K3197">
        <v>271.34100000000001</v>
      </c>
      <c r="L3197">
        <v>251.108</v>
      </c>
      <c r="M3197">
        <v>298.85899999999998</v>
      </c>
      <c r="N3197">
        <v>395.57299999999998</v>
      </c>
      <c r="O3197">
        <v>361.71899999999999</v>
      </c>
      <c r="P3197">
        <v>418.935</v>
      </c>
      <c r="Q3197">
        <v>433.90899999999999</v>
      </c>
      <c r="R3197">
        <v>430.28300000000002</v>
      </c>
      <c r="S3197">
        <v>425.04599999999999</v>
      </c>
      <c r="T3197">
        <v>421.59699999999998</v>
      </c>
      <c r="U3197">
        <v>410.18099999999998</v>
      </c>
      <c r="V3197">
        <v>400.911</v>
      </c>
      <c r="W3197">
        <v>393.36399999999998</v>
      </c>
      <c r="X3197">
        <v>387.25400000000002</v>
      </c>
      <c r="Y3197">
        <v>382.31900000000002</v>
      </c>
      <c r="Z3197">
        <v>378.38299999999998</v>
      </c>
      <c r="AA3197">
        <v>375.28399999999999</v>
      </c>
      <c r="AB3197">
        <v>372.91199999999998</v>
      </c>
      <c r="AC3197">
        <v>371.17599999999999</v>
      </c>
      <c r="AD3197">
        <v>369.99299999999999</v>
      </c>
    </row>
    <row r="3198" spans="2:30" x14ac:dyDescent="0.25">
      <c r="B3198" t="s">
        <v>133</v>
      </c>
      <c r="C3198" t="s">
        <v>3263</v>
      </c>
      <c r="D3198" t="s">
        <v>5636</v>
      </c>
      <c r="E3198" t="s">
        <v>5637</v>
      </c>
      <c r="F3198" t="s">
        <v>8981</v>
      </c>
      <c r="G3198" t="s">
        <v>3890</v>
      </c>
      <c r="H3198" t="s">
        <v>109</v>
      </c>
      <c r="I3198" t="s">
        <v>108</v>
      </c>
      <c r="J3198">
        <v>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</row>
    <row r="3199" spans="2:30" x14ac:dyDescent="0.25">
      <c r="B3199" t="s">
        <v>133</v>
      </c>
      <c r="C3199" t="s">
        <v>3263</v>
      </c>
      <c r="D3199" t="s">
        <v>5639</v>
      </c>
      <c r="E3199" t="s">
        <v>5640</v>
      </c>
      <c r="F3199" t="s">
        <v>8982</v>
      </c>
      <c r="G3199" t="s">
        <v>3890</v>
      </c>
      <c r="H3199" t="s">
        <v>109</v>
      </c>
      <c r="I3199" t="s">
        <v>108</v>
      </c>
      <c r="J3199">
        <v>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</row>
    <row r="3200" spans="2:30" x14ac:dyDescent="0.25">
      <c r="B3200" t="s">
        <v>133</v>
      </c>
      <c r="C3200" t="s">
        <v>3263</v>
      </c>
      <c r="D3200" t="s">
        <v>5642</v>
      </c>
      <c r="E3200" t="s">
        <v>5643</v>
      </c>
      <c r="F3200" t="s">
        <v>8983</v>
      </c>
      <c r="G3200" t="s">
        <v>3890</v>
      </c>
      <c r="H3200" t="s">
        <v>109</v>
      </c>
      <c r="I3200" t="s">
        <v>108</v>
      </c>
      <c r="J3200">
        <v>2</v>
      </c>
      <c r="K3200">
        <v>271.34100000000001</v>
      </c>
      <c r="L3200">
        <v>251.108</v>
      </c>
      <c r="M3200">
        <v>298.85899999999998</v>
      </c>
      <c r="N3200">
        <v>395.57299999999998</v>
      </c>
      <c r="O3200">
        <v>361.71899999999999</v>
      </c>
      <c r="P3200">
        <v>418.935</v>
      </c>
      <c r="Q3200">
        <v>433.90899999999999</v>
      </c>
      <c r="R3200">
        <v>430.28300000000002</v>
      </c>
      <c r="S3200">
        <v>425.04599999999999</v>
      </c>
      <c r="T3200">
        <v>421.59699999999998</v>
      </c>
      <c r="U3200">
        <v>410.18099999999998</v>
      </c>
      <c r="V3200">
        <v>400.911</v>
      </c>
      <c r="W3200">
        <v>393.36399999999998</v>
      </c>
      <c r="X3200">
        <v>387.25400000000002</v>
      </c>
      <c r="Y3200">
        <v>382.31900000000002</v>
      </c>
      <c r="Z3200">
        <v>378.38299999999998</v>
      </c>
      <c r="AA3200">
        <v>375.28399999999999</v>
      </c>
      <c r="AB3200">
        <v>372.91199999999998</v>
      </c>
      <c r="AC3200">
        <v>371.17599999999999</v>
      </c>
      <c r="AD3200">
        <v>369.99299999999999</v>
      </c>
    </row>
    <row r="3201" spans="2:30" x14ac:dyDescent="0.25">
      <c r="B3201" t="s">
        <v>133</v>
      </c>
      <c r="C3201" t="s">
        <v>3263</v>
      </c>
      <c r="D3201" t="s">
        <v>5645</v>
      </c>
      <c r="E3201" t="s">
        <v>5646</v>
      </c>
      <c r="F3201" t="s">
        <v>8984</v>
      </c>
      <c r="G3201" t="s">
        <v>3890</v>
      </c>
      <c r="H3201" t="s">
        <v>109</v>
      </c>
      <c r="I3201" t="s">
        <v>108</v>
      </c>
      <c r="J3201">
        <v>2</v>
      </c>
      <c r="K3201">
        <v>18833.804</v>
      </c>
      <c r="L3201">
        <v>18487.669999999998</v>
      </c>
      <c r="M3201">
        <v>18167.267</v>
      </c>
      <c r="N3201">
        <v>17610.09</v>
      </c>
      <c r="O3201">
        <v>17777.409</v>
      </c>
      <c r="P3201">
        <v>19220.314999999999</v>
      </c>
      <c r="Q3201">
        <v>20728.248</v>
      </c>
      <c r="R3201">
        <v>22325.455999999998</v>
      </c>
      <c r="S3201">
        <v>24235.938999999998</v>
      </c>
      <c r="T3201">
        <v>26511.200000000001</v>
      </c>
      <c r="U3201">
        <v>28967.468000000001</v>
      </c>
      <c r="V3201">
        <v>31612.868999999999</v>
      </c>
      <c r="W3201">
        <v>34425.495999999999</v>
      </c>
      <c r="X3201">
        <v>37426.902999999998</v>
      </c>
      <c r="Y3201">
        <v>40619.586000000003</v>
      </c>
      <c r="Z3201">
        <v>44053.771999999997</v>
      </c>
      <c r="AA3201">
        <v>47761.135000000002</v>
      </c>
      <c r="AB3201">
        <v>51783.887999999999</v>
      </c>
      <c r="AC3201">
        <v>56158.595000000001</v>
      </c>
      <c r="AD3201">
        <v>60786.154999999999</v>
      </c>
    </row>
    <row r="3202" spans="2:30" x14ac:dyDescent="0.25">
      <c r="B3202" t="s">
        <v>133</v>
      </c>
      <c r="C3202" t="s">
        <v>3263</v>
      </c>
      <c r="D3202" t="s">
        <v>5648</v>
      </c>
      <c r="E3202">
        <v>0</v>
      </c>
      <c r="F3202" t="s">
        <v>8957</v>
      </c>
      <c r="G3202" t="s">
        <v>3890</v>
      </c>
      <c r="H3202" t="s">
        <v>109</v>
      </c>
      <c r="I3202" t="s">
        <v>108</v>
      </c>
      <c r="J3202">
        <v>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</row>
    <row r="3203" spans="2:30" x14ac:dyDescent="0.25">
      <c r="B3203" t="s">
        <v>133</v>
      </c>
      <c r="C3203" t="s">
        <v>3263</v>
      </c>
      <c r="D3203" t="s">
        <v>5649</v>
      </c>
      <c r="E3203">
        <v>0</v>
      </c>
      <c r="F3203" t="s">
        <v>8957</v>
      </c>
      <c r="G3203" t="s">
        <v>3890</v>
      </c>
      <c r="H3203" t="s">
        <v>109</v>
      </c>
      <c r="I3203" t="s">
        <v>108</v>
      </c>
      <c r="J3203">
        <v>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</row>
    <row r="3204" spans="2:30" x14ac:dyDescent="0.25">
      <c r="B3204" t="s">
        <v>133</v>
      </c>
      <c r="C3204" t="s">
        <v>3263</v>
      </c>
      <c r="D3204" t="s">
        <v>5650</v>
      </c>
      <c r="E3204" t="s">
        <v>5646</v>
      </c>
      <c r="F3204" t="s">
        <v>8984</v>
      </c>
      <c r="G3204" t="s">
        <v>3890</v>
      </c>
      <c r="H3204" t="s">
        <v>109</v>
      </c>
      <c r="I3204" t="s">
        <v>108</v>
      </c>
      <c r="J3204">
        <v>2</v>
      </c>
      <c r="K3204">
        <v>18833.804</v>
      </c>
      <c r="L3204">
        <v>18487.669999999998</v>
      </c>
      <c r="M3204">
        <v>18167.267</v>
      </c>
      <c r="N3204">
        <v>17610.09</v>
      </c>
      <c r="O3204">
        <v>17777.409</v>
      </c>
      <c r="P3204">
        <v>19220.314999999999</v>
      </c>
      <c r="Q3204">
        <v>20728.248</v>
      </c>
      <c r="R3204">
        <v>22325.455999999998</v>
      </c>
      <c r="S3204">
        <v>24235.938999999998</v>
      </c>
      <c r="T3204">
        <v>26511.200000000001</v>
      </c>
      <c r="U3204">
        <v>28967.468000000001</v>
      </c>
      <c r="V3204">
        <v>31612.868999999999</v>
      </c>
      <c r="W3204">
        <v>34425.495999999999</v>
      </c>
      <c r="X3204">
        <v>37426.902999999998</v>
      </c>
      <c r="Y3204">
        <v>40619.586000000003</v>
      </c>
      <c r="Z3204">
        <v>44053.771999999997</v>
      </c>
      <c r="AA3204">
        <v>47761.135000000002</v>
      </c>
      <c r="AB3204">
        <v>51783.887999999999</v>
      </c>
      <c r="AC3204">
        <v>56158.595000000001</v>
      </c>
      <c r="AD3204">
        <v>60786.154999999999</v>
      </c>
    </row>
    <row r="3205" spans="2:30" x14ac:dyDescent="0.25">
      <c r="B3205" t="s">
        <v>133</v>
      </c>
      <c r="C3205" t="s">
        <v>3263</v>
      </c>
      <c r="D3205" t="s">
        <v>5651</v>
      </c>
      <c r="E3205">
        <v>0</v>
      </c>
      <c r="F3205" t="s">
        <v>8957</v>
      </c>
      <c r="G3205" t="s">
        <v>3890</v>
      </c>
      <c r="H3205" t="s">
        <v>109</v>
      </c>
      <c r="I3205" t="s">
        <v>108</v>
      </c>
      <c r="J3205">
        <v>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</row>
    <row r="3206" spans="2:30" x14ac:dyDescent="0.25">
      <c r="B3206" t="s">
        <v>133</v>
      </c>
      <c r="C3206" t="s">
        <v>3263</v>
      </c>
      <c r="D3206" t="s">
        <v>5652</v>
      </c>
      <c r="E3206">
        <v>0</v>
      </c>
      <c r="F3206" t="s">
        <v>8957</v>
      </c>
      <c r="G3206" t="s">
        <v>3890</v>
      </c>
      <c r="H3206" t="s">
        <v>109</v>
      </c>
      <c r="I3206" t="s">
        <v>108</v>
      </c>
      <c r="J3206">
        <v>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</row>
    <row r="3207" spans="2:30" x14ac:dyDescent="0.25">
      <c r="B3207" t="s">
        <v>133</v>
      </c>
      <c r="C3207" t="s">
        <v>3263</v>
      </c>
      <c r="D3207" t="s">
        <v>5653</v>
      </c>
      <c r="E3207" t="s">
        <v>38</v>
      </c>
      <c r="F3207" t="s">
        <v>8964</v>
      </c>
      <c r="G3207" t="s">
        <v>3890</v>
      </c>
      <c r="H3207" t="s">
        <v>109</v>
      </c>
      <c r="I3207" t="s">
        <v>108</v>
      </c>
      <c r="J3207">
        <v>2</v>
      </c>
      <c r="K3207">
        <v>2022</v>
      </c>
      <c r="L3207">
        <v>2023</v>
      </c>
      <c r="M3207">
        <v>2024</v>
      </c>
      <c r="N3207">
        <v>2025</v>
      </c>
      <c r="O3207">
        <v>2026</v>
      </c>
      <c r="P3207">
        <v>2027</v>
      </c>
      <c r="Q3207">
        <v>2028</v>
      </c>
      <c r="R3207">
        <v>2029</v>
      </c>
      <c r="S3207">
        <v>2030</v>
      </c>
      <c r="T3207">
        <v>2031</v>
      </c>
      <c r="U3207">
        <v>2032</v>
      </c>
      <c r="V3207">
        <v>2033</v>
      </c>
      <c r="W3207">
        <v>2034</v>
      </c>
      <c r="X3207">
        <v>2035</v>
      </c>
      <c r="Y3207">
        <v>2036</v>
      </c>
      <c r="Z3207">
        <v>2037</v>
      </c>
      <c r="AA3207">
        <v>2038</v>
      </c>
      <c r="AB3207">
        <v>2039</v>
      </c>
      <c r="AC3207">
        <v>2040</v>
      </c>
      <c r="AD3207">
        <v>2041</v>
      </c>
    </row>
    <row r="3208" spans="2:30" x14ac:dyDescent="0.25">
      <c r="B3208" t="s">
        <v>133</v>
      </c>
      <c r="C3208" t="s">
        <v>3263</v>
      </c>
      <c r="D3208" t="s">
        <v>5654</v>
      </c>
      <c r="E3208">
        <v>0</v>
      </c>
      <c r="F3208" t="s">
        <v>8957</v>
      </c>
      <c r="G3208" t="s">
        <v>3890</v>
      </c>
      <c r="H3208" t="s">
        <v>109</v>
      </c>
      <c r="I3208" t="s">
        <v>108</v>
      </c>
      <c r="J3208">
        <v>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</row>
    <row r="3209" spans="2:30" x14ac:dyDescent="0.25">
      <c r="B3209" t="s">
        <v>133</v>
      </c>
      <c r="C3209" t="s">
        <v>3263</v>
      </c>
      <c r="D3209" t="s">
        <v>5655</v>
      </c>
      <c r="E3209" t="s">
        <v>5656</v>
      </c>
      <c r="F3209" t="s">
        <v>8985</v>
      </c>
      <c r="G3209" t="s">
        <v>3890</v>
      </c>
      <c r="H3209" t="s">
        <v>109</v>
      </c>
      <c r="I3209" t="s">
        <v>108</v>
      </c>
      <c r="J3209">
        <v>2</v>
      </c>
      <c r="K3209">
        <v>23.399000000000001</v>
      </c>
      <c r="L3209">
        <v>15.864000000000001</v>
      </c>
      <c r="M3209">
        <v>14.744</v>
      </c>
      <c r="N3209">
        <v>13.651999999999999</v>
      </c>
      <c r="O3209">
        <v>13.680999999999999</v>
      </c>
      <c r="P3209">
        <v>13.768000000000001</v>
      </c>
      <c r="Q3209">
        <v>13.727</v>
      </c>
      <c r="R3209">
        <v>13.683</v>
      </c>
      <c r="S3209">
        <v>13.635999999999999</v>
      </c>
      <c r="T3209">
        <v>13.59</v>
      </c>
      <c r="U3209">
        <v>13.59</v>
      </c>
      <c r="V3209">
        <v>13.59</v>
      </c>
      <c r="W3209">
        <v>13.59</v>
      </c>
      <c r="X3209">
        <v>13.59</v>
      </c>
      <c r="Y3209">
        <v>13.59</v>
      </c>
      <c r="Z3209">
        <v>13.59</v>
      </c>
      <c r="AA3209">
        <v>13.59</v>
      </c>
      <c r="AB3209">
        <v>13.59</v>
      </c>
      <c r="AC3209">
        <v>13.59</v>
      </c>
      <c r="AD3209">
        <v>13.59</v>
      </c>
    </row>
    <row r="3210" spans="2:30" x14ac:dyDescent="0.25">
      <c r="B3210" t="s">
        <v>133</v>
      </c>
      <c r="C3210" t="s">
        <v>3263</v>
      </c>
      <c r="D3210" t="s">
        <v>5658</v>
      </c>
      <c r="E3210">
        <v>0</v>
      </c>
      <c r="F3210" t="s">
        <v>8957</v>
      </c>
      <c r="G3210" t="s">
        <v>3890</v>
      </c>
      <c r="H3210" t="s">
        <v>109</v>
      </c>
      <c r="I3210" t="s">
        <v>108</v>
      </c>
      <c r="J3210">
        <v>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</row>
    <row r="3211" spans="2:30" x14ac:dyDescent="0.25">
      <c r="B3211" t="s">
        <v>133</v>
      </c>
      <c r="C3211" t="s">
        <v>3263</v>
      </c>
      <c r="D3211" t="s">
        <v>5659</v>
      </c>
      <c r="E3211">
        <v>0</v>
      </c>
      <c r="F3211" t="s">
        <v>8957</v>
      </c>
      <c r="G3211" t="s">
        <v>3890</v>
      </c>
      <c r="H3211" t="s">
        <v>109</v>
      </c>
      <c r="I3211" t="s">
        <v>108</v>
      </c>
      <c r="J3211">
        <v>2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</row>
    <row r="3212" spans="2:30" x14ac:dyDescent="0.25">
      <c r="B3212" t="s">
        <v>133</v>
      </c>
      <c r="C3212" t="s">
        <v>3263</v>
      </c>
      <c r="D3212" t="s">
        <v>5660</v>
      </c>
      <c r="E3212">
        <v>0</v>
      </c>
      <c r="F3212" t="s">
        <v>8957</v>
      </c>
      <c r="G3212" t="s">
        <v>3890</v>
      </c>
      <c r="H3212" t="s">
        <v>109</v>
      </c>
      <c r="I3212" t="s">
        <v>108</v>
      </c>
      <c r="J3212">
        <v>2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</row>
    <row r="3213" spans="2:30" x14ac:dyDescent="0.25">
      <c r="B3213" t="s">
        <v>133</v>
      </c>
      <c r="C3213" t="s">
        <v>3263</v>
      </c>
      <c r="D3213" t="s">
        <v>5661</v>
      </c>
      <c r="E3213">
        <v>0</v>
      </c>
      <c r="F3213" t="s">
        <v>8957</v>
      </c>
      <c r="G3213" t="s">
        <v>3890</v>
      </c>
      <c r="H3213" t="s">
        <v>109</v>
      </c>
      <c r="I3213" t="s">
        <v>108</v>
      </c>
      <c r="J3213">
        <v>2</v>
      </c>
      <c r="K3213">
        <v>0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1</v>
      </c>
    </row>
    <row r="3214" spans="2:30" x14ac:dyDescent="0.25">
      <c r="B3214" t="s">
        <v>133</v>
      </c>
      <c r="C3214" t="s">
        <v>3263</v>
      </c>
      <c r="D3214" t="s">
        <v>5662</v>
      </c>
      <c r="E3214">
        <v>0</v>
      </c>
      <c r="F3214" t="s">
        <v>8957</v>
      </c>
      <c r="G3214" t="s">
        <v>3890</v>
      </c>
      <c r="H3214" t="s">
        <v>109</v>
      </c>
      <c r="I3214" t="s">
        <v>108</v>
      </c>
      <c r="J3214">
        <v>2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</row>
    <row r="3215" spans="2:30" x14ac:dyDescent="0.25">
      <c r="B3215" t="s">
        <v>133</v>
      </c>
      <c r="C3215" t="s">
        <v>3263</v>
      </c>
      <c r="D3215" t="s">
        <v>5663</v>
      </c>
      <c r="E3215">
        <v>0</v>
      </c>
      <c r="F3215" t="s">
        <v>8957</v>
      </c>
      <c r="G3215" t="s">
        <v>3890</v>
      </c>
      <c r="H3215" t="s">
        <v>109</v>
      </c>
      <c r="I3215" t="s">
        <v>108</v>
      </c>
      <c r="J3215">
        <v>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</row>
    <row r="3216" spans="2:30" x14ac:dyDescent="0.25">
      <c r="B3216" t="s">
        <v>133</v>
      </c>
      <c r="C3216" t="s">
        <v>3263</v>
      </c>
      <c r="D3216" t="s">
        <v>5664</v>
      </c>
      <c r="E3216">
        <v>0</v>
      </c>
      <c r="F3216" t="s">
        <v>8957</v>
      </c>
      <c r="G3216" t="s">
        <v>3890</v>
      </c>
      <c r="H3216" t="s">
        <v>109</v>
      </c>
      <c r="I3216" t="s">
        <v>108</v>
      </c>
      <c r="J3216">
        <v>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</row>
    <row r="3217" spans="2:30" x14ac:dyDescent="0.25">
      <c r="B3217" t="s">
        <v>133</v>
      </c>
      <c r="C3217" t="s">
        <v>3263</v>
      </c>
      <c r="D3217" t="s">
        <v>5665</v>
      </c>
      <c r="E3217">
        <v>0</v>
      </c>
      <c r="F3217" t="s">
        <v>8957</v>
      </c>
      <c r="G3217" t="s">
        <v>3890</v>
      </c>
      <c r="H3217" t="s">
        <v>109</v>
      </c>
      <c r="I3217" t="s">
        <v>108</v>
      </c>
      <c r="J3217">
        <v>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</row>
    <row r="3218" spans="2:30" x14ac:dyDescent="0.25">
      <c r="B3218" t="s">
        <v>133</v>
      </c>
      <c r="C3218" t="s">
        <v>3263</v>
      </c>
      <c r="D3218" t="s">
        <v>5666</v>
      </c>
      <c r="E3218">
        <v>0</v>
      </c>
      <c r="F3218" t="s">
        <v>8957</v>
      </c>
      <c r="G3218" t="s">
        <v>3890</v>
      </c>
      <c r="H3218" t="s">
        <v>109</v>
      </c>
      <c r="I3218" t="s">
        <v>108</v>
      </c>
      <c r="J3218">
        <v>2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</row>
    <row r="3219" spans="2:30" x14ac:dyDescent="0.25">
      <c r="B3219" t="s">
        <v>133</v>
      </c>
      <c r="C3219" t="s">
        <v>3263</v>
      </c>
      <c r="D3219" t="s">
        <v>5667</v>
      </c>
      <c r="E3219">
        <v>0</v>
      </c>
      <c r="F3219" t="s">
        <v>8957</v>
      </c>
      <c r="G3219" t="s">
        <v>3890</v>
      </c>
      <c r="H3219" t="s">
        <v>109</v>
      </c>
      <c r="I3219" t="s">
        <v>108</v>
      </c>
      <c r="J3219">
        <v>2</v>
      </c>
      <c r="K3219">
        <v>0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1</v>
      </c>
      <c r="AB3219">
        <v>1</v>
      </c>
      <c r="AC3219">
        <v>1</v>
      </c>
      <c r="AD3219">
        <v>1</v>
      </c>
    </row>
    <row r="3220" spans="2:30" x14ac:dyDescent="0.25">
      <c r="B3220" t="s">
        <v>133</v>
      </c>
      <c r="C3220" t="s">
        <v>3263</v>
      </c>
      <c r="D3220" t="s">
        <v>5668</v>
      </c>
      <c r="E3220" t="s">
        <v>5669</v>
      </c>
      <c r="F3220" t="s">
        <v>8986</v>
      </c>
      <c r="G3220" t="s">
        <v>3890</v>
      </c>
      <c r="H3220" t="s">
        <v>109</v>
      </c>
      <c r="I3220" t="s">
        <v>108</v>
      </c>
      <c r="J3220">
        <v>2</v>
      </c>
      <c r="K3220">
        <v>33.051000000000002</v>
      </c>
      <c r="L3220">
        <v>26.300999999999998</v>
      </c>
      <c r="M3220">
        <v>23.175999999999998</v>
      </c>
      <c r="N3220">
        <v>15</v>
      </c>
      <c r="O3220">
        <v>18.32</v>
      </c>
      <c r="P3220">
        <v>15</v>
      </c>
      <c r="Q3220">
        <v>15.015000000000001</v>
      </c>
      <c r="R3220">
        <v>16.123999999999999</v>
      </c>
      <c r="S3220">
        <v>17.329999999999998</v>
      </c>
      <c r="T3220">
        <v>18.478000000000002</v>
      </c>
      <c r="U3220">
        <v>20.356000000000002</v>
      </c>
      <c r="V3220">
        <v>22.234000000000002</v>
      </c>
      <c r="W3220">
        <v>24.111000000000001</v>
      </c>
      <c r="X3220">
        <v>25.989000000000001</v>
      </c>
      <c r="Y3220">
        <v>27.866</v>
      </c>
      <c r="Z3220">
        <v>29.744</v>
      </c>
      <c r="AA3220">
        <v>31.622</v>
      </c>
      <c r="AB3220">
        <v>33.499000000000002</v>
      </c>
      <c r="AC3220">
        <v>35.377000000000002</v>
      </c>
      <c r="AD3220">
        <v>37.253999999999998</v>
      </c>
    </row>
    <row r="3221" spans="2:30" x14ac:dyDescent="0.25">
      <c r="B3221" t="s">
        <v>133</v>
      </c>
      <c r="C3221" t="s">
        <v>3263</v>
      </c>
      <c r="D3221" t="s">
        <v>5671</v>
      </c>
      <c r="E3221" t="s">
        <v>5672</v>
      </c>
      <c r="F3221" t="s">
        <v>8987</v>
      </c>
      <c r="G3221" t="s">
        <v>3890</v>
      </c>
      <c r="H3221" t="s">
        <v>109</v>
      </c>
      <c r="I3221" t="s">
        <v>108</v>
      </c>
      <c r="J3221">
        <v>2</v>
      </c>
      <c r="K3221">
        <v>14.471</v>
      </c>
      <c r="L3221">
        <v>14.471</v>
      </c>
      <c r="M3221">
        <v>14.476000000000001</v>
      </c>
      <c r="N3221">
        <v>14.476000000000001</v>
      </c>
      <c r="O3221">
        <v>14.476000000000001</v>
      </c>
      <c r="P3221">
        <v>14.476000000000001</v>
      </c>
      <c r="Q3221">
        <v>14.476000000000001</v>
      </c>
      <c r="R3221">
        <v>14.476000000000001</v>
      </c>
      <c r="S3221">
        <v>14.476000000000001</v>
      </c>
      <c r="T3221">
        <v>14.476000000000001</v>
      </c>
      <c r="U3221">
        <v>14.476000000000001</v>
      </c>
      <c r="V3221">
        <v>14.476000000000001</v>
      </c>
      <c r="W3221">
        <v>14.476000000000001</v>
      </c>
      <c r="X3221">
        <v>14.476000000000001</v>
      </c>
      <c r="Y3221">
        <v>14.476000000000001</v>
      </c>
      <c r="Z3221">
        <v>14.476000000000001</v>
      </c>
      <c r="AA3221">
        <v>14.476000000000001</v>
      </c>
      <c r="AB3221">
        <v>14.476000000000001</v>
      </c>
      <c r="AC3221">
        <v>14.476000000000001</v>
      </c>
      <c r="AD3221">
        <v>14.476000000000001</v>
      </c>
    </row>
    <row r="3222" spans="2:30" x14ac:dyDescent="0.25">
      <c r="B3222" t="s">
        <v>133</v>
      </c>
      <c r="C3222" t="s">
        <v>3263</v>
      </c>
      <c r="D3222" t="s">
        <v>5674</v>
      </c>
      <c r="E3222" t="s">
        <v>5675</v>
      </c>
      <c r="F3222" t="s">
        <v>8988</v>
      </c>
      <c r="G3222" t="s">
        <v>3890</v>
      </c>
      <c r="H3222" t="s">
        <v>109</v>
      </c>
      <c r="I3222" t="s">
        <v>108</v>
      </c>
      <c r="J3222">
        <v>2</v>
      </c>
      <c r="K3222">
        <v>0.14399999999999999</v>
      </c>
      <c r="L3222">
        <v>0.14000000000000001</v>
      </c>
      <c r="M3222">
        <v>0.13400000000000001</v>
      </c>
      <c r="N3222">
        <v>0.13200000000000001</v>
      </c>
      <c r="O3222">
        <v>0.129</v>
      </c>
      <c r="P3222">
        <v>0.126</v>
      </c>
      <c r="Q3222">
        <v>0.122</v>
      </c>
      <c r="R3222">
        <v>0.11799999999999999</v>
      </c>
      <c r="S3222">
        <v>0.114</v>
      </c>
      <c r="T3222">
        <v>0.113</v>
      </c>
      <c r="U3222">
        <v>0.112</v>
      </c>
      <c r="V3222">
        <v>0.111</v>
      </c>
      <c r="W3222">
        <v>0.11</v>
      </c>
      <c r="X3222">
        <v>0.109</v>
      </c>
      <c r="Y3222">
        <v>0.109</v>
      </c>
      <c r="Z3222">
        <v>0.108</v>
      </c>
      <c r="AA3222">
        <v>0.107</v>
      </c>
      <c r="AB3222">
        <v>0.104</v>
      </c>
      <c r="AC3222">
        <v>0.10199999999999999</v>
      </c>
      <c r="AD3222">
        <v>0.1</v>
      </c>
    </row>
    <row r="3223" spans="2:30" x14ac:dyDescent="0.25">
      <c r="B3223" t="s">
        <v>133</v>
      </c>
      <c r="C3223" t="s">
        <v>3263</v>
      </c>
      <c r="D3223" t="s">
        <v>5677</v>
      </c>
      <c r="E3223">
        <v>0</v>
      </c>
      <c r="F3223" t="s">
        <v>8957</v>
      </c>
      <c r="G3223" t="s">
        <v>3890</v>
      </c>
      <c r="H3223" t="s">
        <v>109</v>
      </c>
      <c r="I3223" t="s">
        <v>108</v>
      </c>
      <c r="J3223">
        <v>2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</row>
    <row r="3224" spans="2:30" x14ac:dyDescent="0.25">
      <c r="B3224" t="s">
        <v>133</v>
      </c>
      <c r="C3224" t="s">
        <v>3263</v>
      </c>
      <c r="D3224" t="s">
        <v>5678</v>
      </c>
      <c r="E3224">
        <v>0</v>
      </c>
      <c r="F3224" t="s">
        <v>8957</v>
      </c>
      <c r="G3224" t="s">
        <v>3890</v>
      </c>
      <c r="H3224" t="s">
        <v>109</v>
      </c>
      <c r="I3224" t="s">
        <v>108</v>
      </c>
      <c r="J3224">
        <v>2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</row>
    <row r="3225" spans="2:30" x14ac:dyDescent="0.25">
      <c r="B3225" t="s">
        <v>133</v>
      </c>
      <c r="C3225" t="s">
        <v>3263</v>
      </c>
      <c r="D3225" t="s">
        <v>5679</v>
      </c>
      <c r="E3225" t="s">
        <v>5680</v>
      </c>
      <c r="F3225" t="s">
        <v>8989</v>
      </c>
      <c r="G3225" t="s">
        <v>3890</v>
      </c>
      <c r="H3225" t="s">
        <v>109</v>
      </c>
      <c r="I3225" t="s">
        <v>108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</row>
    <row r="3226" spans="2:30" x14ac:dyDescent="0.25">
      <c r="B3226" t="s">
        <v>133</v>
      </c>
      <c r="C3226" t="s">
        <v>3263</v>
      </c>
      <c r="D3226" t="s">
        <v>5682</v>
      </c>
      <c r="E3226" t="s">
        <v>5683</v>
      </c>
      <c r="F3226" t="s">
        <v>8990</v>
      </c>
      <c r="G3226" t="s">
        <v>3890</v>
      </c>
      <c r="H3226" t="s">
        <v>109</v>
      </c>
      <c r="I3226" t="s">
        <v>108</v>
      </c>
      <c r="J3226">
        <v>2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</row>
    <row r="3227" spans="2:30" x14ac:dyDescent="0.25">
      <c r="B3227" t="s">
        <v>133</v>
      </c>
      <c r="C3227" t="s">
        <v>3263</v>
      </c>
      <c r="D3227" t="s">
        <v>5685</v>
      </c>
      <c r="E3227" t="s">
        <v>5686</v>
      </c>
      <c r="F3227" t="s">
        <v>8991</v>
      </c>
      <c r="G3227" t="s">
        <v>3890</v>
      </c>
      <c r="H3227" t="s">
        <v>109</v>
      </c>
      <c r="I3227" t="s">
        <v>108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</row>
    <row r="3228" spans="2:30" x14ac:dyDescent="0.25">
      <c r="B3228" t="s">
        <v>133</v>
      </c>
      <c r="C3228" t="s">
        <v>3263</v>
      </c>
      <c r="D3228" t="s">
        <v>5688</v>
      </c>
      <c r="E3228" t="s">
        <v>5689</v>
      </c>
      <c r="F3228" t="s">
        <v>8992</v>
      </c>
      <c r="G3228" t="s">
        <v>3890</v>
      </c>
      <c r="H3228" t="s">
        <v>109</v>
      </c>
      <c r="I3228" t="s">
        <v>108</v>
      </c>
      <c r="J3228">
        <v>2</v>
      </c>
      <c r="K3228">
        <v>875.27200000000005</v>
      </c>
      <c r="L3228">
        <v>1064.7159999999999</v>
      </c>
      <c r="M3228">
        <v>1332.902</v>
      </c>
      <c r="N3228">
        <v>1360.3309999999999</v>
      </c>
      <c r="O3228">
        <v>1387.0129999999999</v>
      </c>
      <c r="P3228">
        <v>1418.0809999999999</v>
      </c>
      <c r="Q3228">
        <v>1454.211</v>
      </c>
      <c r="R3228">
        <v>1488.729</v>
      </c>
      <c r="S3228">
        <v>1520.8579999999999</v>
      </c>
      <c r="T3228">
        <v>1553.1579999999999</v>
      </c>
      <c r="U3228">
        <v>1585.7719999999999</v>
      </c>
      <c r="V3228">
        <v>1618.703</v>
      </c>
      <c r="W3228">
        <v>1652.009</v>
      </c>
      <c r="X3228">
        <v>1685.8150000000001</v>
      </c>
      <c r="Y3228">
        <v>1720.0920000000001</v>
      </c>
      <c r="Z3228">
        <v>1754.8869999999999</v>
      </c>
      <c r="AA3228">
        <v>1790.171</v>
      </c>
      <c r="AB3228">
        <v>1825.9749999999999</v>
      </c>
      <c r="AC3228">
        <v>1862.3219999999999</v>
      </c>
      <c r="AD3228">
        <v>1899.1990000000001</v>
      </c>
    </row>
    <row r="3229" spans="2:30" x14ac:dyDescent="0.25">
      <c r="B3229" t="s">
        <v>133</v>
      </c>
      <c r="C3229" t="s">
        <v>3263</v>
      </c>
      <c r="D3229" t="s">
        <v>5691</v>
      </c>
      <c r="E3229" t="s">
        <v>5692</v>
      </c>
      <c r="F3229" t="s">
        <v>8993</v>
      </c>
      <c r="G3229" t="s">
        <v>3890</v>
      </c>
      <c r="H3229" t="s">
        <v>109</v>
      </c>
      <c r="I3229" t="s">
        <v>108</v>
      </c>
      <c r="J3229">
        <v>2</v>
      </c>
      <c r="K3229">
        <v>33.051000000000002</v>
      </c>
      <c r="L3229">
        <v>26.300999999999998</v>
      </c>
      <c r="M3229">
        <v>23.175999999999998</v>
      </c>
      <c r="N3229">
        <v>15</v>
      </c>
      <c r="O3229">
        <v>18.32</v>
      </c>
      <c r="P3229">
        <v>15</v>
      </c>
      <c r="Q3229">
        <v>15.015000000000001</v>
      </c>
      <c r="R3229">
        <v>16.123999999999999</v>
      </c>
      <c r="S3229">
        <v>17.329999999999998</v>
      </c>
      <c r="T3229">
        <v>18.478000000000002</v>
      </c>
      <c r="U3229">
        <v>20.356000000000002</v>
      </c>
      <c r="V3229">
        <v>22.234000000000002</v>
      </c>
      <c r="W3229">
        <v>24.111000000000001</v>
      </c>
      <c r="X3229">
        <v>25.989000000000001</v>
      </c>
      <c r="Y3229">
        <v>27.866</v>
      </c>
      <c r="Z3229">
        <v>29.744</v>
      </c>
      <c r="AA3229">
        <v>31.622</v>
      </c>
      <c r="AB3229">
        <v>33.499000000000002</v>
      </c>
      <c r="AC3229">
        <v>35.377000000000002</v>
      </c>
      <c r="AD3229">
        <v>37.253999999999998</v>
      </c>
    </row>
    <row r="3230" spans="2:30" x14ac:dyDescent="0.25">
      <c r="B3230" t="s">
        <v>133</v>
      </c>
      <c r="C3230" t="s">
        <v>3263</v>
      </c>
      <c r="D3230" t="s">
        <v>5694</v>
      </c>
      <c r="E3230" t="s">
        <v>5695</v>
      </c>
      <c r="F3230" t="s">
        <v>8994</v>
      </c>
      <c r="G3230" t="s">
        <v>3890</v>
      </c>
      <c r="H3230" t="s">
        <v>109</v>
      </c>
      <c r="I3230" t="s">
        <v>108</v>
      </c>
      <c r="J3230">
        <v>2</v>
      </c>
      <c r="K3230">
        <v>14.471</v>
      </c>
      <c r="L3230">
        <v>14.471</v>
      </c>
      <c r="M3230">
        <v>14.476000000000001</v>
      </c>
      <c r="N3230">
        <v>14.476000000000001</v>
      </c>
      <c r="O3230">
        <v>14.476000000000001</v>
      </c>
      <c r="P3230">
        <v>14.476000000000001</v>
      </c>
      <c r="Q3230">
        <v>14.476000000000001</v>
      </c>
      <c r="R3230">
        <v>14.476000000000001</v>
      </c>
      <c r="S3230">
        <v>14.476000000000001</v>
      </c>
      <c r="T3230">
        <v>14.476000000000001</v>
      </c>
      <c r="U3230">
        <v>14.476000000000001</v>
      </c>
      <c r="V3230">
        <v>14.476000000000001</v>
      </c>
      <c r="W3230">
        <v>14.476000000000001</v>
      </c>
      <c r="X3230">
        <v>14.476000000000001</v>
      </c>
      <c r="Y3230">
        <v>14.476000000000001</v>
      </c>
      <c r="Z3230">
        <v>14.476000000000001</v>
      </c>
      <c r="AA3230">
        <v>14.476000000000001</v>
      </c>
      <c r="AB3230">
        <v>14.476000000000001</v>
      </c>
      <c r="AC3230">
        <v>14.476000000000001</v>
      </c>
      <c r="AD3230">
        <v>14.476000000000001</v>
      </c>
    </row>
    <row r="3231" spans="2:30" x14ac:dyDescent="0.25">
      <c r="B3231" t="s">
        <v>133</v>
      </c>
      <c r="C3231" t="s">
        <v>3263</v>
      </c>
      <c r="D3231" t="s">
        <v>5697</v>
      </c>
      <c r="E3231" t="s">
        <v>5698</v>
      </c>
      <c r="F3231" t="s">
        <v>8995</v>
      </c>
      <c r="G3231" t="s">
        <v>3890</v>
      </c>
      <c r="H3231" t="s">
        <v>109</v>
      </c>
      <c r="I3231" t="s">
        <v>108</v>
      </c>
      <c r="J3231">
        <v>2</v>
      </c>
      <c r="K3231">
        <v>0.14399999999999999</v>
      </c>
      <c r="L3231">
        <v>0.14000000000000001</v>
      </c>
      <c r="M3231">
        <v>0.13400000000000001</v>
      </c>
      <c r="N3231">
        <v>0.13200000000000001</v>
      </c>
      <c r="O3231">
        <v>0.129</v>
      </c>
      <c r="P3231">
        <v>0.126</v>
      </c>
      <c r="Q3231">
        <v>0.122</v>
      </c>
      <c r="R3231">
        <v>0.11799999999999999</v>
      </c>
      <c r="S3231">
        <v>0.114</v>
      </c>
      <c r="T3231">
        <v>0.113</v>
      </c>
      <c r="U3231">
        <v>0.112</v>
      </c>
      <c r="V3231">
        <v>0.111</v>
      </c>
      <c r="W3231">
        <v>0.11</v>
      </c>
      <c r="X3231">
        <v>0.109</v>
      </c>
      <c r="Y3231">
        <v>0.109</v>
      </c>
      <c r="Z3231">
        <v>0.108</v>
      </c>
      <c r="AA3231">
        <v>0.107</v>
      </c>
      <c r="AB3231">
        <v>0.104</v>
      </c>
      <c r="AC3231">
        <v>0.10199999999999999</v>
      </c>
      <c r="AD3231">
        <v>0.1</v>
      </c>
    </row>
    <row r="3232" spans="2:30" x14ac:dyDescent="0.25">
      <c r="B3232" t="s">
        <v>133</v>
      </c>
      <c r="C3232" t="s">
        <v>3263</v>
      </c>
      <c r="D3232" t="s">
        <v>5700</v>
      </c>
      <c r="E3232">
        <v>0</v>
      </c>
      <c r="F3232" t="s">
        <v>8957</v>
      </c>
      <c r="G3232" t="s">
        <v>3890</v>
      </c>
      <c r="H3232" t="s">
        <v>109</v>
      </c>
      <c r="I3232" t="s">
        <v>108</v>
      </c>
      <c r="J3232">
        <v>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</row>
    <row r="3233" spans="2:30" x14ac:dyDescent="0.25">
      <c r="B3233" t="s">
        <v>133</v>
      </c>
      <c r="C3233" t="s">
        <v>3263</v>
      </c>
      <c r="D3233" t="s">
        <v>5701</v>
      </c>
      <c r="E3233">
        <v>0</v>
      </c>
      <c r="F3233" t="s">
        <v>8957</v>
      </c>
      <c r="G3233" t="s">
        <v>3890</v>
      </c>
      <c r="H3233" t="s">
        <v>109</v>
      </c>
      <c r="I3233" t="s">
        <v>108</v>
      </c>
      <c r="J3233">
        <v>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</row>
    <row r="3234" spans="2:30" x14ac:dyDescent="0.25">
      <c r="B3234" t="s">
        <v>133</v>
      </c>
      <c r="C3234" t="s">
        <v>3263</v>
      </c>
      <c r="D3234" t="s">
        <v>5702</v>
      </c>
      <c r="E3234" t="s">
        <v>5703</v>
      </c>
      <c r="F3234" t="s">
        <v>8996</v>
      </c>
      <c r="G3234" t="s">
        <v>3890</v>
      </c>
      <c r="H3234" t="s">
        <v>109</v>
      </c>
      <c r="I3234" t="s">
        <v>108</v>
      </c>
      <c r="J3234">
        <v>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</row>
    <row r="3235" spans="2:30" x14ac:dyDescent="0.25">
      <c r="B3235" t="s">
        <v>133</v>
      </c>
      <c r="C3235" t="s">
        <v>3263</v>
      </c>
      <c r="D3235" t="s">
        <v>5705</v>
      </c>
      <c r="E3235" t="s">
        <v>5706</v>
      </c>
      <c r="F3235" t="s">
        <v>8997</v>
      </c>
      <c r="G3235" t="s">
        <v>3890</v>
      </c>
      <c r="H3235" t="s">
        <v>109</v>
      </c>
      <c r="I3235" t="s">
        <v>108</v>
      </c>
      <c r="J3235">
        <v>2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</row>
    <row r="3236" spans="2:30" x14ac:dyDescent="0.25">
      <c r="B3236" t="s">
        <v>133</v>
      </c>
      <c r="C3236" t="s">
        <v>3263</v>
      </c>
      <c r="D3236" t="s">
        <v>5708</v>
      </c>
      <c r="E3236" t="s">
        <v>5709</v>
      </c>
      <c r="F3236" t="s">
        <v>8998</v>
      </c>
      <c r="G3236" t="s">
        <v>3890</v>
      </c>
      <c r="H3236" t="s">
        <v>109</v>
      </c>
      <c r="I3236" t="s">
        <v>108</v>
      </c>
      <c r="J3236">
        <v>2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</row>
    <row r="3237" spans="2:30" x14ac:dyDescent="0.25">
      <c r="B3237" t="s">
        <v>133</v>
      </c>
      <c r="C3237" t="s">
        <v>3263</v>
      </c>
      <c r="D3237" t="s">
        <v>5711</v>
      </c>
      <c r="E3237" t="s">
        <v>5712</v>
      </c>
      <c r="F3237" t="s">
        <v>8999</v>
      </c>
      <c r="G3237" t="s">
        <v>3890</v>
      </c>
      <c r="H3237" t="s">
        <v>109</v>
      </c>
      <c r="I3237" t="s">
        <v>108</v>
      </c>
      <c r="J3237">
        <v>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</row>
    <row r="3238" spans="2:30" x14ac:dyDescent="0.25">
      <c r="B3238" t="s">
        <v>133</v>
      </c>
      <c r="C3238" t="s">
        <v>3263</v>
      </c>
      <c r="D3238" t="s">
        <v>5714</v>
      </c>
      <c r="E3238">
        <v>0</v>
      </c>
      <c r="F3238" t="s">
        <v>8957</v>
      </c>
      <c r="G3238" t="s">
        <v>3890</v>
      </c>
      <c r="H3238" t="s">
        <v>109</v>
      </c>
      <c r="I3238" t="s">
        <v>108</v>
      </c>
      <c r="J3238">
        <v>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</row>
    <row r="3239" spans="2:30" x14ac:dyDescent="0.25">
      <c r="B3239" t="s">
        <v>133</v>
      </c>
      <c r="C3239" t="s">
        <v>3263</v>
      </c>
      <c r="D3239" t="s">
        <v>5715</v>
      </c>
      <c r="E3239">
        <v>0</v>
      </c>
      <c r="F3239" t="s">
        <v>8957</v>
      </c>
      <c r="G3239" t="s">
        <v>3890</v>
      </c>
      <c r="H3239" t="s">
        <v>109</v>
      </c>
      <c r="I3239" t="s">
        <v>108</v>
      </c>
      <c r="J3239">
        <v>2</v>
      </c>
      <c r="K3239">
        <v>7437.8159999999998</v>
      </c>
      <c r="L3239">
        <v>7682.2370000000001</v>
      </c>
      <c r="M3239">
        <v>9461.0640000000003</v>
      </c>
      <c r="N3239">
        <v>9579.5969999999998</v>
      </c>
      <c r="O3239">
        <v>9693.2800000000007</v>
      </c>
      <c r="P3239">
        <v>9829.1290000000008</v>
      </c>
      <c r="Q3239">
        <v>9990.4069999999992</v>
      </c>
      <c r="R3239">
        <v>10142.148999999999</v>
      </c>
      <c r="S3239">
        <v>10280.472</v>
      </c>
      <c r="T3239">
        <v>10418.727000000001</v>
      </c>
      <c r="U3239">
        <v>10557.643</v>
      </c>
      <c r="V3239">
        <v>10697.235000000001</v>
      </c>
      <c r="W3239">
        <v>10837.799000000001</v>
      </c>
      <c r="X3239">
        <v>10979.958000000001</v>
      </c>
      <c r="Y3239">
        <v>11123.553</v>
      </c>
      <c r="Z3239">
        <v>11268.814</v>
      </c>
      <c r="AA3239">
        <v>11415.572</v>
      </c>
      <c r="AB3239">
        <v>11563.972</v>
      </c>
      <c r="AC3239">
        <v>11714.118</v>
      </c>
      <c r="AD3239">
        <v>11865.931</v>
      </c>
    </row>
    <row r="3240" spans="2:30" x14ac:dyDescent="0.25">
      <c r="B3240" t="s">
        <v>133</v>
      </c>
      <c r="C3240" t="s">
        <v>3263</v>
      </c>
      <c r="D3240" t="s">
        <v>5716</v>
      </c>
      <c r="E3240">
        <v>0</v>
      </c>
      <c r="F3240" t="s">
        <v>8957</v>
      </c>
      <c r="G3240" t="s">
        <v>3890</v>
      </c>
      <c r="H3240" t="s">
        <v>109</v>
      </c>
      <c r="I3240" t="s">
        <v>108</v>
      </c>
      <c r="J3240">
        <v>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</row>
    <row r="3241" spans="2:30" x14ac:dyDescent="0.25">
      <c r="B3241" t="s">
        <v>133</v>
      </c>
      <c r="C3241" t="s">
        <v>3263</v>
      </c>
      <c r="D3241" t="s">
        <v>5717</v>
      </c>
      <c r="E3241">
        <v>0</v>
      </c>
      <c r="F3241" t="s">
        <v>8957</v>
      </c>
      <c r="G3241" t="s">
        <v>3890</v>
      </c>
      <c r="H3241" t="s">
        <v>109</v>
      </c>
      <c r="I3241" t="s">
        <v>108</v>
      </c>
      <c r="J3241">
        <v>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</row>
    <row r="3242" spans="2:30" x14ac:dyDescent="0.25">
      <c r="B3242" t="s">
        <v>133</v>
      </c>
      <c r="C3242" t="s">
        <v>3263</v>
      </c>
      <c r="D3242" t="s">
        <v>5718</v>
      </c>
      <c r="E3242">
        <v>0</v>
      </c>
      <c r="F3242" t="s">
        <v>8957</v>
      </c>
      <c r="G3242" t="s">
        <v>3890</v>
      </c>
      <c r="H3242" t="s">
        <v>109</v>
      </c>
      <c r="I3242" t="s">
        <v>108</v>
      </c>
      <c r="J3242">
        <v>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</row>
    <row r="3243" spans="2:30" x14ac:dyDescent="0.25">
      <c r="B3243" t="s">
        <v>133</v>
      </c>
      <c r="C3243" t="s">
        <v>3263</v>
      </c>
      <c r="D3243" t="s">
        <v>5719</v>
      </c>
      <c r="E3243" t="s">
        <v>5720</v>
      </c>
      <c r="F3243" t="s">
        <v>9000</v>
      </c>
      <c r="G3243" t="s">
        <v>3890</v>
      </c>
      <c r="H3243" t="s">
        <v>109</v>
      </c>
      <c r="I3243" t="s">
        <v>108</v>
      </c>
      <c r="J3243">
        <v>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</row>
    <row r="3244" spans="2:30" x14ac:dyDescent="0.25">
      <c r="B3244" t="s">
        <v>133</v>
      </c>
      <c r="C3244" t="s">
        <v>3263</v>
      </c>
      <c r="D3244" t="s">
        <v>5722</v>
      </c>
      <c r="E3244" t="s">
        <v>5723</v>
      </c>
      <c r="F3244" t="s">
        <v>9001</v>
      </c>
      <c r="G3244" t="s">
        <v>3890</v>
      </c>
      <c r="H3244" t="s">
        <v>109</v>
      </c>
      <c r="I3244" t="s">
        <v>108</v>
      </c>
      <c r="J3244">
        <v>2</v>
      </c>
      <c r="K3244">
        <v>6562.2219999999998</v>
      </c>
      <c r="L3244">
        <v>6617.1670000000004</v>
      </c>
      <c r="M3244">
        <v>8127.7539999999999</v>
      </c>
      <c r="N3244">
        <v>8218.8449999999993</v>
      </c>
      <c r="O3244">
        <v>8305.8330000000005</v>
      </c>
      <c r="P3244">
        <v>8410.5990000000002</v>
      </c>
      <c r="Q3244">
        <v>8535.7279999999992</v>
      </c>
      <c r="R3244">
        <v>8652.9349999999995</v>
      </c>
      <c r="S3244">
        <v>8759.1129999999994</v>
      </c>
      <c r="T3244">
        <v>8865.0509999999995</v>
      </c>
      <c r="U3244">
        <v>8971.3359999999993</v>
      </c>
      <c r="V3244">
        <v>9077.9789999999994</v>
      </c>
      <c r="W3244">
        <v>9185.2189999999991</v>
      </c>
      <c r="X3244">
        <v>9293.5540000000001</v>
      </c>
      <c r="Y3244">
        <v>9402.8529999999992</v>
      </c>
      <c r="Z3244">
        <v>9513.2990000000009</v>
      </c>
      <c r="AA3244">
        <v>9624.7530000000006</v>
      </c>
      <c r="AB3244">
        <v>9737.3289999999997</v>
      </c>
      <c r="AC3244">
        <v>9851.107</v>
      </c>
      <c r="AD3244">
        <v>9966.0210000000006</v>
      </c>
    </row>
    <row r="3245" spans="2:30" x14ac:dyDescent="0.25">
      <c r="B3245" t="s">
        <v>133</v>
      </c>
      <c r="C3245" t="s">
        <v>3263</v>
      </c>
      <c r="D3245" t="s">
        <v>5725</v>
      </c>
      <c r="E3245">
        <v>0</v>
      </c>
      <c r="F3245" t="s">
        <v>8957</v>
      </c>
      <c r="G3245" t="s">
        <v>3890</v>
      </c>
      <c r="H3245" t="s">
        <v>109</v>
      </c>
      <c r="I3245" t="s">
        <v>108</v>
      </c>
      <c r="J3245">
        <v>2</v>
      </c>
      <c r="K3245">
        <v>7437.8159999999998</v>
      </c>
      <c r="L3245">
        <v>7682.2370000000001</v>
      </c>
      <c r="M3245">
        <v>9461.0640000000003</v>
      </c>
      <c r="N3245">
        <v>9579.5969999999998</v>
      </c>
      <c r="O3245">
        <v>9693.2800000000007</v>
      </c>
      <c r="P3245">
        <v>9829.1290000000008</v>
      </c>
      <c r="Q3245">
        <v>9990.4069999999992</v>
      </c>
      <c r="R3245">
        <v>10142.148999999999</v>
      </c>
      <c r="S3245">
        <v>10280.472</v>
      </c>
      <c r="T3245">
        <v>10418.727000000001</v>
      </c>
      <c r="U3245">
        <v>10557.643</v>
      </c>
      <c r="V3245">
        <v>10697.235000000001</v>
      </c>
      <c r="W3245">
        <v>10837.799000000001</v>
      </c>
      <c r="X3245">
        <v>10979.958000000001</v>
      </c>
      <c r="Y3245">
        <v>11123.553</v>
      </c>
      <c r="Z3245">
        <v>11268.814</v>
      </c>
      <c r="AA3245">
        <v>11415.572</v>
      </c>
      <c r="AB3245">
        <v>11563.972</v>
      </c>
      <c r="AC3245">
        <v>11714.118</v>
      </c>
      <c r="AD3245">
        <v>11865.931</v>
      </c>
    </row>
    <row r="3246" spans="2:30" x14ac:dyDescent="0.25">
      <c r="B3246" t="s">
        <v>133</v>
      </c>
      <c r="C3246" t="s">
        <v>3263</v>
      </c>
      <c r="D3246" t="s">
        <v>5726</v>
      </c>
      <c r="E3246">
        <v>0</v>
      </c>
      <c r="F3246" t="s">
        <v>8957</v>
      </c>
      <c r="G3246" t="s">
        <v>3890</v>
      </c>
      <c r="H3246" t="s">
        <v>109</v>
      </c>
      <c r="I3246" t="s">
        <v>108</v>
      </c>
      <c r="J3246">
        <v>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</row>
    <row r="3247" spans="2:30" x14ac:dyDescent="0.25">
      <c r="B3247" t="s">
        <v>133</v>
      </c>
      <c r="C3247" t="s">
        <v>3263</v>
      </c>
      <c r="D3247" t="s">
        <v>5727</v>
      </c>
      <c r="E3247" t="s">
        <v>1224</v>
      </c>
      <c r="F3247" t="s">
        <v>9002</v>
      </c>
      <c r="G3247" t="s">
        <v>3890</v>
      </c>
      <c r="H3247" t="s">
        <v>109</v>
      </c>
      <c r="I3247" t="s">
        <v>108</v>
      </c>
      <c r="J3247">
        <v>2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</row>
    <row r="3248" spans="2:30" x14ac:dyDescent="0.25">
      <c r="B3248" t="s">
        <v>133</v>
      </c>
      <c r="C3248" t="s">
        <v>3263</v>
      </c>
      <c r="D3248" t="s">
        <v>5729</v>
      </c>
      <c r="E3248" t="s">
        <v>1225</v>
      </c>
      <c r="F3248" t="s">
        <v>9003</v>
      </c>
      <c r="G3248" t="s">
        <v>3890</v>
      </c>
      <c r="H3248" t="s">
        <v>109</v>
      </c>
      <c r="I3248" t="s">
        <v>108</v>
      </c>
      <c r="J3248">
        <v>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</row>
    <row r="3249" spans="2:30" x14ac:dyDescent="0.25">
      <c r="B3249" t="s">
        <v>133</v>
      </c>
      <c r="C3249" t="s">
        <v>3263</v>
      </c>
      <c r="D3249" t="s">
        <v>5731</v>
      </c>
      <c r="E3249" t="s">
        <v>1226</v>
      </c>
      <c r="F3249" t="s">
        <v>9004</v>
      </c>
      <c r="G3249" t="s">
        <v>3890</v>
      </c>
      <c r="H3249" t="s">
        <v>109</v>
      </c>
      <c r="I3249" t="s">
        <v>108</v>
      </c>
      <c r="J3249">
        <v>2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</row>
    <row r="3250" spans="2:30" x14ac:dyDescent="0.25">
      <c r="B3250" t="s">
        <v>133</v>
      </c>
      <c r="C3250" t="s">
        <v>3263</v>
      </c>
      <c r="D3250" t="s">
        <v>5733</v>
      </c>
      <c r="E3250" t="s">
        <v>1227</v>
      </c>
      <c r="F3250" t="s">
        <v>9005</v>
      </c>
      <c r="G3250" t="s">
        <v>3890</v>
      </c>
      <c r="H3250" t="s">
        <v>109</v>
      </c>
      <c r="I3250" t="s">
        <v>108</v>
      </c>
      <c r="J3250">
        <v>2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</row>
    <row r="3251" spans="2:30" x14ac:dyDescent="0.25">
      <c r="B3251" t="s">
        <v>133</v>
      </c>
      <c r="C3251" t="s">
        <v>3263</v>
      </c>
      <c r="D3251" t="s">
        <v>5735</v>
      </c>
      <c r="E3251" t="s">
        <v>1228</v>
      </c>
      <c r="F3251" t="s">
        <v>9006</v>
      </c>
      <c r="G3251" t="s">
        <v>3890</v>
      </c>
      <c r="H3251" t="s">
        <v>109</v>
      </c>
      <c r="I3251" t="s">
        <v>108</v>
      </c>
      <c r="J3251">
        <v>2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</row>
    <row r="3252" spans="2:30" x14ac:dyDescent="0.25">
      <c r="B3252" t="s">
        <v>133</v>
      </c>
      <c r="C3252" t="s">
        <v>3263</v>
      </c>
      <c r="D3252" t="s">
        <v>5737</v>
      </c>
      <c r="E3252" t="s">
        <v>1229</v>
      </c>
      <c r="F3252" t="s">
        <v>9007</v>
      </c>
      <c r="G3252" t="s">
        <v>3890</v>
      </c>
      <c r="H3252" t="s">
        <v>109</v>
      </c>
      <c r="I3252" t="s">
        <v>108</v>
      </c>
      <c r="J3252">
        <v>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</row>
    <row r="3253" spans="2:30" x14ac:dyDescent="0.25">
      <c r="B3253" t="s">
        <v>133</v>
      </c>
      <c r="C3253" t="s">
        <v>3263</v>
      </c>
      <c r="D3253" t="s">
        <v>5739</v>
      </c>
      <c r="E3253" t="s">
        <v>1230</v>
      </c>
      <c r="F3253" t="s">
        <v>9008</v>
      </c>
      <c r="G3253" t="s">
        <v>3890</v>
      </c>
      <c r="H3253" t="s">
        <v>109</v>
      </c>
      <c r="I3253" t="s">
        <v>108</v>
      </c>
      <c r="J3253">
        <v>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</row>
    <row r="3254" spans="2:30" x14ac:dyDescent="0.25">
      <c r="B3254" t="s">
        <v>133</v>
      </c>
      <c r="C3254" t="s">
        <v>3263</v>
      </c>
      <c r="D3254" t="s">
        <v>5741</v>
      </c>
      <c r="E3254" t="s">
        <v>1231</v>
      </c>
      <c r="F3254" t="s">
        <v>9009</v>
      </c>
      <c r="G3254" t="s">
        <v>3890</v>
      </c>
      <c r="H3254" t="s">
        <v>109</v>
      </c>
      <c r="I3254" t="s">
        <v>108</v>
      </c>
      <c r="J3254">
        <v>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</row>
    <row r="3255" spans="2:30" x14ac:dyDescent="0.25">
      <c r="B3255" t="s">
        <v>133</v>
      </c>
      <c r="C3255" t="s">
        <v>3263</v>
      </c>
      <c r="D3255" t="s">
        <v>5743</v>
      </c>
      <c r="E3255" t="s">
        <v>1232</v>
      </c>
      <c r="F3255" t="s">
        <v>9010</v>
      </c>
      <c r="G3255" t="s">
        <v>3890</v>
      </c>
      <c r="H3255" t="s">
        <v>109</v>
      </c>
      <c r="I3255" t="s">
        <v>108</v>
      </c>
      <c r="J3255">
        <v>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</row>
    <row r="3256" spans="2:30" x14ac:dyDescent="0.25">
      <c r="B3256" t="s">
        <v>133</v>
      </c>
      <c r="C3256" t="s">
        <v>3263</v>
      </c>
      <c r="D3256" t="s">
        <v>5745</v>
      </c>
      <c r="E3256" t="s">
        <v>1197</v>
      </c>
      <c r="F3256" t="s">
        <v>9011</v>
      </c>
      <c r="G3256" t="s">
        <v>3890</v>
      </c>
      <c r="H3256" t="s">
        <v>109</v>
      </c>
      <c r="I3256" t="s">
        <v>108</v>
      </c>
      <c r="J3256">
        <v>2</v>
      </c>
      <c r="K3256">
        <v>227.214</v>
      </c>
      <c r="L3256">
        <v>212.61799999999999</v>
      </c>
      <c r="M3256">
        <v>252.76599999999999</v>
      </c>
      <c r="N3256">
        <v>271.80900000000003</v>
      </c>
      <c r="O3256">
        <v>255.779</v>
      </c>
      <c r="P3256">
        <v>252.821</v>
      </c>
      <c r="Q3256">
        <v>252.38300000000001</v>
      </c>
      <c r="R3256">
        <v>251.80500000000001</v>
      </c>
      <c r="S3256">
        <v>250.964</v>
      </c>
      <c r="T3256">
        <v>250.24</v>
      </c>
      <c r="U3256">
        <v>249.25899999999999</v>
      </c>
      <c r="V3256">
        <v>248.43700000000001</v>
      </c>
      <c r="W3256">
        <v>247.76900000000001</v>
      </c>
      <c r="X3256">
        <v>247.25800000000001</v>
      </c>
      <c r="Y3256">
        <v>246.886</v>
      </c>
      <c r="Z3256">
        <v>246.648</v>
      </c>
      <c r="AA3256">
        <v>246.53</v>
      </c>
      <c r="AB3256">
        <v>246.52500000000001</v>
      </c>
      <c r="AC3256">
        <v>246.62799999999999</v>
      </c>
      <c r="AD3256">
        <v>246.83</v>
      </c>
    </row>
    <row r="3257" spans="2:30" x14ac:dyDescent="0.25">
      <c r="B3257" t="s">
        <v>133</v>
      </c>
      <c r="C3257" t="s">
        <v>3263</v>
      </c>
      <c r="D3257" t="s">
        <v>5747</v>
      </c>
      <c r="E3257" t="s">
        <v>1198</v>
      </c>
      <c r="F3257" t="s">
        <v>9012</v>
      </c>
      <c r="G3257" t="s">
        <v>3890</v>
      </c>
      <c r="H3257" t="s">
        <v>109</v>
      </c>
      <c r="I3257" t="s">
        <v>108</v>
      </c>
      <c r="J3257">
        <v>2</v>
      </c>
      <c r="K3257">
        <v>1528.7239999999999</v>
      </c>
      <c r="L3257">
        <v>1311.681</v>
      </c>
      <c r="M3257">
        <v>1444.05</v>
      </c>
      <c r="N3257">
        <v>1501.115</v>
      </c>
      <c r="O3257">
        <v>1440.5329999999999</v>
      </c>
      <c r="P3257">
        <v>1459.729</v>
      </c>
      <c r="Q3257">
        <v>1489.721</v>
      </c>
      <c r="R3257">
        <v>1516.6969999999999</v>
      </c>
      <c r="S3257">
        <v>1539.107</v>
      </c>
      <c r="T3257">
        <v>1562.1679999999999</v>
      </c>
      <c r="U3257">
        <v>1586.126</v>
      </c>
      <c r="V3257">
        <v>1610.953</v>
      </c>
      <c r="W3257">
        <v>1636.7349999999999</v>
      </c>
      <c r="X3257">
        <v>1663.69</v>
      </c>
      <c r="Y3257">
        <v>1691.7329999999999</v>
      </c>
      <c r="Z3257">
        <v>1720.9369999999999</v>
      </c>
      <c r="AA3257">
        <v>1751.22</v>
      </c>
      <c r="AB3257">
        <v>1782.6279999999999</v>
      </c>
      <c r="AC3257">
        <v>1815.191</v>
      </c>
      <c r="AD3257">
        <v>1848.8710000000001</v>
      </c>
    </row>
    <row r="3258" spans="2:30" x14ac:dyDescent="0.25">
      <c r="B3258" t="s">
        <v>133</v>
      </c>
      <c r="C3258" t="s">
        <v>3263</v>
      </c>
      <c r="D3258" t="s">
        <v>5749</v>
      </c>
      <c r="E3258" t="s">
        <v>1199</v>
      </c>
      <c r="F3258" t="s">
        <v>9013</v>
      </c>
      <c r="G3258" t="s">
        <v>3890</v>
      </c>
      <c r="H3258" t="s">
        <v>109</v>
      </c>
      <c r="I3258" t="s">
        <v>108</v>
      </c>
      <c r="J3258">
        <v>2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</row>
    <row r="3259" spans="2:30" x14ac:dyDescent="0.25">
      <c r="B3259" t="s">
        <v>133</v>
      </c>
      <c r="C3259" t="s">
        <v>3263</v>
      </c>
      <c r="D3259" t="s">
        <v>5751</v>
      </c>
      <c r="E3259" t="s">
        <v>1200</v>
      </c>
      <c r="F3259" t="s">
        <v>9014</v>
      </c>
      <c r="G3259" t="s">
        <v>3890</v>
      </c>
      <c r="H3259" t="s">
        <v>109</v>
      </c>
      <c r="I3259" t="s">
        <v>108</v>
      </c>
      <c r="J3259">
        <v>2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</row>
    <row r="3260" spans="2:30" x14ac:dyDescent="0.25">
      <c r="B3260" t="s">
        <v>133</v>
      </c>
      <c r="C3260" t="s">
        <v>3263</v>
      </c>
      <c r="D3260" t="s">
        <v>5753</v>
      </c>
      <c r="E3260" t="s">
        <v>1201</v>
      </c>
      <c r="F3260" t="s">
        <v>9015</v>
      </c>
      <c r="G3260" t="s">
        <v>3890</v>
      </c>
      <c r="H3260" t="s">
        <v>109</v>
      </c>
      <c r="I3260" t="s">
        <v>108</v>
      </c>
      <c r="J3260">
        <v>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</row>
    <row r="3261" spans="2:30" x14ac:dyDescent="0.25">
      <c r="B3261" t="s">
        <v>133</v>
      </c>
      <c r="C3261" t="s">
        <v>3263</v>
      </c>
      <c r="D3261" t="s">
        <v>5755</v>
      </c>
      <c r="E3261" t="s">
        <v>1202</v>
      </c>
      <c r="F3261" t="s">
        <v>9016</v>
      </c>
      <c r="G3261" t="s">
        <v>3890</v>
      </c>
      <c r="H3261" t="s">
        <v>109</v>
      </c>
      <c r="I3261" t="s">
        <v>108</v>
      </c>
      <c r="J3261">
        <v>2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</row>
    <row r="3262" spans="2:30" x14ac:dyDescent="0.25">
      <c r="B3262" t="s">
        <v>133</v>
      </c>
      <c r="C3262" t="s">
        <v>3263</v>
      </c>
      <c r="D3262" t="s">
        <v>5757</v>
      </c>
      <c r="E3262" t="s">
        <v>1203</v>
      </c>
      <c r="F3262" t="s">
        <v>9017</v>
      </c>
      <c r="G3262" t="s">
        <v>3890</v>
      </c>
      <c r="H3262" t="s">
        <v>109</v>
      </c>
      <c r="I3262" t="s">
        <v>108</v>
      </c>
      <c r="J3262">
        <v>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</row>
    <row r="3263" spans="2:30" x14ac:dyDescent="0.25">
      <c r="B3263" t="s">
        <v>133</v>
      </c>
      <c r="C3263" t="s">
        <v>3263</v>
      </c>
      <c r="D3263" t="s">
        <v>5759</v>
      </c>
      <c r="E3263" t="s">
        <v>1204</v>
      </c>
      <c r="F3263" t="s">
        <v>9018</v>
      </c>
      <c r="G3263" t="s">
        <v>3890</v>
      </c>
      <c r="H3263" t="s">
        <v>109</v>
      </c>
      <c r="I3263" t="s">
        <v>108</v>
      </c>
      <c r="J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</row>
    <row r="3264" spans="2:30" x14ac:dyDescent="0.25">
      <c r="B3264" t="s">
        <v>133</v>
      </c>
      <c r="C3264" t="s">
        <v>3263</v>
      </c>
      <c r="D3264" t="s">
        <v>5761</v>
      </c>
      <c r="E3264" t="s">
        <v>1205</v>
      </c>
      <c r="F3264" t="s">
        <v>9019</v>
      </c>
      <c r="G3264" t="s">
        <v>3890</v>
      </c>
      <c r="H3264" t="s">
        <v>109</v>
      </c>
      <c r="I3264" t="s">
        <v>108</v>
      </c>
      <c r="J3264">
        <v>2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</row>
    <row r="3265" spans="2:30" x14ac:dyDescent="0.25">
      <c r="B3265" t="s">
        <v>133</v>
      </c>
      <c r="C3265" t="s">
        <v>3263</v>
      </c>
      <c r="D3265" t="s">
        <v>5763</v>
      </c>
      <c r="E3265" t="s">
        <v>1215</v>
      </c>
      <c r="F3265" t="s">
        <v>9020</v>
      </c>
      <c r="G3265" t="s">
        <v>3890</v>
      </c>
      <c r="H3265" t="s">
        <v>109</v>
      </c>
      <c r="I3265" t="s">
        <v>108</v>
      </c>
      <c r="J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</row>
    <row r="3266" spans="2:30" x14ac:dyDescent="0.25">
      <c r="B3266" t="s">
        <v>133</v>
      </c>
      <c r="C3266" t="s">
        <v>3263</v>
      </c>
      <c r="D3266" t="s">
        <v>5765</v>
      </c>
      <c r="E3266" t="s">
        <v>1216</v>
      </c>
      <c r="F3266" t="s">
        <v>9021</v>
      </c>
      <c r="G3266" t="s">
        <v>3890</v>
      </c>
      <c r="H3266" t="s">
        <v>109</v>
      </c>
      <c r="I3266" t="s">
        <v>108</v>
      </c>
      <c r="J3266">
        <v>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</row>
    <row r="3267" spans="2:30" x14ac:dyDescent="0.25">
      <c r="B3267" t="s">
        <v>133</v>
      </c>
      <c r="C3267" t="s">
        <v>3263</v>
      </c>
      <c r="D3267" t="s">
        <v>5767</v>
      </c>
      <c r="E3267" t="s">
        <v>1217</v>
      </c>
      <c r="F3267" t="s">
        <v>9022</v>
      </c>
      <c r="G3267" t="s">
        <v>3890</v>
      </c>
      <c r="H3267" t="s">
        <v>109</v>
      </c>
      <c r="I3267" t="s">
        <v>108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</row>
    <row r="3268" spans="2:30" x14ac:dyDescent="0.25">
      <c r="B3268" t="s">
        <v>133</v>
      </c>
      <c r="C3268" t="s">
        <v>3263</v>
      </c>
      <c r="D3268" t="s">
        <v>5769</v>
      </c>
      <c r="E3268" t="s">
        <v>1218</v>
      </c>
      <c r="F3268" t="s">
        <v>9023</v>
      </c>
      <c r="G3268" t="s">
        <v>3890</v>
      </c>
      <c r="H3268" t="s">
        <v>109</v>
      </c>
      <c r="I3268" t="s">
        <v>108</v>
      </c>
      <c r="J3268">
        <v>2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</row>
    <row r="3269" spans="2:30" x14ac:dyDescent="0.25">
      <c r="B3269" t="s">
        <v>133</v>
      </c>
      <c r="C3269" t="s">
        <v>3263</v>
      </c>
      <c r="D3269" t="s">
        <v>5771</v>
      </c>
      <c r="E3269" t="s">
        <v>1219</v>
      </c>
      <c r="F3269" t="s">
        <v>9024</v>
      </c>
      <c r="G3269" t="s">
        <v>3890</v>
      </c>
      <c r="H3269" t="s">
        <v>109</v>
      </c>
      <c r="I3269" t="s">
        <v>108</v>
      </c>
      <c r="J3269">
        <v>2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</row>
    <row r="3270" spans="2:30" x14ac:dyDescent="0.25">
      <c r="B3270" t="s">
        <v>133</v>
      </c>
      <c r="C3270" t="s">
        <v>3263</v>
      </c>
      <c r="D3270" t="s">
        <v>5773</v>
      </c>
      <c r="E3270" t="s">
        <v>1220</v>
      </c>
      <c r="F3270" t="s">
        <v>9025</v>
      </c>
      <c r="G3270" t="s">
        <v>3890</v>
      </c>
      <c r="H3270" t="s">
        <v>109</v>
      </c>
      <c r="I3270" t="s">
        <v>108</v>
      </c>
      <c r="J3270">
        <v>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</row>
    <row r="3271" spans="2:30" x14ac:dyDescent="0.25">
      <c r="B3271" t="s">
        <v>133</v>
      </c>
      <c r="C3271" t="s">
        <v>3263</v>
      </c>
      <c r="D3271" t="s">
        <v>5775</v>
      </c>
      <c r="E3271" t="s">
        <v>1221</v>
      </c>
      <c r="F3271" t="s">
        <v>9026</v>
      </c>
      <c r="G3271" t="s">
        <v>3890</v>
      </c>
      <c r="H3271" t="s">
        <v>109</v>
      </c>
      <c r="I3271" t="s">
        <v>108</v>
      </c>
      <c r="J3271">
        <v>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</row>
    <row r="3272" spans="2:30" x14ac:dyDescent="0.25">
      <c r="B3272" t="s">
        <v>133</v>
      </c>
      <c r="C3272" t="s">
        <v>3263</v>
      </c>
      <c r="D3272" t="s">
        <v>5777</v>
      </c>
      <c r="E3272" t="s">
        <v>1222</v>
      </c>
      <c r="F3272" t="s">
        <v>9027</v>
      </c>
      <c r="G3272" t="s">
        <v>3890</v>
      </c>
      <c r="H3272" t="s">
        <v>109</v>
      </c>
      <c r="I3272" t="s">
        <v>108</v>
      </c>
      <c r="J3272">
        <v>2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</row>
    <row r="3273" spans="2:30" x14ac:dyDescent="0.25">
      <c r="B3273" t="s">
        <v>133</v>
      </c>
      <c r="C3273" t="s">
        <v>3263</v>
      </c>
      <c r="D3273" t="s">
        <v>5779</v>
      </c>
      <c r="E3273" t="s">
        <v>1223</v>
      </c>
      <c r="F3273" t="s">
        <v>9028</v>
      </c>
      <c r="G3273" t="s">
        <v>3890</v>
      </c>
      <c r="H3273" t="s">
        <v>109</v>
      </c>
      <c r="I3273" t="s">
        <v>108</v>
      </c>
      <c r="J3273">
        <v>2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</row>
    <row r="3274" spans="2:30" x14ac:dyDescent="0.25">
      <c r="B3274" t="s">
        <v>133</v>
      </c>
      <c r="C3274" t="s">
        <v>3263</v>
      </c>
      <c r="D3274" t="s">
        <v>5781</v>
      </c>
      <c r="E3274" t="s">
        <v>5782</v>
      </c>
      <c r="F3274" t="s">
        <v>9029</v>
      </c>
      <c r="G3274" t="s">
        <v>3890</v>
      </c>
      <c r="H3274" t="s">
        <v>109</v>
      </c>
      <c r="I3274" t="s">
        <v>108</v>
      </c>
      <c r="J3274">
        <v>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</row>
    <row r="3275" spans="2:30" x14ac:dyDescent="0.25">
      <c r="B3275" t="s">
        <v>133</v>
      </c>
      <c r="C3275" t="s">
        <v>3263</v>
      </c>
      <c r="D3275" t="s">
        <v>5784</v>
      </c>
      <c r="E3275" t="s">
        <v>5785</v>
      </c>
      <c r="F3275" t="s">
        <v>9030</v>
      </c>
      <c r="G3275" t="s">
        <v>3890</v>
      </c>
      <c r="H3275" t="s">
        <v>109</v>
      </c>
      <c r="I3275" t="s">
        <v>108</v>
      </c>
      <c r="J3275">
        <v>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</row>
    <row r="3276" spans="2:30" x14ac:dyDescent="0.25">
      <c r="B3276" t="s">
        <v>133</v>
      </c>
      <c r="C3276" t="s">
        <v>3263</v>
      </c>
      <c r="D3276" t="s">
        <v>5787</v>
      </c>
      <c r="E3276" t="s">
        <v>5788</v>
      </c>
      <c r="F3276" t="s">
        <v>9031</v>
      </c>
      <c r="G3276" t="s">
        <v>3890</v>
      </c>
      <c r="H3276" t="s">
        <v>109</v>
      </c>
      <c r="I3276" t="s">
        <v>108</v>
      </c>
      <c r="J3276">
        <v>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</row>
    <row r="3277" spans="2:30" x14ac:dyDescent="0.25">
      <c r="B3277" t="s">
        <v>133</v>
      </c>
      <c r="C3277" t="s">
        <v>3263</v>
      </c>
      <c r="D3277" t="s">
        <v>5790</v>
      </c>
      <c r="E3277" t="s">
        <v>5791</v>
      </c>
      <c r="F3277" t="s">
        <v>9032</v>
      </c>
      <c r="G3277" t="s">
        <v>3890</v>
      </c>
      <c r="H3277" t="s">
        <v>109</v>
      </c>
      <c r="I3277" t="s">
        <v>108</v>
      </c>
      <c r="J3277">
        <v>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</row>
    <row r="3278" spans="2:30" x14ac:dyDescent="0.25">
      <c r="B3278" t="s">
        <v>133</v>
      </c>
      <c r="C3278" t="s">
        <v>3263</v>
      </c>
      <c r="D3278" t="s">
        <v>5793</v>
      </c>
      <c r="E3278" t="s">
        <v>5794</v>
      </c>
      <c r="F3278" t="s">
        <v>9033</v>
      </c>
      <c r="G3278" t="s">
        <v>3890</v>
      </c>
      <c r="H3278" t="s">
        <v>109</v>
      </c>
      <c r="I3278" t="s">
        <v>108</v>
      </c>
      <c r="J3278">
        <v>2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</row>
    <row r="3279" spans="2:30" x14ac:dyDescent="0.25">
      <c r="B3279" t="s">
        <v>133</v>
      </c>
      <c r="C3279" t="s">
        <v>3263</v>
      </c>
      <c r="D3279" t="s">
        <v>5796</v>
      </c>
      <c r="E3279" t="s">
        <v>5797</v>
      </c>
      <c r="F3279" t="s">
        <v>9034</v>
      </c>
      <c r="G3279" t="s">
        <v>3890</v>
      </c>
      <c r="H3279" t="s">
        <v>109</v>
      </c>
      <c r="I3279" t="s">
        <v>108</v>
      </c>
      <c r="J3279">
        <v>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</row>
    <row r="3280" spans="2:30" x14ac:dyDescent="0.25">
      <c r="B3280" t="s">
        <v>133</v>
      </c>
      <c r="C3280" t="s">
        <v>3263</v>
      </c>
      <c r="D3280" t="s">
        <v>5799</v>
      </c>
      <c r="E3280" t="s">
        <v>5800</v>
      </c>
      <c r="F3280" t="s">
        <v>9035</v>
      </c>
      <c r="G3280" t="s">
        <v>3890</v>
      </c>
      <c r="H3280" t="s">
        <v>109</v>
      </c>
      <c r="I3280" t="s">
        <v>108</v>
      </c>
      <c r="J3280">
        <v>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</row>
    <row r="3281" spans="2:30" x14ac:dyDescent="0.25">
      <c r="B3281" t="s">
        <v>133</v>
      </c>
      <c r="C3281" t="s">
        <v>3263</v>
      </c>
      <c r="D3281" t="s">
        <v>5802</v>
      </c>
      <c r="E3281" t="s">
        <v>5803</v>
      </c>
      <c r="F3281" t="s">
        <v>9036</v>
      </c>
      <c r="G3281" t="s">
        <v>3890</v>
      </c>
      <c r="H3281" t="s">
        <v>109</v>
      </c>
      <c r="I3281" t="s">
        <v>108</v>
      </c>
      <c r="J3281">
        <v>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</row>
    <row r="3282" spans="2:30" x14ac:dyDescent="0.25">
      <c r="B3282" t="s">
        <v>133</v>
      </c>
      <c r="C3282" t="s">
        <v>3263</v>
      </c>
      <c r="D3282" t="s">
        <v>5805</v>
      </c>
      <c r="E3282" t="s">
        <v>5806</v>
      </c>
      <c r="F3282" t="s">
        <v>9037</v>
      </c>
      <c r="G3282" t="s">
        <v>3890</v>
      </c>
      <c r="H3282" t="s">
        <v>109</v>
      </c>
      <c r="I3282" t="s">
        <v>108</v>
      </c>
      <c r="J3282">
        <v>2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</row>
    <row r="3283" spans="2:30" x14ac:dyDescent="0.25">
      <c r="B3283" t="s">
        <v>133</v>
      </c>
      <c r="C3283" t="s">
        <v>3263</v>
      </c>
      <c r="D3283" t="s">
        <v>5808</v>
      </c>
      <c r="E3283" t="s">
        <v>5809</v>
      </c>
      <c r="F3283" t="s">
        <v>9038</v>
      </c>
      <c r="G3283" t="s">
        <v>3890</v>
      </c>
      <c r="H3283" t="s">
        <v>109</v>
      </c>
      <c r="I3283" t="s">
        <v>108</v>
      </c>
      <c r="J3283">
        <v>2</v>
      </c>
      <c r="K3283">
        <v>1223.682</v>
      </c>
      <c r="L3283">
        <v>1135.251</v>
      </c>
      <c r="M3283">
        <v>1271.8219999999999</v>
      </c>
      <c r="N3283">
        <v>1419.712</v>
      </c>
      <c r="O3283">
        <v>1493.3589999999999</v>
      </c>
      <c r="P3283">
        <v>1510.2719999999999</v>
      </c>
      <c r="Q3283">
        <v>1552.048</v>
      </c>
      <c r="R3283">
        <v>1605.0129999999999</v>
      </c>
      <c r="S3283">
        <v>1660.116</v>
      </c>
      <c r="T3283">
        <v>1714.864</v>
      </c>
      <c r="U3283">
        <v>1768.325</v>
      </c>
      <c r="V3283">
        <v>1822.223</v>
      </c>
      <c r="W3283">
        <v>1877.096</v>
      </c>
      <c r="X3283">
        <v>1933.6479999999999</v>
      </c>
      <c r="Y3283">
        <v>1991.798</v>
      </c>
      <c r="Z3283">
        <v>2052.0079999999998</v>
      </c>
      <c r="AA3283">
        <v>2114.1779999999999</v>
      </c>
      <c r="AB3283">
        <v>2178.509</v>
      </c>
      <c r="AC3283">
        <v>2245.107</v>
      </c>
      <c r="AD3283">
        <v>2314.183</v>
      </c>
    </row>
    <row r="3284" spans="2:30" x14ac:dyDescent="0.25">
      <c r="B3284" t="s">
        <v>133</v>
      </c>
      <c r="C3284" t="s">
        <v>3263</v>
      </c>
      <c r="D3284" t="s">
        <v>5811</v>
      </c>
      <c r="E3284">
        <v>0</v>
      </c>
      <c r="F3284" t="s">
        <v>8957</v>
      </c>
      <c r="G3284" t="s">
        <v>3890</v>
      </c>
      <c r="H3284" t="s">
        <v>109</v>
      </c>
      <c r="I3284" t="s">
        <v>108</v>
      </c>
      <c r="J3284">
        <v>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</row>
    <row r="3285" spans="2:30" x14ac:dyDescent="0.25">
      <c r="B3285" t="s">
        <v>133</v>
      </c>
      <c r="C3285" t="s">
        <v>3263</v>
      </c>
      <c r="D3285" t="s">
        <v>5812</v>
      </c>
      <c r="E3285">
        <v>0</v>
      </c>
      <c r="F3285" t="s">
        <v>8957</v>
      </c>
      <c r="G3285" t="s">
        <v>3890</v>
      </c>
      <c r="H3285" t="s">
        <v>109</v>
      </c>
      <c r="I3285" t="s">
        <v>108</v>
      </c>
      <c r="J3285">
        <v>2</v>
      </c>
      <c r="K3285">
        <v>0</v>
      </c>
      <c r="L3285">
        <v>0.96899999999999997</v>
      </c>
      <c r="M3285">
        <v>1.1479999999999999</v>
      </c>
      <c r="N3285">
        <v>1.1080000000000001</v>
      </c>
      <c r="O3285">
        <v>1.052</v>
      </c>
      <c r="P3285">
        <v>1.0109999999999999</v>
      </c>
      <c r="Q3285">
        <v>1.028</v>
      </c>
      <c r="R3285">
        <v>1.0349999999999999</v>
      </c>
      <c r="S3285">
        <v>1.036</v>
      </c>
      <c r="T3285">
        <v>1.036</v>
      </c>
      <c r="U3285">
        <v>1.0369999999999999</v>
      </c>
      <c r="V3285">
        <v>1.0389999999999999</v>
      </c>
      <c r="W3285">
        <v>1.042</v>
      </c>
      <c r="X3285">
        <v>1.046</v>
      </c>
      <c r="Y3285">
        <v>1.05</v>
      </c>
      <c r="Z3285">
        <v>1.0549999999999999</v>
      </c>
      <c r="AA3285">
        <v>1.06</v>
      </c>
      <c r="AB3285">
        <v>1.0649999999999999</v>
      </c>
      <c r="AC3285">
        <v>1.071</v>
      </c>
      <c r="AD3285">
        <v>1.073</v>
      </c>
    </row>
    <row r="3286" spans="2:30" x14ac:dyDescent="0.25">
      <c r="B3286" t="s">
        <v>133</v>
      </c>
      <c r="C3286" t="s">
        <v>3263</v>
      </c>
      <c r="D3286" t="s">
        <v>5813</v>
      </c>
      <c r="E3286">
        <v>0</v>
      </c>
      <c r="F3286" t="s">
        <v>8957</v>
      </c>
      <c r="G3286" t="s">
        <v>3890</v>
      </c>
      <c r="H3286" t="s">
        <v>109</v>
      </c>
      <c r="I3286" t="s">
        <v>108</v>
      </c>
      <c r="J3286">
        <v>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</row>
    <row r="3287" spans="2:30" x14ac:dyDescent="0.25">
      <c r="B3287" t="s">
        <v>133</v>
      </c>
      <c r="C3287" t="s">
        <v>3263</v>
      </c>
      <c r="D3287" t="s">
        <v>5814</v>
      </c>
      <c r="E3287">
        <v>0</v>
      </c>
      <c r="F3287" t="s">
        <v>8957</v>
      </c>
      <c r="G3287" t="s">
        <v>3890</v>
      </c>
      <c r="H3287" t="s">
        <v>109</v>
      </c>
      <c r="I3287" t="s">
        <v>108</v>
      </c>
      <c r="J3287">
        <v>2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 spans="2:30" x14ac:dyDescent="0.25">
      <c r="B3288" t="s">
        <v>133</v>
      </c>
      <c r="C3288" t="s">
        <v>3263</v>
      </c>
      <c r="D3288" t="s">
        <v>5815</v>
      </c>
      <c r="E3288">
        <v>0</v>
      </c>
      <c r="F3288" t="s">
        <v>8957</v>
      </c>
      <c r="G3288" t="s">
        <v>3890</v>
      </c>
      <c r="H3288" t="s">
        <v>109</v>
      </c>
      <c r="I3288" t="s">
        <v>108</v>
      </c>
      <c r="J3288">
        <v>2</v>
      </c>
      <c r="K3288" t="e">
        <v>#VALUE!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 spans="2:30" x14ac:dyDescent="0.25">
      <c r="B3289" t="s">
        <v>133</v>
      </c>
      <c r="C3289" t="s">
        <v>3263</v>
      </c>
      <c r="D3289" t="s">
        <v>5816</v>
      </c>
      <c r="E3289" t="s">
        <v>5817</v>
      </c>
      <c r="F3289" t="s">
        <v>9039</v>
      </c>
      <c r="G3289" t="s">
        <v>3890</v>
      </c>
      <c r="H3289" t="s">
        <v>109</v>
      </c>
      <c r="I3289" t="s">
        <v>108</v>
      </c>
      <c r="J3289">
        <v>2</v>
      </c>
      <c r="K3289" t="e">
        <v>#VALUE!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 spans="2:30" x14ac:dyDescent="0.25">
      <c r="B3290" t="s">
        <v>133</v>
      </c>
      <c r="C3290" t="s">
        <v>3263</v>
      </c>
      <c r="D3290" t="s">
        <v>5819</v>
      </c>
      <c r="E3290" t="s">
        <v>5820</v>
      </c>
      <c r="F3290" t="s">
        <v>9040</v>
      </c>
      <c r="G3290" t="s">
        <v>3890</v>
      </c>
      <c r="H3290" t="s">
        <v>109</v>
      </c>
      <c r="I3290" t="s">
        <v>108</v>
      </c>
      <c r="J3290">
        <v>2</v>
      </c>
      <c r="K3290" t="e">
        <v>#VALUE!</v>
      </c>
      <c r="L3290">
        <v>2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</row>
    <row r="3291" spans="2:30" x14ac:dyDescent="0.25">
      <c r="B3291" t="s">
        <v>133</v>
      </c>
      <c r="C3291" t="s">
        <v>3263</v>
      </c>
      <c r="D3291" t="s">
        <v>5822</v>
      </c>
      <c r="E3291" t="s">
        <v>5823</v>
      </c>
      <c r="F3291" t="s">
        <v>9041</v>
      </c>
      <c r="G3291" t="s">
        <v>3890</v>
      </c>
      <c r="H3291" t="s">
        <v>109</v>
      </c>
      <c r="I3291" t="s">
        <v>108</v>
      </c>
      <c r="J3291">
        <v>2</v>
      </c>
      <c r="K3291" t="e">
        <v>#VALUE!</v>
      </c>
      <c r="L3291">
        <v>2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 spans="2:30" x14ac:dyDescent="0.25">
      <c r="B3292" t="s">
        <v>133</v>
      </c>
      <c r="C3292" t="s">
        <v>3263</v>
      </c>
      <c r="D3292" t="s">
        <v>5825</v>
      </c>
      <c r="E3292">
        <v>0</v>
      </c>
      <c r="F3292" t="s">
        <v>8957</v>
      </c>
      <c r="G3292" t="s">
        <v>3890</v>
      </c>
      <c r="H3292" t="s">
        <v>109</v>
      </c>
      <c r="I3292" t="s">
        <v>108</v>
      </c>
      <c r="J3292">
        <v>2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 spans="2:30" x14ac:dyDescent="0.25">
      <c r="B3293" t="s">
        <v>133</v>
      </c>
      <c r="C3293" t="s">
        <v>3263</v>
      </c>
      <c r="D3293" t="s">
        <v>5826</v>
      </c>
      <c r="E3293">
        <v>0</v>
      </c>
      <c r="F3293" t="s">
        <v>8957</v>
      </c>
      <c r="G3293" t="s">
        <v>3890</v>
      </c>
      <c r="H3293" t="s">
        <v>109</v>
      </c>
      <c r="I3293" t="s">
        <v>108</v>
      </c>
      <c r="J3293">
        <v>2</v>
      </c>
      <c r="K3293">
        <v>0</v>
      </c>
      <c r="L3293">
        <v>1</v>
      </c>
      <c r="M3293">
        <v>2</v>
      </c>
      <c r="N3293">
        <v>3</v>
      </c>
      <c r="O3293">
        <v>4</v>
      </c>
      <c r="P3293">
        <v>5</v>
      </c>
      <c r="Q3293">
        <v>6</v>
      </c>
      <c r="R3293">
        <v>7</v>
      </c>
      <c r="S3293">
        <v>8</v>
      </c>
      <c r="T3293">
        <v>9</v>
      </c>
      <c r="U3293">
        <v>10</v>
      </c>
      <c r="V3293">
        <v>11</v>
      </c>
      <c r="W3293">
        <v>12</v>
      </c>
      <c r="X3293">
        <v>13</v>
      </c>
      <c r="Y3293">
        <v>14</v>
      </c>
      <c r="Z3293">
        <v>15</v>
      </c>
      <c r="AA3293">
        <v>16</v>
      </c>
      <c r="AB3293">
        <v>17</v>
      </c>
      <c r="AC3293">
        <v>18</v>
      </c>
      <c r="AD3293">
        <v>19</v>
      </c>
    </row>
    <row r="3294" spans="2:30" x14ac:dyDescent="0.25">
      <c r="B3294" t="s">
        <v>133</v>
      </c>
      <c r="C3294" t="s">
        <v>3263</v>
      </c>
      <c r="D3294" t="s">
        <v>5827</v>
      </c>
      <c r="E3294" t="s">
        <v>5828</v>
      </c>
      <c r="F3294" t="s">
        <v>9042</v>
      </c>
      <c r="G3294" t="s">
        <v>3890</v>
      </c>
      <c r="H3294" t="s">
        <v>109</v>
      </c>
      <c r="I3294" t="s">
        <v>108</v>
      </c>
      <c r="J3294">
        <v>2</v>
      </c>
      <c r="K3294">
        <v>2022</v>
      </c>
      <c r="L3294">
        <v>2023</v>
      </c>
      <c r="M3294">
        <v>2024</v>
      </c>
      <c r="N3294">
        <v>2025</v>
      </c>
      <c r="O3294">
        <v>2026</v>
      </c>
      <c r="P3294">
        <v>2027</v>
      </c>
      <c r="Q3294">
        <v>2028</v>
      </c>
      <c r="R3294">
        <v>2029</v>
      </c>
      <c r="S3294">
        <v>2030</v>
      </c>
      <c r="T3294">
        <v>2031</v>
      </c>
      <c r="U3294">
        <v>2032</v>
      </c>
      <c r="V3294">
        <v>2033</v>
      </c>
      <c r="W3294">
        <v>2034</v>
      </c>
      <c r="X3294">
        <v>2035</v>
      </c>
      <c r="Y3294">
        <v>2036</v>
      </c>
      <c r="Z3294">
        <v>2037</v>
      </c>
      <c r="AA3294">
        <v>2038</v>
      </c>
      <c r="AB3294">
        <v>2039</v>
      </c>
      <c r="AC3294">
        <v>2040</v>
      </c>
      <c r="AD3294">
        <v>2041</v>
      </c>
    </row>
    <row r="3295" spans="2:30" x14ac:dyDescent="0.25">
      <c r="B3295" t="s">
        <v>133</v>
      </c>
      <c r="C3295" t="s">
        <v>3263</v>
      </c>
      <c r="D3295" t="s">
        <v>5830</v>
      </c>
      <c r="E3295" t="s">
        <v>5831</v>
      </c>
      <c r="F3295" t="s">
        <v>9043</v>
      </c>
      <c r="G3295" t="s">
        <v>3890</v>
      </c>
      <c r="H3295" t="s">
        <v>109</v>
      </c>
      <c r="I3295" t="s">
        <v>108</v>
      </c>
      <c r="J3295">
        <v>2</v>
      </c>
      <c r="K3295">
        <v>0</v>
      </c>
      <c r="L3295">
        <v>2.1659999999999999</v>
      </c>
      <c r="M3295">
        <v>2.9460000000000002</v>
      </c>
      <c r="N3295">
        <v>3.7509999999999999</v>
      </c>
      <c r="O3295">
        <v>6.1779999999999999</v>
      </c>
      <c r="P3295">
        <v>11.237</v>
      </c>
      <c r="Q3295">
        <v>21.606999999999999</v>
      </c>
      <c r="R3295">
        <v>41.93</v>
      </c>
      <c r="S3295">
        <v>82.125</v>
      </c>
      <c r="T3295">
        <v>155.52500000000001</v>
      </c>
      <c r="U3295">
        <v>279.64999999999998</v>
      </c>
      <c r="V3295">
        <v>478.66899999999998</v>
      </c>
      <c r="W3295">
        <v>770.59299999999996</v>
      </c>
      <c r="X3295">
        <v>1179.8209999999999</v>
      </c>
      <c r="Y3295">
        <v>1724.896</v>
      </c>
      <c r="Z3295">
        <v>2434.5770000000002</v>
      </c>
      <c r="AA3295">
        <v>3343.654</v>
      </c>
      <c r="AB3295">
        <v>4493.4790000000003</v>
      </c>
      <c r="AC3295">
        <v>5918.174</v>
      </c>
      <c r="AD3295">
        <v>7552.9139999999998</v>
      </c>
    </row>
    <row r="3296" spans="2:30" x14ac:dyDescent="0.25">
      <c r="B3296" t="s">
        <v>133</v>
      </c>
      <c r="C3296" t="s">
        <v>3263</v>
      </c>
      <c r="D3296" t="s">
        <v>5833</v>
      </c>
      <c r="E3296" t="s">
        <v>5834</v>
      </c>
      <c r="F3296" t="s">
        <v>9044</v>
      </c>
      <c r="G3296" t="s">
        <v>3890</v>
      </c>
      <c r="H3296" t="s">
        <v>109</v>
      </c>
      <c r="I3296" t="s">
        <v>108</v>
      </c>
      <c r="J3296">
        <v>2</v>
      </c>
      <c r="K3296">
        <v>44.354999999999997</v>
      </c>
      <c r="L3296">
        <v>41.411000000000001</v>
      </c>
      <c r="M3296">
        <v>47.658999999999999</v>
      </c>
      <c r="N3296">
        <v>52.780999999999999</v>
      </c>
      <c r="O3296">
        <v>56.012999999999998</v>
      </c>
      <c r="P3296">
        <v>57.664000000000001</v>
      </c>
      <c r="Q3296">
        <v>60.344000000000001</v>
      </c>
      <c r="R3296">
        <v>63.356999999999999</v>
      </c>
      <c r="S3296">
        <v>66.369</v>
      </c>
      <c r="T3296">
        <v>69.417000000000002</v>
      </c>
      <c r="U3296">
        <v>72.477999999999994</v>
      </c>
      <c r="V3296">
        <v>75.61</v>
      </c>
      <c r="W3296">
        <v>78.835999999999999</v>
      </c>
      <c r="X3296">
        <v>82.188999999999993</v>
      </c>
      <c r="Y3296">
        <v>85.665999999999997</v>
      </c>
      <c r="Z3296">
        <v>89.289000000000001</v>
      </c>
      <c r="AA3296">
        <v>93.057000000000002</v>
      </c>
      <c r="AB3296">
        <v>96.981999999999999</v>
      </c>
      <c r="AC3296">
        <v>101.072</v>
      </c>
      <c r="AD3296">
        <v>105.339</v>
      </c>
    </row>
    <row r="3297" spans="2:30" x14ac:dyDescent="0.25">
      <c r="B3297" t="s">
        <v>133</v>
      </c>
      <c r="C3297" t="s">
        <v>3263</v>
      </c>
      <c r="D3297" t="s">
        <v>5836</v>
      </c>
      <c r="E3297" t="s">
        <v>5837</v>
      </c>
      <c r="F3297" t="s">
        <v>9045</v>
      </c>
      <c r="G3297" t="s">
        <v>3890</v>
      </c>
      <c r="H3297" t="s">
        <v>109</v>
      </c>
      <c r="I3297" t="s">
        <v>108</v>
      </c>
      <c r="J3297">
        <v>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</row>
    <row r="3298" spans="2:30" x14ac:dyDescent="0.25">
      <c r="B3298" t="s">
        <v>133</v>
      </c>
      <c r="C3298" t="s">
        <v>3263</v>
      </c>
      <c r="D3298" t="s">
        <v>5839</v>
      </c>
      <c r="E3298">
        <v>0</v>
      </c>
      <c r="F3298" t="s">
        <v>8957</v>
      </c>
      <c r="G3298" t="s">
        <v>3890</v>
      </c>
      <c r="H3298" t="s">
        <v>109</v>
      </c>
      <c r="I3298" t="s">
        <v>108</v>
      </c>
      <c r="J3298">
        <v>2</v>
      </c>
      <c r="K3298">
        <v>563.20899999999995</v>
      </c>
      <c r="L3298">
        <v>545.49800000000005</v>
      </c>
      <c r="M3298">
        <v>626.49800000000005</v>
      </c>
      <c r="N3298">
        <v>694.04200000000003</v>
      </c>
      <c r="O3298">
        <v>730.43700000000001</v>
      </c>
      <c r="P3298">
        <v>738.45899999999995</v>
      </c>
      <c r="Q3298">
        <v>759.08900000000006</v>
      </c>
      <c r="R3298">
        <v>785.75699999999995</v>
      </c>
      <c r="S3298">
        <v>814.25699999999995</v>
      </c>
      <c r="T3298">
        <v>843.87199999999996</v>
      </c>
      <c r="U3298">
        <v>874.81299999999999</v>
      </c>
      <c r="V3298">
        <v>908.87300000000005</v>
      </c>
      <c r="W3298">
        <v>947.01800000000003</v>
      </c>
      <c r="X3298">
        <v>990.54100000000005</v>
      </c>
      <c r="Y3298">
        <v>1040.1210000000001</v>
      </c>
      <c r="Z3298">
        <v>1097.1030000000001</v>
      </c>
      <c r="AA3298">
        <v>1162.7840000000001</v>
      </c>
      <c r="AB3298">
        <v>1238.867</v>
      </c>
      <c r="AC3298">
        <v>1326.7280000000001</v>
      </c>
      <c r="AD3298">
        <v>1423.9590000000001</v>
      </c>
    </row>
    <row r="3299" spans="2:30" x14ac:dyDescent="0.25">
      <c r="B3299" t="s">
        <v>133</v>
      </c>
      <c r="C3299" t="s">
        <v>3263</v>
      </c>
      <c r="D3299" t="s">
        <v>5840</v>
      </c>
      <c r="E3299" t="s">
        <v>5841</v>
      </c>
      <c r="F3299" t="s">
        <v>9046</v>
      </c>
      <c r="G3299" t="s">
        <v>3890</v>
      </c>
      <c r="H3299" t="s">
        <v>109</v>
      </c>
      <c r="I3299" t="s">
        <v>108</v>
      </c>
      <c r="J3299">
        <v>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</row>
    <row r="3300" spans="2:30" x14ac:dyDescent="0.25">
      <c r="B3300" t="s">
        <v>133</v>
      </c>
      <c r="C3300" t="s">
        <v>3263</v>
      </c>
      <c r="D3300" t="s">
        <v>5843</v>
      </c>
      <c r="E3300" t="s">
        <v>5844</v>
      </c>
      <c r="F3300" t="s">
        <v>9047</v>
      </c>
      <c r="G3300" t="s">
        <v>3890</v>
      </c>
      <c r="H3300" t="s">
        <v>109</v>
      </c>
      <c r="I3300" t="s">
        <v>108</v>
      </c>
      <c r="J3300">
        <v>2</v>
      </c>
      <c r="K3300">
        <v>3770.7730000000001</v>
      </c>
      <c r="L3300">
        <v>3829.1619999999998</v>
      </c>
      <c r="M3300">
        <v>4289.8119999999999</v>
      </c>
      <c r="N3300">
        <v>4788.6419999999998</v>
      </c>
      <c r="O3300">
        <v>5037.0479999999998</v>
      </c>
      <c r="P3300">
        <v>5094.0959999999995</v>
      </c>
      <c r="Q3300">
        <v>5235.0050000000001</v>
      </c>
      <c r="R3300">
        <v>5413.6559999999999</v>
      </c>
      <c r="S3300">
        <v>5599.5159999999996</v>
      </c>
      <c r="T3300">
        <v>5784.1790000000001</v>
      </c>
      <c r="U3300">
        <v>5964.5010000000002</v>
      </c>
      <c r="V3300">
        <v>6146.2979999999998</v>
      </c>
      <c r="W3300">
        <v>6331.3829999999998</v>
      </c>
      <c r="X3300">
        <v>6522.13</v>
      </c>
      <c r="Y3300">
        <v>6718.268</v>
      </c>
      <c r="Z3300">
        <v>6921.3549999999996</v>
      </c>
      <c r="AA3300">
        <v>7131.0510000000004</v>
      </c>
      <c r="AB3300">
        <v>7348.0379999999996</v>
      </c>
      <c r="AC3300">
        <v>7572.6710000000003</v>
      </c>
      <c r="AD3300">
        <v>7805.6620000000003</v>
      </c>
    </row>
    <row r="3301" spans="2:30" x14ac:dyDescent="0.25">
      <c r="B3301" t="s">
        <v>133</v>
      </c>
      <c r="C3301" t="s">
        <v>3263</v>
      </c>
      <c r="D3301" t="s">
        <v>5846</v>
      </c>
      <c r="E3301">
        <v>0</v>
      </c>
      <c r="F3301" t="s">
        <v>8957</v>
      </c>
      <c r="G3301" t="s">
        <v>3890</v>
      </c>
      <c r="H3301" t="s">
        <v>109</v>
      </c>
      <c r="I3301" t="s">
        <v>108</v>
      </c>
      <c r="J3301">
        <v>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</row>
    <row r="3302" spans="2:30" x14ac:dyDescent="0.25">
      <c r="B3302" t="s">
        <v>133</v>
      </c>
      <c r="C3302" t="s">
        <v>3263</v>
      </c>
      <c r="D3302" t="s">
        <v>5847</v>
      </c>
      <c r="E3302">
        <v>0</v>
      </c>
      <c r="F3302" t="s">
        <v>8957</v>
      </c>
      <c r="G3302" t="s">
        <v>3890</v>
      </c>
      <c r="H3302" t="s">
        <v>109</v>
      </c>
      <c r="I3302" t="s">
        <v>108</v>
      </c>
      <c r="J3302">
        <v>2</v>
      </c>
      <c r="K3302">
        <v>2.8000000000000001E-2</v>
      </c>
      <c r="L3302">
        <v>3.5999999999999997E-2</v>
      </c>
      <c r="M3302">
        <v>0.03</v>
      </c>
      <c r="N3302">
        <v>4.2000000000000003E-2</v>
      </c>
      <c r="O3302">
        <v>5.5E-2</v>
      </c>
      <c r="P3302">
        <v>7.0999999999999994E-2</v>
      </c>
      <c r="Q3302">
        <v>7.5999999999999998E-2</v>
      </c>
      <c r="R3302">
        <v>8.4000000000000005E-2</v>
      </c>
      <c r="S3302">
        <v>9.1999999999999998E-2</v>
      </c>
      <c r="T3302">
        <v>0.1</v>
      </c>
      <c r="U3302">
        <v>0.107</v>
      </c>
      <c r="V3302">
        <v>0.114</v>
      </c>
      <c r="W3302">
        <v>0.12</v>
      </c>
      <c r="X3302">
        <v>0.126</v>
      </c>
      <c r="Y3302">
        <v>0.13100000000000001</v>
      </c>
      <c r="Z3302">
        <v>0.13700000000000001</v>
      </c>
      <c r="AA3302">
        <v>0.14199999999999999</v>
      </c>
      <c r="AB3302">
        <v>0.14599999999999999</v>
      </c>
      <c r="AC3302">
        <v>0.14899999999999999</v>
      </c>
      <c r="AD3302">
        <v>0.152</v>
      </c>
    </row>
    <row r="3303" spans="2:30" x14ac:dyDescent="0.25">
      <c r="B3303" t="s">
        <v>133</v>
      </c>
      <c r="C3303" t="s">
        <v>3263</v>
      </c>
      <c r="D3303" t="s">
        <v>5848</v>
      </c>
      <c r="E3303">
        <v>0</v>
      </c>
      <c r="F3303" t="s">
        <v>8957</v>
      </c>
      <c r="G3303" t="s">
        <v>3890</v>
      </c>
      <c r="H3303" t="s">
        <v>109</v>
      </c>
      <c r="I3303" t="s">
        <v>108</v>
      </c>
      <c r="J3303">
        <v>2</v>
      </c>
      <c r="K3303">
        <v>2.3E-2</v>
      </c>
      <c r="L3303">
        <v>2.5999999999999999E-2</v>
      </c>
      <c r="M3303">
        <v>2.1000000000000001E-2</v>
      </c>
      <c r="N3303">
        <v>3.4000000000000002E-2</v>
      </c>
      <c r="O3303">
        <v>4.8000000000000001E-2</v>
      </c>
      <c r="P3303">
        <v>5.3999999999999999E-2</v>
      </c>
      <c r="Q3303">
        <v>5.3999999999999999E-2</v>
      </c>
      <c r="R3303">
        <v>5.7000000000000002E-2</v>
      </c>
      <c r="S3303">
        <v>6.0999999999999999E-2</v>
      </c>
      <c r="T3303">
        <v>6.6000000000000003E-2</v>
      </c>
      <c r="U3303">
        <v>7.0999999999999994E-2</v>
      </c>
      <c r="V3303">
        <v>7.4999999999999997E-2</v>
      </c>
      <c r="W3303">
        <v>0.08</v>
      </c>
      <c r="X3303">
        <v>8.4000000000000005E-2</v>
      </c>
      <c r="Y3303">
        <v>8.8999999999999996E-2</v>
      </c>
      <c r="Z3303">
        <v>9.2999999999999999E-2</v>
      </c>
      <c r="AA3303">
        <v>9.8000000000000004E-2</v>
      </c>
      <c r="AB3303">
        <v>0.10299999999999999</v>
      </c>
      <c r="AC3303">
        <v>0.11</v>
      </c>
      <c r="AD3303">
        <v>0.115</v>
      </c>
    </row>
    <row r="3304" spans="2:30" x14ac:dyDescent="0.25">
      <c r="B3304" t="s">
        <v>133</v>
      </c>
      <c r="C3304" t="s">
        <v>3263</v>
      </c>
      <c r="D3304" t="s">
        <v>5849</v>
      </c>
      <c r="E3304">
        <v>0</v>
      </c>
      <c r="F3304" t="s">
        <v>8957</v>
      </c>
      <c r="G3304" t="s">
        <v>3890</v>
      </c>
      <c r="H3304" t="s">
        <v>109</v>
      </c>
      <c r="I3304" t="s">
        <v>108</v>
      </c>
      <c r="J3304">
        <v>2</v>
      </c>
      <c r="K3304">
        <v>7.0000000000000007E-2</v>
      </c>
      <c r="L3304">
        <v>7.3999999999999996E-2</v>
      </c>
      <c r="M3304">
        <v>6.5000000000000002E-2</v>
      </c>
      <c r="N3304">
        <v>9.8000000000000004E-2</v>
      </c>
      <c r="O3304">
        <v>0.13400000000000001</v>
      </c>
      <c r="P3304">
        <v>0.13600000000000001</v>
      </c>
      <c r="Q3304">
        <v>0.13400000000000001</v>
      </c>
      <c r="R3304">
        <v>0.13200000000000001</v>
      </c>
      <c r="S3304">
        <v>0.13</v>
      </c>
      <c r="T3304">
        <v>0.129</v>
      </c>
      <c r="U3304">
        <v>0.127</v>
      </c>
      <c r="V3304">
        <v>0.125</v>
      </c>
      <c r="W3304">
        <v>0.123</v>
      </c>
      <c r="X3304">
        <v>0.121</v>
      </c>
      <c r="Y3304">
        <v>0.11799999999999999</v>
      </c>
      <c r="Z3304">
        <v>0.115</v>
      </c>
      <c r="AA3304">
        <v>0.112</v>
      </c>
      <c r="AB3304">
        <v>0.109</v>
      </c>
      <c r="AC3304">
        <v>0.107</v>
      </c>
      <c r="AD3304">
        <v>0.109</v>
      </c>
    </row>
    <row r="3305" spans="2:30" x14ac:dyDescent="0.25">
      <c r="B3305" t="s">
        <v>133</v>
      </c>
      <c r="C3305" t="s">
        <v>3263</v>
      </c>
      <c r="D3305" t="s">
        <v>5850</v>
      </c>
      <c r="E3305">
        <v>0</v>
      </c>
      <c r="F3305" t="s">
        <v>8957</v>
      </c>
      <c r="G3305" t="s">
        <v>3890</v>
      </c>
      <c r="H3305" t="s">
        <v>109</v>
      </c>
      <c r="I3305" t="s">
        <v>108</v>
      </c>
      <c r="J3305">
        <v>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</row>
    <row r="3306" spans="2:30" x14ac:dyDescent="0.25">
      <c r="B3306" t="s">
        <v>133</v>
      </c>
      <c r="C3306" t="s">
        <v>3263</v>
      </c>
      <c r="D3306" t="s">
        <v>5851</v>
      </c>
      <c r="E3306">
        <v>0</v>
      </c>
      <c r="F3306" t="s">
        <v>8957</v>
      </c>
      <c r="G3306" t="s">
        <v>3890</v>
      </c>
      <c r="H3306" t="s">
        <v>109</v>
      </c>
      <c r="I3306" t="s">
        <v>108</v>
      </c>
      <c r="J3306">
        <v>2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</row>
    <row r="3307" spans="2:30" x14ac:dyDescent="0.25">
      <c r="B3307" t="s">
        <v>133</v>
      </c>
      <c r="C3307" t="s">
        <v>3263</v>
      </c>
      <c r="D3307" t="s">
        <v>5852</v>
      </c>
      <c r="E3307">
        <v>0</v>
      </c>
      <c r="F3307" t="s">
        <v>8957</v>
      </c>
      <c r="G3307" t="s">
        <v>3890</v>
      </c>
      <c r="H3307" t="s">
        <v>109</v>
      </c>
      <c r="I3307" t="s">
        <v>108</v>
      </c>
      <c r="J3307">
        <v>2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1</v>
      </c>
    </row>
    <row r="3308" spans="2:30" x14ac:dyDescent="0.25">
      <c r="B3308" t="s">
        <v>133</v>
      </c>
      <c r="C3308" t="s">
        <v>3263</v>
      </c>
      <c r="D3308" t="s">
        <v>5853</v>
      </c>
      <c r="E3308">
        <v>0</v>
      </c>
      <c r="F3308" t="s">
        <v>8957</v>
      </c>
      <c r="G3308" t="s">
        <v>3890</v>
      </c>
      <c r="H3308" t="s">
        <v>109</v>
      </c>
      <c r="I3308" t="s">
        <v>108</v>
      </c>
      <c r="J3308">
        <v>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</row>
    <row r="3309" spans="2:30" x14ac:dyDescent="0.25">
      <c r="B3309" t="s">
        <v>133</v>
      </c>
      <c r="C3309" t="s">
        <v>3263</v>
      </c>
      <c r="D3309" t="s">
        <v>5854</v>
      </c>
      <c r="E3309">
        <v>0</v>
      </c>
      <c r="F3309" t="s">
        <v>8957</v>
      </c>
      <c r="G3309" t="s">
        <v>3890</v>
      </c>
      <c r="H3309" t="s">
        <v>109</v>
      </c>
      <c r="I3309" t="s">
        <v>108</v>
      </c>
      <c r="J3309">
        <v>2</v>
      </c>
      <c r="K3309">
        <v>5.0999999999999997E-2</v>
      </c>
      <c r="L3309">
        <v>6.0999999999999999E-2</v>
      </c>
      <c r="M3309">
        <v>5.0999999999999997E-2</v>
      </c>
      <c r="N3309">
        <v>7.5999999999999998E-2</v>
      </c>
      <c r="O3309">
        <v>0.10299999999999999</v>
      </c>
      <c r="P3309">
        <v>0.125</v>
      </c>
      <c r="Q3309">
        <v>0.13100000000000001</v>
      </c>
      <c r="R3309">
        <v>0.14099999999999999</v>
      </c>
      <c r="S3309">
        <v>0.153</v>
      </c>
      <c r="T3309">
        <v>0.16600000000000001</v>
      </c>
      <c r="U3309">
        <v>0.17799999999999999</v>
      </c>
      <c r="V3309">
        <v>0.189</v>
      </c>
      <c r="W3309">
        <v>0.2</v>
      </c>
      <c r="X3309">
        <v>0.21</v>
      </c>
      <c r="Y3309">
        <v>0.22</v>
      </c>
      <c r="Z3309">
        <v>0.23</v>
      </c>
      <c r="AA3309">
        <v>0.24</v>
      </c>
      <c r="AB3309">
        <v>0.249</v>
      </c>
      <c r="AC3309">
        <v>0.25900000000000001</v>
      </c>
      <c r="AD3309">
        <v>0.26700000000000002</v>
      </c>
    </row>
    <row r="3310" spans="2:30" x14ac:dyDescent="0.25">
      <c r="B3310" t="s">
        <v>133</v>
      </c>
      <c r="C3310" t="s">
        <v>3263</v>
      </c>
      <c r="D3310" t="s">
        <v>5855</v>
      </c>
      <c r="E3310">
        <v>0</v>
      </c>
      <c r="F3310" t="s">
        <v>8957</v>
      </c>
      <c r="G3310" t="s">
        <v>3890</v>
      </c>
      <c r="H3310" t="s">
        <v>109</v>
      </c>
      <c r="I3310" t="s">
        <v>108</v>
      </c>
      <c r="J3310">
        <v>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</row>
    <row r="3311" spans="2:30" x14ac:dyDescent="0.25">
      <c r="B3311" t="s">
        <v>133</v>
      </c>
      <c r="C3311" t="s">
        <v>3263</v>
      </c>
      <c r="D3311" t="s">
        <v>5856</v>
      </c>
      <c r="E3311">
        <v>0</v>
      </c>
      <c r="F3311" t="s">
        <v>8957</v>
      </c>
      <c r="G3311" t="s">
        <v>3890</v>
      </c>
      <c r="H3311" t="s">
        <v>109</v>
      </c>
      <c r="I3311" t="s">
        <v>108</v>
      </c>
      <c r="J3311">
        <v>2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</row>
    <row r="3312" spans="2:30" x14ac:dyDescent="0.25">
      <c r="B3312" t="s">
        <v>133</v>
      </c>
      <c r="C3312" t="s">
        <v>3263</v>
      </c>
      <c r="D3312" t="s">
        <v>5847</v>
      </c>
      <c r="E3312">
        <v>0</v>
      </c>
      <c r="F3312" t="s">
        <v>8957</v>
      </c>
      <c r="G3312" t="s">
        <v>3890</v>
      </c>
      <c r="H3312" t="s">
        <v>109</v>
      </c>
      <c r="I3312" t="s">
        <v>108</v>
      </c>
      <c r="J3312">
        <v>2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</row>
    <row r="3313" spans="2:30" x14ac:dyDescent="0.25">
      <c r="B3313" t="s">
        <v>133</v>
      </c>
      <c r="C3313" t="s">
        <v>3263</v>
      </c>
      <c r="D3313" t="s">
        <v>5848</v>
      </c>
      <c r="E3313">
        <v>0</v>
      </c>
      <c r="F3313" t="s">
        <v>8957</v>
      </c>
      <c r="G3313" t="s">
        <v>3890</v>
      </c>
      <c r="H3313" t="s">
        <v>109</v>
      </c>
      <c r="I3313" t="s">
        <v>108</v>
      </c>
      <c r="J3313">
        <v>2</v>
      </c>
      <c r="K3313">
        <v>5.3999999999999999E-2</v>
      </c>
      <c r="L3313">
        <v>5.3999999999999999E-2</v>
      </c>
      <c r="M3313">
        <v>5.5E-2</v>
      </c>
      <c r="N3313">
        <v>5.5E-2</v>
      </c>
      <c r="O3313">
        <v>5.5E-2</v>
      </c>
      <c r="P3313">
        <v>5.5E-2</v>
      </c>
      <c r="Q3313">
        <v>5.5E-2</v>
      </c>
      <c r="R3313">
        <v>5.5E-2</v>
      </c>
      <c r="S3313">
        <v>5.5E-2</v>
      </c>
      <c r="T3313">
        <v>5.5E-2</v>
      </c>
      <c r="U3313">
        <v>5.5E-2</v>
      </c>
      <c r="V3313">
        <v>5.5E-2</v>
      </c>
      <c r="W3313">
        <v>5.3999999999999999E-2</v>
      </c>
      <c r="X3313">
        <v>5.3999999999999999E-2</v>
      </c>
      <c r="Y3313">
        <v>5.3999999999999999E-2</v>
      </c>
      <c r="Z3313">
        <v>5.2999999999999999E-2</v>
      </c>
      <c r="AA3313">
        <v>5.2999999999999999E-2</v>
      </c>
      <c r="AB3313">
        <v>5.1999999999999998E-2</v>
      </c>
      <c r="AC3313">
        <v>5.1999999999999998E-2</v>
      </c>
      <c r="AD3313">
        <v>5.1999999999999998E-2</v>
      </c>
    </row>
    <row r="3314" spans="2:30" x14ac:dyDescent="0.25">
      <c r="B3314" t="s">
        <v>133</v>
      </c>
      <c r="C3314" t="s">
        <v>3263</v>
      </c>
      <c r="D3314" t="s">
        <v>5849</v>
      </c>
      <c r="E3314">
        <v>0</v>
      </c>
      <c r="F3314" t="s">
        <v>8957</v>
      </c>
      <c r="G3314" t="s">
        <v>3890</v>
      </c>
      <c r="H3314" t="s">
        <v>109</v>
      </c>
      <c r="I3314" t="s">
        <v>108</v>
      </c>
      <c r="J3314">
        <v>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</row>
    <row r="3315" spans="2:30" x14ac:dyDescent="0.25">
      <c r="B3315" t="s">
        <v>133</v>
      </c>
      <c r="C3315" t="s">
        <v>3263</v>
      </c>
      <c r="D3315" t="s">
        <v>5850</v>
      </c>
      <c r="E3315" t="s">
        <v>5857</v>
      </c>
      <c r="F3315" t="s">
        <v>9048</v>
      </c>
      <c r="G3315" t="s">
        <v>3890</v>
      </c>
      <c r="H3315" t="s">
        <v>109</v>
      </c>
      <c r="I3315" t="s">
        <v>108</v>
      </c>
      <c r="J3315">
        <v>2</v>
      </c>
      <c r="K3315">
        <v>5.3999999999999999E-2</v>
      </c>
      <c r="L3315">
        <v>5.3999999999999999E-2</v>
      </c>
      <c r="M3315">
        <v>5.5E-2</v>
      </c>
      <c r="N3315">
        <v>5.5E-2</v>
      </c>
      <c r="O3315">
        <v>5.5E-2</v>
      </c>
      <c r="P3315">
        <v>5.5E-2</v>
      </c>
      <c r="Q3315">
        <v>5.5E-2</v>
      </c>
      <c r="R3315">
        <v>5.5E-2</v>
      </c>
      <c r="S3315">
        <v>5.5E-2</v>
      </c>
      <c r="T3315">
        <v>5.5E-2</v>
      </c>
      <c r="U3315">
        <v>5.5E-2</v>
      </c>
      <c r="V3315">
        <v>5.5E-2</v>
      </c>
      <c r="W3315">
        <v>5.3999999999999999E-2</v>
      </c>
      <c r="X3315">
        <v>5.3999999999999999E-2</v>
      </c>
      <c r="Y3315">
        <v>5.3999999999999999E-2</v>
      </c>
      <c r="Z3315">
        <v>5.2999999999999999E-2</v>
      </c>
      <c r="AA3315">
        <v>5.2999999999999999E-2</v>
      </c>
      <c r="AB3315">
        <v>5.1999999999999998E-2</v>
      </c>
      <c r="AC3315">
        <v>5.1999999999999998E-2</v>
      </c>
      <c r="AD3315">
        <v>5.1999999999999998E-2</v>
      </c>
    </row>
    <row r="3316" spans="2:30" x14ac:dyDescent="0.25">
      <c r="B3316" t="s">
        <v>133</v>
      </c>
      <c r="C3316" t="s">
        <v>3263</v>
      </c>
      <c r="D3316" t="s">
        <v>5851</v>
      </c>
      <c r="E3316">
        <v>0</v>
      </c>
      <c r="F3316" t="s">
        <v>8957</v>
      </c>
      <c r="G3316" t="s">
        <v>3890</v>
      </c>
      <c r="H3316" t="s">
        <v>109</v>
      </c>
      <c r="I3316" t="s">
        <v>108</v>
      </c>
      <c r="J3316">
        <v>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</row>
    <row r="3317" spans="2:30" x14ac:dyDescent="0.25">
      <c r="B3317" t="s">
        <v>133</v>
      </c>
      <c r="C3317" t="s">
        <v>3263</v>
      </c>
      <c r="D3317" t="s">
        <v>5852</v>
      </c>
      <c r="E3317">
        <v>0</v>
      </c>
      <c r="F3317" t="s">
        <v>8957</v>
      </c>
      <c r="G3317" t="s">
        <v>3890</v>
      </c>
      <c r="H3317" t="s">
        <v>109</v>
      </c>
      <c r="I3317" t="s">
        <v>108</v>
      </c>
      <c r="J3317">
        <v>2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</row>
    <row r="3318" spans="2:30" x14ac:dyDescent="0.25">
      <c r="B3318" t="s">
        <v>133</v>
      </c>
      <c r="C3318" t="s">
        <v>3263</v>
      </c>
      <c r="D3318" t="s">
        <v>5853</v>
      </c>
      <c r="E3318" t="s">
        <v>5859</v>
      </c>
      <c r="F3318" t="s">
        <v>9049</v>
      </c>
      <c r="G3318" t="s">
        <v>3890</v>
      </c>
      <c r="H3318" t="s">
        <v>109</v>
      </c>
      <c r="I3318" t="s">
        <v>108</v>
      </c>
      <c r="J3318">
        <v>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</row>
    <row r="3319" spans="2:30" x14ac:dyDescent="0.25">
      <c r="B3319" t="s">
        <v>133</v>
      </c>
      <c r="C3319" t="s">
        <v>3263</v>
      </c>
      <c r="D3319" t="s">
        <v>5854</v>
      </c>
      <c r="E3319">
        <v>0</v>
      </c>
      <c r="F3319" t="s">
        <v>8957</v>
      </c>
      <c r="G3319" t="s">
        <v>3890</v>
      </c>
      <c r="H3319" t="s">
        <v>109</v>
      </c>
      <c r="I3319" t="s">
        <v>108</v>
      </c>
      <c r="J3319">
        <v>2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</row>
    <row r="3320" spans="2:30" x14ac:dyDescent="0.25">
      <c r="B3320" t="s">
        <v>133</v>
      </c>
      <c r="C3320" t="s">
        <v>3263</v>
      </c>
      <c r="D3320" t="s">
        <v>5855</v>
      </c>
      <c r="E3320">
        <v>0</v>
      </c>
      <c r="F3320" t="s">
        <v>8957</v>
      </c>
      <c r="G3320" t="s">
        <v>3890</v>
      </c>
      <c r="H3320" t="s">
        <v>109</v>
      </c>
      <c r="I3320" t="s">
        <v>108</v>
      </c>
      <c r="J3320">
        <v>2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</row>
    <row r="3321" spans="2:30" x14ac:dyDescent="0.25">
      <c r="B3321" t="s">
        <v>133</v>
      </c>
      <c r="C3321" t="s">
        <v>3263</v>
      </c>
      <c r="D3321" t="s">
        <v>5861</v>
      </c>
      <c r="E3321" t="e">
        <v>#REF!</v>
      </c>
      <c r="F3321" t="e">
        <v>#REF!</v>
      </c>
      <c r="G3321" t="s">
        <v>3890</v>
      </c>
      <c r="H3321" t="s">
        <v>109</v>
      </c>
      <c r="I3321" t="s">
        <v>108</v>
      </c>
      <c r="J3321">
        <v>2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</row>
    <row r="3322" spans="2:30" x14ac:dyDescent="0.25">
      <c r="B3322" t="s">
        <v>133</v>
      </c>
      <c r="C3322" t="s">
        <v>3263</v>
      </c>
      <c r="D3322" t="s">
        <v>5847</v>
      </c>
      <c r="E3322" t="e">
        <v>#REF!</v>
      </c>
      <c r="F3322" t="e">
        <v>#REF!</v>
      </c>
      <c r="G3322" t="s">
        <v>3890</v>
      </c>
      <c r="H3322" t="s">
        <v>109</v>
      </c>
      <c r="I3322" t="s">
        <v>108</v>
      </c>
      <c r="J3322">
        <v>2</v>
      </c>
      <c r="K3322">
        <v>1.4E-2</v>
      </c>
      <c r="L3322">
        <v>1.7999999999999999E-2</v>
      </c>
      <c r="M3322">
        <v>1.4999999999999999E-2</v>
      </c>
      <c r="N3322">
        <v>2.1000000000000001E-2</v>
      </c>
      <c r="O3322">
        <v>2.75E-2</v>
      </c>
      <c r="P3322">
        <v>3.5499999999999997E-2</v>
      </c>
      <c r="Q3322">
        <v>3.7999999999999999E-2</v>
      </c>
      <c r="R3322">
        <v>4.2000000000000003E-2</v>
      </c>
      <c r="S3322">
        <v>4.5999999999999999E-2</v>
      </c>
      <c r="T3322">
        <v>0.05</v>
      </c>
      <c r="U3322">
        <v>5.3499999999999999E-2</v>
      </c>
      <c r="V3322">
        <v>5.7000000000000002E-2</v>
      </c>
      <c r="W3322">
        <v>0.06</v>
      </c>
      <c r="X3322">
        <v>6.3E-2</v>
      </c>
      <c r="Y3322">
        <v>6.5500000000000003E-2</v>
      </c>
      <c r="Z3322">
        <v>6.8500000000000005E-2</v>
      </c>
      <c r="AA3322">
        <v>7.0999999999999994E-2</v>
      </c>
      <c r="AB3322">
        <v>7.2999999999999995E-2</v>
      </c>
      <c r="AC3322">
        <v>7.4499999999999997E-2</v>
      </c>
      <c r="AD3322">
        <v>7.5999999999999998E-2</v>
      </c>
    </row>
    <row r="3323" spans="2:30" x14ac:dyDescent="0.25">
      <c r="B3323" t="s">
        <v>133</v>
      </c>
      <c r="C3323" t="s">
        <v>3263</v>
      </c>
      <c r="D3323" t="s">
        <v>5848</v>
      </c>
      <c r="E3323" t="e">
        <v>#REF!</v>
      </c>
      <c r="F3323" t="e">
        <v>#REF!</v>
      </c>
      <c r="G3323" t="s">
        <v>3890</v>
      </c>
      <c r="H3323" t="s">
        <v>109</v>
      </c>
      <c r="I3323" t="s">
        <v>108</v>
      </c>
      <c r="J3323">
        <v>2</v>
      </c>
      <c r="K3323">
        <v>3.85E-2</v>
      </c>
      <c r="L3323">
        <v>0.04</v>
      </c>
      <c r="M3323">
        <v>3.7999999999999999E-2</v>
      </c>
      <c r="N3323">
        <v>4.4499999999999998E-2</v>
      </c>
      <c r="O3323">
        <v>5.1500000000000004E-2</v>
      </c>
      <c r="P3323">
        <v>5.45E-2</v>
      </c>
      <c r="Q3323">
        <v>5.45E-2</v>
      </c>
      <c r="R3323">
        <v>5.6000000000000001E-2</v>
      </c>
      <c r="S3323">
        <v>5.7999999999999996E-2</v>
      </c>
      <c r="T3323">
        <v>6.0499999999999998E-2</v>
      </c>
      <c r="U3323">
        <v>6.3E-2</v>
      </c>
      <c r="V3323">
        <v>6.5000000000000002E-2</v>
      </c>
      <c r="W3323">
        <v>6.7000000000000004E-2</v>
      </c>
      <c r="X3323">
        <v>6.9000000000000006E-2</v>
      </c>
      <c r="Y3323">
        <v>7.1499999999999994E-2</v>
      </c>
      <c r="Z3323">
        <v>7.2999999999999995E-2</v>
      </c>
      <c r="AA3323">
        <v>7.5499999999999998E-2</v>
      </c>
      <c r="AB3323">
        <v>7.7499999999999999E-2</v>
      </c>
      <c r="AC3323">
        <v>8.1000000000000003E-2</v>
      </c>
      <c r="AD3323">
        <v>8.3500000000000005E-2</v>
      </c>
    </row>
    <row r="3324" spans="2:30" x14ac:dyDescent="0.25">
      <c r="B3324" t="s">
        <v>133</v>
      </c>
      <c r="C3324" t="s">
        <v>3263</v>
      </c>
      <c r="D3324" t="s">
        <v>5849</v>
      </c>
      <c r="E3324" t="e">
        <v>#REF!</v>
      </c>
      <c r="F3324" t="e">
        <v>#REF!</v>
      </c>
      <c r="G3324" t="s">
        <v>3890</v>
      </c>
      <c r="H3324" t="s">
        <v>109</v>
      </c>
      <c r="I3324" t="s">
        <v>108</v>
      </c>
      <c r="J3324">
        <v>2</v>
      </c>
      <c r="K3324">
        <v>3.5000000000000003E-2</v>
      </c>
      <c r="L3324">
        <v>3.6999999999999998E-2</v>
      </c>
      <c r="M3324">
        <v>3.2500000000000001E-2</v>
      </c>
      <c r="N3324">
        <v>4.9000000000000002E-2</v>
      </c>
      <c r="O3324">
        <v>6.7000000000000004E-2</v>
      </c>
      <c r="P3324">
        <v>6.8000000000000005E-2</v>
      </c>
      <c r="Q3324">
        <v>6.7000000000000004E-2</v>
      </c>
      <c r="R3324">
        <v>6.6000000000000003E-2</v>
      </c>
      <c r="S3324">
        <v>6.5000000000000002E-2</v>
      </c>
      <c r="T3324">
        <v>6.4500000000000002E-2</v>
      </c>
      <c r="U3324">
        <v>6.3500000000000001E-2</v>
      </c>
      <c r="V3324">
        <v>6.25E-2</v>
      </c>
      <c r="W3324">
        <v>6.1499999999999999E-2</v>
      </c>
      <c r="X3324">
        <v>6.0499999999999998E-2</v>
      </c>
      <c r="Y3324">
        <v>5.8999999999999997E-2</v>
      </c>
      <c r="Z3324">
        <v>5.7500000000000002E-2</v>
      </c>
      <c r="AA3324">
        <v>5.6000000000000001E-2</v>
      </c>
      <c r="AB3324">
        <v>5.45E-2</v>
      </c>
      <c r="AC3324">
        <v>5.3499999999999999E-2</v>
      </c>
      <c r="AD3324">
        <v>5.45E-2</v>
      </c>
    </row>
    <row r="3325" spans="2:30" x14ac:dyDescent="0.25">
      <c r="B3325" t="s">
        <v>133</v>
      </c>
      <c r="C3325" t="s">
        <v>3263</v>
      </c>
      <c r="D3325" t="s">
        <v>5850</v>
      </c>
      <c r="E3325" t="e">
        <v>#REF!</v>
      </c>
      <c r="F3325" t="e">
        <v>#REF!</v>
      </c>
      <c r="G3325" t="s">
        <v>3890</v>
      </c>
      <c r="H3325" t="s">
        <v>109</v>
      </c>
      <c r="I3325" t="s">
        <v>108</v>
      </c>
      <c r="J3325">
        <v>2</v>
      </c>
      <c r="K3325">
        <v>2.7E-2</v>
      </c>
      <c r="L3325">
        <v>2.7E-2</v>
      </c>
      <c r="M3325">
        <v>2.75E-2</v>
      </c>
      <c r="N3325">
        <v>2.75E-2</v>
      </c>
      <c r="O3325">
        <v>2.75E-2</v>
      </c>
      <c r="P3325">
        <v>2.75E-2</v>
      </c>
      <c r="Q3325">
        <v>2.75E-2</v>
      </c>
      <c r="R3325">
        <v>2.75E-2</v>
      </c>
      <c r="S3325">
        <v>2.75E-2</v>
      </c>
      <c r="T3325">
        <v>2.75E-2</v>
      </c>
      <c r="U3325">
        <v>2.75E-2</v>
      </c>
      <c r="V3325">
        <v>2.75E-2</v>
      </c>
      <c r="W3325">
        <v>2.7E-2</v>
      </c>
      <c r="X3325">
        <v>2.7E-2</v>
      </c>
      <c r="Y3325">
        <v>2.7E-2</v>
      </c>
      <c r="Z3325">
        <v>2.6499999999999999E-2</v>
      </c>
      <c r="AA3325">
        <v>2.6499999999999999E-2</v>
      </c>
      <c r="AB3325">
        <v>2.5999999999999999E-2</v>
      </c>
      <c r="AC3325">
        <v>2.5999999999999999E-2</v>
      </c>
      <c r="AD3325">
        <v>2.5999999999999999E-2</v>
      </c>
    </row>
    <row r="3326" spans="2:30" x14ac:dyDescent="0.25">
      <c r="B3326" t="s">
        <v>133</v>
      </c>
      <c r="C3326" t="s">
        <v>3263</v>
      </c>
      <c r="D3326" t="s">
        <v>5851</v>
      </c>
      <c r="E3326" t="e">
        <v>#REF!</v>
      </c>
      <c r="F3326" t="e">
        <v>#REF!</v>
      </c>
      <c r="G3326" t="s">
        <v>3890</v>
      </c>
      <c r="H3326" t="s">
        <v>109</v>
      </c>
      <c r="I3326" t="s">
        <v>108</v>
      </c>
      <c r="J3326">
        <v>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</row>
    <row r="3327" spans="2:30" x14ac:dyDescent="0.25">
      <c r="B3327" t="s">
        <v>133</v>
      </c>
      <c r="C3327" t="s">
        <v>3263</v>
      </c>
      <c r="D3327" t="s">
        <v>5852</v>
      </c>
      <c r="E3327" t="e">
        <v>#REF!</v>
      </c>
      <c r="F3327" t="e">
        <v>#REF!</v>
      </c>
      <c r="G3327" t="s">
        <v>3890</v>
      </c>
      <c r="H3327" t="s">
        <v>109</v>
      </c>
      <c r="I3327" t="s">
        <v>108</v>
      </c>
      <c r="J3327">
        <v>2</v>
      </c>
      <c r="K3327">
        <v>0.5</v>
      </c>
      <c r="L3327">
        <v>0.5</v>
      </c>
      <c r="M3327">
        <v>0.5</v>
      </c>
      <c r="N3327">
        <v>0.5</v>
      </c>
      <c r="O3327">
        <v>0.5</v>
      </c>
      <c r="P3327">
        <v>0.5</v>
      </c>
      <c r="Q3327">
        <v>0.5</v>
      </c>
      <c r="R3327">
        <v>0.5</v>
      </c>
      <c r="S3327">
        <v>0.5</v>
      </c>
      <c r="T3327">
        <v>0.5</v>
      </c>
      <c r="U3327">
        <v>0.5</v>
      </c>
      <c r="V3327">
        <v>0.5</v>
      </c>
      <c r="W3327">
        <v>0.5</v>
      </c>
      <c r="X3327">
        <v>0.5</v>
      </c>
      <c r="Y3327">
        <v>0.5</v>
      </c>
      <c r="Z3327">
        <v>0.5</v>
      </c>
      <c r="AA3327">
        <v>0.5</v>
      </c>
      <c r="AB3327">
        <v>0.5</v>
      </c>
      <c r="AC3327">
        <v>0.5</v>
      </c>
      <c r="AD3327">
        <v>0.5</v>
      </c>
    </row>
    <row r="3328" spans="2:30" x14ac:dyDescent="0.25">
      <c r="B3328" t="s">
        <v>133</v>
      </c>
      <c r="C3328" t="s">
        <v>3263</v>
      </c>
      <c r="D3328" t="s">
        <v>5853</v>
      </c>
      <c r="E3328" t="e">
        <v>#REF!</v>
      </c>
      <c r="F3328" t="e">
        <v>#REF!</v>
      </c>
      <c r="G3328" t="s">
        <v>3890</v>
      </c>
      <c r="H3328" t="s">
        <v>109</v>
      </c>
      <c r="I3328" t="s">
        <v>108</v>
      </c>
      <c r="J3328">
        <v>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</row>
    <row r="3329" spans="2:30" x14ac:dyDescent="0.25">
      <c r="B3329" t="s">
        <v>133</v>
      </c>
      <c r="C3329" t="s">
        <v>3263</v>
      </c>
      <c r="D3329" t="s">
        <v>5854</v>
      </c>
      <c r="E3329" t="e">
        <v>#REF!</v>
      </c>
      <c r="F3329" t="e">
        <v>#REF!</v>
      </c>
      <c r="G3329" t="s">
        <v>3890</v>
      </c>
      <c r="H3329" t="s">
        <v>109</v>
      </c>
      <c r="I3329" t="s">
        <v>108</v>
      </c>
      <c r="J3329">
        <v>2</v>
      </c>
      <c r="K3329">
        <v>2.5499999999999998E-2</v>
      </c>
      <c r="L3329">
        <v>3.0499999999999999E-2</v>
      </c>
      <c r="M3329">
        <v>2.5499999999999998E-2</v>
      </c>
      <c r="N3329">
        <v>3.7999999999999999E-2</v>
      </c>
      <c r="O3329">
        <v>5.1499999999999997E-2</v>
      </c>
      <c r="P3329">
        <v>6.25E-2</v>
      </c>
      <c r="Q3329">
        <v>6.5500000000000003E-2</v>
      </c>
      <c r="R3329">
        <v>7.0499999999999993E-2</v>
      </c>
      <c r="S3329">
        <v>7.6499999999999999E-2</v>
      </c>
      <c r="T3329">
        <v>8.3000000000000004E-2</v>
      </c>
      <c r="U3329">
        <v>8.8999999999999996E-2</v>
      </c>
      <c r="V3329">
        <v>9.4500000000000001E-2</v>
      </c>
      <c r="W3329">
        <v>0.1</v>
      </c>
      <c r="X3329">
        <v>0.105</v>
      </c>
      <c r="Y3329">
        <v>0.11</v>
      </c>
      <c r="Z3329">
        <v>0.115</v>
      </c>
      <c r="AA3329">
        <v>0.12</v>
      </c>
      <c r="AB3329">
        <v>0.1245</v>
      </c>
      <c r="AC3329">
        <v>0.1295</v>
      </c>
      <c r="AD3329">
        <v>0.13350000000000001</v>
      </c>
    </row>
    <row r="3330" spans="2:30" x14ac:dyDescent="0.25">
      <c r="B3330" t="s">
        <v>133</v>
      </c>
      <c r="C3330" t="s">
        <v>3263</v>
      </c>
      <c r="D3330" t="s">
        <v>5855</v>
      </c>
      <c r="E3330" t="e">
        <v>#REF!</v>
      </c>
      <c r="F3330" t="e">
        <v>#REF!</v>
      </c>
      <c r="G3330" t="s">
        <v>3890</v>
      </c>
      <c r="H3330" t="s">
        <v>109</v>
      </c>
      <c r="I3330" t="s">
        <v>108</v>
      </c>
      <c r="J3330">
        <v>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</row>
    <row r="3331" spans="2:30" x14ac:dyDescent="0.25">
      <c r="B3331" t="s">
        <v>133</v>
      </c>
      <c r="C3331" t="s">
        <v>3263</v>
      </c>
      <c r="D3331" t="s">
        <v>3436</v>
      </c>
      <c r="E3331" t="s">
        <v>3437</v>
      </c>
      <c r="F3331" t="s">
        <v>8454</v>
      </c>
      <c r="G3331" t="s">
        <v>3890</v>
      </c>
      <c r="H3331" t="s">
        <v>2308</v>
      </c>
      <c r="I3331" t="s">
        <v>5862</v>
      </c>
      <c r="J3331">
        <v>1</v>
      </c>
      <c r="K3331">
        <v>-31.97</v>
      </c>
      <c r="L3331">
        <v>-26.57</v>
      </c>
      <c r="M3331">
        <v>-38.700000000000003</v>
      </c>
      <c r="N3331">
        <v>-37.520000000000003</v>
      </c>
      <c r="O3331">
        <v>-39.340000000000003</v>
      </c>
      <c r="P3331">
        <v>-38.21</v>
      </c>
      <c r="Q3331">
        <v>-38.520000000000003</v>
      </c>
      <c r="R3331">
        <v>-39.229999999999997</v>
      </c>
      <c r="S3331">
        <v>-39.94</v>
      </c>
      <c r="T3331">
        <v>-40.520000000000003</v>
      </c>
      <c r="U3331">
        <v>-41.25</v>
      </c>
      <c r="V3331">
        <v>-41.92</v>
      </c>
      <c r="W3331">
        <v>-42.48</v>
      </c>
      <c r="X3331">
        <v>-42.9</v>
      </c>
      <c r="Y3331">
        <v>-43.07</v>
      </c>
      <c r="Z3331">
        <v>-43.04</v>
      </c>
      <c r="AA3331">
        <v>-42.79</v>
      </c>
      <c r="AB3331">
        <v>-42.3</v>
      </c>
      <c r="AC3331">
        <v>-41.94</v>
      </c>
      <c r="AD3331">
        <v>-43.65</v>
      </c>
    </row>
    <row r="3332" spans="2:30" x14ac:dyDescent="0.25">
      <c r="B3332" t="s">
        <v>133</v>
      </c>
      <c r="C3332" t="s">
        <v>3263</v>
      </c>
      <c r="D3332" t="s">
        <v>5863</v>
      </c>
      <c r="E3332">
        <v>0</v>
      </c>
      <c r="F3332" t="s">
        <v>8957</v>
      </c>
      <c r="G3332" t="s">
        <v>3890</v>
      </c>
      <c r="H3332" t="s">
        <v>2308</v>
      </c>
      <c r="I3332" t="s">
        <v>5862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</row>
    <row r="3333" spans="2:30" x14ac:dyDescent="0.25">
      <c r="B3333" t="s">
        <v>133</v>
      </c>
      <c r="C3333" t="s">
        <v>3263</v>
      </c>
      <c r="D3333" t="s">
        <v>5864</v>
      </c>
      <c r="E3333">
        <v>0</v>
      </c>
      <c r="F3333" t="s">
        <v>8957</v>
      </c>
      <c r="G3333" t="s">
        <v>3890</v>
      </c>
      <c r="H3333" t="s">
        <v>2308</v>
      </c>
      <c r="I3333" t="s">
        <v>5862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</row>
    <row r="3334" spans="2:30" x14ac:dyDescent="0.25">
      <c r="B3334" t="s">
        <v>133</v>
      </c>
      <c r="C3334" t="s">
        <v>3263</v>
      </c>
      <c r="D3334" t="s">
        <v>5865</v>
      </c>
      <c r="E3334">
        <v>0</v>
      </c>
      <c r="F3334" t="s">
        <v>8957</v>
      </c>
      <c r="G3334" t="s">
        <v>3890</v>
      </c>
      <c r="H3334" t="s">
        <v>2308</v>
      </c>
      <c r="I3334" t="s">
        <v>5862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</row>
    <row r="3335" spans="2:30" x14ac:dyDescent="0.25">
      <c r="B3335" t="s">
        <v>133</v>
      </c>
      <c r="C3335" t="s">
        <v>3263</v>
      </c>
      <c r="D3335" t="s">
        <v>5866</v>
      </c>
      <c r="E3335">
        <v>0</v>
      </c>
      <c r="F3335" t="s">
        <v>8957</v>
      </c>
      <c r="G3335" t="s">
        <v>3890</v>
      </c>
      <c r="H3335" t="s">
        <v>2308</v>
      </c>
      <c r="I3335" t="s">
        <v>5862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</row>
    <row r="3336" spans="2:30" x14ac:dyDescent="0.25">
      <c r="B3336" t="s">
        <v>133</v>
      </c>
      <c r="C3336" t="s">
        <v>3263</v>
      </c>
      <c r="D3336" t="s">
        <v>5867</v>
      </c>
      <c r="E3336">
        <v>0</v>
      </c>
      <c r="F3336" t="s">
        <v>8957</v>
      </c>
      <c r="G3336" t="s">
        <v>3890</v>
      </c>
      <c r="H3336" t="s">
        <v>2308</v>
      </c>
      <c r="I3336" t="s">
        <v>5862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</row>
    <row r="3337" spans="2:30" x14ac:dyDescent="0.25">
      <c r="B3337" t="s">
        <v>133</v>
      </c>
      <c r="C3337" t="s">
        <v>3263</v>
      </c>
      <c r="D3337" t="s">
        <v>5868</v>
      </c>
      <c r="E3337">
        <v>0</v>
      </c>
      <c r="F3337" t="s">
        <v>8957</v>
      </c>
      <c r="G3337" t="s">
        <v>3890</v>
      </c>
      <c r="H3337" t="s">
        <v>2308</v>
      </c>
      <c r="I3337" t="s">
        <v>5862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</row>
    <row r="3338" spans="2:30" x14ac:dyDescent="0.25">
      <c r="B3338" t="s">
        <v>133</v>
      </c>
      <c r="C3338" t="s">
        <v>3263</v>
      </c>
      <c r="D3338" t="s">
        <v>3442</v>
      </c>
      <c r="E3338" t="s">
        <v>3443</v>
      </c>
      <c r="F3338" t="s">
        <v>8455</v>
      </c>
      <c r="G3338" t="s">
        <v>3890</v>
      </c>
      <c r="H3338" t="s">
        <v>2308</v>
      </c>
      <c r="I3338" t="s">
        <v>5862</v>
      </c>
      <c r="J3338">
        <v>2</v>
      </c>
      <c r="K3338">
        <v>-31.97</v>
      </c>
      <c r="L3338">
        <v>-26.57</v>
      </c>
      <c r="M3338">
        <v>-38.700000000000003</v>
      </c>
      <c r="N3338">
        <v>-37.520000000000003</v>
      </c>
      <c r="O3338">
        <v>-37.950000000000003</v>
      </c>
      <c r="P3338">
        <v>-36.51</v>
      </c>
      <c r="Q3338">
        <v>-36.35</v>
      </c>
      <c r="R3338">
        <v>-36.43</v>
      </c>
      <c r="S3338">
        <v>-36.51</v>
      </c>
      <c r="T3338">
        <v>-36.409999999999997</v>
      </c>
      <c r="U3338">
        <v>-36.36</v>
      </c>
      <c r="V3338">
        <v>-36.200000000000003</v>
      </c>
      <c r="W3338">
        <v>-35.9</v>
      </c>
      <c r="X3338">
        <v>-35.44</v>
      </c>
      <c r="Y3338">
        <v>-34.69</v>
      </c>
      <c r="Z3338">
        <v>-33.729999999999997</v>
      </c>
      <c r="AA3338">
        <v>-32.5</v>
      </c>
      <c r="AB3338">
        <v>-31.02</v>
      </c>
      <c r="AC3338">
        <v>-29.6</v>
      </c>
      <c r="AD3338">
        <v>-30.17</v>
      </c>
    </row>
    <row r="3339" spans="2:30" x14ac:dyDescent="0.25">
      <c r="B3339" t="s">
        <v>133</v>
      </c>
      <c r="C3339" t="s">
        <v>3263</v>
      </c>
      <c r="D3339" t="s">
        <v>3399</v>
      </c>
      <c r="E3339" t="s">
        <v>3401</v>
      </c>
      <c r="F3339" t="s">
        <v>9050</v>
      </c>
      <c r="G3339" t="s">
        <v>3890</v>
      </c>
      <c r="H3339" t="s">
        <v>2308</v>
      </c>
      <c r="I3339" t="s">
        <v>5862</v>
      </c>
      <c r="J3339">
        <v>2</v>
      </c>
      <c r="K3339">
        <v>0</v>
      </c>
      <c r="L3339">
        <v>0</v>
      </c>
      <c r="M3339">
        <v>0</v>
      </c>
      <c r="N3339">
        <v>0</v>
      </c>
      <c r="O3339">
        <v>0.08</v>
      </c>
      <c r="P3339">
        <v>0.11</v>
      </c>
      <c r="Q3339">
        <v>0.14000000000000001</v>
      </c>
      <c r="R3339">
        <v>0.17</v>
      </c>
      <c r="S3339">
        <v>0.19</v>
      </c>
      <c r="T3339">
        <v>0.22</v>
      </c>
      <c r="U3339">
        <v>0.25</v>
      </c>
      <c r="V3339">
        <v>0.28000000000000003</v>
      </c>
      <c r="W3339">
        <v>0.31</v>
      </c>
      <c r="X3339">
        <v>0.34</v>
      </c>
      <c r="Y3339">
        <v>0.37</v>
      </c>
      <c r="Z3339">
        <v>0.4</v>
      </c>
      <c r="AA3339">
        <v>0.43</v>
      </c>
      <c r="AB3339">
        <v>0.46</v>
      </c>
      <c r="AC3339">
        <v>0.49</v>
      </c>
      <c r="AD3339">
        <v>0.51</v>
      </c>
    </row>
    <row r="3340" spans="2:30" x14ac:dyDescent="0.25">
      <c r="B3340" t="s">
        <v>133</v>
      </c>
      <c r="C3340" t="s">
        <v>3263</v>
      </c>
      <c r="D3340" t="s">
        <v>3424</v>
      </c>
      <c r="E3340" t="s">
        <v>3425</v>
      </c>
      <c r="F3340" t="s">
        <v>9051</v>
      </c>
      <c r="G3340" t="s">
        <v>3890</v>
      </c>
      <c r="H3340" t="s">
        <v>2308</v>
      </c>
      <c r="I3340" t="s">
        <v>5862</v>
      </c>
      <c r="J3340">
        <v>2</v>
      </c>
      <c r="K3340">
        <v>0</v>
      </c>
      <c r="L3340">
        <v>0</v>
      </c>
      <c r="M3340">
        <v>0</v>
      </c>
      <c r="N3340">
        <v>0</v>
      </c>
      <c r="O3340">
        <v>0.22</v>
      </c>
      <c r="P3340">
        <v>0.31</v>
      </c>
      <c r="Q3340">
        <v>0.41</v>
      </c>
      <c r="R3340">
        <v>0.51</v>
      </c>
      <c r="S3340">
        <v>0.61</v>
      </c>
      <c r="T3340">
        <v>0.71</v>
      </c>
      <c r="U3340">
        <v>0.82</v>
      </c>
      <c r="V3340">
        <v>0.93</v>
      </c>
      <c r="W3340">
        <v>1.04</v>
      </c>
      <c r="X3340">
        <v>1.1599999999999999</v>
      </c>
      <c r="Y3340">
        <v>1.29</v>
      </c>
      <c r="Z3340">
        <v>1.41</v>
      </c>
      <c r="AA3340">
        <v>1.54</v>
      </c>
      <c r="AB3340">
        <v>1.68</v>
      </c>
      <c r="AC3340">
        <v>1.82</v>
      </c>
      <c r="AD3340">
        <v>1.97</v>
      </c>
    </row>
    <row r="3341" spans="2:30" x14ac:dyDescent="0.25">
      <c r="B3341" t="s">
        <v>133</v>
      </c>
      <c r="C3341" t="s">
        <v>3263</v>
      </c>
      <c r="D3341" t="s">
        <v>3430</v>
      </c>
      <c r="E3341" t="s">
        <v>3431</v>
      </c>
      <c r="F3341" t="s">
        <v>9052</v>
      </c>
      <c r="G3341" t="s">
        <v>3890</v>
      </c>
      <c r="H3341" t="s">
        <v>2308</v>
      </c>
      <c r="I3341" t="s">
        <v>5862</v>
      </c>
      <c r="J3341">
        <v>2</v>
      </c>
      <c r="K3341">
        <v>0</v>
      </c>
      <c r="L3341">
        <v>0</v>
      </c>
      <c r="M3341">
        <v>0</v>
      </c>
      <c r="N3341">
        <v>0</v>
      </c>
      <c r="O3341">
        <v>0.01</v>
      </c>
      <c r="P3341">
        <v>0.02</v>
      </c>
      <c r="Q3341">
        <v>0.03</v>
      </c>
      <c r="R3341">
        <v>0.03</v>
      </c>
      <c r="S3341">
        <v>0.04</v>
      </c>
      <c r="T3341">
        <v>0.05</v>
      </c>
      <c r="U3341">
        <v>0.05</v>
      </c>
      <c r="V3341">
        <v>0.05</v>
      </c>
      <c r="W3341">
        <v>0.06</v>
      </c>
      <c r="X3341">
        <v>0.06</v>
      </c>
      <c r="Y3341">
        <v>7.0000000000000007E-2</v>
      </c>
      <c r="Z3341">
        <v>7.0000000000000007E-2</v>
      </c>
      <c r="AA3341">
        <v>0.08</v>
      </c>
      <c r="AB3341">
        <v>0.08</v>
      </c>
      <c r="AC3341">
        <v>0.09</v>
      </c>
      <c r="AD3341">
        <v>0.09</v>
      </c>
    </row>
    <row r="3342" spans="2:30" x14ac:dyDescent="0.25">
      <c r="B3342" t="s">
        <v>133</v>
      </c>
      <c r="C3342" t="s">
        <v>3263</v>
      </c>
      <c r="D3342" t="s">
        <v>3412</v>
      </c>
      <c r="E3342" t="s">
        <v>3413</v>
      </c>
      <c r="F3342" t="s">
        <v>9053</v>
      </c>
      <c r="G3342" t="s">
        <v>3890</v>
      </c>
      <c r="H3342" t="s">
        <v>2308</v>
      </c>
      <c r="I3342" t="s">
        <v>5862</v>
      </c>
      <c r="J3342">
        <v>2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</row>
    <row r="3343" spans="2:30" x14ac:dyDescent="0.25">
      <c r="B3343" t="s">
        <v>133</v>
      </c>
      <c r="C3343" t="s">
        <v>3263</v>
      </c>
      <c r="D3343" t="s">
        <v>3406</v>
      </c>
      <c r="E3343" t="s">
        <v>3407</v>
      </c>
      <c r="F3343" t="s">
        <v>9054</v>
      </c>
      <c r="G3343" t="s">
        <v>3890</v>
      </c>
      <c r="H3343" t="s">
        <v>2308</v>
      </c>
      <c r="I3343" t="s">
        <v>5862</v>
      </c>
      <c r="J3343">
        <v>2</v>
      </c>
      <c r="K3343">
        <v>0</v>
      </c>
      <c r="L3343">
        <v>0</v>
      </c>
      <c r="M3343">
        <v>0</v>
      </c>
      <c r="N3343">
        <v>0</v>
      </c>
      <c r="O3343">
        <v>0.03</v>
      </c>
      <c r="P3343">
        <v>0.05</v>
      </c>
      <c r="Q3343">
        <v>0.06</v>
      </c>
      <c r="R3343">
        <v>7.0000000000000007E-2</v>
      </c>
      <c r="S3343">
        <v>0.08</v>
      </c>
      <c r="T3343">
        <v>0.09</v>
      </c>
      <c r="U3343">
        <v>0.1</v>
      </c>
      <c r="V3343">
        <v>0.12</v>
      </c>
      <c r="W3343">
        <v>0.13</v>
      </c>
      <c r="X3343">
        <v>0.14000000000000001</v>
      </c>
      <c r="Y3343">
        <v>0.15</v>
      </c>
      <c r="Z3343">
        <v>0.16</v>
      </c>
      <c r="AA3343">
        <v>0.17</v>
      </c>
      <c r="AB3343">
        <v>0.18</v>
      </c>
      <c r="AC3343">
        <v>0.19</v>
      </c>
      <c r="AD3343">
        <v>0.2</v>
      </c>
    </row>
    <row r="3344" spans="2:30" x14ac:dyDescent="0.25">
      <c r="B3344" t="s">
        <v>133</v>
      </c>
      <c r="C3344" t="s">
        <v>3263</v>
      </c>
      <c r="D3344" t="s">
        <v>3418</v>
      </c>
      <c r="E3344" t="s">
        <v>3419</v>
      </c>
      <c r="F3344" t="s">
        <v>9055</v>
      </c>
      <c r="G3344" t="s">
        <v>3890</v>
      </c>
      <c r="H3344" t="s">
        <v>2308</v>
      </c>
      <c r="I3344" t="s">
        <v>5862</v>
      </c>
      <c r="J3344">
        <v>2</v>
      </c>
      <c r="K3344">
        <v>0</v>
      </c>
      <c r="L3344">
        <v>0</v>
      </c>
      <c r="M3344">
        <v>0</v>
      </c>
      <c r="N3344">
        <v>0</v>
      </c>
      <c r="O3344">
        <v>0.08</v>
      </c>
      <c r="P3344">
        <v>0.12</v>
      </c>
      <c r="Q3344">
        <v>0.15</v>
      </c>
      <c r="R3344">
        <v>0.19</v>
      </c>
      <c r="S3344">
        <v>0.22</v>
      </c>
      <c r="T3344">
        <v>0.25</v>
      </c>
      <c r="U3344">
        <v>0.28999999999999998</v>
      </c>
      <c r="V3344">
        <v>0.32</v>
      </c>
      <c r="W3344">
        <v>0.36</v>
      </c>
      <c r="X3344">
        <v>0.39</v>
      </c>
      <c r="Y3344">
        <v>0.43</v>
      </c>
      <c r="Z3344">
        <v>0.47</v>
      </c>
      <c r="AA3344">
        <v>0.5</v>
      </c>
      <c r="AB3344">
        <v>0.54</v>
      </c>
      <c r="AC3344">
        <v>0.57999999999999996</v>
      </c>
      <c r="AD3344">
        <v>0.62</v>
      </c>
    </row>
    <row r="3345" spans="2:30" x14ac:dyDescent="0.25">
      <c r="B3345" t="s">
        <v>133</v>
      </c>
      <c r="C3345" t="s">
        <v>3263</v>
      </c>
      <c r="D3345" t="s">
        <v>5875</v>
      </c>
      <c r="E3345" t="s">
        <v>5876</v>
      </c>
      <c r="F3345" t="s">
        <v>9056</v>
      </c>
      <c r="G3345" t="s">
        <v>3890</v>
      </c>
      <c r="H3345" t="s">
        <v>2308</v>
      </c>
      <c r="I3345" t="s">
        <v>5862</v>
      </c>
      <c r="J3345">
        <v>1</v>
      </c>
      <c r="K3345">
        <v>-31.97</v>
      </c>
      <c r="L3345">
        <v>-26.57</v>
      </c>
      <c r="M3345">
        <v>-38.700000000000003</v>
      </c>
      <c r="N3345">
        <v>-37.520000000000003</v>
      </c>
      <c r="O3345">
        <v>-39.340000000000003</v>
      </c>
      <c r="P3345">
        <v>-38.21</v>
      </c>
      <c r="Q3345">
        <v>-38.520000000000003</v>
      </c>
      <c r="R3345">
        <v>-39.229999999999997</v>
      </c>
      <c r="S3345">
        <v>-39.94</v>
      </c>
      <c r="T3345">
        <v>-40.520000000000003</v>
      </c>
      <c r="U3345">
        <v>-41.25</v>
      </c>
      <c r="V3345">
        <v>-41.92</v>
      </c>
      <c r="W3345">
        <v>-42.48</v>
      </c>
      <c r="X3345">
        <v>-42.9</v>
      </c>
      <c r="Y3345">
        <v>-43.07</v>
      </c>
      <c r="Z3345">
        <v>-43.04</v>
      </c>
      <c r="AA3345">
        <v>-42.79</v>
      </c>
      <c r="AB3345">
        <v>-42.3</v>
      </c>
      <c r="AC3345">
        <v>-41.94</v>
      </c>
      <c r="AD3345">
        <v>-43.65</v>
      </c>
    </row>
    <row r="3346" spans="2:30" x14ac:dyDescent="0.25">
      <c r="B3346" t="s">
        <v>133</v>
      </c>
      <c r="C3346" t="s">
        <v>3263</v>
      </c>
      <c r="D3346" t="s">
        <v>5878</v>
      </c>
      <c r="E3346" t="s">
        <v>5879</v>
      </c>
      <c r="F3346" t="s">
        <v>9057</v>
      </c>
      <c r="G3346" t="s">
        <v>3890</v>
      </c>
      <c r="H3346" t="s">
        <v>2308</v>
      </c>
      <c r="I3346" t="s">
        <v>5862</v>
      </c>
      <c r="J3346">
        <v>1</v>
      </c>
      <c r="K3346">
        <v>0.02</v>
      </c>
      <c r="L3346">
        <v>0.01</v>
      </c>
      <c r="M3346">
        <v>0.01</v>
      </c>
      <c r="N3346">
        <v>0.01</v>
      </c>
      <c r="O3346">
        <v>0.01</v>
      </c>
      <c r="P3346">
        <v>0.01</v>
      </c>
      <c r="Q3346">
        <v>0.01</v>
      </c>
      <c r="R3346">
        <v>0.02</v>
      </c>
      <c r="S3346">
        <v>0.02</v>
      </c>
      <c r="T3346">
        <v>0.02</v>
      </c>
      <c r="U3346">
        <v>0.02</v>
      </c>
      <c r="V3346">
        <v>0.02</v>
      </c>
      <c r="W3346">
        <v>0.02</v>
      </c>
      <c r="X3346">
        <v>0.02</v>
      </c>
      <c r="Y3346">
        <v>0.02</v>
      </c>
      <c r="Z3346">
        <v>0.02</v>
      </c>
      <c r="AA3346">
        <v>0.02</v>
      </c>
      <c r="AB3346">
        <v>0.02</v>
      </c>
      <c r="AC3346">
        <v>0.02</v>
      </c>
      <c r="AD3346">
        <v>0.02</v>
      </c>
    </row>
    <row r="3347" spans="2:30" x14ac:dyDescent="0.25">
      <c r="B3347" t="s">
        <v>133</v>
      </c>
      <c r="C3347" t="s">
        <v>3263</v>
      </c>
      <c r="D3347" t="s">
        <v>5881</v>
      </c>
      <c r="E3347" t="s">
        <v>5882</v>
      </c>
      <c r="F3347" t="s">
        <v>9058</v>
      </c>
      <c r="G3347" t="s">
        <v>3890</v>
      </c>
      <c r="H3347" t="s">
        <v>2308</v>
      </c>
      <c r="I3347" t="s">
        <v>5862</v>
      </c>
      <c r="J3347">
        <v>1</v>
      </c>
      <c r="K3347">
        <v>-15.07</v>
      </c>
      <c r="L3347">
        <v>-11.09</v>
      </c>
      <c r="M3347">
        <v>-12</v>
      </c>
      <c r="N3347">
        <v>-12.4</v>
      </c>
      <c r="O3347">
        <v>-12.32</v>
      </c>
      <c r="P3347">
        <v>-12.09</v>
      </c>
      <c r="Q3347">
        <v>-12.16</v>
      </c>
      <c r="R3347">
        <v>-12.42</v>
      </c>
      <c r="S3347">
        <v>-12.72</v>
      </c>
      <c r="T3347">
        <v>-13.04</v>
      </c>
      <c r="U3347">
        <v>-13.4</v>
      </c>
      <c r="V3347">
        <v>-13.8</v>
      </c>
      <c r="W3347">
        <v>-14.24</v>
      </c>
      <c r="X3347">
        <v>-14.73</v>
      </c>
      <c r="Y3347">
        <v>-15.27</v>
      </c>
      <c r="Z3347">
        <v>-15.89</v>
      </c>
      <c r="AA3347">
        <v>-16.579999999999998</v>
      </c>
      <c r="AB3347">
        <v>-17.36</v>
      </c>
      <c r="AC3347">
        <v>-18.260000000000002</v>
      </c>
      <c r="AD3347">
        <v>-19.170000000000002</v>
      </c>
    </row>
    <row r="3348" spans="2:30" x14ac:dyDescent="0.25">
      <c r="B3348" t="s">
        <v>133</v>
      </c>
      <c r="C3348" t="s">
        <v>3263</v>
      </c>
      <c r="D3348" t="s">
        <v>5884</v>
      </c>
      <c r="E3348" t="s">
        <v>5885</v>
      </c>
      <c r="F3348" t="s">
        <v>9059</v>
      </c>
      <c r="G3348" t="s">
        <v>3890</v>
      </c>
      <c r="H3348" t="s">
        <v>2308</v>
      </c>
      <c r="I3348" t="s">
        <v>5862</v>
      </c>
      <c r="J3348">
        <v>1</v>
      </c>
      <c r="K3348">
        <v>-4.13</v>
      </c>
      <c r="L3348">
        <v>-3.27</v>
      </c>
      <c r="M3348">
        <v>-3.44</v>
      </c>
      <c r="N3348">
        <v>-4.3899999999999997</v>
      </c>
      <c r="O3348">
        <v>-4.4000000000000004</v>
      </c>
      <c r="P3348">
        <v>-4.42</v>
      </c>
      <c r="Q3348">
        <v>-4.45</v>
      </c>
      <c r="R3348">
        <v>-4.4800000000000004</v>
      </c>
      <c r="S3348">
        <v>-4.51</v>
      </c>
      <c r="T3348">
        <v>-4.54</v>
      </c>
      <c r="U3348">
        <v>-4.57</v>
      </c>
      <c r="V3348">
        <v>-4.6100000000000003</v>
      </c>
      <c r="W3348">
        <v>-4.6500000000000004</v>
      </c>
      <c r="X3348">
        <v>-4.6900000000000004</v>
      </c>
      <c r="Y3348">
        <v>-4.74</v>
      </c>
      <c r="Z3348">
        <v>-4.8</v>
      </c>
      <c r="AA3348">
        <v>-4.8499999999999996</v>
      </c>
      <c r="AB3348">
        <v>-4.91</v>
      </c>
      <c r="AC3348">
        <v>-4.9800000000000004</v>
      </c>
      <c r="AD3348">
        <v>-5.05</v>
      </c>
    </row>
    <row r="3349" spans="2:30" x14ac:dyDescent="0.25">
      <c r="B3349" t="s">
        <v>133</v>
      </c>
      <c r="C3349" t="s">
        <v>3263</v>
      </c>
      <c r="D3349" t="s">
        <v>5887</v>
      </c>
      <c r="E3349" t="s">
        <v>5888</v>
      </c>
      <c r="F3349" t="s">
        <v>9060</v>
      </c>
      <c r="G3349" t="s">
        <v>3890</v>
      </c>
      <c r="H3349" t="s">
        <v>2308</v>
      </c>
      <c r="I3349" t="s">
        <v>5862</v>
      </c>
      <c r="J3349">
        <v>1</v>
      </c>
      <c r="K3349">
        <v>-3.22</v>
      </c>
      <c r="L3349">
        <v>-3.49</v>
      </c>
      <c r="M3349">
        <v>-3.59</v>
      </c>
      <c r="N3349">
        <v>-2.72</v>
      </c>
      <c r="O3349">
        <v>-2.98</v>
      </c>
      <c r="P3349">
        <v>-2.92</v>
      </c>
      <c r="Q3349">
        <v>-3.09</v>
      </c>
      <c r="R3349">
        <v>-3.32</v>
      </c>
      <c r="S3349">
        <v>-3.61</v>
      </c>
      <c r="T3349">
        <v>-3.94</v>
      </c>
      <c r="U3349">
        <v>-4.3600000000000003</v>
      </c>
      <c r="V3349">
        <v>-4.8</v>
      </c>
      <c r="W3349">
        <v>-5.28</v>
      </c>
      <c r="X3349">
        <v>-5.78</v>
      </c>
      <c r="Y3349">
        <v>-6.3</v>
      </c>
      <c r="Z3349">
        <v>-6.85</v>
      </c>
      <c r="AA3349">
        <v>-7.42</v>
      </c>
      <c r="AB3349">
        <v>-8.01</v>
      </c>
      <c r="AC3349">
        <v>-8.6300000000000008</v>
      </c>
      <c r="AD3349">
        <v>-9.26</v>
      </c>
    </row>
    <row r="3350" spans="2:30" x14ac:dyDescent="0.25">
      <c r="B3350" t="s">
        <v>133</v>
      </c>
      <c r="C3350" t="s">
        <v>3263</v>
      </c>
      <c r="D3350" t="s">
        <v>5890</v>
      </c>
      <c r="E3350" t="s">
        <v>5891</v>
      </c>
      <c r="F3350" t="s">
        <v>9061</v>
      </c>
      <c r="G3350" t="s">
        <v>3890</v>
      </c>
      <c r="H3350" t="s">
        <v>2308</v>
      </c>
      <c r="I3350" t="s">
        <v>5862</v>
      </c>
      <c r="J3350">
        <v>1</v>
      </c>
      <c r="K3350">
        <v>-11.33</v>
      </c>
      <c r="L3350">
        <v>-10.43</v>
      </c>
      <c r="M3350">
        <v>-10.38</v>
      </c>
      <c r="N3350">
        <v>-8.4</v>
      </c>
      <c r="O3350">
        <v>-9.2799999999999994</v>
      </c>
      <c r="P3350">
        <v>-9.01</v>
      </c>
      <c r="Q3350">
        <v>-9.35</v>
      </c>
      <c r="R3350">
        <v>-9.82</v>
      </c>
      <c r="S3350">
        <v>-10.38</v>
      </c>
      <c r="T3350">
        <v>-11.03</v>
      </c>
      <c r="U3350">
        <v>-11.88</v>
      </c>
      <c r="V3350">
        <v>-12.78</v>
      </c>
      <c r="W3350">
        <v>-13.74</v>
      </c>
      <c r="X3350">
        <v>-14.75</v>
      </c>
      <c r="Y3350">
        <v>-15.8</v>
      </c>
      <c r="Z3350">
        <v>-16.899999999999999</v>
      </c>
      <c r="AA3350">
        <v>-18.05</v>
      </c>
      <c r="AB3350">
        <v>-19.260000000000002</v>
      </c>
      <c r="AC3350">
        <v>-20.52</v>
      </c>
      <c r="AD3350">
        <v>-21.84</v>
      </c>
    </row>
    <row r="3351" spans="2:30" x14ac:dyDescent="0.25">
      <c r="B3351" t="s">
        <v>133</v>
      </c>
      <c r="C3351" t="s">
        <v>3263</v>
      </c>
      <c r="D3351" t="s">
        <v>5893</v>
      </c>
      <c r="E3351" t="s">
        <v>5894</v>
      </c>
      <c r="F3351" t="s">
        <v>9062</v>
      </c>
      <c r="G3351" t="s">
        <v>3890</v>
      </c>
      <c r="H3351" t="s">
        <v>2308</v>
      </c>
      <c r="I3351" t="s">
        <v>5862</v>
      </c>
      <c r="J3351">
        <v>1</v>
      </c>
      <c r="K3351">
        <v>-4.34</v>
      </c>
      <c r="L3351">
        <v>-4.6900000000000004</v>
      </c>
      <c r="M3351">
        <v>-5.41</v>
      </c>
      <c r="N3351">
        <v>-4.8</v>
      </c>
      <c r="O3351">
        <v>-5.12</v>
      </c>
      <c r="P3351">
        <v>-4.9400000000000004</v>
      </c>
      <c r="Q3351">
        <v>-5</v>
      </c>
      <c r="R3351">
        <v>-5.0999999999999996</v>
      </c>
      <c r="S3351">
        <v>-5.19</v>
      </c>
      <c r="T3351">
        <v>-5.27</v>
      </c>
      <c r="U3351">
        <v>-5.41</v>
      </c>
      <c r="V3351">
        <v>-5.54</v>
      </c>
      <c r="W3351">
        <v>-5.68</v>
      </c>
      <c r="X3351">
        <v>-5.82</v>
      </c>
      <c r="Y3351">
        <v>-5.96</v>
      </c>
      <c r="Z3351">
        <v>-6.1</v>
      </c>
      <c r="AA3351">
        <v>-6.25</v>
      </c>
      <c r="AB3351">
        <v>-6.39</v>
      </c>
      <c r="AC3351">
        <v>-6.54</v>
      </c>
      <c r="AD3351">
        <v>-6.69</v>
      </c>
    </row>
    <row r="3352" spans="2:30" x14ac:dyDescent="0.25">
      <c r="B3352" t="s">
        <v>133</v>
      </c>
      <c r="C3352" t="s">
        <v>3263</v>
      </c>
      <c r="D3352" t="s">
        <v>5896</v>
      </c>
      <c r="E3352" t="s">
        <v>5897</v>
      </c>
      <c r="F3352" t="s">
        <v>9063</v>
      </c>
      <c r="G3352" t="s">
        <v>3890</v>
      </c>
      <c r="H3352" t="s">
        <v>5899</v>
      </c>
      <c r="I3352" t="s">
        <v>5862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</row>
    <row r="3353" spans="2:30" x14ac:dyDescent="0.25">
      <c r="B3353" t="s">
        <v>133</v>
      </c>
      <c r="C3353" t="s">
        <v>3263</v>
      </c>
      <c r="D3353" t="s">
        <v>5900</v>
      </c>
      <c r="E3353" t="s">
        <v>5901</v>
      </c>
      <c r="F3353" t="s">
        <v>9064</v>
      </c>
      <c r="G3353" t="s">
        <v>3890</v>
      </c>
      <c r="H3353" t="s">
        <v>2308</v>
      </c>
      <c r="I3353" t="s">
        <v>5862</v>
      </c>
      <c r="J3353">
        <v>1</v>
      </c>
      <c r="K3353">
        <v>0.14000000000000001</v>
      </c>
      <c r="L3353">
        <v>0.08</v>
      </c>
      <c r="M3353">
        <v>-10.34</v>
      </c>
      <c r="N3353">
        <v>-11.45</v>
      </c>
      <c r="O3353">
        <v>-12.05</v>
      </c>
      <c r="P3353">
        <v>-12.24</v>
      </c>
      <c r="Q3353">
        <v>-12.58</v>
      </c>
      <c r="R3353">
        <v>-13.02</v>
      </c>
      <c r="S3353">
        <v>-13.46</v>
      </c>
      <c r="T3353">
        <v>-13.91</v>
      </c>
      <c r="U3353">
        <v>-14.35</v>
      </c>
      <c r="V3353">
        <v>-14.8</v>
      </c>
      <c r="W3353">
        <v>-15.26</v>
      </c>
      <c r="X3353">
        <v>-15.72</v>
      </c>
      <c r="Y3353">
        <v>-16.2</v>
      </c>
      <c r="Z3353">
        <v>-16.68</v>
      </c>
      <c r="AA3353">
        <v>-17.170000000000002</v>
      </c>
      <c r="AB3353">
        <v>-17.670000000000002</v>
      </c>
      <c r="AC3353">
        <v>-18.170000000000002</v>
      </c>
      <c r="AD3353">
        <v>-18.690000000000001</v>
      </c>
    </row>
    <row r="3354" spans="2:30" x14ac:dyDescent="0.25">
      <c r="B3354" t="s">
        <v>133</v>
      </c>
      <c r="C3354" t="s">
        <v>3263</v>
      </c>
      <c r="D3354" t="s">
        <v>5903</v>
      </c>
      <c r="E3354" t="s">
        <v>5904</v>
      </c>
      <c r="F3354" t="s">
        <v>9065</v>
      </c>
      <c r="G3354" t="s">
        <v>3890</v>
      </c>
      <c r="H3354" t="s">
        <v>2308</v>
      </c>
      <c r="I3354" t="s">
        <v>5862</v>
      </c>
      <c r="J3354">
        <v>2</v>
      </c>
      <c r="K3354">
        <v>-31.97</v>
      </c>
      <c r="L3354">
        <v>-26.57</v>
      </c>
      <c r="M3354">
        <v>-38.700000000000003</v>
      </c>
      <c r="N3354">
        <v>-37.520000000000003</v>
      </c>
      <c r="O3354">
        <v>-37.950000000000003</v>
      </c>
      <c r="P3354">
        <v>-36.51</v>
      </c>
      <c r="Q3354">
        <v>-36.35</v>
      </c>
      <c r="R3354">
        <v>-36.43</v>
      </c>
      <c r="S3354">
        <v>-36.51</v>
      </c>
      <c r="T3354">
        <v>-36.409999999999997</v>
      </c>
      <c r="U3354">
        <v>-36.36</v>
      </c>
      <c r="V3354">
        <v>-36.200000000000003</v>
      </c>
      <c r="W3354">
        <v>-35.9</v>
      </c>
      <c r="X3354">
        <v>-35.44</v>
      </c>
      <c r="Y3354">
        <v>-34.69</v>
      </c>
      <c r="Z3354">
        <v>-33.729999999999997</v>
      </c>
      <c r="AA3354">
        <v>-32.5</v>
      </c>
      <c r="AB3354">
        <v>-31.02</v>
      </c>
      <c r="AC3354">
        <v>-29.6</v>
      </c>
      <c r="AD3354">
        <v>-30.17</v>
      </c>
    </row>
    <row r="3355" spans="2:30" x14ac:dyDescent="0.25">
      <c r="B3355" t="s">
        <v>133</v>
      </c>
      <c r="C3355" t="s">
        <v>3263</v>
      </c>
      <c r="D3355" t="s">
        <v>5906</v>
      </c>
      <c r="E3355" t="s">
        <v>5907</v>
      </c>
      <c r="F3355" t="s">
        <v>9066</v>
      </c>
      <c r="G3355" t="s">
        <v>3890</v>
      </c>
      <c r="H3355" t="s">
        <v>2308</v>
      </c>
      <c r="I3355" t="s">
        <v>5862</v>
      </c>
      <c r="J3355">
        <v>2</v>
      </c>
      <c r="K3355">
        <v>0.02</v>
      </c>
      <c r="L3355">
        <v>0.01</v>
      </c>
      <c r="M3355">
        <v>0.01</v>
      </c>
      <c r="N3355">
        <v>0.01</v>
      </c>
      <c r="O3355">
        <v>0.09</v>
      </c>
      <c r="P3355">
        <v>0.12</v>
      </c>
      <c r="Q3355">
        <v>0.15</v>
      </c>
      <c r="R3355">
        <v>0.18</v>
      </c>
      <c r="S3355">
        <v>0.21</v>
      </c>
      <c r="T3355">
        <v>0.24</v>
      </c>
      <c r="U3355">
        <v>0.27</v>
      </c>
      <c r="V3355">
        <v>0.28999999999999998</v>
      </c>
      <c r="W3355">
        <v>0.32</v>
      </c>
      <c r="X3355">
        <v>0.35</v>
      </c>
      <c r="Y3355">
        <v>0.38</v>
      </c>
      <c r="Z3355">
        <v>0.41</v>
      </c>
      <c r="AA3355">
        <v>0.44</v>
      </c>
      <c r="AB3355">
        <v>0.47</v>
      </c>
      <c r="AC3355">
        <v>0.5</v>
      </c>
      <c r="AD3355">
        <v>0.53</v>
      </c>
    </row>
    <row r="3356" spans="2:30" x14ac:dyDescent="0.25">
      <c r="B3356" t="s">
        <v>133</v>
      </c>
      <c r="C3356" t="s">
        <v>3263</v>
      </c>
      <c r="D3356" t="s">
        <v>5909</v>
      </c>
      <c r="E3356" t="s">
        <v>5910</v>
      </c>
      <c r="F3356" t="s">
        <v>9067</v>
      </c>
      <c r="G3356" t="s">
        <v>3890</v>
      </c>
      <c r="H3356" t="s">
        <v>2308</v>
      </c>
      <c r="I3356" t="s">
        <v>5862</v>
      </c>
      <c r="J3356">
        <v>2</v>
      </c>
      <c r="K3356">
        <v>-15.07</v>
      </c>
      <c r="L3356">
        <v>-11.09</v>
      </c>
      <c r="M3356">
        <v>-12</v>
      </c>
      <c r="N3356">
        <v>-12.4</v>
      </c>
      <c r="O3356">
        <v>-11.96</v>
      </c>
      <c r="P3356">
        <v>-11.52</v>
      </c>
      <c r="Q3356">
        <v>-11.45</v>
      </c>
      <c r="R3356">
        <v>-11.55</v>
      </c>
      <c r="S3356">
        <v>-11.7</v>
      </c>
      <c r="T3356">
        <v>-11.85</v>
      </c>
      <c r="U3356">
        <v>-12.03</v>
      </c>
      <c r="V3356">
        <v>-12.26</v>
      </c>
      <c r="W3356">
        <v>-12.53</v>
      </c>
      <c r="X3356">
        <v>-12.85</v>
      </c>
      <c r="Y3356">
        <v>-13.23</v>
      </c>
      <c r="Z3356">
        <v>-13.68</v>
      </c>
      <c r="AA3356">
        <v>-14.21</v>
      </c>
      <c r="AB3356">
        <v>-14.85</v>
      </c>
      <c r="AC3356">
        <v>-15.56</v>
      </c>
      <c r="AD3356">
        <v>-16.27</v>
      </c>
    </row>
    <row r="3357" spans="2:30" x14ac:dyDescent="0.25">
      <c r="B3357" t="s">
        <v>133</v>
      </c>
      <c r="C3357" t="s">
        <v>3263</v>
      </c>
      <c r="D3357" t="s">
        <v>5912</v>
      </c>
      <c r="E3357" t="s">
        <v>5913</v>
      </c>
      <c r="F3357" t="s">
        <v>9068</v>
      </c>
      <c r="G3357" t="s">
        <v>3890</v>
      </c>
      <c r="H3357" t="s">
        <v>2308</v>
      </c>
      <c r="I3357" t="s">
        <v>5862</v>
      </c>
      <c r="J3357">
        <v>2</v>
      </c>
      <c r="K3357">
        <v>-4.13</v>
      </c>
      <c r="L3357">
        <v>-3.27</v>
      </c>
      <c r="M3357">
        <v>-3.44</v>
      </c>
      <c r="N3357">
        <v>-4.38</v>
      </c>
      <c r="O3357">
        <v>-4.1399999999999997</v>
      </c>
      <c r="P3357">
        <v>-4.3899999999999997</v>
      </c>
      <c r="Q3357">
        <v>-4.41</v>
      </c>
      <c r="R3357">
        <v>-4.33</v>
      </c>
      <c r="S3357">
        <v>-4.24</v>
      </c>
      <c r="T3357">
        <v>-4.16</v>
      </c>
      <c r="U3357">
        <v>-4.05</v>
      </c>
      <c r="V3357">
        <v>-3.94</v>
      </c>
      <c r="W3357">
        <v>-3.85</v>
      </c>
      <c r="X3357">
        <v>-3.77</v>
      </c>
      <c r="Y3357">
        <v>-3.69</v>
      </c>
      <c r="Z3357">
        <v>-3.62</v>
      </c>
      <c r="AA3357">
        <v>-3.56</v>
      </c>
      <c r="AB3357">
        <v>-3.5</v>
      </c>
      <c r="AC3357">
        <v>-3.45</v>
      </c>
      <c r="AD3357">
        <v>-3.4</v>
      </c>
    </row>
    <row r="3358" spans="2:30" x14ac:dyDescent="0.25">
      <c r="B3358" t="s">
        <v>133</v>
      </c>
      <c r="C3358" t="s">
        <v>3263</v>
      </c>
      <c r="D3358" t="s">
        <v>5915</v>
      </c>
      <c r="E3358" t="s">
        <v>5916</v>
      </c>
      <c r="F3358" t="s">
        <v>9069</v>
      </c>
      <c r="G3358" t="s">
        <v>3890</v>
      </c>
      <c r="H3358" t="s">
        <v>2308</v>
      </c>
      <c r="I3358" t="s">
        <v>5862</v>
      </c>
      <c r="J3358">
        <v>2</v>
      </c>
      <c r="K3358">
        <v>-3.22</v>
      </c>
      <c r="L3358">
        <v>-3.49</v>
      </c>
      <c r="M3358">
        <v>-3.59</v>
      </c>
      <c r="N3358">
        <v>-2.72</v>
      </c>
      <c r="O3358">
        <v>-2.9</v>
      </c>
      <c r="P3358">
        <v>-2.8</v>
      </c>
      <c r="Q3358">
        <v>-2.93</v>
      </c>
      <c r="R3358">
        <v>-3.11</v>
      </c>
      <c r="S3358">
        <v>-3.33</v>
      </c>
      <c r="T3358">
        <v>-3.59</v>
      </c>
      <c r="U3358">
        <v>-3.92</v>
      </c>
      <c r="V3358">
        <v>-4.26</v>
      </c>
      <c r="W3358">
        <v>-4.62</v>
      </c>
      <c r="X3358">
        <v>-4.99</v>
      </c>
      <c r="Y3358">
        <v>-5.36</v>
      </c>
      <c r="Z3358">
        <v>-5.75</v>
      </c>
      <c r="AA3358">
        <v>-6.14</v>
      </c>
      <c r="AB3358">
        <v>-6.55</v>
      </c>
      <c r="AC3358">
        <v>-6.96</v>
      </c>
      <c r="AD3358">
        <v>-7.37</v>
      </c>
    </row>
    <row r="3359" spans="2:30" x14ac:dyDescent="0.25">
      <c r="B3359" t="s">
        <v>133</v>
      </c>
      <c r="C3359" t="s">
        <v>3263</v>
      </c>
      <c r="D3359" t="s">
        <v>5918</v>
      </c>
      <c r="E3359" t="s">
        <v>5919</v>
      </c>
      <c r="F3359" t="s">
        <v>9070</v>
      </c>
      <c r="G3359" t="s">
        <v>3890</v>
      </c>
      <c r="H3359" t="s">
        <v>2308</v>
      </c>
      <c r="I3359" t="s">
        <v>5862</v>
      </c>
      <c r="J3359">
        <v>2</v>
      </c>
      <c r="K3359">
        <v>-11.33</v>
      </c>
      <c r="L3359">
        <v>-10.43</v>
      </c>
      <c r="M3359">
        <v>-10.38</v>
      </c>
      <c r="N3359">
        <v>-8.4</v>
      </c>
      <c r="O3359">
        <v>-9.01</v>
      </c>
      <c r="P3359">
        <v>-8.6300000000000008</v>
      </c>
      <c r="Q3359">
        <v>-8.84</v>
      </c>
      <c r="R3359">
        <v>-9.17</v>
      </c>
      <c r="S3359">
        <v>-9.58</v>
      </c>
      <c r="T3359">
        <v>-10.039999999999999</v>
      </c>
      <c r="U3359">
        <v>-10.67</v>
      </c>
      <c r="V3359">
        <v>-11.32</v>
      </c>
      <c r="W3359">
        <v>-12</v>
      </c>
      <c r="X3359">
        <v>-12.69</v>
      </c>
      <c r="Y3359">
        <v>-13.39</v>
      </c>
      <c r="Z3359">
        <v>-14.11</v>
      </c>
      <c r="AA3359">
        <v>-14.85</v>
      </c>
      <c r="AB3359">
        <v>-15.61</v>
      </c>
      <c r="AC3359">
        <v>-16.399999999999999</v>
      </c>
      <c r="AD3359">
        <v>-17.2</v>
      </c>
    </row>
    <row r="3360" spans="2:30" x14ac:dyDescent="0.25">
      <c r="B3360" t="s">
        <v>133</v>
      </c>
      <c r="C3360" t="s">
        <v>3263</v>
      </c>
      <c r="D3360" t="s">
        <v>5921</v>
      </c>
      <c r="E3360" t="s">
        <v>5922</v>
      </c>
      <c r="F3360" t="s">
        <v>9071</v>
      </c>
      <c r="G3360" t="s">
        <v>3890</v>
      </c>
      <c r="H3360" t="s">
        <v>2308</v>
      </c>
      <c r="I3360" t="s">
        <v>5862</v>
      </c>
      <c r="J3360">
        <v>2</v>
      </c>
      <c r="K3360">
        <v>-4.34</v>
      </c>
      <c r="L3360">
        <v>-4.6900000000000004</v>
      </c>
      <c r="M3360">
        <v>-5.41</v>
      </c>
      <c r="N3360">
        <v>-4.8</v>
      </c>
      <c r="O3360">
        <v>-4.79</v>
      </c>
      <c r="P3360">
        <v>-4.5</v>
      </c>
      <c r="Q3360">
        <v>-4.4400000000000004</v>
      </c>
      <c r="R3360">
        <v>-4.43</v>
      </c>
      <c r="S3360">
        <v>-4.41</v>
      </c>
      <c r="T3360">
        <v>-4.3899999999999997</v>
      </c>
      <c r="U3360">
        <v>-4.41</v>
      </c>
      <c r="V3360">
        <v>-4.43</v>
      </c>
      <c r="W3360">
        <v>-4.46</v>
      </c>
      <c r="X3360">
        <v>-4.49</v>
      </c>
      <c r="Y3360">
        <v>-4.5199999999999996</v>
      </c>
      <c r="Z3360">
        <v>-4.55</v>
      </c>
      <c r="AA3360">
        <v>-4.58</v>
      </c>
      <c r="AB3360">
        <v>-4.62</v>
      </c>
      <c r="AC3360">
        <v>-4.6500000000000004</v>
      </c>
      <c r="AD3360">
        <v>-4.6900000000000004</v>
      </c>
    </row>
    <row r="3361" spans="2:30" x14ac:dyDescent="0.25">
      <c r="B3361" t="s">
        <v>133</v>
      </c>
      <c r="C3361" t="s">
        <v>3263</v>
      </c>
      <c r="D3361" t="s">
        <v>5924</v>
      </c>
      <c r="E3361" t="s">
        <v>5925</v>
      </c>
      <c r="F3361" t="s">
        <v>9072</v>
      </c>
      <c r="G3361" t="s">
        <v>3890</v>
      </c>
      <c r="H3361" t="s">
        <v>5899</v>
      </c>
      <c r="I3361" t="s">
        <v>5862</v>
      </c>
      <c r="J3361">
        <v>2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</row>
    <row r="3362" spans="2:30" x14ac:dyDescent="0.25">
      <c r="B3362" t="s">
        <v>133</v>
      </c>
      <c r="C3362" t="s">
        <v>3263</v>
      </c>
      <c r="D3362" t="s">
        <v>5927</v>
      </c>
      <c r="E3362" t="s">
        <v>5928</v>
      </c>
      <c r="F3362" t="s">
        <v>9073</v>
      </c>
      <c r="G3362" t="s">
        <v>3890</v>
      </c>
      <c r="H3362" t="s">
        <v>2308</v>
      </c>
      <c r="I3362" t="s">
        <v>5862</v>
      </c>
      <c r="J3362">
        <v>2</v>
      </c>
      <c r="K3362">
        <v>0.14000000000000001</v>
      </c>
      <c r="L3362">
        <v>0.08</v>
      </c>
      <c r="M3362">
        <v>-10.34</v>
      </c>
      <c r="N3362">
        <v>-11.45</v>
      </c>
      <c r="O3362">
        <v>-12.05</v>
      </c>
      <c r="P3362">
        <v>-12.18</v>
      </c>
      <c r="Q3362">
        <v>-12.51</v>
      </c>
      <c r="R3362">
        <v>-12.94</v>
      </c>
      <c r="S3362">
        <v>-13.38</v>
      </c>
      <c r="T3362">
        <v>-13.82</v>
      </c>
      <c r="U3362">
        <v>-14.25</v>
      </c>
      <c r="V3362">
        <v>-14.69</v>
      </c>
      <c r="W3362">
        <v>-15.13</v>
      </c>
      <c r="X3362">
        <v>-15.59</v>
      </c>
      <c r="Y3362">
        <v>-16.059999999999999</v>
      </c>
      <c r="Z3362">
        <v>-16.54</v>
      </c>
      <c r="AA3362">
        <v>-17.04</v>
      </c>
      <c r="AB3362">
        <v>-17.559999999999999</v>
      </c>
      <c r="AC3362">
        <v>-18.100000000000001</v>
      </c>
      <c r="AD3362">
        <v>-18.66</v>
      </c>
    </row>
    <row r="3363" spans="2:30" x14ac:dyDescent="0.25">
      <c r="B3363" t="s">
        <v>133</v>
      </c>
      <c r="C3363" t="s">
        <v>3263</v>
      </c>
      <c r="D3363" t="s">
        <v>5930</v>
      </c>
      <c r="E3363" t="s">
        <v>5931</v>
      </c>
      <c r="F3363" t="s">
        <v>9074</v>
      </c>
      <c r="G3363" t="s">
        <v>5933</v>
      </c>
      <c r="H3363" t="s">
        <v>5934</v>
      </c>
      <c r="J3363">
        <v>1</v>
      </c>
      <c r="K3363">
        <v>55.675159999999998</v>
      </c>
      <c r="L3363">
        <v>55.377510000000001</v>
      </c>
      <c r="M3363">
        <v>56.988480000000003</v>
      </c>
      <c r="N3363">
        <v>59.04712</v>
      </c>
      <c r="O3363">
        <v>59.183799999999998</v>
      </c>
      <c r="P3363">
        <v>59.514490000000002</v>
      </c>
      <c r="Q3363">
        <v>59.95505</v>
      </c>
      <c r="R3363">
        <v>60.429819999999999</v>
      </c>
      <c r="S3363">
        <v>60.96405</v>
      </c>
      <c r="T3363">
        <v>61.59111</v>
      </c>
      <c r="U3363">
        <v>62.275260000000003</v>
      </c>
      <c r="V3363">
        <v>63.016210000000001</v>
      </c>
      <c r="W3363">
        <v>63.806130000000003</v>
      </c>
      <c r="X3363">
        <v>64.647210000000001</v>
      </c>
      <c r="Y3363">
        <v>65.536709999999999</v>
      </c>
      <c r="Z3363">
        <v>66.480680000000007</v>
      </c>
      <c r="AA3363">
        <v>67.480549999999994</v>
      </c>
      <c r="AB3363">
        <v>68.539810000000003</v>
      </c>
      <c r="AC3363">
        <v>69.662480000000002</v>
      </c>
      <c r="AD3363">
        <v>0</v>
      </c>
    </row>
    <row r="3364" spans="2:30" x14ac:dyDescent="0.25">
      <c r="B3364" t="s">
        <v>133</v>
      </c>
      <c r="C3364" t="s">
        <v>3263</v>
      </c>
      <c r="D3364" t="s">
        <v>5935</v>
      </c>
      <c r="E3364" t="s">
        <v>5936</v>
      </c>
      <c r="F3364" t="s">
        <v>9075</v>
      </c>
      <c r="G3364" t="s">
        <v>5933</v>
      </c>
      <c r="H3364" t="s">
        <v>5934</v>
      </c>
      <c r="J3364">
        <v>1</v>
      </c>
      <c r="K3364">
        <v>40.588149999999999</v>
      </c>
      <c r="L3364">
        <v>40.290489999999998</v>
      </c>
      <c r="M3364">
        <v>41.901470000000003</v>
      </c>
      <c r="N3364">
        <v>43.96011</v>
      </c>
      <c r="O3364">
        <v>44.096780000000003</v>
      </c>
      <c r="P3364">
        <v>44.427480000000003</v>
      </c>
      <c r="Q3364">
        <v>44.868029999999997</v>
      </c>
      <c r="R3364">
        <v>45.34281</v>
      </c>
      <c r="S3364">
        <v>45.877040000000001</v>
      </c>
      <c r="T3364">
        <v>46.504100000000001</v>
      </c>
      <c r="U3364">
        <v>47.188249999999996</v>
      </c>
      <c r="V3364">
        <v>47.929200000000002</v>
      </c>
      <c r="W3364">
        <v>48.719119999999997</v>
      </c>
      <c r="X3364">
        <v>49.560200000000002</v>
      </c>
      <c r="Y3364">
        <v>50.4497</v>
      </c>
      <c r="Z3364">
        <v>51.39367</v>
      </c>
      <c r="AA3364">
        <v>52.393540000000002</v>
      </c>
      <c r="AB3364">
        <v>53.452800000000003</v>
      </c>
      <c r="AC3364">
        <v>54.57546</v>
      </c>
      <c r="AD3364">
        <v>0</v>
      </c>
    </row>
    <row r="3365" spans="2:30" x14ac:dyDescent="0.25">
      <c r="B3365" t="s">
        <v>133</v>
      </c>
      <c r="C3365" t="s">
        <v>3263</v>
      </c>
      <c r="D3365" t="s">
        <v>5938</v>
      </c>
      <c r="E3365" t="s">
        <v>5939</v>
      </c>
      <c r="F3365" t="s">
        <v>9076</v>
      </c>
      <c r="G3365" t="s">
        <v>5933</v>
      </c>
      <c r="H3365" t="s">
        <v>5934</v>
      </c>
      <c r="J3365">
        <v>2</v>
      </c>
      <c r="K3365">
        <v>55.675159999999998</v>
      </c>
      <c r="L3365">
        <v>55.375709999999998</v>
      </c>
      <c r="M3365">
        <v>56.986750000000001</v>
      </c>
      <c r="N3365">
        <v>59.045450000000002</v>
      </c>
      <c r="O3365">
        <v>58.58296</v>
      </c>
      <c r="P3365">
        <v>59.302320000000002</v>
      </c>
      <c r="Q3365">
        <v>59.676049999999996</v>
      </c>
      <c r="R3365">
        <v>59.878129999999999</v>
      </c>
      <c r="S3365">
        <v>60.119750000000003</v>
      </c>
      <c r="T3365">
        <v>60.455129999999997</v>
      </c>
      <c r="U3365">
        <v>60.724809999999998</v>
      </c>
      <c r="V3365">
        <v>61.049129999999998</v>
      </c>
      <c r="W3365">
        <v>61.414520000000003</v>
      </c>
      <c r="X3365">
        <v>61.821069999999999</v>
      </c>
      <c r="Y3365">
        <v>62.26343</v>
      </c>
      <c r="Z3365">
        <v>62.745780000000003</v>
      </c>
      <c r="AA3365">
        <v>63.267440000000001</v>
      </c>
      <c r="AB3365">
        <v>63.832099999999997</v>
      </c>
      <c r="AC3365">
        <v>64.433819999999997</v>
      </c>
      <c r="AD3365">
        <v>0</v>
      </c>
    </row>
    <row r="3366" spans="2:30" x14ac:dyDescent="0.25">
      <c r="B3366" t="s">
        <v>133</v>
      </c>
      <c r="C3366" t="s">
        <v>3263</v>
      </c>
      <c r="D3366" t="s">
        <v>5941</v>
      </c>
      <c r="E3366" t="s">
        <v>5942</v>
      </c>
      <c r="F3366" t="s">
        <v>9077</v>
      </c>
      <c r="G3366" t="s">
        <v>5933</v>
      </c>
      <c r="H3366" t="s">
        <v>5934</v>
      </c>
      <c r="J3366">
        <v>2</v>
      </c>
      <c r="K3366">
        <v>40.588149999999999</v>
      </c>
      <c r="L3366">
        <v>40.288699999999999</v>
      </c>
      <c r="M3366">
        <v>41.899740000000001</v>
      </c>
      <c r="N3366">
        <v>43.958440000000003</v>
      </c>
      <c r="O3366">
        <v>43.495950000000001</v>
      </c>
      <c r="P3366">
        <v>44.215310000000002</v>
      </c>
      <c r="Q3366">
        <v>44.589039999999997</v>
      </c>
      <c r="R3366">
        <v>44.791119999999999</v>
      </c>
      <c r="S3366">
        <v>45.032739999999997</v>
      </c>
      <c r="T3366">
        <v>45.368110000000001</v>
      </c>
      <c r="U3366">
        <v>45.637799999999999</v>
      </c>
      <c r="V3366">
        <v>45.962119999999999</v>
      </c>
      <c r="W3366">
        <v>46.327509999999997</v>
      </c>
      <c r="X3366">
        <v>46.734050000000003</v>
      </c>
      <c r="Y3366">
        <v>47.17642</v>
      </c>
      <c r="Z3366">
        <v>47.658769999999997</v>
      </c>
      <c r="AA3366">
        <v>48.180430000000001</v>
      </c>
      <c r="AB3366">
        <v>48.745080000000002</v>
      </c>
      <c r="AC3366">
        <v>49.346809999999998</v>
      </c>
      <c r="AD3366">
        <v>0</v>
      </c>
    </row>
    <row r="3367" spans="2:30" x14ac:dyDescent="0.25">
      <c r="B3367" t="s">
        <v>133</v>
      </c>
      <c r="C3367" t="s">
        <v>3263</v>
      </c>
      <c r="D3367" t="s">
        <v>5944</v>
      </c>
      <c r="E3367" t="s">
        <v>5945</v>
      </c>
      <c r="F3367" t="s">
        <v>9078</v>
      </c>
      <c r="G3367" t="s">
        <v>5933</v>
      </c>
      <c r="H3367" t="s">
        <v>5947</v>
      </c>
      <c r="J3367">
        <v>1</v>
      </c>
      <c r="K3367">
        <v>19.333559917072691</v>
      </c>
      <c r="L3367">
        <v>19.035908162986296</v>
      </c>
      <c r="M3367">
        <v>20.64688325424239</v>
      </c>
      <c r="N3367">
        <v>22.705522340023506</v>
      </c>
      <c r="O3367">
        <v>22.842196744002308</v>
      </c>
      <c r="P3367">
        <v>23.172890167193536</v>
      </c>
      <c r="Q3367">
        <v>23.613447984677876</v>
      </c>
      <c r="R3367">
        <v>24.088218814612986</v>
      </c>
      <c r="S3367">
        <v>24.622452293537222</v>
      </c>
      <c r="T3367">
        <v>25.249511498462113</v>
      </c>
      <c r="U3367">
        <v>25.933661137275138</v>
      </c>
      <c r="V3367">
        <v>26.674609558698691</v>
      </c>
      <c r="W3367">
        <v>27.464533908745196</v>
      </c>
      <c r="X3367">
        <v>28.305609070078532</v>
      </c>
      <c r="Y3367">
        <v>29.195110120869714</v>
      </c>
      <c r="Z3367">
        <v>30.139084343684203</v>
      </c>
      <c r="AA3367">
        <v>31.13895369613823</v>
      </c>
      <c r="AB3367">
        <v>32.198214068528657</v>
      </c>
      <c r="AC3367">
        <v>33.320877493426366</v>
      </c>
      <c r="AD3367">
        <v>0</v>
      </c>
    </row>
    <row r="3368" spans="2:30" x14ac:dyDescent="0.25">
      <c r="B3368" t="s">
        <v>133</v>
      </c>
      <c r="C3368" t="s">
        <v>3263</v>
      </c>
      <c r="D3368" t="s">
        <v>5948</v>
      </c>
      <c r="E3368" t="s">
        <v>5949</v>
      </c>
      <c r="F3368" t="s">
        <v>9079</v>
      </c>
      <c r="G3368" t="s">
        <v>5933</v>
      </c>
      <c r="H3368" t="s">
        <v>5951</v>
      </c>
      <c r="J3368">
        <v>1</v>
      </c>
      <c r="K3368">
        <v>54.858705649999997</v>
      </c>
    </row>
    <row r="3369" spans="2:30" x14ac:dyDescent="0.25">
      <c r="B3369" t="s">
        <v>133</v>
      </c>
      <c r="C3369" t="s">
        <v>3263</v>
      </c>
      <c r="D3369" t="s">
        <v>5952</v>
      </c>
      <c r="E3369" t="s">
        <v>5953</v>
      </c>
      <c r="F3369" t="s">
        <v>9080</v>
      </c>
      <c r="G3369" t="s">
        <v>5955</v>
      </c>
      <c r="H3369" t="s">
        <v>5956</v>
      </c>
      <c r="K3369">
        <v>5</v>
      </c>
      <c r="L3369">
        <v>5</v>
      </c>
      <c r="M3369">
        <v>5</v>
      </c>
      <c r="N3369">
        <v>5</v>
      </c>
      <c r="O3369">
        <v>5</v>
      </c>
      <c r="P3369">
        <v>5</v>
      </c>
      <c r="Q3369">
        <v>5</v>
      </c>
      <c r="R3369">
        <v>5</v>
      </c>
      <c r="S3369">
        <v>5</v>
      </c>
      <c r="T3369">
        <v>5</v>
      </c>
      <c r="U3369">
        <v>5</v>
      </c>
      <c r="V3369">
        <v>5</v>
      </c>
      <c r="W3369">
        <v>5</v>
      </c>
      <c r="X3369">
        <v>5</v>
      </c>
      <c r="Y3369">
        <v>5</v>
      </c>
      <c r="Z3369">
        <v>5</v>
      </c>
      <c r="AA3369">
        <v>5</v>
      </c>
      <c r="AB3369">
        <v>5</v>
      </c>
      <c r="AC3369">
        <v>5</v>
      </c>
      <c r="AD3369">
        <v>0</v>
      </c>
    </row>
    <row r="3370" spans="2:30" x14ac:dyDescent="0.25">
      <c r="B3370" t="s">
        <v>133</v>
      </c>
      <c r="C3370" t="s">
        <v>3263</v>
      </c>
      <c r="D3370" t="s">
        <v>5957</v>
      </c>
      <c r="E3370" t="s">
        <v>5958</v>
      </c>
      <c r="F3370" t="s">
        <v>9081</v>
      </c>
      <c r="G3370" t="s">
        <v>5933</v>
      </c>
      <c r="H3370" t="s">
        <v>5960</v>
      </c>
      <c r="K3370">
        <v>0</v>
      </c>
      <c r="L3370">
        <v>0</v>
      </c>
      <c r="M3370">
        <v>0</v>
      </c>
      <c r="N3370">
        <v>0</v>
      </c>
      <c r="O3370">
        <v>15</v>
      </c>
      <c r="P3370">
        <v>35</v>
      </c>
      <c r="Q3370">
        <v>62</v>
      </c>
      <c r="R3370">
        <v>100</v>
      </c>
      <c r="S3370">
        <v>150</v>
      </c>
      <c r="T3370">
        <v>214</v>
      </c>
      <c r="U3370">
        <v>294</v>
      </c>
      <c r="V3370">
        <v>394</v>
      </c>
      <c r="W3370">
        <v>516</v>
      </c>
      <c r="X3370">
        <v>664</v>
      </c>
      <c r="Y3370">
        <v>839</v>
      </c>
      <c r="Z3370">
        <v>1045</v>
      </c>
      <c r="AA3370">
        <v>1285</v>
      </c>
      <c r="AB3370">
        <v>1563</v>
      </c>
      <c r="AC3370">
        <v>1882</v>
      </c>
      <c r="AD3370">
        <v>0</v>
      </c>
    </row>
    <row r="3371" spans="2:30" x14ac:dyDescent="0.25">
      <c r="B3371" t="s">
        <v>133</v>
      </c>
      <c r="C3371" t="s">
        <v>3263</v>
      </c>
      <c r="D3371" t="s">
        <v>5961</v>
      </c>
      <c r="E3371" t="s">
        <v>5962</v>
      </c>
      <c r="F3371" t="s">
        <v>9082</v>
      </c>
      <c r="G3371" t="s">
        <v>5933</v>
      </c>
      <c r="H3371" t="s">
        <v>5960</v>
      </c>
      <c r="K3371">
        <v>0</v>
      </c>
      <c r="L3371">
        <v>2</v>
      </c>
      <c r="M3371">
        <v>4</v>
      </c>
      <c r="N3371">
        <v>5</v>
      </c>
      <c r="O3371">
        <v>644</v>
      </c>
      <c r="P3371">
        <v>873</v>
      </c>
      <c r="Q3371">
        <v>1178</v>
      </c>
      <c r="R3371">
        <v>1685</v>
      </c>
      <c r="S3371">
        <v>2401</v>
      </c>
      <c r="T3371">
        <v>3376</v>
      </c>
      <c r="U3371">
        <v>4723</v>
      </c>
      <c r="V3371">
        <v>6454</v>
      </c>
      <c r="W3371">
        <v>8584</v>
      </c>
      <c r="X3371">
        <v>11131</v>
      </c>
      <c r="Y3371">
        <v>14116</v>
      </c>
      <c r="Z3371">
        <v>17562</v>
      </c>
      <c r="AA3371">
        <v>21492</v>
      </c>
      <c r="AB3371">
        <v>25933</v>
      </c>
      <c r="AC3371">
        <v>30919</v>
      </c>
      <c r="AD3371">
        <v>0</v>
      </c>
    </row>
    <row r="3372" spans="2:30" x14ac:dyDescent="0.25">
      <c r="B3372" t="s">
        <v>133</v>
      </c>
      <c r="C3372" t="s">
        <v>3263</v>
      </c>
      <c r="D3372" t="s">
        <v>5964</v>
      </c>
      <c r="E3372" t="s">
        <v>5965</v>
      </c>
      <c r="F3372" t="s">
        <v>9083</v>
      </c>
      <c r="G3372" t="s">
        <v>5933</v>
      </c>
      <c r="H3372" t="s">
        <v>5960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-1</v>
      </c>
      <c r="R3372">
        <v>-1</v>
      </c>
      <c r="S3372">
        <v>-1</v>
      </c>
      <c r="T3372">
        <v>-2</v>
      </c>
      <c r="U3372">
        <v>-3</v>
      </c>
      <c r="V3372">
        <v>-4</v>
      </c>
      <c r="W3372">
        <v>-5</v>
      </c>
      <c r="X3372">
        <v>-7</v>
      </c>
      <c r="Y3372">
        <v>-8</v>
      </c>
      <c r="Z3372">
        <v>-10</v>
      </c>
      <c r="AA3372">
        <v>-13</v>
      </c>
      <c r="AB3372">
        <v>-15</v>
      </c>
      <c r="AC3372">
        <v>-18</v>
      </c>
      <c r="AD3372">
        <v>0</v>
      </c>
    </row>
    <row r="3373" spans="2:30" x14ac:dyDescent="0.25">
      <c r="B3373" t="s">
        <v>133</v>
      </c>
      <c r="C3373" t="s">
        <v>3263</v>
      </c>
      <c r="D3373" t="s">
        <v>3279</v>
      </c>
      <c r="E3373" t="s">
        <v>3281</v>
      </c>
      <c r="F3373" t="s">
        <v>9084</v>
      </c>
      <c r="G3373" t="s">
        <v>5933</v>
      </c>
      <c r="H3373" t="s">
        <v>5960</v>
      </c>
      <c r="K3373">
        <v>0</v>
      </c>
      <c r="L3373">
        <v>2</v>
      </c>
      <c r="M3373">
        <v>4</v>
      </c>
      <c r="N3373">
        <v>5</v>
      </c>
      <c r="O3373">
        <v>659</v>
      </c>
      <c r="P3373">
        <v>907</v>
      </c>
      <c r="Q3373">
        <v>1239</v>
      </c>
      <c r="R3373">
        <v>1785</v>
      </c>
      <c r="S3373">
        <v>2549</v>
      </c>
      <c r="T3373">
        <v>3587</v>
      </c>
      <c r="U3373">
        <v>5015</v>
      </c>
      <c r="V3373">
        <v>6844</v>
      </c>
      <c r="W3373">
        <v>9095</v>
      </c>
      <c r="X3373">
        <v>11788</v>
      </c>
      <c r="Y3373">
        <v>14946</v>
      </c>
      <c r="Z3373">
        <v>18596</v>
      </c>
      <c r="AA3373">
        <v>22765</v>
      </c>
      <c r="AB3373">
        <v>27481</v>
      </c>
      <c r="AC3373">
        <v>32783</v>
      </c>
      <c r="AD3373">
        <v>0</v>
      </c>
    </row>
    <row r="3374" spans="2:30" x14ac:dyDescent="0.25">
      <c r="B3374" t="s">
        <v>133</v>
      </c>
      <c r="C3374" t="s">
        <v>3263</v>
      </c>
      <c r="D3374" t="s">
        <v>3257</v>
      </c>
      <c r="E3374" t="s">
        <v>3259</v>
      </c>
      <c r="F3374" t="s">
        <v>9085</v>
      </c>
      <c r="G3374" t="s">
        <v>5933</v>
      </c>
      <c r="H3374" t="s">
        <v>5969</v>
      </c>
      <c r="K3374">
        <v>0</v>
      </c>
      <c r="L3374">
        <v>1</v>
      </c>
      <c r="M3374">
        <v>1</v>
      </c>
      <c r="N3374">
        <v>1</v>
      </c>
      <c r="O3374">
        <v>223</v>
      </c>
      <c r="P3374">
        <v>84</v>
      </c>
      <c r="Q3374">
        <v>113</v>
      </c>
      <c r="R3374">
        <v>183</v>
      </c>
      <c r="S3374">
        <v>256</v>
      </c>
      <c r="T3374">
        <v>347</v>
      </c>
      <c r="U3374">
        <v>478</v>
      </c>
      <c r="V3374">
        <v>613</v>
      </c>
      <c r="W3374">
        <v>754</v>
      </c>
      <c r="X3374">
        <v>902</v>
      </c>
      <c r="Y3374">
        <v>1057</v>
      </c>
      <c r="Z3374">
        <v>1221</v>
      </c>
      <c r="AA3374">
        <v>1395</v>
      </c>
      <c r="AB3374">
        <v>1577</v>
      </c>
      <c r="AC3374">
        <v>1772</v>
      </c>
      <c r="AD3374">
        <v>0</v>
      </c>
    </row>
    <row r="3375" spans="2:30" x14ac:dyDescent="0.25">
      <c r="B3375" t="s">
        <v>133</v>
      </c>
      <c r="C3375" t="s">
        <v>3263</v>
      </c>
      <c r="D3375" t="s">
        <v>3267</v>
      </c>
      <c r="E3375" t="s">
        <v>3268</v>
      </c>
      <c r="F3375" t="s">
        <v>9086</v>
      </c>
      <c r="G3375" t="s">
        <v>5933</v>
      </c>
      <c r="H3375" t="s">
        <v>5969</v>
      </c>
      <c r="K3375">
        <v>0</v>
      </c>
      <c r="L3375">
        <v>1</v>
      </c>
      <c r="M3375">
        <v>1</v>
      </c>
      <c r="N3375">
        <v>1</v>
      </c>
      <c r="O3375">
        <v>394</v>
      </c>
      <c r="P3375">
        <v>151</v>
      </c>
      <c r="Q3375">
        <v>203</v>
      </c>
      <c r="R3375">
        <v>334</v>
      </c>
      <c r="S3375">
        <v>471</v>
      </c>
      <c r="T3375">
        <v>639</v>
      </c>
      <c r="U3375">
        <v>879</v>
      </c>
      <c r="V3375">
        <v>1126</v>
      </c>
      <c r="W3375">
        <v>1385</v>
      </c>
      <c r="X3375">
        <v>1658</v>
      </c>
      <c r="Y3375">
        <v>1945</v>
      </c>
      <c r="Z3375">
        <v>2248</v>
      </c>
      <c r="AA3375">
        <v>2568</v>
      </c>
      <c r="AB3375">
        <v>2906</v>
      </c>
      <c r="AC3375">
        <v>3268</v>
      </c>
      <c r="AD3375">
        <v>0</v>
      </c>
    </row>
    <row r="3376" spans="2:30" x14ac:dyDescent="0.25">
      <c r="B3376" t="s">
        <v>133</v>
      </c>
      <c r="C3376" t="s">
        <v>3263</v>
      </c>
      <c r="D3376" t="s">
        <v>3273</v>
      </c>
      <c r="E3376" t="s">
        <v>3274</v>
      </c>
      <c r="F3376" t="s">
        <v>9087</v>
      </c>
      <c r="G3376" t="s">
        <v>5933</v>
      </c>
      <c r="H3376" t="s">
        <v>5969</v>
      </c>
      <c r="K3376">
        <v>0</v>
      </c>
      <c r="L3376">
        <v>0</v>
      </c>
      <c r="M3376">
        <v>0</v>
      </c>
      <c r="N3376">
        <v>0</v>
      </c>
      <c r="O3376">
        <v>36</v>
      </c>
      <c r="P3376">
        <v>13</v>
      </c>
      <c r="Q3376">
        <v>17</v>
      </c>
      <c r="R3376">
        <v>28</v>
      </c>
      <c r="S3376">
        <v>38</v>
      </c>
      <c r="T3376">
        <v>51</v>
      </c>
      <c r="U3376">
        <v>71</v>
      </c>
      <c r="V3376">
        <v>91</v>
      </c>
      <c r="W3376">
        <v>112</v>
      </c>
      <c r="X3376">
        <v>134</v>
      </c>
      <c r="Y3376">
        <v>157</v>
      </c>
      <c r="Z3376">
        <v>181</v>
      </c>
      <c r="AA3376">
        <v>206</v>
      </c>
      <c r="AB3376">
        <v>233</v>
      </c>
      <c r="AC3376">
        <v>262</v>
      </c>
      <c r="AD3376">
        <v>0</v>
      </c>
    </row>
    <row r="3377" spans="2:30" x14ac:dyDescent="0.25">
      <c r="B3377" t="s">
        <v>133</v>
      </c>
      <c r="C3377" t="s">
        <v>3263</v>
      </c>
      <c r="D3377" t="s">
        <v>5972</v>
      </c>
      <c r="E3377" t="s">
        <v>5973</v>
      </c>
      <c r="F3377" t="s">
        <v>9088</v>
      </c>
      <c r="G3377" t="s">
        <v>5933</v>
      </c>
      <c r="H3377" t="s">
        <v>5975</v>
      </c>
      <c r="K3377">
        <v>0</v>
      </c>
      <c r="L3377">
        <v>51</v>
      </c>
      <c r="M3377">
        <v>50</v>
      </c>
      <c r="N3377">
        <v>49</v>
      </c>
      <c r="O3377">
        <v>18301</v>
      </c>
      <c r="P3377">
        <v>6883</v>
      </c>
      <c r="Q3377">
        <v>9199</v>
      </c>
      <c r="R3377">
        <v>14997</v>
      </c>
      <c r="S3377">
        <v>20905</v>
      </c>
      <c r="T3377">
        <v>28399</v>
      </c>
      <c r="U3377">
        <v>39082</v>
      </c>
      <c r="V3377">
        <v>50119</v>
      </c>
      <c r="W3377">
        <v>61658</v>
      </c>
      <c r="X3377">
        <v>73758</v>
      </c>
      <c r="Y3377">
        <v>86491</v>
      </c>
      <c r="Z3377">
        <v>99919</v>
      </c>
      <c r="AA3377">
        <v>114102</v>
      </c>
      <c r="AB3377">
        <v>129043</v>
      </c>
      <c r="AC3377">
        <v>145024</v>
      </c>
      <c r="AD3377">
        <v>0</v>
      </c>
    </row>
    <row r="3378" spans="2:30" x14ac:dyDescent="0.25">
      <c r="B3378" t="s">
        <v>133</v>
      </c>
      <c r="C3378" t="s">
        <v>3263</v>
      </c>
      <c r="D3378" t="s">
        <v>5976</v>
      </c>
      <c r="E3378" t="s">
        <v>5977</v>
      </c>
      <c r="F3378" t="s">
        <v>9089</v>
      </c>
      <c r="G3378" t="s">
        <v>5933</v>
      </c>
      <c r="H3378" t="s">
        <v>5979</v>
      </c>
      <c r="K3378">
        <v>0</v>
      </c>
      <c r="L3378">
        <v>2</v>
      </c>
      <c r="M3378">
        <v>2</v>
      </c>
      <c r="N3378">
        <v>2</v>
      </c>
      <c r="O3378">
        <v>795</v>
      </c>
      <c r="P3378">
        <v>409</v>
      </c>
      <c r="Q3378">
        <v>555</v>
      </c>
      <c r="R3378">
        <v>937</v>
      </c>
      <c r="S3378">
        <v>1360</v>
      </c>
      <c r="T3378">
        <v>1820</v>
      </c>
      <c r="U3378">
        <v>2455</v>
      </c>
      <c r="V3378">
        <v>3126</v>
      </c>
      <c r="W3378">
        <v>3842</v>
      </c>
      <c r="X3378">
        <v>4608</v>
      </c>
      <c r="Y3378">
        <v>5427</v>
      </c>
      <c r="Z3378">
        <v>6304</v>
      </c>
      <c r="AA3378">
        <v>7242</v>
      </c>
      <c r="AB3378">
        <v>8242</v>
      </c>
      <c r="AC3378">
        <v>9323</v>
      </c>
      <c r="AD3378">
        <v>0</v>
      </c>
    </row>
    <row r="3379" spans="2:30" x14ac:dyDescent="0.25">
      <c r="B3379" t="s">
        <v>133</v>
      </c>
      <c r="C3379" t="s">
        <v>3263</v>
      </c>
      <c r="D3379" t="s">
        <v>3286</v>
      </c>
      <c r="E3379" t="s">
        <v>3287</v>
      </c>
      <c r="F3379" t="s">
        <v>9090</v>
      </c>
      <c r="G3379" t="s">
        <v>5933</v>
      </c>
      <c r="H3379" t="s">
        <v>5981</v>
      </c>
      <c r="K3379">
        <v>64271.06</v>
      </c>
      <c r="L3379">
        <v>64979.96</v>
      </c>
      <c r="M3379">
        <v>68421.149999999994</v>
      </c>
      <c r="N3379">
        <v>71670.740000000005</v>
      </c>
      <c r="O3379">
        <v>72909.149999999994</v>
      </c>
      <c r="P3379">
        <v>74388.63</v>
      </c>
      <c r="Q3379">
        <v>76016.42</v>
      </c>
      <c r="R3379">
        <v>77603.44</v>
      </c>
      <c r="S3379">
        <v>79239.92</v>
      </c>
      <c r="T3379">
        <v>80986.69</v>
      </c>
      <c r="U3379">
        <v>82813.039999999994</v>
      </c>
      <c r="V3379">
        <v>84720.65</v>
      </c>
      <c r="W3379">
        <v>86706.47</v>
      </c>
      <c r="X3379">
        <v>88769.93</v>
      </c>
      <c r="Y3379">
        <v>90911.14</v>
      </c>
      <c r="Z3379">
        <v>93138.28</v>
      </c>
      <c r="AA3379">
        <v>95450.880000000005</v>
      </c>
      <c r="AB3379">
        <v>97853.2</v>
      </c>
      <c r="AC3379">
        <v>100344.64</v>
      </c>
      <c r="AD3379">
        <v>0</v>
      </c>
    </row>
    <row r="3380" spans="2:30" x14ac:dyDescent="0.25">
      <c r="B3380" t="s">
        <v>133</v>
      </c>
      <c r="C3380" t="s">
        <v>3263</v>
      </c>
      <c r="D3380" t="s">
        <v>5982</v>
      </c>
      <c r="E3380" t="s">
        <v>5983</v>
      </c>
      <c r="F3380" t="s">
        <v>9091</v>
      </c>
      <c r="G3380" t="s">
        <v>5933</v>
      </c>
      <c r="H3380" t="s">
        <v>5985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  <c r="W3380" t="e">
        <v>#N/A</v>
      </c>
      <c r="X3380" t="e">
        <v>#N/A</v>
      </c>
      <c r="Y3380" t="e">
        <v>#N/A</v>
      </c>
      <c r="Z3380" t="e">
        <v>#N/A</v>
      </c>
      <c r="AA3380" t="e">
        <v>#N/A</v>
      </c>
      <c r="AB3380" t="e">
        <v>#N/A</v>
      </c>
      <c r="AC3380" t="e">
        <v>#N/A</v>
      </c>
      <c r="AD3380">
        <v>0</v>
      </c>
    </row>
    <row r="3381" spans="2:30" x14ac:dyDescent="0.25">
      <c r="B3381" t="s">
        <v>133</v>
      </c>
      <c r="C3381" t="s">
        <v>3263</v>
      </c>
      <c r="D3381" t="s">
        <v>5986</v>
      </c>
      <c r="E3381" t="s">
        <v>5987</v>
      </c>
      <c r="F3381" t="s">
        <v>9092</v>
      </c>
      <c r="G3381" t="s">
        <v>5933</v>
      </c>
      <c r="H3381" t="s">
        <v>5985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  <c r="W3381" t="e">
        <v>#N/A</v>
      </c>
      <c r="X3381" t="e">
        <v>#N/A</v>
      </c>
      <c r="Y3381" t="e">
        <v>#N/A</v>
      </c>
      <c r="Z3381" t="e">
        <v>#N/A</v>
      </c>
      <c r="AA3381" t="e">
        <v>#N/A</v>
      </c>
      <c r="AB3381" t="e">
        <v>#N/A</v>
      </c>
      <c r="AC3381" t="e">
        <v>#N/A</v>
      </c>
      <c r="AD3381">
        <v>0</v>
      </c>
    </row>
    <row r="3382" spans="2:30" x14ac:dyDescent="0.25">
      <c r="B3382" t="s">
        <v>133</v>
      </c>
      <c r="C3382" t="s">
        <v>3263</v>
      </c>
      <c r="D3382" t="s">
        <v>5989</v>
      </c>
      <c r="E3382" t="s">
        <v>5990</v>
      </c>
      <c r="F3382" t="s">
        <v>9093</v>
      </c>
      <c r="G3382" t="s">
        <v>5933</v>
      </c>
      <c r="H3382" t="s">
        <v>5985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  <c r="W3382" t="e">
        <v>#N/A</v>
      </c>
      <c r="X3382" t="e">
        <v>#N/A</v>
      </c>
      <c r="Y3382" t="e">
        <v>#N/A</v>
      </c>
      <c r="Z3382" t="e">
        <v>#N/A</v>
      </c>
      <c r="AA3382" t="e">
        <v>#N/A</v>
      </c>
      <c r="AB3382" t="e">
        <v>#N/A</v>
      </c>
      <c r="AC3382" t="e">
        <v>#N/A</v>
      </c>
      <c r="AD3382">
        <v>0</v>
      </c>
    </row>
    <row r="3383" spans="2:30" x14ac:dyDescent="0.25">
      <c r="B3383" t="s">
        <v>133</v>
      </c>
      <c r="C3383" t="s">
        <v>3263</v>
      </c>
      <c r="D3383" t="s">
        <v>5992</v>
      </c>
      <c r="E3383" t="s">
        <v>5993</v>
      </c>
      <c r="F3383" t="s">
        <v>9094</v>
      </c>
      <c r="G3383" t="s">
        <v>5933</v>
      </c>
      <c r="H3383" t="s">
        <v>5985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  <c r="W3383" t="e">
        <v>#N/A</v>
      </c>
      <c r="X3383" t="e">
        <v>#N/A</v>
      </c>
      <c r="Y3383" t="e">
        <v>#N/A</v>
      </c>
      <c r="Z3383" t="e">
        <v>#N/A</v>
      </c>
      <c r="AA3383" t="e">
        <v>#N/A</v>
      </c>
      <c r="AB3383" t="e">
        <v>#N/A</v>
      </c>
      <c r="AC3383" t="e">
        <v>#N/A</v>
      </c>
      <c r="AD3383">
        <v>0</v>
      </c>
    </row>
    <row r="3384" spans="2:30" x14ac:dyDescent="0.25">
      <c r="B3384" t="s">
        <v>133</v>
      </c>
      <c r="C3384" t="s">
        <v>3263</v>
      </c>
      <c r="D3384" t="s">
        <v>5995</v>
      </c>
      <c r="E3384" t="s">
        <v>5996</v>
      </c>
      <c r="F3384" t="s">
        <v>9095</v>
      </c>
      <c r="G3384" t="s">
        <v>5933</v>
      </c>
      <c r="H3384" t="s">
        <v>5985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  <c r="W3384" t="e">
        <v>#N/A</v>
      </c>
      <c r="X3384" t="e">
        <v>#N/A</v>
      </c>
      <c r="Y3384" t="e">
        <v>#N/A</v>
      </c>
      <c r="Z3384" t="e">
        <v>#N/A</v>
      </c>
      <c r="AA3384" t="e">
        <v>#N/A</v>
      </c>
      <c r="AB3384" t="e">
        <v>#N/A</v>
      </c>
      <c r="AC3384" t="e">
        <v>#N/A</v>
      </c>
      <c r="AD3384">
        <v>0</v>
      </c>
    </row>
    <row r="3385" spans="2:30" x14ac:dyDescent="0.25">
      <c r="B3385" t="s">
        <v>133</v>
      </c>
      <c r="C3385" t="s">
        <v>3263</v>
      </c>
      <c r="D3385" t="s">
        <v>5998</v>
      </c>
      <c r="E3385" t="s">
        <v>5999</v>
      </c>
      <c r="F3385" t="s">
        <v>9096</v>
      </c>
      <c r="G3385" t="s">
        <v>5933</v>
      </c>
      <c r="H3385" t="s">
        <v>5985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  <c r="W3385" t="e">
        <v>#N/A</v>
      </c>
      <c r="X3385" t="e">
        <v>#N/A</v>
      </c>
      <c r="Y3385" t="e">
        <v>#N/A</v>
      </c>
      <c r="Z3385" t="e">
        <v>#N/A</v>
      </c>
      <c r="AA3385" t="e">
        <v>#N/A</v>
      </c>
      <c r="AB3385" t="e">
        <v>#N/A</v>
      </c>
      <c r="AC3385" t="e">
        <v>#N/A</v>
      </c>
      <c r="AD3385">
        <v>0</v>
      </c>
    </row>
    <row r="3386" spans="2:30" x14ac:dyDescent="0.25">
      <c r="B3386" t="s">
        <v>133</v>
      </c>
      <c r="C3386" t="s">
        <v>3263</v>
      </c>
      <c r="D3386" t="s">
        <v>6001</v>
      </c>
      <c r="E3386" t="s">
        <v>6002</v>
      </c>
      <c r="F3386" t="s">
        <v>9097</v>
      </c>
      <c r="G3386" t="s">
        <v>5933</v>
      </c>
      <c r="H3386" t="s">
        <v>5985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  <c r="W3386" t="e">
        <v>#N/A</v>
      </c>
      <c r="X3386" t="e">
        <v>#N/A</v>
      </c>
      <c r="Y3386" t="e">
        <v>#N/A</v>
      </c>
      <c r="Z3386" t="e">
        <v>#N/A</v>
      </c>
      <c r="AA3386" t="e">
        <v>#N/A</v>
      </c>
      <c r="AB3386" t="e">
        <v>#N/A</v>
      </c>
      <c r="AC3386" t="e">
        <v>#N/A</v>
      </c>
      <c r="AD3386">
        <v>0</v>
      </c>
    </row>
    <row r="3387" spans="2:30" x14ac:dyDescent="0.25">
      <c r="B3387" t="s">
        <v>133</v>
      </c>
      <c r="C3387" t="s">
        <v>3263</v>
      </c>
      <c r="D3387" t="s">
        <v>6004</v>
      </c>
      <c r="E3387" t="s">
        <v>6005</v>
      </c>
      <c r="F3387" t="s">
        <v>9098</v>
      </c>
      <c r="G3387" t="s">
        <v>5933</v>
      </c>
      <c r="H3387" t="s">
        <v>5985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  <c r="W3387" t="e">
        <v>#N/A</v>
      </c>
      <c r="X3387" t="e">
        <v>#N/A</v>
      </c>
      <c r="Y3387" t="e">
        <v>#N/A</v>
      </c>
      <c r="Z3387" t="e">
        <v>#N/A</v>
      </c>
      <c r="AA3387" t="e">
        <v>#N/A</v>
      </c>
      <c r="AB3387" t="e">
        <v>#N/A</v>
      </c>
      <c r="AC3387" t="e">
        <v>#N/A</v>
      </c>
      <c r="AD3387">
        <v>0</v>
      </c>
    </row>
    <row r="3388" spans="2:30" x14ac:dyDescent="0.25">
      <c r="B3388" t="s">
        <v>133</v>
      </c>
      <c r="C3388" t="s">
        <v>3263</v>
      </c>
      <c r="D3388" t="s">
        <v>6007</v>
      </c>
      <c r="E3388" t="s">
        <v>6008</v>
      </c>
      <c r="F3388" t="s">
        <v>9099</v>
      </c>
      <c r="G3388" t="s">
        <v>5933</v>
      </c>
      <c r="H3388" t="s">
        <v>6010</v>
      </c>
      <c r="I3388" t="s">
        <v>6011</v>
      </c>
      <c r="K3388">
        <v>1.01</v>
      </c>
      <c r="L3388">
        <v>1.05</v>
      </c>
      <c r="M3388">
        <v>1.1000000000000001</v>
      </c>
      <c r="N3388">
        <v>1.18</v>
      </c>
      <c r="O3388">
        <v>1.24</v>
      </c>
      <c r="P3388">
        <v>1.3</v>
      </c>
      <c r="Q3388">
        <v>1.38</v>
      </c>
      <c r="R3388">
        <v>1.46</v>
      </c>
      <c r="S3388">
        <v>1.54</v>
      </c>
      <c r="T3388">
        <v>1.63</v>
      </c>
      <c r="U3388">
        <v>1.72</v>
      </c>
      <c r="V3388">
        <v>1.81</v>
      </c>
      <c r="W3388">
        <v>1.91</v>
      </c>
      <c r="X3388">
        <v>2.0099999999999998</v>
      </c>
      <c r="Y3388">
        <v>2.12</v>
      </c>
      <c r="Z3388">
        <v>2.2400000000000002</v>
      </c>
      <c r="AA3388">
        <v>2.36</v>
      </c>
      <c r="AB3388">
        <v>2.4900000000000002</v>
      </c>
      <c r="AC3388">
        <v>2.63</v>
      </c>
      <c r="AD3388">
        <v>0</v>
      </c>
    </row>
    <row r="3389" spans="2:30" x14ac:dyDescent="0.25">
      <c r="B3389" t="s">
        <v>133</v>
      </c>
      <c r="C3389" t="s">
        <v>3263</v>
      </c>
      <c r="D3389" t="s">
        <v>6012</v>
      </c>
      <c r="E3389" t="s">
        <v>6013</v>
      </c>
      <c r="F3389" t="s">
        <v>9100</v>
      </c>
      <c r="G3389" t="s">
        <v>5933</v>
      </c>
      <c r="H3389" t="s">
        <v>6010</v>
      </c>
      <c r="I3389" t="s">
        <v>6011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-0.01</v>
      </c>
      <c r="V3389">
        <v>-0.01</v>
      </c>
      <c r="W3389">
        <v>-0.01</v>
      </c>
      <c r="X3389">
        <v>-0.01</v>
      </c>
      <c r="Y3389">
        <v>-0.01</v>
      </c>
      <c r="Z3389">
        <v>-0.02</v>
      </c>
      <c r="AA3389">
        <v>-0.02</v>
      </c>
      <c r="AB3389">
        <v>-0.02</v>
      </c>
      <c r="AC3389">
        <v>-0.03</v>
      </c>
      <c r="AD3389">
        <v>0</v>
      </c>
    </row>
    <row r="3390" spans="2:30" x14ac:dyDescent="0.25">
      <c r="B3390" t="s">
        <v>133</v>
      </c>
      <c r="C3390" t="s">
        <v>3263</v>
      </c>
      <c r="D3390" t="s">
        <v>6015</v>
      </c>
      <c r="E3390" t="s">
        <v>6016</v>
      </c>
      <c r="F3390" t="s">
        <v>9101</v>
      </c>
      <c r="G3390" t="s">
        <v>3890</v>
      </c>
      <c r="H3390" t="s">
        <v>6018</v>
      </c>
      <c r="I3390" t="s">
        <v>4267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</row>
    <row r="3391" spans="2:30" x14ac:dyDescent="0.25">
      <c r="B3391" t="s">
        <v>133</v>
      </c>
      <c r="C3391" t="s">
        <v>3263</v>
      </c>
      <c r="D3391" t="s">
        <v>6019</v>
      </c>
      <c r="E3391" t="s">
        <v>6020</v>
      </c>
      <c r="F3391" t="s">
        <v>9102</v>
      </c>
      <c r="G3391" t="s">
        <v>3890</v>
      </c>
      <c r="H3391" t="s">
        <v>6018</v>
      </c>
      <c r="I3391" t="s">
        <v>4267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</row>
    <row r="3392" spans="2:30" x14ac:dyDescent="0.25">
      <c r="B3392" t="s">
        <v>133</v>
      </c>
      <c r="C3392" t="s">
        <v>3263</v>
      </c>
      <c r="D3392" t="s">
        <v>6022</v>
      </c>
      <c r="E3392" t="s">
        <v>6023</v>
      </c>
      <c r="F3392" t="s">
        <v>9103</v>
      </c>
      <c r="G3392" t="s">
        <v>3890</v>
      </c>
      <c r="H3392" t="s">
        <v>6018</v>
      </c>
      <c r="I3392" t="s">
        <v>4267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  <c r="W3392" t="e">
        <v>#N/A</v>
      </c>
      <c r="X3392" t="e">
        <v>#N/A</v>
      </c>
      <c r="Y3392" t="e">
        <v>#N/A</v>
      </c>
      <c r="Z3392" t="e">
        <v>#N/A</v>
      </c>
      <c r="AA3392" t="e">
        <v>#N/A</v>
      </c>
      <c r="AB3392" t="e">
        <v>#N/A</v>
      </c>
      <c r="AC3392" t="e">
        <v>#N/A</v>
      </c>
      <c r="AD3392" t="e">
        <v>#N/A</v>
      </c>
    </row>
    <row r="3393" spans="2:30" x14ac:dyDescent="0.25">
      <c r="B3393" t="s">
        <v>133</v>
      </c>
      <c r="C3393" t="s">
        <v>3263</v>
      </c>
      <c r="D3393" t="s">
        <v>6025</v>
      </c>
      <c r="E3393" t="s">
        <v>6026</v>
      </c>
      <c r="F3393" t="s">
        <v>9104</v>
      </c>
      <c r="G3393" t="s">
        <v>3890</v>
      </c>
      <c r="H3393" t="s">
        <v>6018</v>
      </c>
      <c r="I3393" t="s">
        <v>4267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  <c r="W3393" t="e">
        <v>#N/A</v>
      </c>
      <c r="X3393" t="e">
        <v>#N/A</v>
      </c>
      <c r="Y3393" t="e">
        <v>#N/A</v>
      </c>
      <c r="Z3393" t="e">
        <v>#N/A</v>
      </c>
      <c r="AA3393" t="e">
        <v>#N/A</v>
      </c>
      <c r="AB3393" t="e">
        <v>#N/A</v>
      </c>
      <c r="AC3393" t="e">
        <v>#N/A</v>
      </c>
      <c r="AD3393" t="e">
        <v>#N/A</v>
      </c>
    </row>
    <row r="3394" spans="2:30" x14ac:dyDescent="0.25">
      <c r="B3394" t="s">
        <v>133</v>
      </c>
      <c r="C3394" t="s">
        <v>3263</v>
      </c>
      <c r="D3394" t="s">
        <v>6028</v>
      </c>
      <c r="E3394" t="s">
        <v>6029</v>
      </c>
      <c r="F3394" t="s">
        <v>9105</v>
      </c>
      <c r="G3394" t="s">
        <v>3890</v>
      </c>
      <c r="H3394" t="s">
        <v>6018</v>
      </c>
      <c r="I3394" t="s">
        <v>4267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</row>
    <row r="3395" spans="2:30" x14ac:dyDescent="0.25">
      <c r="B3395" t="s">
        <v>133</v>
      </c>
      <c r="C3395" t="s">
        <v>3263</v>
      </c>
      <c r="D3395" t="s">
        <v>6031</v>
      </c>
      <c r="E3395" t="s">
        <v>6032</v>
      </c>
      <c r="F3395" t="s">
        <v>9106</v>
      </c>
      <c r="G3395" t="s">
        <v>3890</v>
      </c>
      <c r="H3395" t="s">
        <v>6018</v>
      </c>
      <c r="I3395" t="s">
        <v>4267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  <c r="W3395" t="e">
        <v>#N/A</v>
      </c>
      <c r="X3395" t="e">
        <v>#N/A</v>
      </c>
      <c r="Y3395" t="e">
        <v>#N/A</v>
      </c>
      <c r="Z3395" t="e">
        <v>#N/A</v>
      </c>
      <c r="AA3395" t="e">
        <v>#N/A</v>
      </c>
      <c r="AB3395" t="e">
        <v>#N/A</v>
      </c>
      <c r="AC3395" t="e">
        <v>#N/A</v>
      </c>
      <c r="AD3395" t="e">
        <v>#N/A</v>
      </c>
    </row>
    <row r="3396" spans="2:30" x14ac:dyDescent="0.25">
      <c r="B3396" t="s">
        <v>133</v>
      </c>
      <c r="C3396" t="s">
        <v>3263</v>
      </c>
      <c r="D3396" t="s">
        <v>6034</v>
      </c>
      <c r="E3396" t="s">
        <v>6035</v>
      </c>
      <c r="F3396" t="s">
        <v>9107</v>
      </c>
      <c r="G3396" t="s">
        <v>3890</v>
      </c>
      <c r="H3396" t="s">
        <v>6018</v>
      </c>
      <c r="I3396" t="s">
        <v>6037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  <c r="W3396" t="e">
        <v>#N/A</v>
      </c>
      <c r="X3396" t="e">
        <v>#N/A</v>
      </c>
      <c r="Y3396" t="e">
        <v>#N/A</v>
      </c>
      <c r="Z3396" t="e">
        <v>#N/A</v>
      </c>
      <c r="AA3396" t="e">
        <v>#N/A</v>
      </c>
      <c r="AB3396" t="e">
        <v>#N/A</v>
      </c>
      <c r="AC3396" t="e">
        <v>#N/A</v>
      </c>
      <c r="AD3396" t="e">
        <v>#N/A</v>
      </c>
    </row>
    <row r="3397" spans="2:30" x14ac:dyDescent="0.25">
      <c r="B3397" t="s">
        <v>133</v>
      </c>
      <c r="C3397" t="s">
        <v>3263</v>
      </c>
      <c r="D3397" t="s">
        <v>6038</v>
      </c>
      <c r="E3397" t="s">
        <v>6039</v>
      </c>
      <c r="F3397" t="s">
        <v>9108</v>
      </c>
      <c r="G3397" t="s">
        <v>3890</v>
      </c>
      <c r="H3397" t="s">
        <v>6018</v>
      </c>
      <c r="I3397" t="s">
        <v>6037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  <c r="W3397" t="e">
        <v>#N/A</v>
      </c>
      <c r="X3397" t="e">
        <v>#N/A</v>
      </c>
      <c r="Y3397" t="e">
        <v>#N/A</v>
      </c>
      <c r="Z3397" t="e">
        <v>#N/A</v>
      </c>
      <c r="AA3397" t="e">
        <v>#N/A</v>
      </c>
      <c r="AB3397" t="e">
        <v>#N/A</v>
      </c>
      <c r="AC3397" t="e">
        <v>#N/A</v>
      </c>
      <c r="AD3397" t="e">
        <v>#N/A</v>
      </c>
    </row>
    <row r="3398" spans="2:30" x14ac:dyDescent="0.25">
      <c r="B3398" t="s">
        <v>133</v>
      </c>
      <c r="C3398" t="s">
        <v>3263</v>
      </c>
      <c r="D3398" t="s">
        <v>6041</v>
      </c>
      <c r="E3398" t="s">
        <v>6042</v>
      </c>
      <c r="F3398" t="s">
        <v>9109</v>
      </c>
      <c r="G3398" t="s">
        <v>3890</v>
      </c>
      <c r="H3398" t="s">
        <v>6018</v>
      </c>
      <c r="I3398" t="s">
        <v>6037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  <c r="W3398" t="e">
        <v>#N/A</v>
      </c>
      <c r="X3398" t="e">
        <v>#N/A</v>
      </c>
      <c r="Y3398" t="e">
        <v>#N/A</v>
      </c>
      <c r="Z3398" t="e">
        <v>#N/A</v>
      </c>
      <c r="AA3398" t="e">
        <v>#N/A</v>
      </c>
      <c r="AB3398" t="e">
        <v>#N/A</v>
      </c>
      <c r="AC3398" t="e">
        <v>#N/A</v>
      </c>
      <c r="AD3398" t="e">
        <v>#N/A</v>
      </c>
    </row>
    <row r="3399" spans="2:30" x14ac:dyDescent="0.25">
      <c r="B3399" t="s">
        <v>133</v>
      </c>
      <c r="C3399" t="s">
        <v>3263</v>
      </c>
      <c r="D3399" t="s">
        <v>6044</v>
      </c>
      <c r="E3399" t="s">
        <v>6045</v>
      </c>
      <c r="F3399" t="s">
        <v>9110</v>
      </c>
      <c r="G3399" t="s">
        <v>3890</v>
      </c>
      <c r="H3399" t="s">
        <v>6018</v>
      </c>
      <c r="I3399" t="s">
        <v>6037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  <c r="W3399" t="e">
        <v>#N/A</v>
      </c>
      <c r="X3399" t="e">
        <v>#N/A</v>
      </c>
      <c r="Y3399" t="e">
        <v>#N/A</v>
      </c>
      <c r="Z3399" t="e">
        <v>#N/A</v>
      </c>
      <c r="AA3399" t="e">
        <v>#N/A</v>
      </c>
      <c r="AB3399" t="e">
        <v>#N/A</v>
      </c>
      <c r="AC3399" t="e">
        <v>#N/A</v>
      </c>
      <c r="AD3399" t="e">
        <v>#N/A</v>
      </c>
    </row>
    <row r="3400" spans="2:30" x14ac:dyDescent="0.25">
      <c r="B3400" t="s">
        <v>133</v>
      </c>
      <c r="C3400" t="s">
        <v>3263</v>
      </c>
      <c r="D3400" t="s">
        <v>6047</v>
      </c>
      <c r="E3400" t="s">
        <v>6048</v>
      </c>
      <c r="F3400" t="s">
        <v>9111</v>
      </c>
      <c r="G3400" t="s">
        <v>5933</v>
      </c>
      <c r="H3400" t="s">
        <v>6050</v>
      </c>
      <c r="I3400" t="s">
        <v>6051</v>
      </c>
      <c r="K3400">
        <v>0</v>
      </c>
      <c r="L3400">
        <v>1.6E-2</v>
      </c>
      <c r="M3400">
        <v>1.4999999999999999E-2</v>
      </c>
      <c r="N3400">
        <v>1.4999999999999999E-2</v>
      </c>
      <c r="O3400">
        <v>5.6520000000000001</v>
      </c>
      <c r="P3400">
        <v>2.1019999999999999</v>
      </c>
      <c r="Q3400">
        <v>2.835</v>
      </c>
      <c r="R3400">
        <v>4.782</v>
      </c>
      <c r="S3400">
        <v>6.8280000000000003</v>
      </c>
      <c r="T3400">
        <v>9.4550000000000001</v>
      </c>
      <c r="U3400">
        <v>13.307</v>
      </c>
      <c r="V3400">
        <v>17.425000000000001</v>
      </c>
      <c r="W3400">
        <v>21.863</v>
      </c>
      <c r="X3400">
        <v>26.635999999999999</v>
      </c>
      <c r="Y3400">
        <v>31.782</v>
      </c>
      <c r="Z3400">
        <v>37.326999999999998</v>
      </c>
      <c r="AA3400">
        <v>43.356000000000002</v>
      </c>
      <c r="AB3400">
        <v>49.811999999999998</v>
      </c>
      <c r="AC3400">
        <v>56.84</v>
      </c>
      <c r="AD3400">
        <v>0</v>
      </c>
    </row>
    <row r="3401" spans="2:30" x14ac:dyDescent="0.25">
      <c r="B3401" t="s">
        <v>133</v>
      </c>
      <c r="C3401" t="s">
        <v>3263</v>
      </c>
      <c r="D3401" t="s">
        <v>6052</v>
      </c>
      <c r="E3401" t="s">
        <v>6053</v>
      </c>
      <c r="F3401" t="s">
        <v>9112</v>
      </c>
      <c r="G3401" t="s">
        <v>5933</v>
      </c>
      <c r="H3401" t="s">
        <v>6050</v>
      </c>
      <c r="I3401" t="s">
        <v>6051</v>
      </c>
      <c r="K3401">
        <v>0</v>
      </c>
      <c r="L3401">
        <v>3.0000000000000001E-3</v>
      </c>
      <c r="M3401">
        <v>2E-3</v>
      </c>
      <c r="N3401">
        <v>2E-3</v>
      </c>
      <c r="O3401">
        <v>0.91100000000000003</v>
      </c>
      <c r="P3401">
        <v>0.33900000000000002</v>
      </c>
      <c r="Q3401">
        <v>0.45700000000000002</v>
      </c>
      <c r="R3401">
        <v>0.77</v>
      </c>
      <c r="S3401">
        <v>1.1000000000000001</v>
      </c>
      <c r="T3401">
        <v>1.5229999999999999</v>
      </c>
      <c r="U3401">
        <v>2.1440000000000001</v>
      </c>
      <c r="V3401">
        <v>2.8079999999999998</v>
      </c>
      <c r="W3401">
        <v>3.5230000000000001</v>
      </c>
      <c r="X3401">
        <v>4.2919999999999998</v>
      </c>
      <c r="Y3401">
        <v>5.1210000000000004</v>
      </c>
      <c r="Z3401">
        <v>6.0140000000000002</v>
      </c>
      <c r="AA3401">
        <v>6.9850000000000003</v>
      </c>
      <c r="AB3401">
        <v>8.0259999999999998</v>
      </c>
      <c r="AC3401">
        <v>9.1579999999999995</v>
      </c>
      <c r="AD3401">
        <v>0</v>
      </c>
    </row>
    <row r="3402" spans="2:30" x14ac:dyDescent="0.25">
      <c r="B3402" t="s">
        <v>133</v>
      </c>
      <c r="C3402" t="s">
        <v>3263</v>
      </c>
      <c r="D3402" t="s">
        <v>6055</v>
      </c>
      <c r="E3402" t="s">
        <v>6056</v>
      </c>
      <c r="F3402" t="s">
        <v>9113</v>
      </c>
      <c r="G3402" t="s">
        <v>5933</v>
      </c>
      <c r="H3402" t="s">
        <v>6050</v>
      </c>
      <c r="I3402" t="s">
        <v>6051</v>
      </c>
      <c r="K3402">
        <v>0</v>
      </c>
      <c r="L3402">
        <v>2.3E-2</v>
      </c>
      <c r="M3402">
        <v>2.1999999999999999E-2</v>
      </c>
      <c r="N3402">
        <v>2.1999999999999999E-2</v>
      </c>
      <c r="O3402">
        <v>8.2919999999999998</v>
      </c>
      <c r="P3402">
        <v>3.085</v>
      </c>
      <c r="Q3402">
        <v>4.1589999999999998</v>
      </c>
      <c r="R3402">
        <v>7.016</v>
      </c>
      <c r="S3402">
        <v>10.018000000000001</v>
      </c>
      <c r="T3402">
        <v>13.871</v>
      </c>
      <c r="U3402">
        <v>19.524000000000001</v>
      </c>
      <c r="V3402">
        <v>25.565000000000001</v>
      </c>
      <c r="W3402">
        <v>32.076000000000001</v>
      </c>
      <c r="X3402">
        <v>39.079000000000001</v>
      </c>
      <c r="Y3402">
        <v>46.628999999999998</v>
      </c>
      <c r="Z3402">
        <v>54.764000000000003</v>
      </c>
      <c r="AA3402">
        <v>63.609000000000002</v>
      </c>
      <c r="AB3402">
        <v>73.081000000000003</v>
      </c>
      <c r="AC3402">
        <v>83.393000000000001</v>
      </c>
      <c r="AD3402">
        <v>0</v>
      </c>
    </row>
    <row r="3403" spans="2:30" x14ac:dyDescent="0.25">
      <c r="B3403" t="s">
        <v>133</v>
      </c>
      <c r="C3403" t="s">
        <v>3263</v>
      </c>
      <c r="D3403" t="s">
        <v>6058</v>
      </c>
      <c r="E3403" t="s">
        <v>6059</v>
      </c>
      <c r="F3403" t="s">
        <v>9114</v>
      </c>
      <c r="G3403" t="s">
        <v>5933</v>
      </c>
      <c r="H3403" t="s">
        <v>6050</v>
      </c>
      <c r="I3403" t="s">
        <v>6051</v>
      </c>
      <c r="K3403">
        <v>0</v>
      </c>
      <c r="L3403">
        <v>1E-3</v>
      </c>
      <c r="M3403">
        <v>1E-3</v>
      </c>
      <c r="N3403">
        <v>1E-3</v>
      </c>
      <c r="O3403">
        <v>0.32200000000000001</v>
      </c>
      <c r="P3403">
        <v>0.12</v>
      </c>
      <c r="Q3403">
        <v>0.16200000000000001</v>
      </c>
      <c r="R3403">
        <v>0.27200000000000002</v>
      </c>
      <c r="S3403">
        <v>0.38900000000000001</v>
      </c>
      <c r="T3403">
        <v>0.53900000000000003</v>
      </c>
      <c r="U3403">
        <v>0.75800000000000001</v>
      </c>
      <c r="V3403">
        <v>0.99299999999999999</v>
      </c>
      <c r="W3403">
        <v>1.246</v>
      </c>
      <c r="X3403">
        <v>1.518</v>
      </c>
      <c r="Y3403">
        <v>1.8109999999999999</v>
      </c>
      <c r="Z3403">
        <v>2.1269999999999998</v>
      </c>
      <c r="AA3403">
        <v>2.4700000000000002</v>
      </c>
      <c r="AB3403">
        <v>2.8380000000000001</v>
      </c>
      <c r="AC3403">
        <v>3.238</v>
      </c>
      <c r="AD3403">
        <v>0</v>
      </c>
    </row>
    <row r="3404" spans="2:30" x14ac:dyDescent="0.25">
      <c r="B3404" t="s">
        <v>133</v>
      </c>
      <c r="C3404" t="s">
        <v>3263</v>
      </c>
      <c r="D3404" t="s">
        <v>6061</v>
      </c>
      <c r="E3404" t="s">
        <v>6062</v>
      </c>
      <c r="F3404" t="s">
        <v>9115</v>
      </c>
      <c r="G3404" t="s">
        <v>5933</v>
      </c>
      <c r="H3404" t="s">
        <v>6064</v>
      </c>
      <c r="I3404" t="s">
        <v>6065</v>
      </c>
      <c r="J3404">
        <v>1</v>
      </c>
      <c r="K3404">
        <v>4.2999999999999997E-2</v>
      </c>
      <c r="L3404">
        <v>4.36E-2</v>
      </c>
      <c r="M3404">
        <v>4.4400000000000002E-2</v>
      </c>
      <c r="N3404">
        <v>4.48E-2</v>
      </c>
      <c r="O3404">
        <v>4.53E-2</v>
      </c>
      <c r="P3404">
        <v>4.58E-2</v>
      </c>
      <c r="Q3404">
        <v>4.6199999999999998E-2</v>
      </c>
      <c r="R3404">
        <v>4.6699999999999998E-2</v>
      </c>
      <c r="S3404">
        <v>4.7E-2</v>
      </c>
      <c r="T3404">
        <v>4.7399999999999998E-2</v>
      </c>
      <c r="U3404">
        <v>4.7699999999999999E-2</v>
      </c>
      <c r="V3404">
        <v>4.8099999999999997E-2</v>
      </c>
      <c r="W3404">
        <v>4.8399999999999999E-2</v>
      </c>
      <c r="X3404">
        <v>4.87E-2</v>
      </c>
      <c r="Y3404">
        <v>4.9000000000000002E-2</v>
      </c>
      <c r="Z3404">
        <v>4.9200000000000001E-2</v>
      </c>
      <c r="AA3404">
        <v>4.9500000000000002E-2</v>
      </c>
      <c r="AB3404">
        <v>4.9700000000000001E-2</v>
      </c>
      <c r="AC3404">
        <v>0.05</v>
      </c>
      <c r="AD3404">
        <v>0</v>
      </c>
    </row>
    <row r="3405" spans="2:30" x14ac:dyDescent="0.25">
      <c r="B3405" t="s">
        <v>133</v>
      </c>
      <c r="C3405" t="s">
        <v>3263</v>
      </c>
      <c r="D3405" t="s">
        <v>6066</v>
      </c>
      <c r="E3405" t="s">
        <v>6067</v>
      </c>
      <c r="F3405" t="s">
        <v>9116</v>
      </c>
      <c r="G3405" t="s">
        <v>5933</v>
      </c>
      <c r="H3405" t="s">
        <v>6064</v>
      </c>
      <c r="I3405" t="s">
        <v>6065</v>
      </c>
      <c r="J3405">
        <v>1</v>
      </c>
      <c r="K3405">
        <v>2.7099999999999999E-2</v>
      </c>
      <c r="L3405">
        <v>2.75E-2</v>
      </c>
      <c r="M3405">
        <v>2.81E-2</v>
      </c>
      <c r="N3405">
        <v>2.8299999999999999E-2</v>
      </c>
      <c r="O3405">
        <v>2.87E-2</v>
      </c>
      <c r="P3405">
        <v>2.9000000000000001E-2</v>
      </c>
      <c r="Q3405">
        <v>2.93E-2</v>
      </c>
      <c r="R3405">
        <v>2.9600000000000001E-2</v>
      </c>
      <c r="S3405">
        <v>2.9899999999999999E-2</v>
      </c>
      <c r="T3405">
        <v>3.0200000000000001E-2</v>
      </c>
      <c r="U3405">
        <v>3.04E-2</v>
      </c>
      <c r="V3405">
        <v>3.0700000000000002E-2</v>
      </c>
      <c r="W3405">
        <v>3.09E-2</v>
      </c>
      <c r="X3405">
        <v>3.1099999999999999E-2</v>
      </c>
      <c r="Y3405">
        <v>3.1300000000000001E-2</v>
      </c>
      <c r="Z3405">
        <v>3.1600000000000003E-2</v>
      </c>
      <c r="AA3405">
        <v>3.1800000000000002E-2</v>
      </c>
      <c r="AB3405">
        <v>3.2000000000000001E-2</v>
      </c>
      <c r="AC3405">
        <v>3.2000000000000001E-2</v>
      </c>
      <c r="AD3405">
        <v>0</v>
      </c>
    </row>
    <row r="3406" spans="2:30" x14ac:dyDescent="0.25">
      <c r="B3406" t="s">
        <v>133</v>
      </c>
      <c r="C3406" t="s">
        <v>3263</v>
      </c>
      <c r="D3406" t="s">
        <v>6069</v>
      </c>
      <c r="E3406" t="s">
        <v>6070</v>
      </c>
      <c r="F3406" t="s">
        <v>9117</v>
      </c>
      <c r="G3406" t="s">
        <v>5933</v>
      </c>
      <c r="H3406" t="s">
        <v>6064</v>
      </c>
      <c r="I3406" t="s">
        <v>6065</v>
      </c>
      <c r="J3406">
        <v>1</v>
      </c>
      <c r="K3406">
        <v>0.78849999999999998</v>
      </c>
      <c r="L3406">
        <v>0.79659999999999997</v>
      </c>
      <c r="M3406">
        <v>0.80979999999999996</v>
      </c>
      <c r="N3406">
        <v>0.8135</v>
      </c>
      <c r="O3406">
        <v>0.82020000000000004</v>
      </c>
      <c r="P3406">
        <v>0.82640000000000002</v>
      </c>
      <c r="Q3406">
        <v>0.83250000000000002</v>
      </c>
      <c r="R3406">
        <v>0.83720000000000006</v>
      </c>
      <c r="S3406">
        <v>0.84119999999999995</v>
      </c>
      <c r="T3406">
        <v>0.8448</v>
      </c>
      <c r="U3406">
        <v>0.84799999999999998</v>
      </c>
      <c r="V3406">
        <v>0.85089999999999999</v>
      </c>
      <c r="W3406">
        <v>0.85350000000000004</v>
      </c>
      <c r="X3406">
        <v>0.85580000000000001</v>
      </c>
      <c r="Y3406">
        <v>0.8579</v>
      </c>
      <c r="Z3406">
        <v>0.85970000000000002</v>
      </c>
      <c r="AA3406">
        <v>0.86119999999999997</v>
      </c>
      <c r="AB3406">
        <v>0.86229999999999996</v>
      </c>
      <c r="AC3406">
        <v>0.86319999999999997</v>
      </c>
      <c r="AD3406">
        <v>0</v>
      </c>
    </row>
    <row r="3407" spans="2:30" x14ac:dyDescent="0.25">
      <c r="B3407" t="s">
        <v>133</v>
      </c>
      <c r="C3407" t="s">
        <v>3263</v>
      </c>
      <c r="D3407" t="s">
        <v>6072</v>
      </c>
      <c r="E3407" t="s">
        <v>6073</v>
      </c>
      <c r="F3407" t="s">
        <v>9118</v>
      </c>
      <c r="G3407" t="s">
        <v>5933</v>
      </c>
      <c r="H3407" t="s">
        <v>6064</v>
      </c>
      <c r="I3407" t="s">
        <v>6065</v>
      </c>
      <c r="J3407">
        <v>1</v>
      </c>
      <c r="K3407">
        <v>7.6799999999999993E-2</v>
      </c>
      <c r="L3407">
        <v>7.7299999999999994E-2</v>
      </c>
      <c r="M3407">
        <v>7.8299999999999995E-2</v>
      </c>
      <c r="N3407">
        <v>7.8299999999999995E-2</v>
      </c>
      <c r="O3407">
        <v>7.8600000000000003E-2</v>
      </c>
      <c r="P3407">
        <v>7.8899999999999998E-2</v>
      </c>
      <c r="Q3407">
        <v>7.9100000000000004E-2</v>
      </c>
      <c r="R3407">
        <v>7.9200000000000007E-2</v>
      </c>
      <c r="S3407">
        <v>7.9200000000000007E-2</v>
      </c>
      <c r="T3407">
        <v>7.9200000000000007E-2</v>
      </c>
      <c r="U3407">
        <v>7.9100000000000004E-2</v>
      </c>
      <c r="V3407">
        <v>7.9000000000000001E-2</v>
      </c>
      <c r="W3407">
        <v>7.8799999999999995E-2</v>
      </c>
      <c r="X3407">
        <v>7.8700000000000006E-2</v>
      </c>
      <c r="Y3407">
        <v>7.85E-2</v>
      </c>
      <c r="Z3407">
        <v>7.8200000000000006E-2</v>
      </c>
      <c r="AA3407">
        <v>7.7899999999999997E-2</v>
      </c>
      <c r="AB3407">
        <v>7.7600000000000002E-2</v>
      </c>
      <c r="AC3407">
        <v>7.7700000000000005E-2</v>
      </c>
      <c r="AD3407">
        <v>0</v>
      </c>
    </row>
    <row r="3408" spans="2:30" x14ac:dyDescent="0.25">
      <c r="B3408" t="s">
        <v>133</v>
      </c>
      <c r="C3408" t="s">
        <v>3263</v>
      </c>
      <c r="D3408" t="s">
        <v>6075</v>
      </c>
      <c r="E3408" t="s">
        <v>6076</v>
      </c>
      <c r="F3408" t="s">
        <v>9119</v>
      </c>
      <c r="G3408" t="s">
        <v>5933</v>
      </c>
      <c r="H3408" t="s">
        <v>6064</v>
      </c>
      <c r="I3408" t="s">
        <v>6065</v>
      </c>
      <c r="J3408">
        <v>1</v>
      </c>
      <c r="K3408">
        <v>0.25600000000000001</v>
      </c>
      <c r="L3408">
        <v>0.26019999999999999</v>
      </c>
      <c r="M3408">
        <v>0.26619999999999999</v>
      </c>
      <c r="N3408">
        <v>0.26910000000000001</v>
      </c>
      <c r="O3408">
        <v>0.27300000000000002</v>
      </c>
      <c r="P3408">
        <v>0.27679999999999999</v>
      </c>
      <c r="Q3408">
        <v>0.28060000000000002</v>
      </c>
      <c r="R3408">
        <v>0.28399999999999997</v>
      </c>
      <c r="S3408">
        <v>0.28720000000000001</v>
      </c>
      <c r="T3408">
        <v>0.2903</v>
      </c>
      <c r="U3408">
        <v>0.29330000000000001</v>
      </c>
      <c r="V3408">
        <v>0.29620000000000002</v>
      </c>
      <c r="W3408">
        <v>0.29909999999999998</v>
      </c>
      <c r="X3408">
        <v>0.3019</v>
      </c>
      <c r="Y3408">
        <v>0.30470000000000003</v>
      </c>
      <c r="Z3408">
        <v>0.30740000000000001</v>
      </c>
      <c r="AA3408">
        <v>0.31</v>
      </c>
      <c r="AB3408">
        <v>0.31259999999999999</v>
      </c>
      <c r="AC3408">
        <v>0.31630000000000003</v>
      </c>
      <c r="AD3408">
        <v>0</v>
      </c>
    </row>
    <row r="3409" spans="2:30" x14ac:dyDescent="0.25">
      <c r="B3409" t="s">
        <v>133</v>
      </c>
      <c r="C3409" t="s">
        <v>3263</v>
      </c>
      <c r="D3409" t="s">
        <v>6078</v>
      </c>
      <c r="E3409" t="s">
        <v>6079</v>
      </c>
      <c r="F3409" t="s">
        <v>9120</v>
      </c>
      <c r="G3409" t="s">
        <v>5933</v>
      </c>
      <c r="H3409" t="s">
        <v>6064</v>
      </c>
      <c r="I3409" t="s">
        <v>6065</v>
      </c>
      <c r="J3409">
        <v>1</v>
      </c>
      <c r="K3409">
        <v>5.3699999999999998E-2</v>
      </c>
      <c r="L3409">
        <v>5.4300000000000001E-2</v>
      </c>
      <c r="M3409">
        <v>5.5300000000000002E-2</v>
      </c>
      <c r="N3409">
        <v>5.5599999999999997E-2</v>
      </c>
      <c r="O3409">
        <v>5.62E-2</v>
      </c>
      <c r="P3409">
        <v>5.67E-2</v>
      </c>
      <c r="Q3409">
        <v>5.7200000000000001E-2</v>
      </c>
      <c r="R3409">
        <v>5.7599999999999998E-2</v>
      </c>
      <c r="S3409">
        <v>5.8000000000000003E-2</v>
      </c>
      <c r="T3409">
        <v>5.8400000000000001E-2</v>
      </c>
      <c r="U3409">
        <v>5.8700000000000002E-2</v>
      </c>
      <c r="V3409">
        <v>5.8999999999999997E-2</v>
      </c>
      <c r="W3409">
        <v>5.9299999999999999E-2</v>
      </c>
      <c r="X3409">
        <v>5.96E-2</v>
      </c>
      <c r="Y3409">
        <v>5.9799999999999999E-2</v>
      </c>
      <c r="Z3409">
        <v>6.0100000000000001E-2</v>
      </c>
      <c r="AA3409">
        <v>6.0299999999999999E-2</v>
      </c>
      <c r="AB3409">
        <v>6.0499999999999998E-2</v>
      </c>
      <c r="AC3409">
        <v>6.0699999999999997E-2</v>
      </c>
      <c r="AD3409">
        <v>0</v>
      </c>
    </row>
    <row r="3410" spans="2:30" x14ac:dyDescent="0.25">
      <c r="B3410" t="s">
        <v>133</v>
      </c>
      <c r="C3410" t="s">
        <v>3263</v>
      </c>
      <c r="D3410" t="s">
        <v>6081</v>
      </c>
      <c r="E3410" t="s">
        <v>6082</v>
      </c>
      <c r="F3410" t="s">
        <v>9121</v>
      </c>
      <c r="G3410" t="s">
        <v>5933</v>
      </c>
      <c r="H3410" t="s">
        <v>6064</v>
      </c>
      <c r="I3410" t="s">
        <v>6065</v>
      </c>
      <c r="J3410">
        <v>1</v>
      </c>
      <c r="K3410">
        <v>0.53769999999999996</v>
      </c>
      <c r="L3410">
        <v>0.54359999999999997</v>
      </c>
      <c r="M3410">
        <v>0.55289999999999995</v>
      </c>
      <c r="N3410">
        <v>0.55579999999999996</v>
      </c>
      <c r="O3410">
        <v>0.56069999999999998</v>
      </c>
      <c r="P3410">
        <v>0.56540000000000001</v>
      </c>
      <c r="Q3410">
        <v>0.56979999999999997</v>
      </c>
      <c r="R3410">
        <v>0.57340000000000002</v>
      </c>
      <c r="S3410">
        <v>0.5766</v>
      </c>
      <c r="T3410">
        <v>0.57940000000000003</v>
      </c>
      <c r="U3410">
        <v>0.58199999999999996</v>
      </c>
      <c r="V3410">
        <v>0.58440000000000003</v>
      </c>
      <c r="W3410">
        <v>0.58660000000000001</v>
      </c>
      <c r="X3410">
        <v>0.58860000000000001</v>
      </c>
      <c r="Y3410">
        <v>0.59050000000000002</v>
      </c>
      <c r="Z3410">
        <v>0.59209999999999996</v>
      </c>
      <c r="AA3410">
        <v>0.59360000000000002</v>
      </c>
      <c r="AB3410">
        <v>0.5948</v>
      </c>
      <c r="AC3410">
        <v>0.5958</v>
      </c>
      <c r="AD3410">
        <v>0</v>
      </c>
    </row>
    <row r="3411" spans="2:30" x14ac:dyDescent="0.25">
      <c r="B3411" t="s">
        <v>133</v>
      </c>
      <c r="C3411" t="s">
        <v>3263</v>
      </c>
      <c r="D3411" t="s">
        <v>6084</v>
      </c>
      <c r="E3411" t="s">
        <v>6085</v>
      </c>
      <c r="F3411" t="s">
        <v>9122</v>
      </c>
      <c r="G3411" t="s">
        <v>5933</v>
      </c>
      <c r="H3411" t="s">
        <v>6064</v>
      </c>
      <c r="I3411" t="s">
        <v>6065</v>
      </c>
      <c r="J3411">
        <v>1</v>
      </c>
      <c r="K3411">
        <v>6.4999999999999997E-3</v>
      </c>
      <c r="L3411">
        <v>6.6E-3</v>
      </c>
      <c r="M3411">
        <v>6.7999999999999996E-3</v>
      </c>
      <c r="N3411">
        <v>6.7999999999999996E-3</v>
      </c>
      <c r="O3411">
        <v>6.8999999999999999E-3</v>
      </c>
      <c r="P3411">
        <v>7.0000000000000001E-3</v>
      </c>
      <c r="Q3411">
        <v>7.1000000000000004E-3</v>
      </c>
      <c r="R3411">
        <v>7.1999999999999998E-3</v>
      </c>
      <c r="S3411">
        <v>7.3000000000000001E-3</v>
      </c>
      <c r="T3411">
        <v>7.4000000000000003E-3</v>
      </c>
      <c r="U3411">
        <v>7.4999999999999997E-3</v>
      </c>
      <c r="V3411">
        <v>7.4999999999999997E-3</v>
      </c>
      <c r="W3411">
        <v>7.6E-3</v>
      </c>
      <c r="X3411">
        <v>7.7000000000000002E-3</v>
      </c>
      <c r="Y3411">
        <v>7.7999999999999996E-3</v>
      </c>
      <c r="Z3411">
        <v>7.7999999999999996E-3</v>
      </c>
      <c r="AA3411">
        <v>7.9000000000000008E-3</v>
      </c>
      <c r="AB3411">
        <v>8.0000000000000002E-3</v>
      </c>
      <c r="AC3411">
        <v>8.0000000000000002E-3</v>
      </c>
      <c r="AD3411">
        <v>0</v>
      </c>
    </row>
    <row r="3412" spans="2:30" x14ac:dyDescent="0.25">
      <c r="B3412" t="s">
        <v>133</v>
      </c>
      <c r="C3412" t="s">
        <v>3263</v>
      </c>
      <c r="D3412" t="s">
        <v>6087</v>
      </c>
      <c r="E3412" t="s">
        <v>6088</v>
      </c>
      <c r="F3412" t="s">
        <v>9123</v>
      </c>
      <c r="G3412" t="s">
        <v>5933</v>
      </c>
      <c r="H3412" t="s">
        <v>6064</v>
      </c>
      <c r="I3412" t="s">
        <v>6065</v>
      </c>
      <c r="J3412">
        <v>1</v>
      </c>
      <c r="K3412">
        <v>1.1000000000000001E-3</v>
      </c>
      <c r="L3412">
        <v>1.1000000000000001E-3</v>
      </c>
      <c r="M3412">
        <v>1.1999999999999999E-3</v>
      </c>
      <c r="N3412">
        <v>1.1999999999999999E-3</v>
      </c>
      <c r="O3412">
        <v>1.1999999999999999E-3</v>
      </c>
      <c r="P3412">
        <v>1.1999999999999999E-3</v>
      </c>
      <c r="Q3412">
        <v>1.1999999999999999E-3</v>
      </c>
      <c r="R3412">
        <v>1.1999999999999999E-3</v>
      </c>
      <c r="S3412">
        <v>1.2999999999999999E-3</v>
      </c>
      <c r="T3412">
        <v>1.2999999999999999E-3</v>
      </c>
      <c r="U3412">
        <v>1.2999999999999999E-3</v>
      </c>
      <c r="V3412">
        <v>1.2999999999999999E-3</v>
      </c>
      <c r="W3412">
        <v>1.2999999999999999E-3</v>
      </c>
      <c r="X3412">
        <v>1.2999999999999999E-3</v>
      </c>
      <c r="Y3412">
        <v>1.2999999999999999E-3</v>
      </c>
      <c r="Z3412">
        <v>1.2999999999999999E-3</v>
      </c>
      <c r="AA3412">
        <v>1.4E-3</v>
      </c>
      <c r="AB3412">
        <v>1.4E-3</v>
      </c>
      <c r="AC3412">
        <v>1.4E-3</v>
      </c>
      <c r="AD3412">
        <v>0</v>
      </c>
    </row>
    <row r="3413" spans="2:30" x14ac:dyDescent="0.25">
      <c r="B3413" t="s">
        <v>133</v>
      </c>
      <c r="C3413" t="s">
        <v>3263</v>
      </c>
      <c r="D3413" t="s">
        <v>6090</v>
      </c>
      <c r="E3413" t="s">
        <v>6091</v>
      </c>
      <c r="F3413" t="s">
        <v>9124</v>
      </c>
      <c r="G3413" t="s">
        <v>5933</v>
      </c>
      <c r="H3413" t="s">
        <v>6093</v>
      </c>
      <c r="I3413" t="s">
        <v>6094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</row>
    <row r="3414" spans="2:30" x14ac:dyDescent="0.25">
      <c r="B3414" t="s">
        <v>133</v>
      </c>
      <c r="C3414" t="s">
        <v>3263</v>
      </c>
      <c r="D3414" t="s">
        <v>6095</v>
      </c>
      <c r="E3414" t="s">
        <v>6096</v>
      </c>
      <c r="F3414" t="s">
        <v>9125</v>
      </c>
      <c r="G3414" t="s">
        <v>5933</v>
      </c>
      <c r="H3414" t="s">
        <v>6093</v>
      </c>
      <c r="I3414" t="s">
        <v>6094</v>
      </c>
      <c r="J3414">
        <v>1</v>
      </c>
      <c r="K3414">
        <v>1.105</v>
      </c>
      <c r="L3414">
        <v>1.0489999999999999</v>
      </c>
      <c r="M3414">
        <v>1.2529999999999999</v>
      </c>
      <c r="N3414">
        <v>1.2749999999999999</v>
      </c>
      <c r="O3414">
        <v>1.234</v>
      </c>
      <c r="P3414">
        <v>1.216</v>
      </c>
      <c r="Q3414">
        <v>1.244</v>
      </c>
      <c r="R3414">
        <v>1.2769999999999999</v>
      </c>
      <c r="S3414">
        <v>1.3049999999999999</v>
      </c>
      <c r="T3414">
        <v>1.3340000000000001</v>
      </c>
      <c r="U3414">
        <v>1.3660000000000001</v>
      </c>
      <c r="V3414">
        <v>1.403</v>
      </c>
      <c r="W3414">
        <v>1.4450000000000001</v>
      </c>
      <c r="X3414">
        <v>1.494</v>
      </c>
      <c r="Y3414">
        <v>1.5509999999999999</v>
      </c>
      <c r="Z3414">
        <v>1.6160000000000001</v>
      </c>
      <c r="AA3414">
        <v>1.6930000000000001</v>
      </c>
      <c r="AB3414">
        <v>1.782</v>
      </c>
      <c r="AC3414">
        <v>1.8879999999999999</v>
      </c>
      <c r="AD3414">
        <v>0</v>
      </c>
    </row>
    <row r="3415" spans="2:30" x14ac:dyDescent="0.25">
      <c r="B3415" t="s">
        <v>133</v>
      </c>
      <c r="C3415" t="s">
        <v>3263</v>
      </c>
      <c r="D3415" t="s">
        <v>6098</v>
      </c>
      <c r="E3415" t="s">
        <v>6099</v>
      </c>
      <c r="F3415" t="s">
        <v>9126</v>
      </c>
      <c r="G3415" t="s">
        <v>5933</v>
      </c>
      <c r="H3415" t="s">
        <v>6093</v>
      </c>
      <c r="I3415" t="s">
        <v>6094</v>
      </c>
      <c r="J3415">
        <v>1</v>
      </c>
      <c r="K3415">
        <v>5.9459999999999997</v>
      </c>
      <c r="L3415">
        <v>5.7510000000000003</v>
      </c>
      <c r="M3415">
        <v>5.5510000000000002</v>
      </c>
      <c r="N3415">
        <v>6.6689999999999996</v>
      </c>
      <c r="O3415">
        <v>6.4989999999999997</v>
      </c>
      <c r="P3415">
        <v>6.3129999999999997</v>
      </c>
      <c r="Q3415">
        <v>6.117</v>
      </c>
      <c r="R3415">
        <v>5.9340000000000002</v>
      </c>
      <c r="S3415">
        <v>5.76</v>
      </c>
      <c r="T3415">
        <v>5.593</v>
      </c>
      <c r="U3415">
        <v>5.4329999999999998</v>
      </c>
      <c r="V3415">
        <v>5.28</v>
      </c>
      <c r="W3415">
        <v>5.133</v>
      </c>
      <c r="X3415">
        <v>4.9950000000000001</v>
      </c>
      <c r="Y3415">
        <v>4.8639999999999999</v>
      </c>
      <c r="Z3415">
        <v>4.742</v>
      </c>
      <c r="AA3415">
        <v>4.6280000000000001</v>
      </c>
      <c r="AB3415">
        <v>4.5229999999999997</v>
      </c>
      <c r="AC3415">
        <v>4.4269999999999996</v>
      </c>
      <c r="AD3415">
        <v>0</v>
      </c>
    </row>
    <row r="3416" spans="2:30" x14ac:dyDescent="0.25">
      <c r="B3416" t="s">
        <v>133</v>
      </c>
      <c r="C3416" t="s">
        <v>3263</v>
      </c>
      <c r="D3416" t="s">
        <v>6101</v>
      </c>
      <c r="E3416" t="s">
        <v>6102</v>
      </c>
      <c r="F3416" t="s">
        <v>9127</v>
      </c>
      <c r="G3416" t="s">
        <v>5933</v>
      </c>
      <c r="H3416" t="s">
        <v>6093</v>
      </c>
      <c r="I3416" t="s">
        <v>6094</v>
      </c>
      <c r="J3416">
        <v>1</v>
      </c>
      <c r="K3416">
        <v>3.573</v>
      </c>
      <c r="L3416">
        <v>3.4929999999999999</v>
      </c>
      <c r="M3416">
        <v>3.387</v>
      </c>
      <c r="N3416">
        <v>3.2360000000000002</v>
      </c>
      <c r="O3416">
        <v>3.4049999999999998</v>
      </c>
      <c r="P3416">
        <v>3.7240000000000002</v>
      </c>
      <c r="Q3416">
        <v>4.0709999999999997</v>
      </c>
      <c r="R3416">
        <v>4.4480000000000004</v>
      </c>
      <c r="S3416">
        <v>4.899</v>
      </c>
      <c r="T3416">
        <v>5.4349999999999996</v>
      </c>
      <c r="U3416">
        <v>6.0170000000000003</v>
      </c>
      <c r="V3416">
        <v>6.6420000000000003</v>
      </c>
      <c r="W3416">
        <v>7.3010000000000002</v>
      </c>
      <c r="X3416">
        <v>7.9950000000000001</v>
      </c>
      <c r="Y3416">
        <v>8.7210000000000001</v>
      </c>
      <c r="Z3416">
        <v>9.4830000000000005</v>
      </c>
      <c r="AA3416">
        <v>10.279</v>
      </c>
      <c r="AB3416">
        <v>11.112</v>
      </c>
      <c r="AC3416">
        <v>11.981999999999999</v>
      </c>
      <c r="AD3416">
        <v>0</v>
      </c>
    </row>
    <row r="3417" spans="2:30" x14ac:dyDescent="0.25">
      <c r="B3417" t="s">
        <v>133</v>
      </c>
      <c r="C3417" t="s">
        <v>3263</v>
      </c>
      <c r="D3417" t="s">
        <v>6104</v>
      </c>
      <c r="E3417" t="s">
        <v>6105</v>
      </c>
      <c r="F3417" t="s">
        <v>9128</v>
      </c>
      <c r="G3417" t="s">
        <v>5933</v>
      </c>
      <c r="H3417" t="s">
        <v>6093</v>
      </c>
      <c r="I3417" t="s">
        <v>6094</v>
      </c>
      <c r="J3417">
        <v>1</v>
      </c>
      <c r="K3417">
        <v>2.496</v>
      </c>
      <c r="L3417">
        <v>1.958</v>
      </c>
      <c r="M3417">
        <v>2.1160000000000001</v>
      </c>
      <c r="N3417">
        <v>2.093</v>
      </c>
      <c r="O3417">
        <v>2.069</v>
      </c>
      <c r="P3417">
        <v>2.0459999999999998</v>
      </c>
      <c r="Q3417">
        <v>2.0230000000000001</v>
      </c>
      <c r="R3417">
        <v>2</v>
      </c>
      <c r="S3417">
        <v>1.978</v>
      </c>
      <c r="T3417">
        <v>1.9550000000000001</v>
      </c>
      <c r="U3417">
        <v>1.9330000000000001</v>
      </c>
      <c r="V3417">
        <v>1.91</v>
      </c>
      <c r="W3417">
        <v>1.8879999999999999</v>
      </c>
      <c r="X3417">
        <v>1.8660000000000001</v>
      </c>
      <c r="Y3417">
        <v>1.8440000000000001</v>
      </c>
      <c r="Z3417">
        <v>1.823</v>
      </c>
      <c r="AA3417">
        <v>1.8009999999999999</v>
      </c>
      <c r="AB3417">
        <v>1.7789999999999999</v>
      </c>
      <c r="AC3417">
        <v>1.758</v>
      </c>
      <c r="AD3417">
        <v>0</v>
      </c>
    </row>
    <row r="3418" spans="2:30" x14ac:dyDescent="0.25">
      <c r="B3418" t="s">
        <v>133</v>
      </c>
      <c r="C3418" t="s">
        <v>3263</v>
      </c>
      <c r="D3418" t="s">
        <v>6107</v>
      </c>
      <c r="E3418" t="s">
        <v>6108</v>
      </c>
      <c r="F3418" t="s">
        <v>9129</v>
      </c>
      <c r="G3418" t="s">
        <v>5933</v>
      </c>
      <c r="H3418" t="s">
        <v>6093</v>
      </c>
      <c r="I3418" t="s">
        <v>6094</v>
      </c>
      <c r="J3418">
        <v>1</v>
      </c>
      <c r="K3418">
        <v>3.1419999999999999</v>
      </c>
      <c r="L3418">
        <v>3.0489999999999999</v>
      </c>
      <c r="M3418">
        <v>3.6619999999999999</v>
      </c>
      <c r="N3418">
        <v>4.6589999999999998</v>
      </c>
      <c r="O3418">
        <v>4.7670000000000003</v>
      </c>
      <c r="P3418">
        <v>4.8959999999999999</v>
      </c>
      <c r="Q3418">
        <v>5.0540000000000003</v>
      </c>
      <c r="R3418">
        <v>5.2030000000000003</v>
      </c>
      <c r="S3418">
        <v>5.3410000000000002</v>
      </c>
      <c r="T3418">
        <v>5.4790000000000001</v>
      </c>
      <c r="U3418">
        <v>5.6189999999999998</v>
      </c>
      <c r="V3418">
        <v>5.7590000000000003</v>
      </c>
      <c r="W3418">
        <v>5.9</v>
      </c>
      <c r="X3418">
        <v>6.0410000000000004</v>
      </c>
      <c r="Y3418">
        <v>6.1840000000000002</v>
      </c>
      <c r="Z3418">
        <v>6.3280000000000003</v>
      </c>
      <c r="AA3418">
        <v>6.4720000000000004</v>
      </c>
      <c r="AB3418">
        <v>6.6159999999999997</v>
      </c>
      <c r="AC3418">
        <v>6.7619999999999996</v>
      </c>
      <c r="AD3418">
        <v>0</v>
      </c>
    </row>
    <row r="3419" spans="2:30" x14ac:dyDescent="0.25">
      <c r="B3419" t="s">
        <v>133</v>
      </c>
      <c r="C3419" t="s">
        <v>3263</v>
      </c>
      <c r="D3419" t="s">
        <v>6110</v>
      </c>
      <c r="E3419" t="s">
        <v>6111</v>
      </c>
      <c r="F3419" t="s">
        <v>9130</v>
      </c>
      <c r="G3419" t="s">
        <v>5933</v>
      </c>
      <c r="H3419" t="s">
        <v>6093</v>
      </c>
      <c r="I3419" t="s">
        <v>6094</v>
      </c>
      <c r="J3419">
        <v>1</v>
      </c>
      <c r="K3419">
        <v>3.0720000000000001</v>
      </c>
      <c r="L3419">
        <v>3.7370000000000001</v>
      </c>
      <c r="M3419">
        <v>4.6779999999999999</v>
      </c>
      <c r="N3419">
        <v>4.774</v>
      </c>
      <c r="O3419">
        <v>4.8680000000000003</v>
      </c>
      <c r="P3419">
        <v>4.9770000000000003</v>
      </c>
      <c r="Q3419">
        <v>5.1040000000000001</v>
      </c>
      <c r="R3419">
        <v>5.2249999999999996</v>
      </c>
      <c r="S3419">
        <v>5.3390000000000004</v>
      </c>
      <c r="T3419">
        <v>5.452</v>
      </c>
      <c r="U3419">
        <v>5.5670000000000002</v>
      </c>
      <c r="V3419">
        <v>5.6820000000000004</v>
      </c>
      <c r="W3419">
        <v>5.7969999999999997</v>
      </c>
      <c r="X3419">
        <v>5.9139999999999997</v>
      </c>
      <c r="Y3419">
        <v>6.0309999999999997</v>
      </c>
      <c r="Z3419">
        <v>6.1479999999999997</v>
      </c>
      <c r="AA3419">
        <v>6.266</v>
      </c>
      <c r="AB3419">
        <v>6.3849999999999998</v>
      </c>
      <c r="AC3419">
        <v>6.5039999999999996</v>
      </c>
      <c r="AD3419">
        <v>0</v>
      </c>
    </row>
    <row r="3420" spans="2:30" x14ac:dyDescent="0.25">
      <c r="B3420" t="s">
        <v>133</v>
      </c>
      <c r="C3420" t="s">
        <v>3263</v>
      </c>
      <c r="D3420" t="s">
        <v>6113</v>
      </c>
      <c r="E3420" t="s">
        <v>6114</v>
      </c>
      <c r="F3420" t="s">
        <v>9131</v>
      </c>
      <c r="G3420" t="s">
        <v>5933</v>
      </c>
      <c r="H3420" t="s">
        <v>6093</v>
      </c>
      <c r="I3420" t="s">
        <v>6094</v>
      </c>
      <c r="J3420">
        <v>1</v>
      </c>
      <c r="K3420">
        <v>54.859000000000002</v>
      </c>
      <c r="L3420">
        <v>54.561</v>
      </c>
      <c r="M3420">
        <v>56.171999999999997</v>
      </c>
      <c r="N3420">
        <v>58.231000000000002</v>
      </c>
      <c r="O3420">
        <v>58.366999999999997</v>
      </c>
      <c r="P3420">
        <v>58.698</v>
      </c>
      <c r="Q3420">
        <v>59.139000000000003</v>
      </c>
      <c r="R3420">
        <v>59.613</v>
      </c>
      <c r="S3420">
        <v>60.148000000000003</v>
      </c>
      <c r="T3420">
        <v>60.774999999999999</v>
      </c>
      <c r="U3420">
        <v>61.459000000000003</v>
      </c>
      <c r="V3420">
        <v>62.2</v>
      </c>
      <c r="W3420">
        <v>62.99</v>
      </c>
      <c r="X3420">
        <v>63.831000000000003</v>
      </c>
      <c r="Y3420">
        <v>64.72</v>
      </c>
      <c r="Z3420">
        <v>65.664000000000001</v>
      </c>
      <c r="AA3420">
        <v>66.664000000000001</v>
      </c>
      <c r="AB3420">
        <v>67.722999999999999</v>
      </c>
      <c r="AC3420">
        <v>68.846000000000004</v>
      </c>
      <c r="AD3420">
        <v>0</v>
      </c>
    </row>
    <row r="3421" spans="2:30" x14ac:dyDescent="0.25">
      <c r="B3421" t="s">
        <v>133</v>
      </c>
      <c r="C3421" t="s">
        <v>3263</v>
      </c>
      <c r="D3421" t="s">
        <v>6116</v>
      </c>
      <c r="E3421" t="s">
        <v>6117</v>
      </c>
      <c r="F3421" t="s">
        <v>9132</v>
      </c>
      <c r="G3421" t="s">
        <v>5933</v>
      </c>
      <c r="H3421" t="s">
        <v>6093</v>
      </c>
      <c r="I3421" t="s">
        <v>6094</v>
      </c>
      <c r="J3421">
        <v>2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</row>
    <row r="3422" spans="2:30" x14ac:dyDescent="0.25">
      <c r="B3422" t="s">
        <v>133</v>
      </c>
      <c r="C3422" t="s">
        <v>3263</v>
      </c>
      <c r="D3422" t="s">
        <v>6119</v>
      </c>
      <c r="E3422" t="s">
        <v>6120</v>
      </c>
      <c r="F3422" t="s">
        <v>9133</v>
      </c>
      <c r="G3422" t="s">
        <v>5933</v>
      </c>
      <c r="H3422" t="s">
        <v>6093</v>
      </c>
      <c r="I3422" t="s">
        <v>6094</v>
      </c>
      <c r="J3422">
        <v>2</v>
      </c>
      <c r="K3422">
        <v>1.105</v>
      </c>
      <c r="L3422">
        <v>1.0489999999999999</v>
      </c>
      <c r="M3422">
        <v>1.2529999999999999</v>
      </c>
      <c r="N3422">
        <v>1.2749999999999999</v>
      </c>
      <c r="O3422">
        <v>1.2350000000000001</v>
      </c>
      <c r="P3422">
        <v>1.2070000000000001</v>
      </c>
      <c r="Q3422">
        <v>1.238</v>
      </c>
      <c r="R3422">
        <v>1.2709999999999999</v>
      </c>
      <c r="S3422">
        <v>1.3</v>
      </c>
      <c r="T3422">
        <v>1.329</v>
      </c>
      <c r="U3422">
        <v>1.36</v>
      </c>
      <c r="V3422">
        <v>1.3979999999999999</v>
      </c>
      <c r="W3422">
        <v>1.4410000000000001</v>
      </c>
      <c r="X3422">
        <v>1.4930000000000001</v>
      </c>
      <c r="Y3422">
        <v>1.5529999999999999</v>
      </c>
      <c r="Z3422">
        <v>1.6240000000000001</v>
      </c>
      <c r="AA3422">
        <v>1.7070000000000001</v>
      </c>
      <c r="AB3422">
        <v>1.8049999999999999</v>
      </c>
      <c r="AC3422">
        <v>1.9139999999999999</v>
      </c>
      <c r="AD3422">
        <v>0</v>
      </c>
    </row>
    <row r="3423" spans="2:30" x14ac:dyDescent="0.25">
      <c r="B3423" t="s">
        <v>133</v>
      </c>
      <c r="C3423" t="s">
        <v>3263</v>
      </c>
      <c r="D3423" t="s">
        <v>6122</v>
      </c>
      <c r="E3423" t="s">
        <v>6123</v>
      </c>
      <c r="F3423" t="s">
        <v>9134</v>
      </c>
      <c r="G3423" t="s">
        <v>5933</v>
      </c>
      <c r="H3423" t="s">
        <v>6093</v>
      </c>
      <c r="I3423" t="s">
        <v>6094</v>
      </c>
      <c r="J3423">
        <v>2</v>
      </c>
      <c r="K3423">
        <v>5.9459999999999997</v>
      </c>
      <c r="L3423">
        <v>5.7489999999999997</v>
      </c>
      <c r="M3423">
        <v>5.5490000000000004</v>
      </c>
      <c r="N3423">
        <v>6.6669999999999998</v>
      </c>
      <c r="O3423">
        <v>6.4829999999999997</v>
      </c>
      <c r="P3423">
        <v>6.2880000000000003</v>
      </c>
      <c r="Q3423">
        <v>6.0830000000000002</v>
      </c>
      <c r="R3423">
        <v>5.891</v>
      </c>
      <c r="S3423">
        <v>5.7069999999999999</v>
      </c>
      <c r="T3423">
        <v>5.5279999999999996</v>
      </c>
      <c r="U3423">
        <v>5.3550000000000004</v>
      </c>
      <c r="V3423">
        <v>5.1870000000000003</v>
      </c>
      <c r="W3423">
        <v>5.0250000000000004</v>
      </c>
      <c r="X3423">
        <v>4.8680000000000003</v>
      </c>
      <c r="Y3423">
        <v>4.7169999999999996</v>
      </c>
      <c r="Z3423">
        <v>4.5709999999999997</v>
      </c>
      <c r="AA3423">
        <v>4.4320000000000004</v>
      </c>
      <c r="AB3423">
        <v>4.298</v>
      </c>
      <c r="AC3423">
        <v>4.17</v>
      </c>
      <c r="AD3423">
        <v>0</v>
      </c>
    </row>
    <row r="3424" spans="2:30" x14ac:dyDescent="0.25">
      <c r="B3424" t="s">
        <v>133</v>
      </c>
      <c r="C3424" t="s">
        <v>3263</v>
      </c>
      <c r="D3424" t="s">
        <v>6125</v>
      </c>
      <c r="E3424" t="s">
        <v>6126</v>
      </c>
      <c r="F3424" t="s">
        <v>9135</v>
      </c>
      <c r="G3424" t="s">
        <v>5933</v>
      </c>
      <c r="H3424" t="s">
        <v>6093</v>
      </c>
      <c r="I3424" t="s">
        <v>6094</v>
      </c>
      <c r="J3424">
        <v>2</v>
      </c>
      <c r="K3424">
        <v>3.573</v>
      </c>
      <c r="L3424">
        <v>3.4929999999999999</v>
      </c>
      <c r="M3424">
        <v>3.387</v>
      </c>
      <c r="N3424">
        <v>3.2360000000000002</v>
      </c>
      <c r="O3424">
        <v>3.2890000000000001</v>
      </c>
      <c r="P3424">
        <v>3.5449999999999999</v>
      </c>
      <c r="Q3424">
        <v>3.819</v>
      </c>
      <c r="R3424">
        <v>4.1120000000000001</v>
      </c>
      <c r="S3424">
        <v>4.4610000000000003</v>
      </c>
      <c r="T3424">
        <v>4.8739999999999997</v>
      </c>
      <c r="U3424">
        <v>5.3129999999999997</v>
      </c>
      <c r="V3424">
        <v>5.7709999999999999</v>
      </c>
      <c r="W3424">
        <v>6.2389999999999999</v>
      </c>
      <c r="X3424">
        <v>6.7169999999999996</v>
      </c>
      <c r="Y3424">
        <v>7.2030000000000003</v>
      </c>
      <c r="Z3424">
        <v>7.7009999999999996</v>
      </c>
      <c r="AA3424">
        <v>8.2089999999999996</v>
      </c>
      <c r="AB3424">
        <v>8.73</v>
      </c>
      <c r="AC3424">
        <v>9.2629999999999999</v>
      </c>
      <c r="AD3424">
        <v>0</v>
      </c>
    </row>
    <row r="3425" spans="2:30" x14ac:dyDescent="0.25">
      <c r="B3425" t="s">
        <v>133</v>
      </c>
      <c r="C3425" t="s">
        <v>3263</v>
      </c>
      <c r="D3425" t="s">
        <v>6128</v>
      </c>
      <c r="E3425" t="s">
        <v>6129</v>
      </c>
      <c r="F3425" t="s">
        <v>9136</v>
      </c>
      <c r="G3425" t="s">
        <v>5933</v>
      </c>
      <c r="H3425" t="s">
        <v>6093</v>
      </c>
      <c r="I3425" t="s">
        <v>6094</v>
      </c>
      <c r="J3425">
        <v>2</v>
      </c>
      <c r="K3425">
        <v>2.496</v>
      </c>
      <c r="L3425">
        <v>1.958</v>
      </c>
      <c r="M3425">
        <v>2.1160000000000001</v>
      </c>
      <c r="N3425">
        <v>2.093</v>
      </c>
      <c r="O3425">
        <v>2.069</v>
      </c>
      <c r="P3425">
        <v>2.0459999999999998</v>
      </c>
      <c r="Q3425">
        <v>2.0230000000000001</v>
      </c>
      <c r="R3425">
        <v>2</v>
      </c>
      <c r="S3425">
        <v>1.978</v>
      </c>
      <c r="T3425">
        <v>1.9550000000000001</v>
      </c>
      <c r="U3425">
        <v>1.9330000000000001</v>
      </c>
      <c r="V3425">
        <v>1.91</v>
      </c>
      <c r="W3425">
        <v>1.8879999999999999</v>
      </c>
      <c r="X3425">
        <v>1.8660000000000001</v>
      </c>
      <c r="Y3425">
        <v>1.8440000000000001</v>
      </c>
      <c r="Z3425">
        <v>1.823</v>
      </c>
      <c r="AA3425">
        <v>1.8009999999999999</v>
      </c>
      <c r="AB3425">
        <v>1.7789999999999999</v>
      </c>
      <c r="AC3425">
        <v>1.758</v>
      </c>
      <c r="AD3425">
        <v>0</v>
      </c>
    </row>
    <row r="3426" spans="2:30" x14ac:dyDescent="0.25">
      <c r="B3426" t="s">
        <v>133</v>
      </c>
      <c r="C3426" t="s">
        <v>3263</v>
      </c>
      <c r="D3426" t="s">
        <v>6131</v>
      </c>
      <c r="E3426" t="s">
        <v>6132</v>
      </c>
      <c r="F3426" t="s">
        <v>9137</v>
      </c>
      <c r="G3426" t="s">
        <v>5933</v>
      </c>
      <c r="H3426" t="s">
        <v>6093</v>
      </c>
      <c r="I3426" t="s">
        <v>6094</v>
      </c>
      <c r="J3426">
        <v>2</v>
      </c>
      <c r="K3426">
        <v>3.1419999999999999</v>
      </c>
      <c r="L3426">
        <v>3.0489999999999999</v>
      </c>
      <c r="M3426">
        <v>3.6619999999999999</v>
      </c>
      <c r="N3426">
        <v>4.6589999999999998</v>
      </c>
      <c r="O3426">
        <v>4.2969999999999997</v>
      </c>
      <c r="P3426">
        <v>4.8979999999999997</v>
      </c>
      <c r="Q3426">
        <v>5.0670000000000002</v>
      </c>
      <c r="R3426">
        <v>5.0380000000000003</v>
      </c>
      <c r="S3426">
        <v>4.9939999999999998</v>
      </c>
      <c r="T3426">
        <v>4.9749999999999996</v>
      </c>
      <c r="U3426">
        <v>4.8559999999999999</v>
      </c>
      <c r="V3426">
        <v>4.76</v>
      </c>
      <c r="W3426">
        <v>4.681</v>
      </c>
      <c r="X3426">
        <v>4.6180000000000003</v>
      </c>
      <c r="Y3426">
        <v>4.5670000000000002</v>
      </c>
      <c r="Z3426">
        <v>4.5259999999999998</v>
      </c>
      <c r="AA3426">
        <v>4.4939999999999998</v>
      </c>
      <c r="AB3426">
        <v>4.4690000000000003</v>
      </c>
      <c r="AC3426">
        <v>4.4509999999999996</v>
      </c>
      <c r="AD3426">
        <v>0</v>
      </c>
    </row>
    <row r="3427" spans="2:30" x14ac:dyDescent="0.25">
      <c r="B3427" t="s">
        <v>133</v>
      </c>
      <c r="C3427" t="s">
        <v>3263</v>
      </c>
      <c r="D3427" t="s">
        <v>6134</v>
      </c>
      <c r="E3427" t="s">
        <v>6135</v>
      </c>
      <c r="F3427" t="s">
        <v>9138</v>
      </c>
      <c r="G3427" t="s">
        <v>5933</v>
      </c>
      <c r="H3427" t="s">
        <v>6093</v>
      </c>
      <c r="I3427" t="s">
        <v>6094</v>
      </c>
      <c r="J3427">
        <v>2</v>
      </c>
      <c r="K3427">
        <v>3.0720000000000001</v>
      </c>
      <c r="L3427">
        <v>3.7370000000000001</v>
      </c>
      <c r="M3427">
        <v>4.6779999999999999</v>
      </c>
      <c r="N3427">
        <v>4.774</v>
      </c>
      <c r="O3427">
        <v>4.8680000000000003</v>
      </c>
      <c r="P3427">
        <v>4.9770000000000003</v>
      </c>
      <c r="Q3427">
        <v>5.1040000000000001</v>
      </c>
      <c r="R3427">
        <v>5.2249999999999996</v>
      </c>
      <c r="S3427">
        <v>5.3380000000000001</v>
      </c>
      <c r="T3427">
        <v>5.4509999999999996</v>
      </c>
      <c r="U3427">
        <v>5.5659999999999998</v>
      </c>
      <c r="V3427">
        <v>5.681</v>
      </c>
      <c r="W3427">
        <v>5.798</v>
      </c>
      <c r="X3427">
        <v>5.9169999999999998</v>
      </c>
      <c r="Y3427">
        <v>6.0369999999999999</v>
      </c>
      <c r="Z3427">
        <v>6.1589999999999998</v>
      </c>
      <c r="AA3427">
        <v>6.2830000000000004</v>
      </c>
      <c r="AB3427">
        <v>6.4089999999999998</v>
      </c>
      <c r="AC3427">
        <v>6.5359999999999996</v>
      </c>
      <c r="AD3427">
        <v>0</v>
      </c>
    </row>
    <row r="3428" spans="2:30" x14ac:dyDescent="0.25">
      <c r="B3428" t="s">
        <v>133</v>
      </c>
      <c r="C3428" t="s">
        <v>3263</v>
      </c>
      <c r="D3428" t="s">
        <v>6137</v>
      </c>
      <c r="E3428" t="s">
        <v>6138</v>
      </c>
      <c r="F3428" t="s">
        <v>9139</v>
      </c>
      <c r="G3428" t="s">
        <v>5933</v>
      </c>
      <c r="H3428" t="s">
        <v>6093</v>
      </c>
      <c r="I3428" t="s">
        <v>6094</v>
      </c>
      <c r="J3428">
        <v>2</v>
      </c>
      <c r="K3428">
        <v>54.859000000000002</v>
      </c>
      <c r="L3428">
        <v>54.558999999999997</v>
      </c>
      <c r="M3428">
        <v>56.17</v>
      </c>
      <c r="N3428">
        <v>58.228999999999999</v>
      </c>
      <c r="O3428">
        <v>57.767000000000003</v>
      </c>
      <c r="P3428">
        <v>58.485999999999997</v>
      </c>
      <c r="Q3428">
        <v>58.86</v>
      </c>
      <c r="R3428">
        <v>59.061999999999998</v>
      </c>
      <c r="S3428">
        <v>59.302999999999997</v>
      </c>
      <c r="T3428">
        <v>59.639000000000003</v>
      </c>
      <c r="U3428">
        <v>59.908000000000001</v>
      </c>
      <c r="V3428">
        <v>60.232999999999997</v>
      </c>
      <c r="W3428">
        <v>60.597999999999999</v>
      </c>
      <c r="X3428">
        <v>61.005000000000003</v>
      </c>
      <c r="Y3428">
        <v>61.447000000000003</v>
      </c>
      <c r="Z3428">
        <v>61.929000000000002</v>
      </c>
      <c r="AA3428">
        <v>62.451000000000001</v>
      </c>
      <c r="AB3428">
        <v>63.015999999999998</v>
      </c>
      <c r="AC3428">
        <v>63.616999999999997</v>
      </c>
      <c r="AD3428">
        <v>0</v>
      </c>
    </row>
    <row r="3429" spans="2:30" x14ac:dyDescent="0.25">
      <c r="B3429" t="s">
        <v>133</v>
      </c>
      <c r="C3429" t="s">
        <v>3263</v>
      </c>
      <c r="D3429" t="s">
        <v>6140</v>
      </c>
      <c r="E3429" t="s">
        <v>6141</v>
      </c>
      <c r="F3429" t="s">
        <v>9140</v>
      </c>
      <c r="G3429" t="s">
        <v>3890</v>
      </c>
      <c r="H3429" t="s">
        <v>6143</v>
      </c>
      <c r="I3429" t="s">
        <v>4267</v>
      </c>
      <c r="J3429">
        <v>1</v>
      </c>
      <c r="K3429">
        <v>5.2720000000000002</v>
      </c>
      <c r="L3429">
        <v>5.4829999999999997</v>
      </c>
      <c r="M3429">
        <v>5.702</v>
      </c>
      <c r="N3429">
        <v>5.93</v>
      </c>
      <c r="O3429">
        <v>6.1680000000000001</v>
      </c>
      <c r="P3429">
        <v>6.4139999999999997</v>
      </c>
      <c r="Q3429">
        <v>6.6710000000000003</v>
      </c>
      <c r="R3429">
        <v>6.9379999999999997</v>
      </c>
      <c r="S3429">
        <v>7.2149999999999999</v>
      </c>
      <c r="T3429">
        <v>7.5039999999999996</v>
      </c>
      <c r="U3429">
        <v>7.8040000000000003</v>
      </c>
      <c r="V3429">
        <v>8.1159999999999997</v>
      </c>
      <c r="W3429">
        <v>8.4410000000000007</v>
      </c>
      <c r="X3429">
        <v>8.7780000000000005</v>
      </c>
      <c r="Y3429">
        <v>9.1300000000000008</v>
      </c>
      <c r="Z3429">
        <v>9.4949999999999992</v>
      </c>
      <c r="AA3429">
        <v>9.8740000000000006</v>
      </c>
      <c r="AB3429">
        <v>10.269</v>
      </c>
      <c r="AC3429">
        <v>10.68</v>
      </c>
      <c r="AD3429">
        <v>11.106999999999999</v>
      </c>
    </row>
    <row r="3430" spans="2:30" x14ac:dyDescent="0.25">
      <c r="B3430" t="s">
        <v>133</v>
      </c>
      <c r="C3430" t="s">
        <v>3263</v>
      </c>
      <c r="D3430" t="s">
        <v>6144</v>
      </c>
      <c r="E3430" t="s">
        <v>6145</v>
      </c>
      <c r="F3430" t="s">
        <v>9141</v>
      </c>
      <c r="G3430" t="s">
        <v>3890</v>
      </c>
      <c r="H3430" t="s">
        <v>6143</v>
      </c>
      <c r="I3430" t="s">
        <v>4267</v>
      </c>
      <c r="J3430">
        <v>1</v>
      </c>
      <c r="K3430">
        <v>3.0579999999999998</v>
      </c>
      <c r="L3430">
        <v>3.18</v>
      </c>
      <c r="M3430">
        <v>3.3069999999999999</v>
      </c>
      <c r="N3430">
        <v>3.44</v>
      </c>
      <c r="O3430">
        <v>3.577</v>
      </c>
      <c r="P3430">
        <v>3.72</v>
      </c>
      <c r="Q3430">
        <v>3.8690000000000002</v>
      </c>
      <c r="R3430">
        <v>4.024</v>
      </c>
      <c r="S3430">
        <v>4.1849999999999996</v>
      </c>
      <c r="T3430">
        <v>4.3520000000000003</v>
      </c>
      <c r="U3430">
        <v>4.5259999999999998</v>
      </c>
      <c r="V3430">
        <v>4.7080000000000002</v>
      </c>
      <c r="W3430">
        <v>4.8959999999999999</v>
      </c>
      <c r="X3430">
        <v>5.0919999999999996</v>
      </c>
      <c r="Y3430">
        <v>5.2949999999999999</v>
      </c>
      <c r="Z3430">
        <v>5.5069999999999997</v>
      </c>
      <c r="AA3430">
        <v>5.7270000000000003</v>
      </c>
      <c r="AB3430">
        <v>5.9569999999999999</v>
      </c>
      <c r="AC3430">
        <v>6.1950000000000003</v>
      </c>
      <c r="AD3430">
        <v>6.4429999999999996</v>
      </c>
    </row>
    <row r="3431" spans="2:30" x14ac:dyDescent="0.25">
      <c r="B3431" t="s">
        <v>133</v>
      </c>
      <c r="C3431" t="s">
        <v>3263</v>
      </c>
      <c r="D3431" t="s">
        <v>6147</v>
      </c>
      <c r="E3431" t="s">
        <v>6148</v>
      </c>
      <c r="F3431" t="s">
        <v>9142</v>
      </c>
      <c r="G3431" t="s">
        <v>3890</v>
      </c>
      <c r="H3431" t="s">
        <v>6143</v>
      </c>
      <c r="I3431" t="s">
        <v>4267</v>
      </c>
      <c r="J3431">
        <v>1</v>
      </c>
      <c r="K3431">
        <v>0.129</v>
      </c>
      <c r="L3431">
        <v>0.13400000000000001</v>
      </c>
      <c r="M3431">
        <v>0.14000000000000001</v>
      </c>
      <c r="N3431">
        <v>0.14499999999999999</v>
      </c>
      <c r="O3431">
        <v>0.151</v>
      </c>
      <c r="P3431">
        <v>0.157</v>
      </c>
      <c r="Q3431">
        <v>0.16300000000000001</v>
      </c>
      <c r="R3431">
        <v>0.17</v>
      </c>
      <c r="S3431">
        <v>0.17699999999999999</v>
      </c>
      <c r="T3431">
        <v>0.184</v>
      </c>
      <c r="U3431">
        <v>0.191</v>
      </c>
      <c r="V3431">
        <v>0.19900000000000001</v>
      </c>
      <c r="W3431">
        <v>0.20699999999999999</v>
      </c>
      <c r="X3431">
        <v>0.215</v>
      </c>
      <c r="Y3431">
        <v>0.224</v>
      </c>
      <c r="Z3431">
        <v>0.23300000000000001</v>
      </c>
      <c r="AA3431">
        <v>0.24199999999999999</v>
      </c>
      <c r="AB3431">
        <v>0.251</v>
      </c>
      <c r="AC3431">
        <v>0.26200000000000001</v>
      </c>
      <c r="AD3431">
        <v>0.27200000000000002</v>
      </c>
    </row>
    <row r="3432" spans="2:30" x14ac:dyDescent="0.25">
      <c r="B3432" t="s">
        <v>133</v>
      </c>
      <c r="C3432" t="s">
        <v>3263</v>
      </c>
      <c r="D3432" t="s">
        <v>6150</v>
      </c>
      <c r="E3432" t="s">
        <v>6151</v>
      </c>
      <c r="F3432" t="s">
        <v>9143</v>
      </c>
      <c r="G3432" t="s">
        <v>3890</v>
      </c>
      <c r="H3432" t="s">
        <v>6143</v>
      </c>
      <c r="I3432" t="s">
        <v>4267</v>
      </c>
      <c r="J3432">
        <v>1</v>
      </c>
      <c r="K3432">
        <v>0.14699999999999999</v>
      </c>
      <c r="L3432">
        <v>0.153</v>
      </c>
      <c r="M3432">
        <v>0.159</v>
      </c>
      <c r="N3432">
        <v>0.16600000000000001</v>
      </c>
      <c r="O3432">
        <v>0.17199999999999999</v>
      </c>
      <c r="P3432">
        <v>0.17899999999999999</v>
      </c>
      <c r="Q3432">
        <v>0.186</v>
      </c>
      <c r="R3432">
        <v>0.19400000000000001</v>
      </c>
      <c r="S3432">
        <v>0.20200000000000001</v>
      </c>
      <c r="T3432">
        <v>0.21</v>
      </c>
      <c r="U3432">
        <v>0.218</v>
      </c>
      <c r="V3432">
        <v>0.22700000000000001</v>
      </c>
      <c r="W3432">
        <v>0.23599999999999999</v>
      </c>
      <c r="X3432">
        <v>0.245</v>
      </c>
      <c r="Y3432">
        <v>0.255</v>
      </c>
      <c r="Z3432">
        <v>0.26500000000000001</v>
      </c>
      <c r="AA3432">
        <v>0.27600000000000002</v>
      </c>
      <c r="AB3432">
        <v>0.28699999999999998</v>
      </c>
      <c r="AC3432">
        <v>0.29899999999999999</v>
      </c>
      <c r="AD3432">
        <v>0.31</v>
      </c>
    </row>
    <row r="3433" spans="2:30" x14ac:dyDescent="0.25">
      <c r="B3433" t="s">
        <v>133</v>
      </c>
      <c r="C3433" t="s">
        <v>3263</v>
      </c>
      <c r="D3433" t="s">
        <v>6153</v>
      </c>
      <c r="E3433" t="s">
        <v>6154</v>
      </c>
      <c r="F3433" t="s">
        <v>9144</v>
      </c>
      <c r="G3433" t="s">
        <v>3890</v>
      </c>
      <c r="H3433" t="s">
        <v>6143</v>
      </c>
      <c r="I3433" t="s">
        <v>4267</v>
      </c>
      <c r="J3433">
        <v>1</v>
      </c>
      <c r="K3433">
        <v>9.7000000000000003E-2</v>
      </c>
      <c r="L3433">
        <v>0.10100000000000001</v>
      </c>
      <c r="M3433">
        <v>0.105</v>
      </c>
      <c r="N3433">
        <v>0.109</v>
      </c>
      <c r="O3433">
        <v>0.113</v>
      </c>
      <c r="P3433">
        <v>0.11799999999999999</v>
      </c>
      <c r="Q3433">
        <v>0.123</v>
      </c>
      <c r="R3433">
        <v>0.128</v>
      </c>
      <c r="S3433">
        <v>0.13300000000000001</v>
      </c>
      <c r="T3433">
        <v>0.13800000000000001</v>
      </c>
      <c r="U3433">
        <v>0.14299999999999999</v>
      </c>
      <c r="V3433">
        <v>0.14899999999999999</v>
      </c>
      <c r="W3433">
        <v>0.155</v>
      </c>
      <c r="X3433">
        <v>0.161</v>
      </c>
      <c r="Y3433">
        <v>0.16800000000000001</v>
      </c>
      <c r="Z3433">
        <v>0.17499999999999999</v>
      </c>
      <c r="AA3433">
        <v>0.182</v>
      </c>
      <c r="AB3433">
        <v>0.189</v>
      </c>
      <c r="AC3433">
        <v>0.19600000000000001</v>
      </c>
      <c r="AD3433">
        <v>0.20399999999999999</v>
      </c>
    </row>
    <row r="3434" spans="2:30" x14ac:dyDescent="0.25">
      <c r="B3434" t="s">
        <v>133</v>
      </c>
      <c r="C3434" t="s">
        <v>3263</v>
      </c>
      <c r="D3434" t="s">
        <v>6156</v>
      </c>
      <c r="E3434" t="s">
        <v>6157</v>
      </c>
      <c r="F3434" t="s">
        <v>9145</v>
      </c>
      <c r="G3434" t="s">
        <v>3890</v>
      </c>
      <c r="H3434" t="s">
        <v>6143</v>
      </c>
      <c r="I3434" t="s">
        <v>4267</v>
      </c>
      <c r="J3434">
        <v>1</v>
      </c>
      <c r="K3434">
        <v>0.14099999999999999</v>
      </c>
      <c r="L3434">
        <v>0.14699999999999999</v>
      </c>
      <c r="M3434">
        <v>0.153</v>
      </c>
      <c r="N3434">
        <v>0.159</v>
      </c>
      <c r="O3434">
        <v>0.16500000000000001</v>
      </c>
      <c r="P3434">
        <v>0.17199999999999999</v>
      </c>
      <c r="Q3434">
        <v>0.17799999999999999</v>
      </c>
      <c r="R3434">
        <v>0.186</v>
      </c>
      <c r="S3434">
        <v>0.193</v>
      </c>
      <c r="T3434">
        <v>0.20100000000000001</v>
      </c>
      <c r="U3434">
        <v>0.20899999999999999</v>
      </c>
      <c r="V3434">
        <v>0.217</v>
      </c>
      <c r="W3434">
        <v>0.22600000000000001</v>
      </c>
      <c r="X3434">
        <v>0.23499999999999999</v>
      </c>
      <c r="Y3434">
        <v>0.24399999999999999</v>
      </c>
      <c r="Z3434">
        <v>0.254</v>
      </c>
      <c r="AA3434">
        <v>0.26400000000000001</v>
      </c>
      <c r="AB3434">
        <v>0.27500000000000002</v>
      </c>
      <c r="AC3434">
        <v>0.28599999999999998</v>
      </c>
      <c r="AD3434">
        <v>0.29699999999999999</v>
      </c>
    </row>
    <row r="3435" spans="2:30" x14ac:dyDescent="0.25">
      <c r="B3435" t="s">
        <v>133</v>
      </c>
      <c r="C3435" t="s">
        <v>3263</v>
      </c>
      <c r="D3435" t="s">
        <v>6159</v>
      </c>
      <c r="E3435" t="s">
        <v>6160</v>
      </c>
      <c r="F3435" t="s">
        <v>9146</v>
      </c>
      <c r="G3435" t="s">
        <v>6162</v>
      </c>
      <c r="H3435" t="s">
        <v>6163</v>
      </c>
      <c r="J3435">
        <v>1</v>
      </c>
      <c r="K3435">
        <v>215.76102102694196</v>
      </c>
      <c r="L3435">
        <v>214.47598394087547</v>
      </c>
      <c r="M3435">
        <v>208.15438982423859</v>
      </c>
      <c r="N3435">
        <v>199.1046917353739</v>
      </c>
      <c r="O3435">
        <v>205.1349103445601</v>
      </c>
      <c r="P3435">
        <v>226.12975127885565</v>
      </c>
      <c r="Q3435">
        <v>249.00444073713709</v>
      </c>
      <c r="R3435">
        <v>274.27868807123065</v>
      </c>
      <c r="S3435">
        <v>305.31165318869819</v>
      </c>
      <c r="T3435">
        <v>343.39509734185566</v>
      </c>
      <c r="U3435">
        <v>386.95085572770023</v>
      </c>
      <c r="V3435">
        <v>436.88159497431712</v>
      </c>
      <c r="W3435">
        <v>494.13435163700382</v>
      </c>
      <c r="X3435">
        <v>560.00795561031487</v>
      </c>
      <c r="Y3435">
        <v>635.39319003009632</v>
      </c>
      <c r="Z3435">
        <v>722.50644481926486</v>
      </c>
      <c r="AA3435">
        <v>823.57644758514027</v>
      </c>
      <c r="AB3435">
        <v>941.33418834607176</v>
      </c>
      <c r="AC3435">
        <v>1078.2330400083645</v>
      </c>
      <c r="AD3435">
        <v>1229.6979385911202</v>
      </c>
    </row>
    <row r="3436" spans="2:30" x14ac:dyDescent="0.25">
      <c r="B3436" t="s">
        <v>133</v>
      </c>
      <c r="C3436" t="s">
        <v>3263</v>
      </c>
      <c r="D3436" t="s">
        <v>6164</v>
      </c>
      <c r="E3436" t="s">
        <v>6165</v>
      </c>
      <c r="F3436" t="s">
        <v>9147</v>
      </c>
      <c r="G3436" t="s">
        <v>6162</v>
      </c>
      <c r="H3436" t="s">
        <v>6163</v>
      </c>
      <c r="J3436">
        <v>1</v>
      </c>
      <c r="K3436">
        <v>215.76102102694196</v>
      </c>
      <c r="L3436">
        <v>214.47598394087547</v>
      </c>
      <c r="M3436">
        <v>208.15438982423859</v>
      </c>
      <c r="N3436">
        <v>199.1046917353739</v>
      </c>
      <c r="O3436">
        <v>198.82714468953796</v>
      </c>
      <c r="P3436">
        <v>216.85915310629179</v>
      </c>
      <c r="Q3436">
        <v>236.47194700715639</v>
      </c>
      <c r="R3436">
        <v>258.16850080248196</v>
      </c>
      <c r="S3436">
        <v>285.12865638776583</v>
      </c>
      <c r="T3436">
        <v>318.51143817951839</v>
      </c>
      <c r="U3436">
        <v>356.83058100694399</v>
      </c>
      <c r="V3436">
        <v>400.98527707340116</v>
      </c>
      <c r="W3436">
        <v>451.90746076104318</v>
      </c>
      <c r="X3436">
        <v>510.9434584543136</v>
      </c>
      <c r="Y3436">
        <v>579.03598171992257</v>
      </c>
      <c r="Z3436">
        <v>658.42205615412252</v>
      </c>
      <c r="AA3436">
        <v>751.38766958770282</v>
      </c>
      <c r="AB3436">
        <v>860.74069564161766</v>
      </c>
      <c r="AC3436">
        <v>988.98225165527163</v>
      </c>
      <c r="AD3436">
        <v>1131.6392715773568</v>
      </c>
    </row>
    <row r="3437" spans="2:30" x14ac:dyDescent="0.25">
      <c r="B3437" t="s">
        <v>133</v>
      </c>
      <c r="C3437" t="s">
        <v>3263</v>
      </c>
      <c r="D3437" t="s">
        <v>6167</v>
      </c>
      <c r="E3437" t="s">
        <v>6168</v>
      </c>
      <c r="F3437" t="s">
        <v>9148</v>
      </c>
      <c r="G3437" t="s">
        <v>6162</v>
      </c>
      <c r="H3437" t="s">
        <v>6163</v>
      </c>
      <c r="J3437">
        <v>2</v>
      </c>
      <c r="K3437">
        <v>5610.47021484375</v>
      </c>
      <c r="L3437">
        <v>5577.0551787912218</v>
      </c>
      <c r="M3437">
        <v>5412.6737009278322</v>
      </c>
      <c r="N3437">
        <v>5177.3528754180024</v>
      </c>
      <c r="O3437">
        <v>5334.1576668247462</v>
      </c>
      <c r="P3437">
        <v>5880.0900561256803</v>
      </c>
      <c r="Q3437">
        <v>6474.9044636059962</v>
      </c>
      <c r="R3437">
        <v>7132.1149791829475</v>
      </c>
      <c r="S3437">
        <v>7939.0704044082295</v>
      </c>
      <c r="T3437">
        <v>8929.3606249632903</v>
      </c>
      <c r="U3437">
        <v>10061.948355340215</v>
      </c>
      <c r="V3437">
        <v>11360.305788091211</v>
      </c>
      <c r="W3437">
        <v>12849.058874468157</v>
      </c>
      <c r="X3437">
        <v>14561.981307248661</v>
      </c>
      <c r="Y3437">
        <v>16522.236270532252</v>
      </c>
      <c r="Z3437">
        <v>18787.456925247709</v>
      </c>
      <c r="AA3437">
        <v>21415.597251211926</v>
      </c>
      <c r="AB3437">
        <v>24477.671642415327</v>
      </c>
      <c r="AC3437">
        <v>28037.475568267619</v>
      </c>
      <c r="AD3437">
        <v>31976.042868552908</v>
      </c>
    </row>
    <row r="3438" spans="2:30" x14ac:dyDescent="0.25">
      <c r="B3438" t="s">
        <v>133</v>
      </c>
      <c r="C3438" t="s">
        <v>3263</v>
      </c>
      <c r="D3438" t="s">
        <v>6170</v>
      </c>
      <c r="E3438" t="s">
        <v>6171</v>
      </c>
      <c r="F3438" t="s">
        <v>9149</v>
      </c>
      <c r="G3438" t="s">
        <v>6162</v>
      </c>
      <c r="H3438" t="s">
        <v>3258</v>
      </c>
      <c r="J3438">
        <v>1</v>
      </c>
      <c r="K3438">
        <v>5610.47021484375</v>
      </c>
      <c r="L3438">
        <v>5577.0551787912218</v>
      </c>
      <c r="M3438">
        <v>5412.6737009278322</v>
      </c>
      <c r="N3438">
        <v>5177.3528754180024</v>
      </c>
      <c r="O3438">
        <v>5170.1357727807008</v>
      </c>
      <c r="P3438">
        <v>5639.0251284877095</v>
      </c>
      <c r="Q3438">
        <v>6149.0199157154257</v>
      </c>
      <c r="R3438">
        <v>6713.1990628757885</v>
      </c>
      <c r="S3438">
        <v>7414.2485350133011</v>
      </c>
      <c r="T3438">
        <v>8282.3066394837497</v>
      </c>
      <c r="U3438">
        <v>9278.7257724130905</v>
      </c>
      <c r="V3438">
        <v>10426.887780301451</v>
      </c>
      <c r="W3438">
        <v>11751.025910045668</v>
      </c>
      <c r="X3438">
        <v>13286.148913659554</v>
      </c>
      <c r="Y3438">
        <v>15056.7702789874</v>
      </c>
      <c r="Z3438">
        <v>17121.059759851654</v>
      </c>
      <c r="AA3438">
        <v>19538.460283316228</v>
      </c>
      <c r="AB3438">
        <v>22381.985460655429</v>
      </c>
      <c r="AC3438">
        <v>25716.672267824266</v>
      </c>
      <c r="AD3438">
        <v>29426.206813970522</v>
      </c>
    </row>
    <row r="3439" spans="2:30" x14ac:dyDescent="0.25">
      <c r="B3439" t="s">
        <v>133</v>
      </c>
      <c r="C3439" t="s">
        <v>3263</v>
      </c>
      <c r="D3439" t="s">
        <v>6173</v>
      </c>
      <c r="E3439" t="s">
        <v>6174</v>
      </c>
      <c r="F3439" t="s">
        <v>9150</v>
      </c>
      <c r="G3439" t="s">
        <v>6162</v>
      </c>
      <c r="H3439" t="s">
        <v>3258</v>
      </c>
      <c r="J3439">
        <v>2</v>
      </c>
      <c r="K3439">
        <v>0</v>
      </c>
      <c r="L3439">
        <v>0</v>
      </c>
      <c r="M3439">
        <v>0</v>
      </c>
      <c r="N3439">
        <v>0</v>
      </c>
      <c r="O3439">
        <v>164.02189404404544</v>
      </c>
      <c r="P3439">
        <v>405.08682168201631</v>
      </c>
      <c r="Q3439">
        <v>730.97136957258681</v>
      </c>
      <c r="R3439">
        <v>1149.8872858797458</v>
      </c>
      <c r="S3439">
        <v>1674.7091552746742</v>
      </c>
      <c r="T3439">
        <v>2321.7631407542149</v>
      </c>
      <c r="U3439">
        <v>3104.9857236813396</v>
      </c>
      <c r="V3439">
        <v>4038.4037314710995</v>
      </c>
      <c r="W3439">
        <v>5136.4366958935889</v>
      </c>
      <c r="X3439">
        <v>6412.2690894826965</v>
      </c>
      <c r="Y3439">
        <v>7877.7350810275484</v>
      </c>
      <c r="Z3439">
        <v>9544.1322464236036</v>
      </c>
      <c r="AA3439">
        <v>11421.269214319302</v>
      </c>
      <c r="AB3439">
        <v>13516.9553960792</v>
      </c>
      <c r="AC3439">
        <v>15837.758696522553</v>
      </c>
      <c r="AD3439">
        <v>18387.594751104938</v>
      </c>
    </row>
    <row r="3440" spans="2:30" x14ac:dyDescent="0.25">
      <c r="B3440" t="s">
        <v>133</v>
      </c>
      <c r="C3440" t="s">
        <v>3263</v>
      </c>
      <c r="D3440" t="s">
        <v>6176</v>
      </c>
      <c r="E3440" t="s">
        <v>6177</v>
      </c>
      <c r="F3440" t="s">
        <v>9151</v>
      </c>
      <c r="G3440" t="s">
        <v>6162</v>
      </c>
      <c r="H3440" t="s">
        <v>6179</v>
      </c>
      <c r="J3440">
        <v>1</v>
      </c>
      <c r="K3440">
        <v>47.419998168945313</v>
      </c>
      <c r="L3440">
        <v>47.419998168945313</v>
      </c>
      <c r="M3440">
        <v>47.419998168945313</v>
      </c>
      <c r="N3440">
        <v>49.230959321646168</v>
      </c>
      <c r="O3440">
        <v>51.018025046174166</v>
      </c>
      <c r="P3440">
        <v>52.999961772234222</v>
      </c>
      <c r="Q3440">
        <v>55.223207648465404</v>
      </c>
      <c r="R3440">
        <v>57.451058095194924</v>
      </c>
      <c r="S3440">
        <v>59.655800043299188</v>
      </c>
      <c r="T3440">
        <v>61.920753906134657</v>
      </c>
      <c r="U3440">
        <v>64.248425278428229</v>
      </c>
      <c r="V3440">
        <v>66.638342879486203</v>
      </c>
      <c r="W3440">
        <v>69.0935296343429</v>
      </c>
      <c r="X3440">
        <v>71.612044974188123</v>
      </c>
      <c r="Y3440">
        <v>74.194180451820259</v>
      </c>
      <c r="Z3440">
        <v>76.842169804374748</v>
      </c>
      <c r="AA3440">
        <v>79.551687133470153</v>
      </c>
      <c r="AB3440">
        <v>82.322057200638071</v>
      </c>
      <c r="AC3440">
        <v>85.14850570552133</v>
      </c>
      <c r="AD3440">
        <v>88.02504370511754</v>
      </c>
    </row>
    <row r="3441" spans="2:30" x14ac:dyDescent="0.25">
      <c r="B3441" t="s">
        <v>133</v>
      </c>
      <c r="C3441" t="s">
        <v>3263</v>
      </c>
      <c r="D3441" t="s">
        <v>6180</v>
      </c>
      <c r="E3441" t="s">
        <v>6181</v>
      </c>
      <c r="F3441" t="s">
        <v>9152</v>
      </c>
      <c r="G3441" t="s">
        <v>6162</v>
      </c>
      <c r="H3441" t="s">
        <v>6179</v>
      </c>
      <c r="J3441">
        <v>2</v>
      </c>
      <c r="K3441">
        <v>47.419998168945313</v>
      </c>
      <c r="L3441">
        <v>47.419998168945313</v>
      </c>
      <c r="M3441">
        <v>47.419998168945313</v>
      </c>
      <c r="N3441">
        <v>49.230959321646168</v>
      </c>
      <c r="O3441">
        <v>51.018025046174166</v>
      </c>
      <c r="P3441">
        <v>52.999961772234222</v>
      </c>
      <c r="Q3441">
        <v>55.223207648465404</v>
      </c>
      <c r="R3441">
        <v>57.451058095194924</v>
      </c>
      <c r="S3441">
        <v>59.655800043299188</v>
      </c>
      <c r="T3441">
        <v>61.920753906134657</v>
      </c>
      <c r="U3441">
        <v>64.248425278428229</v>
      </c>
      <c r="V3441">
        <v>66.638342879486203</v>
      </c>
      <c r="W3441">
        <v>69.0935296343429</v>
      </c>
      <c r="X3441">
        <v>71.612044974188123</v>
      </c>
      <c r="Y3441">
        <v>74.194180451820259</v>
      </c>
      <c r="Z3441">
        <v>76.842169804374748</v>
      </c>
      <c r="AA3441">
        <v>79.551687133470153</v>
      </c>
      <c r="AB3441">
        <v>82.322057200638071</v>
      </c>
      <c r="AC3441">
        <v>85.14850570552133</v>
      </c>
      <c r="AD3441">
        <v>88.02504370511754</v>
      </c>
    </row>
    <row r="3442" spans="2:30" x14ac:dyDescent="0.25">
      <c r="B3442" t="s">
        <v>133</v>
      </c>
      <c r="C3442" t="s">
        <v>3263</v>
      </c>
      <c r="D3442" t="s">
        <v>6183</v>
      </c>
      <c r="E3442" t="s">
        <v>6184</v>
      </c>
      <c r="F3442" t="s">
        <v>9153</v>
      </c>
      <c r="G3442" t="s">
        <v>6162</v>
      </c>
      <c r="H3442" t="s">
        <v>6186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</row>
    <row r="3443" spans="2:30" x14ac:dyDescent="0.25">
      <c r="B3443" t="s">
        <v>133</v>
      </c>
      <c r="C3443" t="s">
        <v>3263</v>
      </c>
      <c r="D3443" t="s">
        <v>6187</v>
      </c>
      <c r="E3443" t="s">
        <v>6188</v>
      </c>
      <c r="F3443" t="s">
        <v>9154</v>
      </c>
      <c r="G3443" t="s">
        <v>6162</v>
      </c>
      <c r="H3443" t="s">
        <v>6186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</row>
    <row r="3444" spans="2:30" x14ac:dyDescent="0.25">
      <c r="B3444" t="s">
        <v>133</v>
      </c>
      <c r="C3444" t="s">
        <v>3263</v>
      </c>
      <c r="D3444" t="s">
        <v>6190</v>
      </c>
      <c r="E3444" t="s">
        <v>6191</v>
      </c>
      <c r="F3444" t="s">
        <v>9155</v>
      </c>
      <c r="G3444" t="s">
        <v>6162</v>
      </c>
      <c r="H3444" t="s">
        <v>6193</v>
      </c>
      <c r="J3444">
        <v>1</v>
      </c>
      <c r="K3444">
        <v>3.5999999999999997E-2</v>
      </c>
      <c r="L3444">
        <v>3.7999999999999999E-2</v>
      </c>
      <c r="M3444">
        <v>3.6999999999999998E-2</v>
      </c>
      <c r="N3444">
        <v>0.04</v>
      </c>
      <c r="O3444">
        <v>4.2000000000000003E-2</v>
      </c>
      <c r="P3444">
        <v>4.5999999999999999E-2</v>
      </c>
      <c r="Q3444">
        <v>4.9000000000000002E-2</v>
      </c>
      <c r="R3444">
        <v>5.2999999999999999E-2</v>
      </c>
      <c r="S3444">
        <v>5.7000000000000002E-2</v>
      </c>
      <c r="T3444">
        <v>6.2E-2</v>
      </c>
      <c r="U3444">
        <v>6.6000000000000003E-2</v>
      </c>
      <c r="V3444">
        <v>7.0999999999999994E-2</v>
      </c>
      <c r="W3444">
        <v>7.6999999999999999E-2</v>
      </c>
      <c r="X3444">
        <v>8.2000000000000003E-2</v>
      </c>
      <c r="Y3444">
        <v>8.7999999999999995E-2</v>
      </c>
      <c r="Z3444">
        <v>9.5000000000000001E-2</v>
      </c>
      <c r="AA3444">
        <v>0.10199999999999999</v>
      </c>
      <c r="AB3444">
        <v>0.109</v>
      </c>
      <c r="AC3444">
        <v>0.11700000000000001</v>
      </c>
      <c r="AD3444">
        <v>0.126</v>
      </c>
    </row>
    <row r="3445" spans="2:30" x14ac:dyDescent="0.25">
      <c r="B3445" t="s">
        <v>133</v>
      </c>
      <c r="C3445" t="s">
        <v>3263</v>
      </c>
      <c r="D3445" t="s">
        <v>6194</v>
      </c>
      <c r="E3445" t="s">
        <v>6195</v>
      </c>
      <c r="F3445" t="s">
        <v>9156</v>
      </c>
      <c r="G3445" t="s">
        <v>6162</v>
      </c>
      <c r="H3445" t="s">
        <v>6193</v>
      </c>
      <c r="J3445">
        <v>1</v>
      </c>
      <c r="K3445">
        <v>1.0999999999999999E-2</v>
      </c>
      <c r="L3445">
        <v>1.0999999999999999E-2</v>
      </c>
      <c r="M3445">
        <v>0.01</v>
      </c>
      <c r="N3445">
        <v>0.01</v>
      </c>
      <c r="O3445">
        <v>0.01</v>
      </c>
      <c r="P3445">
        <v>1.2E-2</v>
      </c>
      <c r="Q3445">
        <v>1.2999999999999999E-2</v>
      </c>
      <c r="R3445">
        <v>1.4999999999999999E-2</v>
      </c>
      <c r="S3445">
        <v>1.6E-2</v>
      </c>
      <c r="T3445">
        <v>1.7999999999999999E-2</v>
      </c>
      <c r="U3445">
        <v>0.02</v>
      </c>
      <c r="V3445">
        <v>2.1999999999999999E-2</v>
      </c>
      <c r="W3445">
        <v>2.4E-2</v>
      </c>
      <c r="X3445">
        <v>2.7E-2</v>
      </c>
      <c r="Y3445">
        <v>2.9000000000000001E-2</v>
      </c>
      <c r="Z3445">
        <v>3.2000000000000001E-2</v>
      </c>
      <c r="AA3445">
        <v>3.5000000000000003E-2</v>
      </c>
      <c r="AB3445">
        <v>3.7999999999999999E-2</v>
      </c>
      <c r="AC3445">
        <v>4.2000000000000003E-2</v>
      </c>
      <c r="AD3445">
        <v>4.4999999999999998E-2</v>
      </c>
    </row>
    <row r="3446" spans="2:30" x14ac:dyDescent="0.25">
      <c r="B3446" t="s">
        <v>133</v>
      </c>
      <c r="C3446" t="s">
        <v>3263</v>
      </c>
      <c r="D3446" t="s">
        <v>6197</v>
      </c>
      <c r="E3446" t="s">
        <v>6198</v>
      </c>
      <c r="F3446" t="s">
        <v>9157</v>
      </c>
      <c r="G3446" t="s">
        <v>6162</v>
      </c>
      <c r="H3446" t="s">
        <v>6200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</row>
    <row r="3447" spans="2:30" x14ac:dyDescent="0.25">
      <c r="B3447" t="s">
        <v>133</v>
      </c>
      <c r="C3447" t="s">
        <v>3263</v>
      </c>
      <c r="D3447" t="s">
        <v>6201</v>
      </c>
      <c r="E3447" t="s">
        <v>6202</v>
      </c>
      <c r="F3447" t="s">
        <v>9158</v>
      </c>
      <c r="G3447" t="s">
        <v>6162</v>
      </c>
      <c r="H3447" t="s">
        <v>6200</v>
      </c>
      <c r="J3447">
        <v>1</v>
      </c>
      <c r="K3447">
        <v>0.14799999999999999</v>
      </c>
      <c r="L3447">
        <v>0.14099999999999999</v>
      </c>
      <c r="M3447">
        <v>0.125</v>
      </c>
      <c r="N3447">
        <v>0.121</v>
      </c>
      <c r="O3447">
        <v>0.123</v>
      </c>
      <c r="P3447">
        <v>0.127</v>
      </c>
      <c r="Q3447">
        <v>0.13200000000000001</v>
      </c>
      <c r="R3447">
        <v>0.13600000000000001</v>
      </c>
      <c r="S3447">
        <v>0.14099999999999999</v>
      </c>
      <c r="T3447">
        <v>0.14699999999999999</v>
      </c>
      <c r="U3447">
        <v>0.153</v>
      </c>
      <c r="V3447">
        <v>0.158</v>
      </c>
      <c r="W3447">
        <v>0.16300000000000001</v>
      </c>
      <c r="X3447">
        <v>0.16800000000000001</v>
      </c>
      <c r="Y3447">
        <v>0.17299999999999999</v>
      </c>
      <c r="Z3447">
        <v>0.17699999999999999</v>
      </c>
      <c r="AA3447">
        <v>0.182</v>
      </c>
      <c r="AB3447">
        <v>0.186</v>
      </c>
      <c r="AC3447">
        <v>0.19</v>
      </c>
      <c r="AD3447">
        <v>0.19500000000000001</v>
      </c>
    </row>
    <row r="3448" spans="2:30" x14ac:dyDescent="0.25">
      <c r="B3448" t="s">
        <v>133</v>
      </c>
      <c r="C3448" t="s">
        <v>3263</v>
      </c>
      <c r="D3448" t="s">
        <v>6204</v>
      </c>
      <c r="E3448" t="s">
        <v>6205</v>
      </c>
      <c r="F3448" t="s">
        <v>9159</v>
      </c>
      <c r="G3448" t="s">
        <v>3890</v>
      </c>
      <c r="H3448" t="s">
        <v>6207</v>
      </c>
      <c r="I3448" t="s">
        <v>5862</v>
      </c>
      <c r="K3448">
        <v>0</v>
      </c>
      <c r="L3448">
        <v>1.8000000000000001E-4</v>
      </c>
      <c r="M3448">
        <v>1.8000000000000001E-4</v>
      </c>
      <c r="N3448">
        <v>1.8000000000000001E-4</v>
      </c>
      <c r="O3448">
        <v>0.78808</v>
      </c>
      <c r="P3448">
        <v>0.88300999999999996</v>
      </c>
      <c r="Q3448">
        <v>1.17784</v>
      </c>
      <c r="R3448">
        <v>1.6243399999999999</v>
      </c>
      <c r="S3448">
        <v>2.1126900000000002</v>
      </c>
      <c r="T3448">
        <v>2.65625</v>
      </c>
      <c r="U3448">
        <v>3.3201000000000001</v>
      </c>
      <c r="V3448">
        <v>4.0452199999999996</v>
      </c>
      <c r="W3448">
        <v>4.8375599999999999</v>
      </c>
      <c r="X3448">
        <v>5.7018000000000004</v>
      </c>
      <c r="Y3448">
        <v>6.6456799999999996</v>
      </c>
      <c r="Z3448">
        <v>7.6745000000000001</v>
      </c>
      <c r="AA3448">
        <v>8.7972599999999996</v>
      </c>
      <c r="AB3448">
        <v>10.010350000000001</v>
      </c>
      <c r="AC3448">
        <v>11.381309999999999</v>
      </c>
      <c r="AD3448">
        <v>12.8788</v>
      </c>
    </row>
    <row r="3449" spans="2:30" x14ac:dyDescent="0.25">
      <c r="B3449" t="s">
        <v>133</v>
      </c>
      <c r="C3449" t="s">
        <v>3263</v>
      </c>
      <c r="D3449" t="s">
        <v>6208</v>
      </c>
      <c r="E3449" t="s">
        <v>6209</v>
      </c>
      <c r="F3449" t="s">
        <v>9160</v>
      </c>
      <c r="G3449" t="s">
        <v>3890</v>
      </c>
      <c r="H3449" t="s">
        <v>6207</v>
      </c>
      <c r="I3449" t="s">
        <v>5862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</row>
    <row r="3450" spans="2:30" x14ac:dyDescent="0.25">
      <c r="B3450" t="s">
        <v>133</v>
      </c>
      <c r="C3450" t="s">
        <v>3263</v>
      </c>
      <c r="D3450" t="s">
        <v>6211</v>
      </c>
      <c r="E3450" t="s">
        <v>6212</v>
      </c>
      <c r="F3450" t="s">
        <v>9161</v>
      </c>
      <c r="G3450" t="s">
        <v>3890</v>
      </c>
      <c r="H3450" t="s">
        <v>6207</v>
      </c>
      <c r="I3450" t="s">
        <v>5862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</row>
    <row r="3451" spans="2:30" x14ac:dyDescent="0.25">
      <c r="B3451" t="s">
        <v>133</v>
      </c>
      <c r="C3451" t="s">
        <v>3263</v>
      </c>
      <c r="D3451" t="s">
        <v>6214</v>
      </c>
      <c r="E3451" t="s">
        <v>6215</v>
      </c>
      <c r="F3451" t="s">
        <v>9162</v>
      </c>
      <c r="G3451" t="s">
        <v>3890</v>
      </c>
      <c r="H3451" t="s">
        <v>6207</v>
      </c>
      <c r="I3451" t="s">
        <v>5862</v>
      </c>
      <c r="K3451">
        <v>0</v>
      </c>
      <c r="L3451">
        <v>0</v>
      </c>
      <c r="M3451">
        <v>0</v>
      </c>
      <c r="N3451">
        <v>0</v>
      </c>
      <c r="O3451">
        <v>3.9190000000000003E-2</v>
      </c>
      <c r="P3451">
        <v>6.1830000000000003E-2</v>
      </c>
      <c r="Q3451">
        <v>9.06E-2</v>
      </c>
      <c r="R3451">
        <v>0.12570999999999999</v>
      </c>
      <c r="S3451">
        <v>0.16907</v>
      </c>
      <c r="T3451">
        <v>0.22359999999999999</v>
      </c>
      <c r="U3451">
        <v>0.29010999999999998</v>
      </c>
      <c r="V3451">
        <v>0.37032999999999999</v>
      </c>
      <c r="W3451">
        <v>0.46625</v>
      </c>
      <c r="X3451">
        <v>0.57938999999999996</v>
      </c>
      <c r="Y3451">
        <v>0.71120000000000005</v>
      </c>
      <c r="Z3451">
        <v>0.86358000000000001</v>
      </c>
      <c r="AA3451">
        <v>1.03837</v>
      </c>
      <c r="AB3451">
        <v>1.23688</v>
      </c>
      <c r="AC3451">
        <v>1.4607699999999999</v>
      </c>
      <c r="AD3451">
        <v>1.7106699999999999</v>
      </c>
    </row>
    <row r="3452" spans="2:30" x14ac:dyDescent="0.25">
      <c r="B3452" t="s">
        <v>133</v>
      </c>
      <c r="C3452" t="s">
        <v>3263</v>
      </c>
      <c r="D3452" t="s">
        <v>6217</v>
      </c>
      <c r="E3452" t="s">
        <v>6218</v>
      </c>
      <c r="F3452" t="s">
        <v>9163</v>
      </c>
      <c r="G3452" t="s">
        <v>3890</v>
      </c>
      <c r="H3452" t="s">
        <v>6207</v>
      </c>
      <c r="I3452" t="s">
        <v>5862</v>
      </c>
      <c r="K3452">
        <v>0</v>
      </c>
      <c r="L3452">
        <v>5.1000000000000004E-4</v>
      </c>
      <c r="M3452">
        <v>5.0000000000000001E-4</v>
      </c>
      <c r="N3452">
        <v>4.4000000000000002E-4</v>
      </c>
      <c r="O3452">
        <v>0.87022999999999995</v>
      </c>
      <c r="P3452">
        <v>0.96269000000000005</v>
      </c>
      <c r="Q3452">
        <v>1.18022</v>
      </c>
      <c r="R3452">
        <v>1.5470699999999999</v>
      </c>
      <c r="S3452">
        <v>1.8983099999999999</v>
      </c>
      <c r="T3452">
        <v>2.2677</v>
      </c>
      <c r="U3452">
        <v>2.73454</v>
      </c>
      <c r="V3452">
        <v>3.2106699999999999</v>
      </c>
      <c r="W3452">
        <v>3.6890200000000002</v>
      </c>
      <c r="X3452">
        <v>4.1638299999999999</v>
      </c>
      <c r="Y3452">
        <v>4.6345999999999998</v>
      </c>
      <c r="Z3452">
        <v>5.0953799999999996</v>
      </c>
      <c r="AA3452">
        <v>5.5463100000000001</v>
      </c>
      <c r="AB3452">
        <v>5.9742699999999997</v>
      </c>
      <c r="AC3452">
        <v>6.42971</v>
      </c>
      <c r="AD3452">
        <v>6.8703799999999999</v>
      </c>
    </row>
    <row r="3453" spans="2:30" x14ac:dyDescent="0.25">
      <c r="B3453" t="s">
        <v>133</v>
      </c>
      <c r="C3453" t="s">
        <v>3263</v>
      </c>
      <c r="D3453" t="s">
        <v>6220</v>
      </c>
      <c r="E3453" t="s">
        <v>6221</v>
      </c>
      <c r="F3453" t="s">
        <v>9164</v>
      </c>
      <c r="G3453" t="s">
        <v>3890</v>
      </c>
      <c r="H3453" t="s">
        <v>6207</v>
      </c>
      <c r="I3453" t="s">
        <v>3892</v>
      </c>
      <c r="K3453">
        <v>0</v>
      </c>
      <c r="L3453">
        <v>6.8999999999999997E-4</v>
      </c>
      <c r="M3453">
        <v>6.8000000000000005E-4</v>
      </c>
      <c r="N3453">
        <v>6.2E-4</v>
      </c>
      <c r="O3453">
        <v>1.7401599999999999</v>
      </c>
      <c r="P3453">
        <v>1.97027</v>
      </c>
      <c r="Q3453">
        <v>2.5337900000000002</v>
      </c>
      <c r="R3453">
        <v>3.4071799999999999</v>
      </c>
      <c r="S3453">
        <v>4.3189099999999998</v>
      </c>
      <c r="T3453">
        <v>5.31975</v>
      </c>
      <c r="U3453">
        <v>6.5538600000000002</v>
      </c>
      <c r="V3453">
        <v>7.8756399999999998</v>
      </c>
      <c r="W3453">
        <v>9.2881300000000007</v>
      </c>
      <c r="X3453">
        <v>10.79157</v>
      </c>
      <c r="Y3453">
        <v>12.39443</v>
      </c>
      <c r="Z3453">
        <v>14.09787</v>
      </c>
      <c r="AA3453">
        <v>15.912599999999999</v>
      </c>
      <c r="AB3453">
        <v>17.822849999999999</v>
      </c>
      <c r="AC3453">
        <v>19.948029999999999</v>
      </c>
      <c r="AD3453">
        <v>22.214230000000001</v>
      </c>
    </row>
    <row r="3454" spans="2:30" x14ac:dyDescent="0.25">
      <c r="B3454" t="s">
        <v>133</v>
      </c>
      <c r="C3454" t="s">
        <v>3263</v>
      </c>
      <c r="D3454" t="s">
        <v>6223</v>
      </c>
      <c r="E3454" t="s">
        <v>6224</v>
      </c>
      <c r="F3454" t="s">
        <v>9165</v>
      </c>
      <c r="G3454" t="s">
        <v>3890</v>
      </c>
      <c r="H3454" t="s">
        <v>6207</v>
      </c>
      <c r="I3454" t="s">
        <v>3892</v>
      </c>
      <c r="K3454">
        <v>0</v>
      </c>
      <c r="L3454">
        <v>0</v>
      </c>
      <c r="M3454">
        <v>0</v>
      </c>
      <c r="N3454">
        <v>0</v>
      </c>
      <c r="O3454">
        <v>1.25E-3</v>
      </c>
      <c r="P3454">
        <v>1.33E-3</v>
      </c>
      <c r="Q3454">
        <v>1.6800000000000001E-3</v>
      </c>
      <c r="R3454">
        <v>2.2100000000000002E-3</v>
      </c>
      <c r="S3454">
        <v>2.7399999999999998E-3</v>
      </c>
      <c r="T3454">
        <v>3.2799999999999999E-3</v>
      </c>
      <c r="U3454">
        <v>3.9199999999999999E-3</v>
      </c>
      <c r="V3454">
        <v>4.5599999999999998E-3</v>
      </c>
      <c r="W3454">
        <v>5.2100000000000002E-3</v>
      </c>
      <c r="X3454">
        <v>5.8799999999999998E-3</v>
      </c>
      <c r="Y3454">
        <v>6.5500000000000003E-3</v>
      </c>
      <c r="Z3454">
        <v>7.2399999999999999E-3</v>
      </c>
      <c r="AA3454">
        <v>7.9500000000000005E-3</v>
      </c>
      <c r="AB3454">
        <v>8.6700000000000006E-3</v>
      </c>
      <c r="AC3454">
        <v>9.4500000000000001E-3</v>
      </c>
      <c r="AD3454">
        <v>1.026E-2</v>
      </c>
    </row>
    <row r="3455" spans="2:30" x14ac:dyDescent="0.25">
      <c r="B3455" t="s">
        <v>133</v>
      </c>
      <c r="C3455" t="s">
        <v>3263</v>
      </c>
      <c r="D3455" t="s">
        <v>3448</v>
      </c>
      <c r="E3455" t="s">
        <v>3449</v>
      </c>
      <c r="F3455" t="s">
        <v>9166</v>
      </c>
      <c r="G3455" t="s">
        <v>3890</v>
      </c>
      <c r="H3455" t="s">
        <v>6207</v>
      </c>
      <c r="I3455" t="s">
        <v>3892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</row>
    <row r="3456" spans="2:30" x14ac:dyDescent="0.25">
      <c r="B3456" t="s">
        <v>133</v>
      </c>
      <c r="C3456" t="s">
        <v>3263</v>
      </c>
      <c r="D3456" t="s">
        <v>6227</v>
      </c>
      <c r="E3456" t="s">
        <v>6228</v>
      </c>
      <c r="F3456" t="s">
        <v>9167</v>
      </c>
      <c r="G3456" t="s">
        <v>3890</v>
      </c>
      <c r="H3456" t="s">
        <v>6207</v>
      </c>
      <c r="I3456" t="s">
        <v>3892</v>
      </c>
      <c r="K3456">
        <v>0</v>
      </c>
      <c r="L3456">
        <v>0</v>
      </c>
      <c r="M3456">
        <v>0</v>
      </c>
      <c r="N3456">
        <v>0</v>
      </c>
      <c r="O3456">
        <v>1.2999999999999999E-4</v>
      </c>
      <c r="P3456">
        <v>1.9000000000000001E-4</v>
      </c>
      <c r="Q3456">
        <v>2.5000000000000001E-4</v>
      </c>
      <c r="R3456">
        <v>3.2000000000000003E-4</v>
      </c>
      <c r="S3456">
        <v>4.0000000000000002E-4</v>
      </c>
      <c r="T3456">
        <v>4.8999999999999998E-4</v>
      </c>
      <c r="U3456">
        <v>5.9000000000000003E-4</v>
      </c>
      <c r="V3456">
        <v>6.9999999999999999E-4</v>
      </c>
      <c r="W3456">
        <v>8.1999999999999998E-4</v>
      </c>
      <c r="X3456">
        <v>9.5E-4</v>
      </c>
      <c r="Y3456">
        <v>1.1000000000000001E-3</v>
      </c>
      <c r="Z3456">
        <v>1.25E-3</v>
      </c>
      <c r="AA3456">
        <v>1.42E-3</v>
      </c>
      <c r="AB3456">
        <v>1.5900000000000001E-3</v>
      </c>
      <c r="AC3456">
        <v>1.7700000000000001E-3</v>
      </c>
      <c r="AD3456">
        <v>1.9599999999999999E-3</v>
      </c>
    </row>
    <row r="3457" spans="2:30" x14ac:dyDescent="0.25">
      <c r="B3457" t="s">
        <v>133</v>
      </c>
      <c r="C3457" t="s">
        <v>3263</v>
      </c>
      <c r="D3457" t="s">
        <v>6230</v>
      </c>
      <c r="E3457" t="s">
        <v>6231</v>
      </c>
      <c r="F3457" t="s">
        <v>9168</v>
      </c>
      <c r="G3457" t="s">
        <v>3890</v>
      </c>
      <c r="H3457" t="s">
        <v>6207</v>
      </c>
      <c r="I3457" t="s">
        <v>3892</v>
      </c>
      <c r="K3457">
        <v>0</v>
      </c>
      <c r="L3457">
        <v>0</v>
      </c>
      <c r="M3457">
        <v>0</v>
      </c>
      <c r="N3457">
        <v>0</v>
      </c>
      <c r="O3457">
        <v>1.3799999999999999E-3</v>
      </c>
      <c r="P3457">
        <v>1.4499999999999999E-3</v>
      </c>
      <c r="Q3457">
        <v>1.6900000000000001E-3</v>
      </c>
      <c r="R3457">
        <v>2.0999999999999999E-3</v>
      </c>
      <c r="S3457">
        <v>2.4599999999999999E-3</v>
      </c>
      <c r="T3457">
        <v>2.8E-3</v>
      </c>
      <c r="U3457">
        <v>3.2299999999999998E-3</v>
      </c>
      <c r="V3457">
        <v>3.62E-3</v>
      </c>
      <c r="W3457">
        <v>3.98E-3</v>
      </c>
      <c r="X3457">
        <v>4.2900000000000004E-3</v>
      </c>
      <c r="Y3457">
        <v>4.5700000000000003E-3</v>
      </c>
      <c r="Z3457">
        <v>4.81E-3</v>
      </c>
      <c r="AA3457">
        <v>5.0099999999999997E-3</v>
      </c>
      <c r="AB3457">
        <v>5.1700000000000001E-3</v>
      </c>
      <c r="AC3457">
        <v>5.3400000000000001E-3</v>
      </c>
      <c r="AD3457">
        <v>5.47E-3</v>
      </c>
    </row>
    <row r="3458" spans="2:30" x14ac:dyDescent="0.25">
      <c r="B3458" t="s">
        <v>133</v>
      </c>
      <c r="C3458" t="s">
        <v>3263</v>
      </c>
      <c r="D3458" t="s">
        <v>6233</v>
      </c>
      <c r="E3458" t="s">
        <v>6234</v>
      </c>
      <c r="F3458" t="s">
        <v>9169</v>
      </c>
      <c r="G3458" t="s">
        <v>3890</v>
      </c>
      <c r="H3458" t="s">
        <v>6207</v>
      </c>
      <c r="I3458" t="s">
        <v>3892</v>
      </c>
      <c r="K3458">
        <v>0</v>
      </c>
      <c r="L3458">
        <v>0</v>
      </c>
      <c r="M3458">
        <v>0</v>
      </c>
      <c r="N3458">
        <v>0</v>
      </c>
      <c r="O3458">
        <v>2.7499999999999998E-3</v>
      </c>
      <c r="P3458">
        <v>2.97E-3</v>
      </c>
      <c r="Q3458">
        <v>3.62E-3</v>
      </c>
      <c r="R3458">
        <v>4.6299999999999996E-3</v>
      </c>
      <c r="S3458">
        <v>5.5999999999999999E-3</v>
      </c>
      <c r="T3458">
        <v>6.5799999999999999E-3</v>
      </c>
      <c r="U3458">
        <v>7.7400000000000004E-3</v>
      </c>
      <c r="V3458">
        <v>8.8800000000000007E-3</v>
      </c>
      <c r="W3458">
        <v>1.001E-2</v>
      </c>
      <c r="X3458">
        <v>1.112E-2</v>
      </c>
      <c r="Y3458">
        <v>1.222E-2</v>
      </c>
      <c r="Z3458">
        <v>1.3310000000000001E-2</v>
      </c>
      <c r="AA3458">
        <v>1.438E-2</v>
      </c>
      <c r="AB3458">
        <v>1.5440000000000001E-2</v>
      </c>
      <c r="AC3458">
        <v>1.6559999999999998E-2</v>
      </c>
      <c r="AD3458">
        <v>1.7690000000000001E-2</v>
      </c>
    </row>
    <row r="3459" spans="2:30" x14ac:dyDescent="0.25">
      <c r="B3459" t="s">
        <v>133</v>
      </c>
      <c r="C3459" t="s">
        <v>3263</v>
      </c>
      <c r="D3459" t="s">
        <v>6236</v>
      </c>
      <c r="E3459" t="s">
        <v>6237</v>
      </c>
      <c r="F3459" t="s">
        <v>9170</v>
      </c>
      <c r="G3459" t="s">
        <v>6239</v>
      </c>
      <c r="H3459" t="s">
        <v>6240</v>
      </c>
      <c r="I3459" t="s">
        <v>6241</v>
      </c>
      <c r="K3459">
        <v>-0.28871999999999998</v>
      </c>
      <c r="L3459">
        <v>-0.28204000000000001</v>
      </c>
      <c r="M3459">
        <v>-0.28360000000000002</v>
      </c>
      <c r="N3459">
        <v>-0.28437000000000001</v>
      </c>
      <c r="O3459">
        <v>-0.28355000000000002</v>
      </c>
      <c r="P3459">
        <v>-0.28605999999999998</v>
      </c>
      <c r="Q3459">
        <v>-0.28848000000000001</v>
      </c>
      <c r="R3459">
        <v>-0.29282999999999998</v>
      </c>
      <c r="S3459">
        <v>-0.29726000000000002</v>
      </c>
      <c r="T3459">
        <v>-0.30309000000000003</v>
      </c>
    </row>
    <row r="3460" spans="2:30" x14ac:dyDescent="0.25">
      <c r="B3460" t="s">
        <v>133</v>
      </c>
      <c r="C3460" t="s">
        <v>3263</v>
      </c>
      <c r="D3460" t="s">
        <v>6242</v>
      </c>
      <c r="E3460" t="s">
        <v>6243</v>
      </c>
      <c r="F3460" t="s">
        <v>9171</v>
      </c>
      <c r="G3460" t="s">
        <v>6239</v>
      </c>
      <c r="H3460" t="s">
        <v>6240</v>
      </c>
      <c r="I3460" t="s">
        <v>6241</v>
      </c>
      <c r="K3460">
        <v>-0.28816000000000003</v>
      </c>
      <c r="L3460">
        <v>-0.28771000000000002</v>
      </c>
      <c r="M3460">
        <v>-0.28220000000000001</v>
      </c>
      <c r="N3460">
        <v>-0.28794999999999998</v>
      </c>
      <c r="O3460">
        <v>-0.29391</v>
      </c>
      <c r="P3460">
        <v>-0.28922999999999999</v>
      </c>
      <c r="Q3460">
        <v>-0.29976999999999998</v>
      </c>
      <c r="R3460">
        <v>-0.29335</v>
      </c>
      <c r="S3460">
        <v>-0.30099999999999999</v>
      </c>
      <c r="T3460">
        <v>-0.30696000000000001</v>
      </c>
    </row>
    <row r="3461" spans="2:30" x14ac:dyDescent="0.25">
      <c r="B3461" t="s">
        <v>133</v>
      </c>
      <c r="C3461" t="s">
        <v>3263</v>
      </c>
      <c r="D3461" t="s">
        <v>6245</v>
      </c>
      <c r="E3461" t="s">
        <v>6246</v>
      </c>
      <c r="F3461" t="s">
        <v>9172</v>
      </c>
      <c r="G3461" t="s">
        <v>6239</v>
      </c>
      <c r="H3461" t="s">
        <v>6248</v>
      </c>
      <c r="I3461" t="s">
        <v>6241</v>
      </c>
      <c r="K3461">
        <v>-6.232E-2</v>
      </c>
      <c r="L3461">
        <v>-5.8279999999999998E-2</v>
      </c>
      <c r="M3461">
        <v>-6.2149999999999997E-2</v>
      </c>
      <c r="N3461">
        <v>-5.7660000000000003E-2</v>
      </c>
      <c r="O3461">
        <v>-6.123E-2</v>
      </c>
      <c r="P3461">
        <v>-6.2269999999999999E-2</v>
      </c>
      <c r="Q3461">
        <v>-6.3229999999999995E-2</v>
      </c>
      <c r="R3461">
        <v>-6.6689999999999999E-2</v>
      </c>
      <c r="S3461">
        <v>-6.6070000000000004E-2</v>
      </c>
      <c r="T3461">
        <v>-7.1550000000000002E-2</v>
      </c>
    </row>
    <row r="3462" spans="2:30" x14ac:dyDescent="0.25">
      <c r="B3462" t="s">
        <v>133</v>
      </c>
      <c r="C3462" t="s">
        <v>3263</v>
      </c>
      <c r="D3462" t="s">
        <v>6249</v>
      </c>
      <c r="E3462" t="s">
        <v>6250</v>
      </c>
      <c r="F3462" t="s">
        <v>9173</v>
      </c>
      <c r="G3462" t="s">
        <v>6239</v>
      </c>
      <c r="H3462" t="s">
        <v>6248</v>
      </c>
      <c r="I3462" t="s">
        <v>6241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2:30" x14ac:dyDescent="0.25">
      <c r="B3463" t="s">
        <v>133</v>
      </c>
      <c r="C3463" t="s">
        <v>3263</v>
      </c>
      <c r="D3463" t="s">
        <v>6252</v>
      </c>
      <c r="E3463" t="s">
        <v>6253</v>
      </c>
      <c r="F3463" t="s">
        <v>9174</v>
      </c>
      <c r="G3463" t="s">
        <v>6239</v>
      </c>
      <c r="H3463" t="s">
        <v>6248</v>
      </c>
      <c r="I3463" t="s">
        <v>6241</v>
      </c>
      <c r="K3463">
        <v>-5.0029999999999998E-2</v>
      </c>
      <c r="L3463">
        <v>-4.5569999999999999E-2</v>
      </c>
      <c r="M3463">
        <v>-4.4760000000000001E-2</v>
      </c>
      <c r="N3463">
        <v>-4.3990000000000001E-2</v>
      </c>
      <c r="O3463">
        <v>-4.3999999999999997E-2</v>
      </c>
      <c r="P3463">
        <v>-4.446E-2</v>
      </c>
      <c r="Q3463">
        <v>-4.58E-2</v>
      </c>
      <c r="R3463">
        <v>-4.7489999999999997E-2</v>
      </c>
      <c r="S3463">
        <v>-4.8169999999999998E-2</v>
      </c>
      <c r="T3463">
        <v>-5.2040000000000003E-2</v>
      </c>
    </row>
    <row r="3464" spans="2:30" x14ac:dyDescent="0.25">
      <c r="B3464" t="s">
        <v>133</v>
      </c>
      <c r="C3464" t="s">
        <v>3263</v>
      </c>
      <c r="D3464" t="s">
        <v>6255</v>
      </c>
      <c r="E3464" t="s">
        <v>6256</v>
      </c>
      <c r="F3464" t="s">
        <v>9175</v>
      </c>
      <c r="G3464" t="s">
        <v>6239</v>
      </c>
      <c r="H3464" t="s">
        <v>6248</v>
      </c>
      <c r="I3464" t="s">
        <v>6241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2:30" x14ac:dyDescent="0.25">
      <c r="B3465" t="s">
        <v>133</v>
      </c>
      <c r="C3465" t="s">
        <v>3263</v>
      </c>
      <c r="D3465" t="s">
        <v>6258</v>
      </c>
      <c r="E3465" t="s">
        <v>6259</v>
      </c>
      <c r="F3465" t="s">
        <v>9176</v>
      </c>
      <c r="G3465" t="s">
        <v>6239</v>
      </c>
      <c r="H3465" t="s">
        <v>6248</v>
      </c>
      <c r="I3465" t="s">
        <v>6241</v>
      </c>
      <c r="K3465">
        <v>-1.2290000000000001E-2</v>
      </c>
      <c r="L3465">
        <v>-1.2710000000000001E-2</v>
      </c>
      <c r="M3465">
        <v>-1.7389999999999999E-2</v>
      </c>
      <c r="N3465">
        <v>-1.3679999999999999E-2</v>
      </c>
      <c r="O3465">
        <v>-1.7219999999999999E-2</v>
      </c>
      <c r="P3465">
        <v>-1.7809999999999999E-2</v>
      </c>
      <c r="Q3465">
        <v>-1.7430000000000001E-2</v>
      </c>
      <c r="R3465">
        <v>-1.9199999999999998E-2</v>
      </c>
      <c r="S3465">
        <v>-1.7899999999999999E-2</v>
      </c>
      <c r="T3465">
        <v>-1.951E-2</v>
      </c>
    </row>
    <row r="3466" spans="2:30" x14ac:dyDescent="0.25">
      <c r="B3466" t="s">
        <v>133</v>
      </c>
      <c r="C3466" t="s">
        <v>3263</v>
      </c>
      <c r="D3466" t="s">
        <v>6261</v>
      </c>
      <c r="E3466" t="s">
        <v>6262</v>
      </c>
      <c r="F3466" t="s">
        <v>9177</v>
      </c>
      <c r="G3466" t="s">
        <v>6239</v>
      </c>
      <c r="H3466" t="s">
        <v>6248</v>
      </c>
      <c r="I3466" t="s">
        <v>6241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2:30" x14ac:dyDescent="0.25">
      <c r="B3467" t="s">
        <v>133</v>
      </c>
      <c r="C3467" t="s">
        <v>3263</v>
      </c>
      <c r="D3467" t="s">
        <v>6264</v>
      </c>
      <c r="E3467" t="s">
        <v>6265</v>
      </c>
      <c r="F3467" t="s">
        <v>9178</v>
      </c>
      <c r="G3467" t="s">
        <v>6239</v>
      </c>
      <c r="H3467" t="s">
        <v>6248</v>
      </c>
      <c r="I3467" t="s">
        <v>6241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2:30" x14ac:dyDescent="0.25">
      <c r="B3468" t="s">
        <v>133</v>
      </c>
      <c r="C3468" t="s">
        <v>3263</v>
      </c>
      <c r="D3468" t="s">
        <v>6267</v>
      </c>
      <c r="E3468" t="s">
        <v>6268</v>
      </c>
      <c r="F3468" t="s">
        <v>9179</v>
      </c>
      <c r="G3468" t="s">
        <v>6239</v>
      </c>
      <c r="H3468" t="s">
        <v>6248</v>
      </c>
      <c r="I3468" t="s">
        <v>6241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2:30" x14ac:dyDescent="0.25">
      <c r="B3469" t="s">
        <v>133</v>
      </c>
      <c r="C3469" t="s">
        <v>3263</v>
      </c>
      <c r="D3469" t="s">
        <v>6270</v>
      </c>
      <c r="E3469" t="s">
        <v>6271</v>
      </c>
      <c r="F3469" t="s">
        <v>9180</v>
      </c>
      <c r="G3469" t="s">
        <v>6239</v>
      </c>
      <c r="H3469" t="s">
        <v>6248</v>
      </c>
      <c r="I3469" t="s">
        <v>6241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2:30" x14ac:dyDescent="0.25">
      <c r="B3470" t="s">
        <v>133</v>
      </c>
      <c r="C3470" t="s">
        <v>3263</v>
      </c>
      <c r="D3470" t="s">
        <v>6273</v>
      </c>
      <c r="E3470" t="s">
        <v>6274</v>
      </c>
      <c r="F3470" t="s">
        <v>9181</v>
      </c>
      <c r="G3470" t="s">
        <v>6239</v>
      </c>
      <c r="H3470" t="s">
        <v>6276</v>
      </c>
      <c r="I3470" t="s">
        <v>6241</v>
      </c>
      <c r="K3470">
        <v>-0.22566</v>
      </c>
      <c r="L3470">
        <v>-0.224</v>
      </c>
      <c r="M3470">
        <v>-0.22423999999999999</v>
      </c>
      <c r="N3470">
        <v>-0.22503000000000001</v>
      </c>
      <c r="O3470">
        <v>-0.22656999999999999</v>
      </c>
      <c r="P3470">
        <v>-0.22749</v>
      </c>
      <c r="Q3470">
        <v>-0.22892000000000001</v>
      </c>
      <c r="R3470">
        <v>-0.23078000000000001</v>
      </c>
      <c r="S3470">
        <v>-0.23136999999999999</v>
      </c>
      <c r="T3470">
        <v>-0.23294999999999999</v>
      </c>
    </row>
    <row r="3471" spans="2:30" x14ac:dyDescent="0.25">
      <c r="B3471" t="s">
        <v>133</v>
      </c>
      <c r="C3471" t="s">
        <v>3263</v>
      </c>
      <c r="D3471" t="s">
        <v>6277</v>
      </c>
      <c r="E3471" t="s">
        <v>6278</v>
      </c>
      <c r="F3471" t="s">
        <v>9182</v>
      </c>
      <c r="G3471" t="s">
        <v>6239</v>
      </c>
      <c r="H3471" t="s">
        <v>6276</v>
      </c>
      <c r="I3471" t="s">
        <v>6241</v>
      </c>
      <c r="K3471">
        <v>-6.1999999999999998E-3</v>
      </c>
      <c r="L3471">
        <v>-6.0099999999999997E-3</v>
      </c>
      <c r="M3471">
        <v>-6.1199999999999996E-3</v>
      </c>
      <c r="N3471">
        <v>-5.94E-3</v>
      </c>
      <c r="O3471">
        <v>-6.13E-3</v>
      </c>
      <c r="P3471">
        <v>-6.0899999999999999E-3</v>
      </c>
      <c r="Q3471">
        <v>-6.1500000000000001E-3</v>
      </c>
      <c r="R3471">
        <v>-6.0000000000000001E-3</v>
      </c>
      <c r="S3471">
        <v>-5.94E-3</v>
      </c>
      <c r="T3471">
        <v>-6.2899999999999996E-3</v>
      </c>
    </row>
    <row r="3472" spans="2:30" x14ac:dyDescent="0.25">
      <c r="B3472" t="s">
        <v>133</v>
      </c>
      <c r="C3472" t="s">
        <v>3263</v>
      </c>
      <c r="D3472" t="s">
        <v>6280</v>
      </c>
      <c r="E3472" t="s">
        <v>6281</v>
      </c>
      <c r="F3472" t="s">
        <v>9183</v>
      </c>
      <c r="G3472" t="s">
        <v>6239</v>
      </c>
      <c r="H3472" t="s">
        <v>6276</v>
      </c>
      <c r="I3472" t="s">
        <v>6241</v>
      </c>
      <c r="K3472">
        <v>-3.9759999999999997E-2</v>
      </c>
      <c r="L3472">
        <v>-3.6069999999999998E-2</v>
      </c>
      <c r="M3472">
        <v>-3.5459999999999998E-2</v>
      </c>
      <c r="N3472">
        <v>-3.5139999999999998E-2</v>
      </c>
      <c r="O3472">
        <v>-3.4540000000000001E-2</v>
      </c>
      <c r="P3472">
        <v>-3.4799999999999998E-2</v>
      </c>
      <c r="Q3472">
        <v>-3.4569999999999997E-2</v>
      </c>
      <c r="R3472">
        <v>-3.4099999999999998E-2</v>
      </c>
      <c r="S3472">
        <v>-3.4049999999999997E-2</v>
      </c>
      <c r="T3472">
        <v>-3.3599999999999998E-2</v>
      </c>
    </row>
    <row r="3473" spans="2:20" x14ac:dyDescent="0.25">
      <c r="B3473" t="s">
        <v>133</v>
      </c>
      <c r="C3473" t="s">
        <v>3263</v>
      </c>
      <c r="D3473" t="s">
        <v>6283</v>
      </c>
      <c r="E3473" t="s">
        <v>6284</v>
      </c>
      <c r="F3473" t="s">
        <v>9184</v>
      </c>
      <c r="G3473" t="s">
        <v>6239</v>
      </c>
      <c r="H3473" t="s">
        <v>6276</v>
      </c>
      <c r="I3473" t="s">
        <v>6241</v>
      </c>
      <c r="K3473">
        <v>-8.7799999999999996E-3</v>
      </c>
      <c r="L3473">
        <v>-9.2999999999999992E-3</v>
      </c>
      <c r="M3473">
        <v>-9.4800000000000006E-3</v>
      </c>
      <c r="N3473">
        <v>-9.5700000000000004E-3</v>
      </c>
      <c r="O3473">
        <v>-9.3699999999999999E-3</v>
      </c>
      <c r="P3473">
        <v>-9.2099999999999994E-3</v>
      </c>
      <c r="Q3473">
        <v>-8.77E-3</v>
      </c>
      <c r="R3473">
        <v>-8.0400000000000003E-3</v>
      </c>
      <c r="S3473">
        <v>-7.62E-3</v>
      </c>
      <c r="T3473">
        <v>-6.6E-3</v>
      </c>
    </row>
    <row r="3474" spans="2:20" x14ac:dyDescent="0.25">
      <c r="B3474" t="s">
        <v>133</v>
      </c>
      <c r="C3474" t="s">
        <v>3263</v>
      </c>
      <c r="D3474" t="s">
        <v>6286</v>
      </c>
      <c r="E3474" t="s">
        <v>6287</v>
      </c>
      <c r="F3474" t="s">
        <v>9185</v>
      </c>
      <c r="G3474" t="s">
        <v>6239</v>
      </c>
      <c r="H3474" t="s">
        <v>6276</v>
      </c>
      <c r="I3474" t="s">
        <v>6241</v>
      </c>
      <c r="K3474">
        <v>-1.2600000000000001E-3</v>
      </c>
      <c r="L3474">
        <v>-1.2700000000000001E-3</v>
      </c>
      <c r="M3474">
        <v>-1.3600000000000001E-3</v>
      </c>
      <c r="N3474">
        <v>-1.4499999999999999E-3</v>
      </c>
      <c r="O3474">
        <v>-1.56E-3</v>
      </c>
      <c r="P3474">
        <v>-1.6100000000000001E-3</v>
      </c>
      <c r="Q3474">
        <v>-1.66E-3</v>
      </c>
      <c r="R3474">
        <v>-1.64E-3</v>
      </c>
      <c r="S3474">
        <v>-1.7099999999999999E-3</v>
      </c>
      <c r="T3474">
        <v>-1.73E-3</v>
      </c>
    </row>
    <row r="3475" spans="2:20" x14ac:dyDescent="0.25">
      <c r="B3475" t="s">
        <v>133</v>
      </c>
      <c r="C3475" t="s">
        <v>3263</v>
      </c>
      <c r="D3475" t="s">
        <v>6289</v>
      </c>
      <c r="E3475" t="s">
        <v>6290</v>
      </c>
      <c r="F3475" t="s">
        <v>9186</v>
      </c>
      <c r="G3475" t="s">
        <v>6239</v>
      </c>
      <c r="H3475" t="s">
        <v>6276</v>
      </c>
      <c r="I3475" t="s">
        <v>6241</v>
      </c>
      <c r="K3475">
        <v>-3.5899999999999999E-3</v>
      </c>
      <c r="L3475">
        <v>-4.7099999999999998E-3</v>
      </c>
      <c r="M3475">
        <v>-5.2100000000000002E-3</v>
      </c>
      <c r="N3475">
        <v>-5.3E-3</v>
      </c>
      <c r="O3475">
        <v>-5.45E-3</v>
      </c>
      <c r="P3475">
        <v>-5.2599999999999999E-3</v>
      </c>
      <c r="Q3475">
        <v>-5.0200000000000002E-3</v>
      </c>
      <c r="R3475">
        <v>-4.3699999999999998E-3</v>
      </c>
      <c r="S3475">
        <v>-3.5100000000000001E-3</v>
      </c>
      <c r="T3475">
        <v>-1.91E-3</v>
      </c>
    </row>
    <row r="3476" spans="2:20" x14ac:dyDescent="0.25">
      <c r="B3476" t="s">
        <v>133</v>
      </c>
      <c r="C3476" t="s">
        <v>3263</v>
      </c>
      <c r="D3476" t="s">
        <v>6292</v>
      </c>
      <c r="E3476" t="s">
        <v>6293</v>
      </c>
      <c r="F3476" t="s">
        <v>9187</v>
      </c>
      <c r="G3476" t="s">
        <v>6239</v>
      </c>
      <c r="H3476" t="s">
        <v>6276</v>
      </c>
      <c r="I3476" t="s">
        <v>6241</v>
      </c>
      <c r="K3476">
        <v>-8.9870000000000005E-2</v>
      </c>
      <c r="L3476">
        <v>-9.0329999999999994E-2</v>
      </c>
      <c r="M3476">
        <v>-8.8969999999999994E-2</v>
      </c>
      <c r="N3476">
        <v>-8.8249999999999995E-2</v>
      </c>
      <c r="O3476">
        <v>-8.6470000000000005E-2</v>
      </c>
      <c r="P3476">
        <v>-8.6209999999999995E-2</v>
      </c>
      <c r="Q3476">
        <v>-8.4849999999999995E-2</v>
      </c>
      <c r="R3476">
        <v>-8.4750000000000006E-2</v>
      </c>
      <c r="S3476">
        <v>-8.5239999999999996E-2</v>
      </c>
      <c r="T3476">
        <v>-8.0839999999999995E-2</v>
      </c>
    </row>
    <row r="3477" spans="2:20" x14ac:dyDescent="0.25">
      <c r="B3477" t="s">
        <v>133</v>
      </c>
      <c r="C3477" t="s">
        <v>3263</v>
      </c>
      <c r="D3477" t="s">
        <v>6295</v>
      </c>
      <c r="E3477" t="s">
        <v>6296</v>
      </c>
      <c r="F3477" t="s">
        <v>9188</v>
      </c>
      <c r="G3477" t="s">
        <v>6239</v>
      </c>
      <c r="H3477" t="s">
        <v>6276</v>
      </c>
      <c r="I3477" t="s">
        <v>6241</v>
      </c>
      <c r="K3477">
        <v>-5.3400000000000001E-3</v>
      </c>
      <c r="L3477">
        <v>-5.4099999999999999E-3</v>
      </c>
      <c r="M3477">
        <v>-5.8500000000000002E-3</v>
      </c>
      <c r="N3477">
        <v>-6.62E-3</v>
      </c>
      <c r="O3477">
        <v>-6.7400000000000003E-3</v>
      </c>
      <c r="P3477">
        <v>-7.11E-3</v>
      </c>
      <c r="Q3477">
        <v>-7.79E-3</v>
      </c>
      <c r="R3477">
        <v>-8.2500000000000004E-3</v>
      </c>
      <c r="S3477">
        <v>-8.4799999999999997E-3</v>
      </c>
      <c r="T3477">
        <v>-1.064E-2</v>
      </c>
    </row>
    <row r="3478" spans="2:20" x14ac:dyDescent="0.25">
      <c r="B3478" t="s">
        <v>133</v>
      </c>
      <c r="C3478" t="s">
        <v>3263</v>
      </c>
      <c r="D3478" t="s">
        <v>6298</v>
      </c>
      <c r="E3478" t="s">
        <v>6299</v>
      </c>
      <c r="F3478" t="s">
        <v>9189</v>
      </c>
      <c r="G3478" t="s">
        <v>6239</v>
      </c>
      <c r="H3478" t="s">
        <v>6276</v>
      </c>
      <c r="I3478" t="s">
        <v>6241</v>
      </c>
      <c r="K3478">
        <v>-6.4599999999999996E-3</v>
      </c>
      <c r="L3478">
        <v>-5.9500000000000004E-3</v>
      </c>
      <c r="M3478">
        <v>-6.0200000000000002E-3</v>
      </c>
      <c r="N3478">
        <v>-5.7600000000000004E-3</v>
      </c>
      <c r="O3478">
        <v>-5.94E-3</v>
      </c>
      <c r="P3478">
        <v>-5.77E-3</v>
      </c>
      <c r="Q3478">
        <v>-6.1000000000000004E-3</v>
      </c>
      <c r="R3478">
        <v>-5.8700000000000002E-3</v>
      </c>
      <c r="S3478">
        <v>-6.11E-3</v>
      </c>
      <c r="T3478">
        <v>-7.5300000000000002E-3</v>
      </c>
    </row>
    <row r="3479" spans="2:20" x14ac:dyDescent="0.25">
      <c r="B3479" t="s">
        <v>133</v>
      </c>
      <c r="C3479" t="s">
        <v>3263</v>
      </c>
      <c r="D3479" t="s">
        <v>6301</v>
      </c>
      <c r="E3479" t="s">
        <v>6302</v>
      </c>
      <c r="F3479" t="s">
        <v>9190</v>
      </c>
      <c r="G3479" t="s">
        <v>6239</v>
      </c>
      <c r="H3479" t="s">
        <v>6276</v>
      </c>
      <c r="I3479" t="s">
        <v>6241</v>
      </c>
      <c r="K3479">
        <v>-1.0000000000000001E-5</v>
      </c>
      <c r="L3479">
        <v>-1.0000000000000001E-5</v>
      </c>
      <c r="M3479">
        <v>0</v>
      </c>
      <c r="N3479">
        <v>-1.0000000000000001E-5</v>
      </c>
      <c r="O3479">
        <v>-1.0000000000000001E-5</v>
      </c>
      <c r="P3479">
        <v>-1.0000000000000001E-5</v>
      </c>
      <c r="Q3479">
        <v>-1.0000000000000001E-5</v>
      </c>
      <c r="R3479">
        <v>-1.0000000000000001E-5</v>
      </c>
      <c r="S3479">
        <v>-1.0000000000000001E-5</v>
      </c>
      <c r="T3479">
        <v>-2.0000000000000002E-5</v>
      </c>
    </row>
    <row r="3480" spans="2:20" x14ac:dyDescent="0.25">
      <c r="B3480" t="s">
        <v>133</v>
      </c>
      <c r="C3480" t="s">
        <v>3263</v>
      </c>
      <c r="D3480" t="s">
        <v>6304</v>
      </c>
      <c r="E3480" t="s">
        <v>6305</v>
      </c>
      <c r="F3480" t="s">
        <v>9191</v>
      </c>
      <c r="G3480" t="s">
        <v>6239</v>
      </c>
      <c r="H3480" t="s">
        <v>6276</v>
      </c>
      <c r="I3480" t="s">
        <v>6241</v>
      </c>
      <c r="K3480">
        <v>-6.1500000000000001E-3</v>
      </c>
      <c r="L3480">
        <v>-5.9899999999999997E-3</v>
      </c>
      <c r="M3480">
        <v>-6.0200000000000002E-3</v>
      </c>
      <c r="N3480">
        <v>-5.7800000000000004E-3</v>
      </c>
      <c r="O3480">
        <v>-5.7499999999999999E-3</v>
      </c>
      <c r="P3480">
        <v>-5.1200000000000004E-3</v>
      </c>
      <c r="Q3480">
        <v>-4.4900000000000001E-3</v>
      </c>
      <c r="R3480">
        <v>-3.9500000000000004E-3</v>
      </c>
      <c r="S3480">
        <v>-3.1900000000000001E-3</v>
      </c>
      <c r="T3480">
        <v>-2.2899999999999999E-3</v>
      </c>
    </row>
    <row r="3481" spans="2:20" x14ac:dyDescent="0.25">
      <c r="B3481" t="s">
        <v>133</v>
      </c>
      <c r="C3481" t="s">
        <v>3263</v>
      </c>
      <c r="D3481" t="s">
        <v>6307</v>
      </c>
      <c r="E3481" t="s">
        <v>6308</v>
      </c>
      <c r="F3481" t="s">
        <v>9192</v>
      </c>
      <c r="G3481" t="s">
        <v>6239</v>
      </c>
      <c r="H3481" t="s">
        <v>6276</v>
      </c>
      <c r="I3481" t="s">
        <v>6241</v>
      </c>
      <c r="K3481">
        <v>-1.9400000000000001E-2</v>
      </c>
      <c r="L3481">
        <v>-2.0709999999999999E-2</v>
      </c>
      <c r="M3481">
        <v>-2.1440000000000001E-2</v>
      </c>
      <c r="N3481">
        <v>-2.265E-2</v>
      </c>
      <c r="O3481">
        <v>-2.41E-2</v>
      </c>
      <c r="P3481">
        <v>-2.5919999999999999E-2</v>
      </c>
      <c r="Q3481">
        <v>-2.8490000000000001E-2</v>
      </c>
      <c r="R3481">
        <v>-3.3340000000000002E-2</v>
      </c>
      <c r="S3481">
        <v>-3.5249999999999997E-2</v>
      </c>
      <c r="T3481">
        <v>-4.231E-2</v>
      </c>
    </row>
    <row r="3482" spans="2:20" x14ac:dyDescent="0.25">
      <c r="B3482" t="s">
        <v>133</v>
      </c>
      <c r="C3482" t="s">
        <v>3263</v>
      </c>
      <c r="D3482" t="s">
        <v>6310</v>
      </c>
      <c r="E3482" t="s">
        <v>6311</v>
      </c>
      <c r="F3482" t="s">
        <v>9193</v>
      </c>
      <c r="G3482" t="s">
        <v>6239</v>
      </c>
      <c r="H3482" t="s">
        <v>6276</v>
      </c>
      <c r="I3482" t="s">
        <v>6241</v>
      </c>
      <c r="K3482">
        <v>-7.9799999999999992E-3</v>
      </c>
      <c r="L3482">
        <v>-7.7799999999999996E-3</v>
      </c>
      <c r="M3482">
        <v>-7.5300000000000002E-3</v>
      </c>
      <c r="N3482">
        <v>-7.6499999999999997E-3</v>
      </c>
      <c r="O3482">
        <v>-7.7400000000000004E-3</v>
      </c>
      <c r="P3482">
        <v>-7.7400000000000004E-3</v>
      </c>
      <c r="Q3482">
        <v>-7.5799999999999999E-3</v>
      </c>
      <c r="R3482">
        <v>-7.5700000000000003E-3</v>
      </c>
      <c r="S3482">
        <v>-7.7499999999999999E-3</v>
      </c>
      <c r="T3482">
        <v>-8.5699999999999995E-3</v>
      </c>
    </row>
    <row r="3483" spans="2:20" x14ac:dyDescent="0.25">
      <c r="B3483" t="s">
        <v>133</v>
      </c>
      <c r="C3483" t="s">
        <v>3263</v>
      </c>
      <c r="D3483" t="s">
        <v>6313</v>
      </c>
      <c r="E3483" t="s">
        <v>6314</v>
      </c>
      <c r="F3483" t="s">
        <v>9194</v>
      </c>
      <c r="G3483" t="s">
        <v>6239</v>
      </c>
      <c r="H3483" t="s">
        <v>6276</v>
      </c>
      <c r="I3483" t="s">
        <v>6241</v>
      </c>
      <c r="K3483">
        <v>-4.0000000000000002E-4</v>
      </c>
      <c r="L3483">
        <v>-4.2999999999999999E-4</v>
      </c>
      <c r="M3483">
        <v>-4.0999999999999999E-4</v>
      </c>
      <c r="N3483">
        <v>-3.6999999999999999E-4</v>
      </c>
      <c r="O3483">
        <v>-4.8999999999999998E-4</v>
      </c>
      <c r="P3483">
        <v>-5.8E-4</v>
      </c>
      <c r="Q3483">
        <v>-6.9999999999999999E-4</v>
      </c>
      <c r="R3483">
        <v>-8.0000000000000004E-4</v>
      </c>
      <c r="S3483">
        <v>-8.7000000000000001E-4</v>
      </c>
      <c r="T3483">
        <v>-1.1199999999999999E-3</v>
      </c>
    </row>
    <row r="3484" spans="2:20" x14ac:dyDescent="0.25">
      <c r="B3484" t="s">
        <v>133</v>
      </c>
      <c r="C3484" t="s">
        <v>3263</v>
      </c>
      <c r="D3484" t="s">
        <v>6316</v>
      </c>
      <c r="E3484" t="s">
        <v>6317</v>
      </c>
      <c r="F3484" t="s">
        <v>9195</v>
      </c>
      <c r="G3484" t="s">
        <v>6239</v>
      </c>
      <c r="H3484" t="s">
        <v>6276</v>
      </c>
      <c r="I3484" t="s">
        <v>6241</v>
      </c>
      <c r="K3484">
        <v>-3.0439999999999998E-2</v>
      </c>
      <c r="L3484">
        <v>-3.0020000000000002E-2</v>
      </c>
      <c r="M3484">
        <v>-3.0360000000000002E-2</v>
      </c>
      <c r="N3484">
        <v>-3.0550000000000001E-2</v>
      </c>
      <c r="O3484">
        <v>-3.227E-2</v>
      </c>
      <c r="P3484">
        <v>-3.2059999999999998E-2</v>
      </c>
      <c r="Q3484">
        <v>-3.2770000000000001E-2</v>
      </c>
      <c r="R3484">
        <v>-3.2099999999999997E-2</v>
      </c>
      <c r="S3484">
        <v>-3.1620000000000002E-2</v>
      </c>
      <c r="T3484">
        <v>-2.9520000000000001E-2</v>
      </c>
    </row>
    <row r="3485" spans="2:20" x14ac:dyDescent="0.25">
      <c r="B3485" t="s">
        <v>133</v>
      </c>
      <c r="C3485" t="s">
        <v>3263</v>
      </c>
      <c r="D3485" t="s">
        <v>6319</v>
      </c>
      <c r="E3485" t="s">
        <v>6320</v>
      </c>
      <c r="F3485" t="s">
        <v>9196</v>
      </c>
      <c r="G3485" t="s">
        <v>6239</v>
      </c>
      <c r="H3485" t="s">
        <v>6322</v>
      </c>
      <c r="I3485" t="s">
        <v>6241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2:20" x14ac:dyDescent="0.25">
      <c r="B3486" t="s">
        <v>133</v>
      </c>
      <c r="C3486" t="s">
        <v>3263</v>
      </c>
      <c r="D3486" t="s">
        <v>6323</v>
      </c>
      <c r="E3486" t="s">
        <v>6324</v>
      </c>
      <c r="F3486" t="s">
        <v>9197</v>
      </c>
      <c r="G3486" t="s">
        <v>6239</v>
      </c>
      <c r="H3486" t="s">
        <v>6322</v>
      </c>
      <c r="I3486" t="s">
        <v>6241</v>
      </c>
      <c r="K3486">
        <v>3.3562400000000001</v>
      </c>
      <c r="L3486">
        <v>3.0570400000000002</v>
      </c>
      <c r="M3486">
        <v>3.0028199999999998</v>
      </c>
      <c r="N3486">
        <v>2.95045</v>
      </c>
      <c r="O3486">
        <v>2.9516100000000001</v>
      </c>
      <c r="P3486">
        <v>2.98258</v>
      </c>
      <c r="Q3486">
        <v>3.0720700000000001</v>
      </c>
      <c r="R3486">
        <v>3.1855899999999999</v>
      </c>
      <c r="S3486">
        <v>3.23095</v>
      </c>
      <c r="T3486">
        <v>3.4904500000000001</v>
      </c>
    </row>
    <row r="3487" spans="2:20" x14ac:dyDescent="0.25">
      <c r="B3487" t="s">
        <v>133</v>
      </c>
      <c r="C3487" t="s">
        <v>3263</v>
      </c>
      <c r="D3487" t="s">
        <v>6326</v>
      </c>
      <c r="E3487" t="s">
        <v>6327</v>
      </c>
      <c r="F3487" t="s">
        <v>9198</v>
      </c>
      <c r="G3487" t="s">
        <v>6239</v>
      </c>
      <c r="H3487" t="s">
        <v>6322</v>
      </c>
      <c r="I3487" t="s">
        <v>6241</v>
      </c>
      <c r="K3487">
        <v>0.24565000000000001</v>
      </c>
      <c r="L3487">
        <v>0.26417000000000002</v>
      </c>
      <c r="M3487">
        <v>0.25070999999999999</v>
      </c>
      <c r="N3487">
        <v>0.26715</v>
      </c>
      <c r="O3487">
        <v>0.30376999999999998</v>
      </c>
      <c r="P3487">
        <v>0.31380999999999998</v>
      </c>
      <c r="Q3487">
        <v>0.33935999999999999</v>
      </c>
      <c r="R3487">
        <v>0.38721</v>
      </c>
      <c r="S3487">
        <v>0.43569999999999998</v>
      </c>
      <c r="T3487">
        <v>0.53090000000000004</v>
      </c>
    </row>
    <row r="3488" spans="2:20" x14ac:dyDescent="0.25">
      <c r="B3488" t="s">
        <v>133</v>
      </c>
      <c r="C3488" t="s">
        <v>3263</v>
      </c>
      <c r="D3488" t="s">
        <v>6329</v>
      </c>
      <c r="E3488" t="s">
        <v>6330</v>
      </c>
      <c r="F3488" t="s">
        <v>9199</v>
      </c>
      <c r="G3488" t="s">
        <v>6239</v>
      </c>
      <c r="H3488" t="s">
        <v>6322</v>
      </c>
      <c r="I3488" t="s">
        <v>6241</v>
      </c>
      <c r="K3488">
        <v>8.8660000000000003E-2</v>
      </c>
      <c r="L3488">
        <v>9.1700000000000004E-2</v>
      </c>
      <c r="M3488">
        <v>0.12545999999999999</v>
      </c>
      <c r="N3488">
        <v>9.8580000000000001E-2</v>
      </c>
      <c r="O3488">
        <v>0.12416000000000001</v>
      </c>
      <c r="P3488">
        <v>0.12834999999999999</v>
      </c>
      <c r="Q3488">
        <v>0.12567</v>
      </c>
      <c r="R3488">
        <v>0.13841999999999999</v>
      </c>
      <c r="S3488">
        <v>0.12906999999999999</v>
      </c>
      <c r="T3488">
        <v>0.14066000000000001</v>
      </c>
    </row>
    <row r="3489" spans="2:20" x14ac:dyDescent="0.25">
      <c r="B3489" t="s">
        <v>133</v>
      </c>
      <c r="C3489" t="s">
        <v>3263</v>
      </c>
      <c r="D3489" t="s">
        <v>6332</v>
      </c>
      <c r="E3489" t="s">
        <v>6333</v>
      </c>
      <c r="F3489" t="s">
        <v>9200</v>
      </c>
      <c r="G3489" t="s">
        <v>6239</v>
      </c>
      <c r="H3489" t="s">
        <v>6322</v>
      </c>
      <c r="I3489" t="s">
        <v>6241</v>
      </c>
      <c r="K3489">
        <v>0.27312999999999998</v>
      </c>
      <c r="L3489">
        <v>0.32055</v>
      </c>
      <c r="M3489">
        <v>0.41546</v>
      </c>
      <c r="N3489">
        <v>0.41344999999999998</v>
      </c>
      <c r="O3489">
        <v>0.4738</v>
      </c>
      <c r="P3489">
        <v>0.48488999999999999</v>
      </c>
      <c r="Q3489">
        <v>0.57931999999999995</v>
      </c>
      <c r="R3489">
        <v>0.59521999999999997</v>
      </c>
      <c r="S3489">
        <v>0.59216999999999997</v>
      </c>
      <c r="T3489">
        <v>0.72887999999999997</v>
      </c>
    </row>
    <row r="3490" spans="2:20" x14ac:dyDescent="0.25">
      <c r="B3490" t="s">
        <v>133</v>
      </c>
      <c r="C3490" t="s">
        <v>3263</v>
      </c>
      <c r="D3490" t="s">
        <v>6335</v>
      </c>
      <c r="E3490" t="s">
        <v>6336</v>
      </c>
      <c r="F3490" t="s">
        <v>9201</v>
      </c>
      <c r="G3490" t="s">
        <v>6239</v>
      </c>
      <c r="H3490" t="s">
        <v>6322</v>
      </c>
      <c r="I3490" t="s">
        <v>6241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2:20" x14ac:dyDescent="0.25">
      <c r="B3491" t="s">
        <v>133</v>
      </c>
      <c r="C3491" t="s">
        <v>3263</v>
      </c>
      <c r="D3491" t="s">
        <v>6338</v>
      </c>
      <c r="E3491" t="s">
        <v>6339</v>
      </c>
      <c r="F3491" t="s">
        <v>9202</v>
      </c>
      <c r="G3491" t="s">
        <v>6239</v>
      </c>
      <c r="H3491" t="s">
        <v>6322</v>
      </c>
      <c r="I3491" t="s">
        <v>6241</v>
      </c>
      <c r="K3491">
        <v>2.0000000000000002E-5</v>
      </c>
      <c r="L3491">
        <v>2.0000000000000002E-5</v>
      </c>
      <c r="M3491">
        <v>1.0000000000000001E-5</v>
      </c>
      <c r="N3491">
        <v>5.0000000000000002E-5</v>
      </c>
      <c r="O3491">
        <v>5.0000000000000002E-5</v>
      </c>
      <c r="P3491">
        <v>4.0000000000000003E-5</v>
      </c>
      <c r="Q3491">
        <v>2.0000000000000002E-5</v>
      </c>
      <c r="R3491">
        <v>8.0000000000000007E-5</v>
      </c>
      <c r="S3491">
        <v>1.1E-4</v>
      </c>
      <c r="T3491">
        <v>6.9999999999999994E-5</v>
      </c>
    </row>
    <row r="3492" spans="2:20" x14ac:dyDescent="0.25">
      <c r="B3492" t="s">
        <v>133</v>
      </c>
      <c r="C3492" t="s">
        <v>3263</v>
      </c>
      <c r="D3492" t="s">
        <v>6341</v>
      </c>
      <c r="E3492" t="s">
        <v>6342</v>
      </c>
      <c r="F3492" t="s">
        <v>9203</v>
      </c>
      <c r="G3492" t="s">
        <v>6239</v>
      </c>
      <c r="H3492" t="s">
        <v>6322</v>
      </c>
      <c r="I3492" t="s">
        <v>6241</v>
      </c>
      <c r="K3492">
        <v>2.5198200000000002</v>
      </c>
      <c r="L3492">
        <v>2.0226899999999999</v>
      </c>
      <c r="M3492">
        <v>1.8737999999999999</v>
      </c>
      <c r="N3492">
        <v>1.70397</v>
      </c>
      <c r="O3492">
        <v>1.54288</v>
      </c>
      <c r="P3492">
        <v>1.4798500000000001</v>
      </c>
      <c r="Q3492">
        <v>1.42763</v>
      </c>
      <c r="R3492">
        <v>1.36385</v>
      </c>
      <c r="S3492">
        <v>1.1714</v>
      </c>
      <c r="T3492">
        <v>0.94108000000000003</v>
      </c>
    </row>
    <row r="3493" spans="2:20" x14ac:dyDescent="0.25">
      <c r="B3493" t="s">
        <v>133</v>
      </c>
      <c r="C3493" t="s">
        <v>3263</v>
      </c>
      <c r="D3493" t="s">
        <v>6344</v>
      </c>
      <c r="E3493" t="s">
        <v>6345</v>
      </c>
      <c r="F3493" t="s">
        <v>9204</v>
      </c>
      <c r="G3493" t="s">
        <v>6239</v>
      </c>
      <c r="H3493" t="s">
        <v>6322</v>
      </c>
      <c r="I3493" t="s">
        <v>6241</v>
      </c>
      <c r="K3493">
        <v>8.9499999999999996E-3</v>
      </c>
      <c r="L3493">
        <v>4.7600000000000003E-3</v>
      </c>
      <c r="M3493">
        <v>5.5799999999999999E-3</v>
      </c>
      <c r="N3493">
        <v>3.63E-3</v>
      </c>
      <c r="O3493">
        <v>2.8E-3</v>
      </c>
      <c r="P3493">
        <v>2.6700000000000001E-3</v>
      </c>
      <c r="Q3493">
        <v>2.9099999999999998E-3</v>
      </c>
      <c r="R3493">
        <v>3.0200000000000001E-3</v>
      </c>
      <c r="S3493">
        <v>2.0400000000000001E-3</v>
      </c>
      <c r="T3493">
        <v>1.16E-3</v>
      </c>
    </row>
    <row r="3494" spans="2:20" x14ac:dyDescent="0.25">
      <c r="B3494" t="s">
        <v>133</v>
      </c>
      <c r="C3494" t="s">
        <v>3263</v>
      </c>
      <c r="D3494" t="s">
        <v>6347</v>
      </c>
      <c r="E3494" t="s">
        <v>6348</v>
      </c>
      <c r="F3494" t="s">
        <v>9205</v>
      </c>
      <c r="G3494" t="s">
        <v>6239</v>
      </c>
      <c r="H3494" t="s">
        <v>6322</v>
      </c>
      <c r="I3494" t="s">
        <v>6241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1.0000000000000001E-5</v>
      </c>
      <c r="Q3494">
        <v>0</v>
      </c>
      <c r="R3494">
        <v>1.0000000000000001E-5</v>
      </c>
      <c r="S3494">
        <v>1.0000000000000001E-5</v>
      </c>
      <c r="T3494">
        <v>1.0000000000000001E-5</v>
      </c>
    </row>
    <row r="3495" spans="2:20" x14ac:dyDescent="0.25">
      <c r="B3495" t="s">
        <v>133</v>
      </c>
      <c r="C3495" t="s">
        <v>3263</v>
      </c>
      <c r="D3495" t="s">
        <v>6350</v>
      </c>
      <c r="E3495" t="s">
        <v>6351</v>
      </c>
      <c r="F3495" t="s">
        <v>9206</v>
      </c>
      <c r="G3495" t="s">
        <v>6239</v>
      </c>
      <c r="H3495" t="s">
        <v>6322</v>
      </c>
      <c r="I3495" t="s">
        <v>6241</v>
      </c>
      <c r="K3495">
        <v>4.6999999999999999E-4</v>
      </c>
      <c r="L3495">
        <v>2.5000000000000001E-4</v>
      </c>
      <c r="M3495">
        <v>2.9E-4</v>
      </c>
      <c r="N3495">
        <v>1.9000000000000001E-4</v>
      </c>
      <c r="O3495">
        <v>1.4999999999999999E-4</v>
      </c>
      <c r="P3495">
        <v>1.3999999999999999E-4</v>
      </c>
      <c r="Q3495">
        <v>1.4999999999999999E-4</v>
      </c>
      <c r="R3495">
        <v>1.6000000000000001E-4</v>
      </c>
      <c r="S3495">
        <v>1.1E-4</v>
      </c>
      <c r="T3495">
        <v>6.0000000000000002E-5</v>
      </c>
    </row>
    <row r="3496" spans="2:20" x14ac:dyDescent="0.25">
      <c r="B3496" t="s">
        <v>133</v>
      </c>
      <c r="C3496" t="s">
        <v>3263</v>
      </c>
      <c r="D3496" t="s">
        <v>6353</v>
      </c>
      <c r="E3496" t="s">
        <v>6354</v>
      </c>
      <c r="F3496" t="s">
        <v>9207</v>
      </c>
      <c r="G3496" t="s">
        <v>6239</v>
      </c>
      <c r="H3496" t="s">
        <v>6322</v>
      </c>
      <c r="I3496" t="s">
        <v>6241</v>
      </c>
      <c r="K3496">
        <v>1.60585</v>
      </c>
      <c r="L3496">
        <v>1.5572900000000001</v>
      </c>
      <c r="M3496">
        <v>1.5845199999999999</v>
      </c>
      <c r="N3496">
        <v>1.5382800000000001</v>
      </c>
      <c r="O3496">
        <v>1.58724</v>
      </c>
      <c r="P3496">
        <v>1.57575</v>
      </c>
      <c r="Q3496">
        <v>1.5923499999999999</v>
      </c>
      <c r="R3496">
        <v>1.55287</v>
      </c>
      <c r="S3496">
        <v>1.53905</v>
      </c>
      <c r="T3496">
        <v>1.6297600000000001</v>
      </c>
    </row>
    <row r="3497" spans="2:20" x14ac:dyDescent="0.25">
      <c r="B3497" t="s">
        <v>133</v>
      </c>
      <c r="C3497" t="s">
        <v>3263</v>
      </c>
      <c r="D3497" t="s">
        <v>6356</v>
      </c>
      <c r="E3497" t="s">
        <v>6357</v>
      </c>
      <c r="F3497" t="s">
        <v>9208</v>
      </c>
      <c r="G3497" t="s">
        <v>6239</v>
      </c>
      <c r="H3497" t="s">
        <v>6322</v>
      </c>
      <c r="I3497" t="s">
        <v>6241</v>
      </c>
      <c r="K3497">
        <v>3.89941</v>
      </c>
      <c r="L3497">
        <v>3.5377000000000001</v>
      </c>
      <c r="M3497">
        <v>3.4780000000000002</v>
      </c>
      <c r="N3497">
        <v>3.4288500000000002</v>
      </c>
      <c r="O3497">
        <v>3.3705400000000001</v>
      </c>
      <c r="P3497">
        <v>3.39655</v>
      </c>
      <c r="Q3497">
        <v>3.3731900000000001</v>
      </c>
      <c r="R3497">
        <v>3.3282500000000002</v>
      </c>
      <c r="S3497">
        <v>3.3230499999999998</v>
      </c>
      <c r="T3497">
        <v>3.2792699999999999</v>
      </c>
    </row>
    <row r="3498" spans="2:20" x14ac:dyDescent="0.25">
      <c r="B3498" t="s">
        <v>133</v>
      </c>
      <c r="C3498" t="s">
        <v>3263</v>
      </c>
      <c r="D3498" t="s">
        <v>6359</v>
      </c>
      <c r="E3498" t="s">
        <v>6360</v>
      </c>
      <c r="F3498" t="s">
        <v>9209</v>
      </c>
      <c r="G3498" t="s">
        <v>6239</v>
      </c>
      <c r="H3498" t="s">
        <v>6322</v>
      </c>
      <c r="I3498" t="s">
        <v>6241</v>
      </c>
      <c r="K3498">
        <v>5.2554600000000002</v>
      </c>
      <c r="L3498">
        <v>5.5693999999999999</v>
      </c>
      <c r="M3498">
        <v>5.6773600000000002</v>
      </c>
      <c r="N3498">
        <v>5.7297200000000004</v>
      </c>
      <c r="O3498">
        <v>5.6129600000000002</v>
      </c>
      <c r="P3498">
        <v>5.5136200000000004</v>
      </c>
      <c r="Q3498">
        <v>5.24925</v>
      </c>
      <c r="R3498">
        <v>4.8136799999999997</v>
      </c>
      <c r="S3498">
        <v>4.5635199999999996</v>
      </c>
      <c r="T3498">
        <v>3.9498199999999999</v>
      </c>
    </row>
    <row r="3499" spans="2:20" x14ac:dyDescent="0.25">
      <c r="B3499" t="s">
        <v>133</v>
      </c>
      <c r="C3499" t="s">
        <v>3263</v>
      </c>
      <c r="D3499" t="s">
        <v>6362</v>
      </c>
      <c r="E3499" t="s">
        <v>6363</v>
      </c>
      <c r="F3499" t="s">
        <v>9210</v>
      </c>
      <c r="G3499" t="s">
        <v>6239</v>
      </c>
      <c r="H3499" t="s">
        <v>6322</v>
      </c>
      <c r="I3499" t="s">
        <v>6241</v>
      </c>
      <c r="K3499">
        <v>2.1144099999999999</v>
      </c>
      <c r="L3499">
        <v>2.1298599999999999</v>
      </c>
      <c r="M3499">
        <v>2.2776399999999999</v>
      </c>
      <c r="N3499">
        <v>2.41893</v>
      </c>
      <c r="O3499">
        <v>2.6160299999999999</v>
      </c>
      <c r="P3499">
        <v>2.6849599999999998</v>
      </c>
      <c r="Q3499">
        <v>2.7770000000000001</v>
      </c>
      <c r="R3499">
        <v>2.7384900000000001</v>
      </c>
      <c r="S3499">
        <v>2.8589000000000002</v>
      </c>
      <c r="T3499">
        <v>2.8957799999999998</v>
      </c>
    </row>
    <row r="3500" spans="2:20" x14ac:dyDescent="0.25">
      <c r="B3500" t="s">
        <v>133</v>
      </c>
      <c r="C3500" t="s">
        <v>3263</v>
      </c>
      <c r="D3500" t="s">
        <v>6365</v>
      </c>
      <c r="E3500" t="s">
        <v>6366</v>
      </c>
      <c r="F3500" t="s">
        <v>9211</v>
      </c>
      <c r="G3500" t="s">
        <v>6239</v>
      </c>
      <c r="H3500" t="s">
        <v>6322</v>
      </c>
      <c r="I3500" t="s">
        <v>6241</v>
      </c>
      <c r="K3500">
        <v>2.6863999999999999</v>
      </c>
      <c r="L3500">
        <v>3.5221900000000002</v>
      </c>
      <c r="M3500">
        <v>3.9014899999999999</v>
      </c>
      <c r="N3500">
        <v>3.9628999999999999</v>
      </c>
      <c r="O3500">
        <v>4.07524</v>
      </c>
      <c r="P3500">
        <v>3.9388200000000002</v>
      </c>
      <c r="Q3500">
        <v>3.7564000000000002</v>
      </c>
      <c r="R3500">
        <v>3.2689900000000001</v>
      </c>
      <c r="S3500">
        <v>2.6295500000000001</v>
      </c>
      <c r="T3500">
        <v>1.4299900000000001</v>
      </c>
    </row>
    <row r="3501" spans="2:20" x14ac:dyDescent="0.25">
      <c r="B3501" t="s">
        <v>133</v>
      </c>
      <c r="C3501" t="s">
        <v>3263</v>
      </c>
      <c r="D3501" t="s">
        <v>6368</v>
      </c>
      <c r="E3501" t="s">
        <v>6369</v>
      </c>
      <c r="F3501" t="s">
        <v>9212</v>
      </c>
      <c r="G3501" t="s">
        <v>6239</v>
      </c>
      <c r="H3501" t="s">
        <v>6322</v>
      </c>
      <c r="I3501" t="s">
        <v>6241</v>
      </c>
      <c r="K3501">
        <v>52.981250000000003</v>
      </c>
      <c r="L3501">
        <v>53.252020000000002</v>
      </c>
      <c r="M3501">
        <v>52.452800000000003</v>
      </c>
      <c r="N3501">
        <v>52.018239999999999</v>
      </c>
      <c r="O3501">
        <v>50.968600000000002</v>
      </c>
      <c r="P3501">
        <v>50.812600000000003</v>
      </c>
      <c r="Q3501">
        <v>50.010199999999998</v>
      </c>
      <c r="R3501">
        <v>49.957299999999996</v>
      </c>
      <c r="S3501">
        <v>50.2438</v>
      </c>
      <c r="T3501">
        <v>47.649500000000003</v>
      </c>
    </row>
    <row r="3502" spans="2:20" x14ac:dyDescent="0.25">
      <c r="B3502" t="s">
        <v>133</v>
      </c>
      <c r="C3502" t="s">
        <v>3263</v>
      </c>
      <c r="D3502" t="s">
        <v>6371</v>
      </c>
      <c r="E3502" t="s">
        <v>6372</v>
      </c>
      <c r="F3502" t="s">
        <v>9213</v>
      </c>
      <c r="G3502" t="s">
        <v>6239</v>
      </c>
      <c r="H3502" t="s">
        <v>6322</v>
      </c>
      <c r="I3502" t="s">
        <v>6241</v>
      </c>
      <c r="K3502">
        <v>2.9624600000000001</v>
      </c>
      <c r="L3502">
        <v>3.0012099999999999</v>
      </c>
      <c r="M3502">
        <v>3.2425999999999999</v>
      </c>
      <c r="N3502">
        <v>3.6684899999999998</v>
      </c>
      <c r="O3502">
        <v>3.73509</v>
      </c>
      <c r="P3502">
        <v>3.9405899999999998</v>
      </c>
      <c r="Q3502">
        <v>4.3134399999999999</v>
      </c>
      <c r="R3502">
        <v>4.5710699999999997</v>
      </c>
      <c r="S3502">
        <v>4.6995800000000001</v>
      </c>
      <c r="T3502">
        <v>5.8917999999999999</v>
      </c>
    </row>
    <row r="3503" spans="2:20" x14ac:dyDescent="0.25">
      <c r="B3503" t="s">
        <v>133</v>
      </c>
      <c r="C3503" t="s">
        <v>3263</v>
      </c>
      <c r="D3503" t="s">
        <v>6374</v>
      </c>
      <c r="E3503" t="s">
        <v>6375</v>
      </c>
      <c r="F3503" t="s">
        <v>9214</v>
      </c>
      <c r="G3503" t="s">
        <v>6239</v>
      </c>
      <c r="H3503" t="s">
        <v>6322</v>
      </c>
      <c r="I3503" t="s">
        <v>6241</v>
      </c>
      <c r="K3503">
        <v>4.5945400000000003</v>
      </c>
      <c r="L3503">
        <v>4.2270099999999999</v>
      </c>
      <c r="M3503">
        <v>4.2782</v>
      </c>
      <c r="N3503">
        <v>4.0952799999999998</v>
      </c>
      <c r="O3503">
        <v>4.2236099999999999</v>
      </c>
      <c r="P3503">
        <v>4.1026600000000002</v>
      </c>
      <c r="Q3503">
        <v>4.3357700000000001</v>
      </c>
      <c r="R3503">
        <v>4.1755000000000004</v>
      </c>
      <c r="S3503">
        <v>4.3468299999999997</v>
      </c>
      <c r="T3503">
        <v>5.3558700000000004</v>
      </c>
    </row>
    <row r="3504" spans="2:20" x14ac:dyDescent="0.25">
      <c r="B3504" t="s">
        <v>133</v>
      </c>
      <c r="C3504" t="s">
        <v>3263</v>
      </c>
      <c r="D3504" t="s">
        <v>6377</v>
      </c>
      <c r="E3504" t="s">
        <v>6378</v>
      </c>
      <c r="F3504" t="s">
        <v>9215</v>
      </c>
      <c r="G3504" t="s">
        <v>6239</v>
      </c>
      <c r="H3504" t="s">
        <v>6322</v>
      </c>
      <c r="I3504" t="s">
        <v>6241</v>
      </c>
      <c r="K3504">
        <v>1.1730000000000001E-2</v>
      </c>
      <c r="L3504">
        <v>8.5900000000000004E-3</v>
      </c>
      <c r="M3504">
        <v>6.4900000000000001E-3</v>
      </c>
      <c r="N3504">
        <v>7.9900000000000006E-3</v>
      </c>
      <c r="O3504">
        <v>1.848E-2</v>
      </c>
      <c r="P3504">
        <v>1.473E-2</v>
      </c>
      <c r="Q3504">
        <v>1.3180000000000001E-2</v>
      </c>
      <c r="R3504">
        <v>1.643E-2</v>
      </c>
      <c r="S3504">
        <v>1.5699999999999999E-2</v>
      </c>
      <c r="T3504">
        <v>2.8119999999999999E-2</v>
      </c>
    </row>
    <row r="3505" spans="2:20" x14ac:dyDescent="0.25">
      <c r="B3505" t="s">
        <v>133</v>
      </c>
      <c r="C3505" t="s">
        <v>3263</v>
      </c>
      <c r="D3505" t="s">
        <v>6380</v>
      </c>
      <c r="E3505" t="s">
        <v>6381</v>
      </c>
      <c r="F3505" t="s">
        <v>9216</v>
      </c>
      <c r="G3505" t="s">
        <v>6239</v>
      </c>
      <c r="H3505" t="s">
        <v>6322</v>
      </c>
      <c r="I3505" t="s">
        <v>6241</v>
      </c>
      <c r="K3505">
        <v>2.0455299999999998</v>
      </c>
      <c r="L3505">
        <v>1.99122</v>
      </c>
      <c r="M3505">
        <v>2.00088</v>
      </c>
      <c r="N3505">
        <v>1.9170499999999999</v>
      </c>
      <c r="O3505">
        <v>1.90821</v>
      </c>
      <c r="P3505">
        <v>1.7008099999999999</v>
      </c>
      <c r="Q3505">
        <v>1.4911300000000001</v>
      </c>
      <c r="R3505">
        <v>1.3100400000000001</v>
      </c>
      <c r="S3505">
        <v>1.05986</v>
      </c>
      <c r="T3505">
        <v>0.75871</v>
      </c>
    </row>
    <row r="3506" spans="2:20" x14ac:dyDescent="0.25">
      <c r="B3506" t="s">
        <v>133</v>
      </c>
      <c r="C3506" t="s">
        <v>3263</v>
      </c>
      <c r="D3506" t="s">
        <v>6383</v>
      </c>
      <c r="E3506" t="s">
        <v>6384</v>
      </c>
      <c r="F3506" t="s">
        <v>9217</v>
      </c>
      <c r="G3506" t="s">
        <v>6239</v>
      </c>
      <c r="H3506" t="s">
        <v>6322</v>
      </c>
      <c r="I3506" t="s">
        <v>6241</v>
      </c>
      <c r="K3506">
        <v>4.3454800000000002</v>
      </c>
      <c r="L3506">
        <v>4.63767</v>
      </c>
      <c r="M3506">
        <v>4.8012499999999996</v>
      </c>
      <c r="N3506">
        <v>5.0640400000000003</v>
      </c>
      <c r="O3506">
        <v>5.3882599999999998</v>
      </c>
      <c r="P3506">
        <v>5.7943899999999999</v>
      </c>
      <c r="Q3506">
        <v>6.36754</v>
      </c>
      <c r="R3506">
        <v>7.4519399999999996</v>
      </c>
      <c r="S3506">
        <v>7.8795999999999999</v>
      </c>
      <c r="T3506">
        <v>9.45749</v>
      </c>
    </row>
    <row r="3507" spans="2:20" x14ac:dyDescent="0.25">
      <c r="B3507" t="s">
        <v>133</v>
      </c>
      <c r="C3507" t="s">
        <v>3263</v>
      </c>
      <c r="D3507" t="s">
        <v>6386</v>
      </c>
      <c r="E3507" t="s">
        <v>6387</v>
      </c>
      <c r="F3507" t="s">
        <v>9218</v>
      </c>
      <c r="G3507" t="s">
        <v>6239</v>
      </c>
      <c r="H3507" t="s">
        <v>6322</v>
      </c>
      <c r="I3507" t="s">
        <v>6241</v>
      </c>
      <c r="K3507">
        <v>6.6302300000000001</v>
      </c>
      <c r="L3507">
        <v>6.4665600000000003</v>
      </c>
      <c r="M3507">
        <v>6.25943</v>
      </c>
      <c r="N3507">
        <v>6.3484800000000003</v>
      </c>
      <c r="O3507">
        <v>6.4184599999999996</v>
      </c>
      <c r="P3507">
        <v>6.4232300000000002</v>
      </c>
      <c r="Q3507">
        <v>6.2890899999999998</v>
      </c>
      <c r="R3507">
        <v>6.2787699999999997</v>
      </c>
      <c r="S3507">
        <v>6.4313700000000003</v>
      </c>
      <c r="T3507">
        <v>7.1076100000000002</v>
      </c>
    </row>
    <row r="3508" spans="2:20" x14ac:dyDescent="0.25">
      <c r="B3508" t="s">
        <v>133</v>
      </c>
      <c r="C3508" t="s">
        <v>3263</v>
      </c>
      <c r="D3508" t="s">
        <v>6389</v>
      </c>
      <c r="E3508" t="s">
        <v>6390</v>
      </c>
      <c r="F3508" t="s">
        <v>9219</v>
      </c>
      <c r="G3508" t="s">
        <v>6239</v>
      </c>
      <c r="H3508" t="s">
        <v>6322</v>
      </c>
      <c r="I3508" t="s">
        <v>6241</v>
      </c>
      <c r="K3508">
        <v>0.27512999999999999</v>
      </c>
      <c r="L3508">
        <v>0.29455999999999999</v>
      </c>
      <c r="M3508">
        <v>0.27689999999999998</v>
      </c>
      <c r="N3508">
        <v>0.25096000000000002</v>
      </c>
      <c r="O3508">
        <v>0.33383000000000002</v>
      </c>
      <c r="P3508">
        <v>0.39290999999999998</v>
      </c>
      <c r="Q3508">
        <v>0.47310000000000002</v>
      </c>
      <c r="R3508">
        <v>0.54139000000000004</v>
      </c>
      <c r="S3508">
        <v>0.58986000000000005</v>
      </c>
      <c r="T3508">
        <v>0.75907999999999998</v>
      </c>
    </row>
    <row r="3509" spans="2:20" x14ac:dyDescent="0.25">
      <c r="B3509" t="s">
        <v>133</v>
      </c>
      <c r="C3509" t="s">
        <v>3263</v>
      </c>
      <c r="D3509" t="s">
        <v>6392</v>
      </c>
      <c r="E3509" t="s">
        <v>6393</v>
      </c>
      <c r="F3509" t="s">
        <v>9220</v>
      </c>
      <c r="G3509" t="s">
        <v>6239</v>
      </c>
      <c r="H3509" t="s">
        <v>6322</v>
      </c>
      <c r="I3509" t="s">
        <v>6241</v>
      </c>
      <c r="K3509">
        <v>4.0991600000000004</v>
      </c>
      <c r="L3509">
        <v>4.0435299999999996</v>
      </c>
      <c r="M3509">
        <v>4.0883200000000004</v>
      </c>
      <c r="N3509">
        <v>4.1133300000000004</v>
      </c>
      <c r="O3509">
        <v>4.3442699999999999</v>
      </c>
      <c r="P3509">
        <v>4.3160499999999997</v>
      </c>
      <c r="Q3509">
        <v>4.4112400000000003</v>
      </c>
      <c r="R3509">
        <v>4.3217299999999996</v>
      </c>
      <c r="S3509">
        <v>4.2578100000000001</v>
      </c>
      <c r="T3509">
        <v>3.9739399999999998</v>
      </c>
    </row>
    <row r="3510" spans="2:20" x14ac:dyDescent="0.25">
      <c r="B3510" t="s">
        <v>133</v>
      </c>
      <c r="C3510" t="s">
        <v>3263</v>
      </c>
      <c r="D3510" t="s">
        <v>6395</v>
      </c>
      <c r="E3510" t="s">
        <v>6396</v>
      </c>
      <c r="F3510" t="s">
        <v>9221</v>
      </c>
      <c r="G3510" t="s">
        <v>6239</v>
      </c>
      <c r="H3510" t="s">
        <v>6398</v>
      </c>
      <c r="I3510" t="s">
        <v>6241</v>
      </c>
      <c r="K3510">
        <v>110912.69510134264</v>
      </c>
      <c r="L3510">
        <v>147546.28132571914</v>
      </c>
      <c r="M3510">
        <v>171457.12235656843</v>
      </c>
      <c r="N3510">
        <v>193560.3437965707</v>
      </c>
      <c r="O3510">
        <v>217072.87046955081</v>
      </c>
      <c r="P3510">
        <v>243128.66155341931</v>
      </c>
      <c r="Q3510">
        <v>274833.50717305864</v>
      </c>
      <c r="R3510">
        <v>312877.2892252141</v>
      </c>
      <c r="S3510">
        <v>375157.55219326372</v>
      </c>
      <c r="T3510">
        <v>561445.25154391362</v>
      </c>
    </row>
    <row r="3511" spans="2:20" x14ac:dyDescent="0.25">
      <c r="B3511" t="s">
        <v>133</v>
      </c>
      <c r="C3511" t="s">
        <v>3263</v>
      </c>
      <c r="D3511" t="s">
        <v>6399</v>
      </c>
      <c r="E3511" t="s">
        <v>6400</v>
      </c>
      <c r="F3511" t="s">
        <v>9222</v>
      </c>
      <c r="G3511" t="s">
        <v>6239</v>
      </c>
      <c r="H3511" t="s">
        <v>6402</v>
      </c>
      <c r="I3511" t="s">
        <v>6241</v>
      </c>
      <c r="K3511">
        <v>1335009511010.7449</v>
      </c>
      <c r="L3511">
        <v>1775141337515.9336</v>
      </c>
      <c r="M3511">
        <v>2062172797787.8577</v>
      </c>
      <c r="N3511">
        <v>2328294578677.2202</v>
      </c>
      <c r="O3511">
        <v>2612275029805.5391</v>
      </c>
      <c r="P3511">
        <v>2924631286989.8472</v>
      </c>
      <c r="Q3511">
        <v>3305304709038.2451</v>
      </c>
      <c r="R3511">
        <v>3763395920301.1641</v>
      </c>
      <c r="S3511">
        <v>4512866473249.5713</v>
      </c>
      <c r="T3511">
        <v>6752540653065.7422</v>
      </c>
    </row>
    <row r="3512" spans="2:20" x14ac:dyDescent="0.25">
      <c r="B3512" t="s">
        <v>133</v>
      </c>
      <c r="C3512" t="s">
        <v>3263</v>
      </c>
      <c r="D3512" t="s">
        <v>6403</v>
      </c>
      <c r="E3512" t="s">
        <v>6404</v>
      </c>
      <c r="F3512" t="s">
        <v>9223</v>
      </c>
      <c r="G3512" t="s">
        <v>6239</v>
      </c>
      <c r="H3512" t="s">
        <v>6406</v>
      </c>
      <c r="I3512" t="s">
        <v>6241</v>
      </c>
      <c r="K3512">
        <v>12036579.850403292</v>
      </c>
      <c r="L3512">
        <v>12031081.512635212</v>
      </c>
      <c r="M3512">
        <v>12027338.202371601</v>
      </c>
      <c r="N3512">
        <v>12028778.896591684</v>
      </c>
      <c r="O3512">
        <v>12034092.625922903</v>
      </c>
      <c r="P3512">
        <v>12029150.608174009</v>
      </c>
      <c r="Q3512">
        <v>12026571.079475192</v>
      </c>
      <c r="R3512">
        <v>12028344.817294205</v>
      </c>
      <c r="S3512">
        <v>12029256.633289773</v>
      </c>
      <c r="T3512">
        <v>12027068.77384213</v>
      </c>
    </row>
    <row r="3513" spans="2:20" x14ac:dyDescent="0.25">
      <c r="B3513" t="s">
        <v>133</v>
      </c>
      <c r="C3513" t="s">
        <v>3263</v>
      </c>
      <c r="D3513" t="s">
        <v>6407</v>
      </c>
      <c r="E3513" t="s">
        <v>6408</v>
      </c>
      <c r="F3513" t="s">
        <v>9224</v>
      </c>
      <c r="G3513" t="s">
        <v>6239</v>
      </c>
      <c r="H3513" t="s">
        <v>6410</v>
      </c>
      <c r="I3513" t="s">
        <v>6241</v>
      </c>
      <c r="K3513">
        <v>2.1555630891702227</v>
      </c>
      <c r="L3513">
        <v>2.7774804640393489</v>
      </c>
      <c r="M3513">
        <v>3.2212003014859167</v>
      </c>
      <c r="N3513">
        <v>3.6163357419983777</v>
      </c>
      <c r="O3513">
        <v>4.0069218656950785</v>
      </c>
      <c r="P3513">
        <v>4.4920865984433656</v>
      </c>
      <c r="Q3513">
        <v>5.0644067482831696</v>
      </c>
      <c r="R3513">
        <v>5.8269801271697768</v>
      </c>
      <c r="S3513">
        <v>6.9265931517777117</v>
      </c>
      <c r="T3513">
        <v>10.151397830658642</v>
      </c>
    </row>
    <row r="3514" spans="2:20" x14ac:dyDescent="0.25">
      <c r="B3514" t="s">
        <v>133</v>
      </c>
      <c r="C3514" t="s">
        <v>3263</v>
      </c>
      <c r="D3514" t="s">
        <v>6411</v>
      </c>
      <c r="E3514" t="s">
        <v>6412</v>
      </c>
      <c r="F3514" t="s">
        <v>9225</v>
      </c>
      <c r="G3514" t="s">
        <v>6239</v>
      </c>
      <c r="H3514" t="s">
        <v>6410</v>
      </c>
      <c r="I3514" t="s">
        <v>6241</v>
      </c>
      <c r="K3514">
        <v>2.0930895509621448</v>
      </c>
      <c r="L3514">
        <v>2.7856162773654902</v>
      </c>
      <c r="M3514">
        <v>3.1909295967443798</v>
      </c>
      <c r="N3514">
        <v>3.7228741306929809</v>
      </c>
      <c r="O3514">
        <v>4.2511911527056414</v>
      </c>
      <c r="P3514">
        <v>4.743668552437061</v>
      </c>
      <c r="Q3514">
        <v>5.4931902984124985</v>
      </c>
      <c r="R3514">
        <v>6.2429351723518582</v>
      </c>
      <c r="S3514">
        <v>7.5952518588891236</v>
      </c>
      <c r="T3514">
        <v>11.604203579735179</v>
      </c>
    </row>
    <row r="3515" spans="2:20" x14ac:dyDescent="0.25">
      <c r="B3515" t="s">
        <v>133</v>
      </c>
      <c r="C3515" t="s">
        <v>3263</v>
      </c>
      <c r="D3515" t="s">
        <v>6414</v>
      </c>
      <c r="E3515" t="s">
        <v>6415</v>
      </c>
      <c r="F3515" t="s">
        <v>9226</v>
      </c>
      <c r="G3515" t="s">
        <v>6239</v>
      </c>
      <c r="H3515" t="s">
        <v>6410</v>
      </c>
      <c r="I3515" t="s">
        <v>6241</v>
      </c>
      <c r="K3515">
        <v>4.1709964558119719</v>
      </c>
      <c r="L3515">
        <v>5.4364467747884619</v>
      </c>
      <c r="M3515">
        <v>6.4074455579741185</v>
      </c>
      <c r="N3515">
        <v>7.1409147107495308</v>
      </c>
      <c r="O3515">
        <v>8.1565059156206079</v>
      </c>
      <c r="P3515">
        <v>9.1942129065492075</v>
      </c>
      <c r="Q3515">
        <v>10.476691431549909</v>
      </c>
      <c r="R3515">
        <v>12.145821735223063</v>
      </c>
      <c r="S3515">
        <v>14.563201408720342</v>
      </c>
      <c r="T3515">
        <v>22.307763103012785</v>
      </c>
    </row>
    <row r="3516" spans="2:20" x14ac:dyDescent="0.25">
      <c r="B3516" t="s">
        <v>133</v>
      </c>
      <c r="C3516" t="s">
        <v>3263</v>
      </c>
      <c r="D3516" t="s">
        <v>6417</v>
      </c>
      <c r="E3516" t="s">
        <v>6418</v>
      </c>
      <c r="F3516" t="s">
        <v>9227</v>
      </c>
      <c r="G3516" t="s">
        <v>6239</v>
      </c>
      <c r="H3516" t="s">
        <v>6420</v>
      </c>
      <c r="K3516">
        <v>-1.5427305712528405E-2</v>
      </c>
    </row>
    <row r="3517" spans="2:20" x14ac:dyDescent="0.25">
      <c r="B3517" t="s">
        <v>133</v>
      </c>
      <c r="C3517" t="s">
        <v>3263</v>
      </c>
      <c r="D3517" t="s">
        <v>6421</v>
      </c>
      <c r="E3517" t="s">
        <v>6422</v>
      </c>
      <c r="F3517" t="s">
        <v>9228</v>
      </c>
      <c r="G3517" t="s">
        <v>6239</v>
      </c>
      <c r="H3517" t="s">
        <v>6420</v>
      </c>
      <c r="K3517">
        <v>-1.4958303158807014E-2</v>
      </c>
    </row>
    <row r="3518" spans="2:20" x14ac:dyDescent="0.25">
      <c r="B3518" t="s">
        <v>133</v>
      </c>
      <c r="C3518" t="s">
        <v>3263</v>
      </c>
      <c r="D3518" t="s">
        <v>6424</v>
      </c>
      <c r="E3518" t="s">
        <v>6425</v>
      </c>
      <c r="F3518" t="s">
        <v>9229</v>
      </c>
      <c r="G3518" t="s">
        <v>6239</v>
      </c>
      <c r="H3518" t="s">
        <v>6420</v>
      </c>
      <c r="K3518">
        <v>-1.6045890704408507E-2</v>
      </c>
    </row>
    <row r="3519" spans="2:20" x14ac:dyDescent="0.25">
      <c r="B3519" t="s">
        <v>133</v>
      </c>
      <c r="C3519" t="s">
        <v>3263</v>
      </c>
      <c r="D3519" t="s">
        <v>6427</v>
      </c>
      <c r="E3519" t="s">
        <v>6428</v>
      </c>
      <c r="F3519" t="s">
        <v>9230</v>
      </c>
      <c r="G3519" t="s">
        <v>6239</v>
      </c>
      <c r="H3519" t="s">
        <v>6430</v>
      </c>
      <c r="K3519">
        <v>-0.94325858658691408</v>
      </c>
    </row>
    <row r="3520" spans="2:20" x14ac:dyDescent="0.25">
      <c r="B3520" t="s">
        <v>133</v>
      </c>
      <c r="C3520" t="s">
        <v>3263</v>
      </c>
      <c r="D3520" t="s">
        <v>6431</v>
      </c>
      <c r="E3520" t="s">
        <v>6432</v>
      </c>
      <c r="F3520" t="s">
        <v>9231</v>
      </c>
      <c r="G3520" t="s">
        <v>6239</v>
      </c>
      <c r="H3520" t="s">
        <v>6430</v>
      </c>
      <c r="K3520">
        <v>-0.65588343910320623</v>
      </c>
    </row>
    <row r="3521" spans="2:11" x14ac:dyDescent="0.25">
      <c r="B3521" t="s">
        <v>133</v>
      </c>
      <c r="C3521" t="s">
        <v>3263</v>
      </c>
      <c r="D3521" t="s">
        <v>6434</v>
      </c>
      <c r="E3521" t="s">
        <v>6435</v>
      </c>
      <c r="F3521" t="s">
        <v>9232</v>
      </c>
      <c r="G3521" t="s">
        <v>6239</v>
      </c>
      <c r="H3521" t="s">
        <v>6430</v>
      </c>
      <c r="K3521">
        <v>-1.189294454071508</v>
      </c>
    </row>
    <row r="3522" spans="2:11" x14ac:dyDescent="0.25">
      <c r="B3522" t="s">
        <v>133</v>
      </c>
      <c r="C3522" t="s">
        <v>3263</v>
      </c>
      <c r="D3522" t="s">
        <v>6437</v>
      </c>
      <c r="E3522" t="s">
        <v>6438</v>
      </c>
      <c r="F3522" t="s">
        <v>9233</v>
      </c>
      <c r="G3522" t="s">
        <v>6239</v>
      </c>
      <c r="H3522" t="s">
        <v>6440</v>
      </c>
      <c r="K3522">
        <v>0</v>
      </c>
    </row>
    <row r="3523" spans="2:11" x14ac:dyDescent="0.25">
      <c r="B3523" t="s">
        <v>133</v>
      </c>
      <c r="C3523" t="s">
        <v>3263</v>
      </c>
      <c r="D3523" t="s">
        <v>6441</v>
      </c>
      <c r="E3523" t="s">
        <v>6442</v>
      </c>
      <c r="F3523" t="s">
        <v>9234</v>
      </c>
      <c r="G3523" t="s">
        <v>6239</v>
      </c>
      <c r="H3523" t="s">
        <v>6440</v>
      </c>
      <c r="K3523">
        <v>1.5084135113169388</v>
      </c>
    </row>
    <row r="3524" spans="2:11" x14ac:dyDescent="0.25">
      <c r="B3524" t="s">
        <v>133</v>
      </c>
      <c r="C3524" t="s">
        <v>3263</v>
      </c>
      <c r="D3524" t="s">
        <v>6444</v>
      </c>
      <c r="E3524" t="s">
        <v>6445</v>
      </c>
      <c r="F3524" t="s">
        <v>9235</v>
      </c>
      <c r="G3524" t="s">
        <v>6239</v>
      </c>
      <c r="H3524" t="s">
        <v>6440</v>
      </c>
      <c r="K3524">
        <v>0</v>
      </c>
    </row>
    <row r="3525" spans="2:11" x14ac:dyDescent="0.25">
      <c r="B3525" t="s">
        <v>133</v>
      </c>
      <c r="C3525" t="s">
        <v>3263</v>
      </c>
      <c r="D3525" t="s">
        <v>6447</v>
      </c>
      <c r="E3525" t="s">
        <v>6448</v>
      </c>
      <c r="F3525" t="s">
        <v>9236</v>
      </c>
      <c r="G3525" t="s">
        <v>6239</v>
      </c>
      <c r="H3525" t="s">
        <v>6440</v>
      </c>
      <c r="K3525">
        <v>15.535373605066805</v>
      </c>
    </row>
    <row r="3526" spans="2:11" x14ac:dyDescent="0.25">
      <c r="B3526" t="s">
        <v>133</v>
      </c>
      <c r="C3526" t="s">
        <v>3263</v>
      </c>
      <c r="D3526" t="s">
        <v>6450</v>
      </c>
      <c r="E3526" t="s">
        <v>6451</v>
      </c>
      <c r="F3526" t="s">
        <v>9237</v>
      </c>
      <c r="G3526" t="s">
        <v>6239</v>
      </c>
      <c r="H3526" t="s">
        <v>6440</v>
      </c>
      <c r="K3526">
        <v>0</v>
      </c>
    </row>
    <row r="3527" spans="2:11" x14ac:dyDescent="0.25">
      <c r="B3527" t="s">
        <v>133</v>
      </c>
      <c r="C3527" t="s">
        <v>3263</v>
      </c>
      <c r="D3527" t="s">
        <v>6453</v>
      </c>
      <c r="E3527" t="s">
        <v>6454</v>
      </c>
      <c r="F3527" t="s">
        <v>9238</v>
      </c>
      <c r="G3527" t="s">
        <v>6239</v>
      </c>
      <c r="H3527" t="s">
        <v>6440</v>
      </c>
      <c r="K3527">
        <v>0</v>
      </c>
    </row>
    <row r="3528" spans="2:11" x14ac:dyDescent="0.25">
      <c r="B3528" t="s">
        <v>133</v>
      </c>
      <c r="C3528" t="s">
        <v>3263</v>
      </c>
      <c r="D3528" t="s">
        <v>6456</v>
      </c>
      <c r="E3528" t="s">
        <v>6457</v>
      </c>
      <c r="F3528" t="s">
        <v>9239</v>
      </c>
      <c r="G3528" t="s">
        <v>6239</v>
      </c>
      <c r="H3528" t="s">
        <v>6440</v>
      </c>
      <c r="K3528">
        <v>0</v>
      </c>
    </row>
    <row r="3529" spans="2:11" x14ac:dyDescent="0.25">
      <c r="B3529" t="s">
        <v>133</v>
      </c>
      <c r="C3529" t="s">
        <v>3263</v>
      </c>
      <c r="D3529" t="s">
        <v>6459</v>
      </c>
      <c r="E3529" t="s">
        <v>6460</v>
      </c>
      <c r="F3529" t="s">
        <v>9240</v>
      </c>
      <c r="G3529" t="s">
        <v>6239</v>
      </c>
      <c r="H3529" t="s">
        <v>6440</v>
      </c>
      <c r="K3529">
        <v>0</v>
      </c>
    </row>
    <row r="3530" spans="2:11" x14ac:dyDescent="0.25">
      <c r="B3530" t="s">
        <v>133</v>
      </c>
      <c r="C3530" t="s">
        <v>3263</v>
      </c>
      <c r="D3530" t="s">
        <v>6462</v>
      </c>
      <c r="E3530" t="s">
        <v>6463</v>
      </c>
      <c r="F3530" t="s">
        <v>9241</v>
      </c>
      <c r="G3530" t="s">
        <v>6239</v>
      </c>
      <c r="H3530" t="s">
        <v>6440</v>
      </c>
      <c r="K3530">
        <v>0.38735503541973931</v>
      </c>
    </row>
    <row r="3531" spans="2:11" x14ac:dyDescent="0.25">
      <c r="B3531" t="s">
        <v>133</v>
      </c>
      <c r="C3531" t="s">
        <v>3263</v>
      </c>
      <c r="D3531" t="s">
        <v>6465</v>
      </c>
      <c r="E3531" t="s">
        <v>6466</v>
      </c>
      <c r="F3531" t="s">
        <v>9242</v>
      </c>
      <c r="G3531" t="s">
        <v>6239</v>
      </c>
      <c r="H3531" t="s">
        <v>6440</v>
      </c>
      <c r="K3531">
        <v>1.0356063898552124</v>
      </c>
    </row>
    <row r="3532" spans="2:11" x14ac:dyDescent="0.25">
      <c r="B3532" t="s">
        <v>133</v>
      </c>
      <c r="C3532" t="s">
        <v>3263</v>
      </c>
      <c r="D3532" t="s">
        <v>6468</v>
      </c>
      <c r="E3532" t="s">
        <v>6469</v>
      </c>
      <c r="F3532" t="s">
        <v>9243</v>
      </c>
      <c r="G3532" t="s">
        <v>6239</v>
      </c>
      <c r="H3532" t="s">
        <v>6440</v>
      </c>
      <c r="K3532">
        <v>0.16721519409585286</v>
      </c>
    </row>
    <row r="3533" spans="2:11" x14ac:dyDescent="0.25">
      <c r="B3533" t="s">
        <v>133</v>
      </c>
      <c r="C3533" t="s">
        <v>3263</v>
      </c>
      <c r="D3533" t="s">
        <v>6471</v>
      </c>
      <c r="E3533" t="s">
        <v>6472</v>
      </c>
      <c r="F3533" t="s">
        <v>9244</v>
      </c>
      <c r="G3533" t="s">
        <v>6239</v>
      </c>
      <c r="H3533" t="s">
        <v>6440</v>
      </c>
      <c r="K3533">
        <v>5.9850038054932518E-2</v>
      </c>
    </row>
    <row r="3534" spans="2:11" x14ac:dyDescent="0.25">
      <c r="B3534" t="s">
        <v>133</v>
      </c>
      <c r="C3534" t="s">
        <v>3263</v>
      </c>
      <c r="D3534" t="s">
        <v>6474</v>
      </c>
      <c r="E3534" t="s">
        <v>6475</v>
      </c>
      <c r="F3534" t="s">
        <v>9245</v>
      </c>
      <c r="G3534" t="s">
        <v>6239</v>
      </c>
      <c r="H3534" t="s">
        <v>6440</v>
      </c>
      <c r="K3534">
        <v>0.13374678441670176</v>
      </c>
    </row>
    <row r="3535" spans="2:11" x14ac:dyDescent="0.25">
      <c r="B3535" t="s">
        <v>133</v>
      </c>
      <c r="C3535" t="s">
        <v>3263</v>
      </c>
      <c r="D3535" t="s">
        <v>6477</v>
      </c>
      <c r="E3535" t="s">
        <v>6478</v>
      </c>
      <c r="F3535" t="s">
        <v>9246</v>
      </c>
      <c r="G3535" t="s">
        <v>6239</v>
      </c>
      <c r="H3535" t="s">
        <v>6440</v>
      </c>
      <c r="K3535">
        <v>0.16980956308170039</v>
      </c>
    </row>
    <row r="3536" spans="2:11" x14ac:dyDescent="0.25">
      <c r="B3536" t="s">
        <v>133</v>
      </c>
      <c r="C3536" t="s">
        <v>3263</v>
      </c>
      <c r="D3536" t="s">
        <v>6480</v>
      </c>
      <c r="E3536" t="s">
        <v>6481</v>
      </c>
      <c r="F3536" t="s">
        <v>9247</v>
      </c>
      <c r="G3536" t="s">
        <v>6239</v>
      </c>
      <c r="H3536" t="s">
        <v>6440</v>
      </c>
      <c r="K3536">
        <v>0.18085718820922889</v>
      </c>
    </row>
    <row r="3537" spans="2:20" x14ac:dyDescent="0.25">
      <c r="B3537" t="s">
        <v>133</v>
      </c>
      <c r="C3537" t="s">
        <v>3263</v>
      </c>
      <c r="D3537" t="s">
        <v>6483</v>
      </c>
      <c r="E3537" t="s">
        <v>6484</v>
      </c>
      <c r="F3537" t="s">
        <v>9248</v>
      </c>
      <c r="G3537" t="s">
        <v>6239</v>
      </c>
      <c r="H3537" t="s">
        <v>6440</v>
      </c>
      <c r="K3537">
        <v>0.14081389409175768</v>
      </c>
    </row>
    <row r="3538" spans="2:20" x14ac:dyDescent="0.25">
      <c r="B3538" t="s">
        <v>133</v>
      </c>
      <c r="C3538" t="s">
        <v>3263</v>
      </c>
      <c r="D3538" t="s">
        <v>6486</v>
      </c>
      <c r="E3538" t="s">
        <v>6487</v>
      </c>
      <c r="F3538" t="s">
        <v>9249</v>
      </c>
      <c r="G3538" t="s">
        <v>6239</v>
      </c>
      <c r="H3538" t="s">
        <v>6440</v>
      </c>
      <c r="K3538">
        <v>6.5835634781121172E-2</v>
      </c>
    </row>
    <row r="3539" spans="2:20" x14ac:dyDescent="0.25">
      <c r="B3539" t="s">
        <v>133</v>
      </c>
      <c r="C3539" t="s">
        <v>3263</v>
      </c>
      <c r="D3539" t="s">
        <v>6489</v>
      </c>
      <c r="E3539" t="s">
        <v>6490</v>
      </c>
      <c r="F3539" t="s">
        <v>9250</v>
      </c>
      <c r="G3539" t="s">
        <v>6239</v>
      </c>
      <c r="H3539" t="s">
        <v>6440</v>
      </c>
      <c r="K3539">
        <v>0.30218500316015956</v>
      </c>
    </row>
    <row r="3540" spans="2:20" x14ac:dyDescent="0.25">
      <c r="B3540" t="s">
        <v>133</v>
      </c>
      <c r="C3540" t="s">
        <v>3263</v>
      </c>
      <c r="D3540" t="s">
        <v>6492</v>
      </c>
      <c r="E3540" t="s">
        <v>6493</v>
      </c>
      <c r="F3540" t="s">
        <v>9251</v>
      </c>
      <c r="G3540" t="s">
        <v>6239</v>
      </c>
      <c r="H3540" t="s">
        <v>6440</v>
      </c>
      <c r="K3540">
        <v>0.44941186443688147</v>
      </c>
    </row>
    <row r="3541" spans="2:20" x14ac:dyDescent="0.25">
      <c r="B3541" t="s">
        <v>133</v>
      </c>
      <c r="C3541" t="s">
        <v>3263</v>
      </c>
      <c r="D3541" t="s">
        <v>6495</v>
      </c>
      <c r="E3541" t="s">
        <v>6496</v>
      </c>
      <c r="F3541" t="s">
        <v>9252</v>
      </c>
      <c r="G3541" t="s">
        <v>6239</v>
      </c>
      <c r="H3541" t="s">
        <v>6440</v>
      </c>
      <c r="K3541">
        <v>0.12069734314465221</v>
      </c>
    </row>
    <row r="3542" spans="2:20" x14ac:dyDescent="0.25">
      <c r="B3542" t="s">
        <v>133</v>
      </c>
      <c r="C3542" t="s">
        <v>3263</v>
      </c>
      <c r="D3542" t="s">
        <v>6498</v>
      </c>
      <c r="E3542" t="s">
        <v>6499</v>
      </c>
      <c r="F3542" t="s">
        <v>9253</v>
      </c>
      <c r="G3542" t="s">
        <v>6239</v>
      </c>
      <c r="H3542" t="s">
        <v>6440</v>
      </c>
      <c r="K3542">
        <v>0.1473567989134508</v>
      </c>
    </row>
    <row r="3543" spans="2:20" x14ac:dyDescent="0.25">
      <c r="B3543" t="s">
        <v>133</v>
      </c>
      <c r="C3543" t="s">
        <v>3263</v>
      </c>
      <c r="D3543" t="s">
        <v>6501</v>
      </c>
      <c r="E3543" t="s">
        <v>6502</v>
      </c>
      <c r="F3543" t="s">
        <v>9254</v>
      </c>
      <c r="G3543" t="s">
        <v>6239</v>
      </c>
      <c r="H3543" t="s">
        <v>6440</v>
      </c>
      <c r="K3543">
        <v>0.74753745241763314</v>
      </c>
    </row>
    <row r="3544" spans="2:20" x14ac:dyDescent="0.25">
      <c r="B3544" t="s">
        <v>133</v>
      </c>
      <c r="C3544" t="s">
        <v>3263</v>
      </c>
      <c r="D3544" t="s">
        <v>6504</v>
      </c>
      <c r="E3544" t="s">
        <v>6505</v>
      </c>
      <c r="F3544" t="s">
        <v>9255</v>
      </c>
      <c r="G3544" t="s">
        <v>6239</v>
      </c>
      <c r="H3544" t="s">
        <v>6507</v>
      </c>
      <c r="I3544" t="s">
        <v>6241</v>
      </c>
      <c r="K3544">
        <v>0.29837999999999998</v>
      </c>
      <c r="L3544">
        <v>0.29188999999999998</v>
      </c>
      <c r="M3544">
        <v>0.25118000000000001</v>
      </c>
      <c r="N3544">
        <v>0.2225</v>
      </c>
      <c r="O3544">
        <v>0.19839999999999999</v>
      </c>
      <c r="P3544">
        <v>0.17713999999999999</v>
      </c>
      <c r="Q3544">
        <v>0.15670000000000001</v>
      </c>
      <c r="R3544">
        <v>0.13764999999999999</v>
      </c>
      <c r="S3544">
        <v>0.1148</v>
      </c>
      <c r="T3544">
        <v>7.671E-2</v>
      </c>
    </row>
    <row r="3545" spans="2:20" x14ac:dyDescent="0.25">
      <c r="B3545" t="s">
        <v>133</v>
      </c>
      <c r="C3545" t="s">
        <v>3263</v>
      </c>
      <c r="D3545" t="s">
        <v>6508</v>
      </c>
      <c r="E3545" t="s">
        <v>6509</v>
      </c>
      <c r="F3545" t="s">
        <v>9256</v>
      </c>
      <c r="G3545" t="s">
        <v>6239</v>
      </c>
      <c r="H3545" t="s">
        <v>6511</v>
      </c>
      <c r="I3545" t="s">
        <v>6241</v>
      </c>
      <c r="K3545">
        <v>1.05715</v>
      </c>
      <c r="L3545">
        <v>0.64271999999999996</v>
      </c>
      <c r="M3545">
        <v>0.4612</v>
      </c>
      <c r="N3545">
        <v>0.36553999999999998</v>
      </c>
      <c r="O3545">
        <v>0.28771999999999998</v>
      </c>
      <c r="P3545">
        <v>0.23683000000000001</v>
      </c>
      <c r="Q3545">
        <v>0.20129</v>
      </c>
      <c r="R3545">
        <v>0.18093000000000001</v>
      </c>
      <c r="S3545">
        <v>0.14593999999999999</v>
      </c>
      <c r="T3545">
        <v>9.3490000000000004E-2</v>
      </c>
    </row>
    <row r="3546" spans="2:20" x14ac:dyDescent="0.25">
      <c r="B3546" t="s">
        <v>133</v>
      </c>
      <c r="C3546" t="s">
        <v>3263</v>
      </c>
      <c r="D3546" t="s">
        <v>6512</v>
      </c>
      <c r="E3546" t="s">
        <v>6513</v>
      </c>
      <c r="F3546" t="s">
        <v>9257</v>
      </c>
      <c r="G3546" t="s">
        <v>6239</v>
      </c>
      <c r="H3546" t="s">
        <v>6515</v>
      </c>
      <c r="I3546" t="s">
        <v>6241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2:20" x14ac:dyDescent="0.25">
      <c r="B3547" t="s">
        <v>133</v>
      </c>
      <c r="C3547" t="s">
        <v>3263</v>
      </c>
      <c r="D3547" t="s">
        <v>6516</v>
      </c>
      <c r="E3547" t="s">
        <v>6517</v>
      </c>
      <c r="F3547" t="s">
        <v>9258</v>
      </c>
      <c r="G3547" t="s">
        <v>6239</v>
      </c>
      <c r="H3547" t="s">
        <v>6519</v>
      </c>
      <c r="I3547" t="s">
        <v>6241</v>
      </c>
      <c r="K3547">
        <v>0.63214999999999999</v>
      </c>
      <c r="L3547">
        <v>0.47515000000000002</v>
      </c>
      <c r="M3547">
        <v>0.40900999999999998</v>
      </c>
      <c r="N3547">
        <v>0.36209999999999998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 spans="2:20" x14ac:dyDescent="0.25">
      <c r="B3548" t="s">
        <v>133</v>
      </c>
      <c r="C3548" t="s">
        <v>3263</v>
      </c>
      <c r="D3548" t="s">
        <v>6520</v>
      </c>
      <c r="E3548" t="s">
        <v>6521</v>
      </c>
      <c r="F3548" t="s">
        <v>9259</v>
      </c>
      <c r="G3548" t="s">
        <v>6239</v>
      </c>
      <c r="H3548" t="s">
        <v>6240</v>
      </c>
      <c r="I3548" t="s">
        <v>6241</v>
      </c>
      <c r="K3548">
        <v>-0.28797</v>
      </c>
      <c r="L3548">
        <v>-0.28227999999999998</v>
      </c>
      <c r="M3548">
        <v>-0.28638999999999998</v>
      </c>
      <c r="N3548">
        <v>-0.28269</v>
      </c>
      <c r="O3548">
        <v>-0.2878</v>
      </c>
      <c r="P3548">
        <v>-0.28976000000000002</v>
      </c>
      <c r="Q3548">
        <v>-0.29215000000000002</v>
      </c>
      <c r="R3548">
        <v>-0.29747000000000001</v>
      </c>
      <c r="S3548">
        <v>-0.29743999999999998</v>
      </c>
      <c r="T3548">
        <v>-0.30449999999999999</v>
      </c>
    </row>
    <row r="3549" spans="2:20" x14ac:dyDescent="0.25">
      <c r="B3549" t="s">
        <v>133</v>
      </c>
      <c r="C3549" t="s">
        <v>3263</v>
      </c>
      <c r="D3549" t="s">
        <v>6523</v>
      </c>
      <c r="E3549" t="s">
        <v>6524</v>
      </c>
      <c r="F3549" t="s">
        <v>9260</v>
      </c>
      <c r="K3549">
        <v>2030</v>
      </c>
    </row>
    <row r="3550" spans="2:20" x14ac:dyDescent="0.25">
      <c r="B3550" t="s">
        <v>133</v>
      </c>
      <c r="C3550" t="s">
        <v>3263</v>
      </c>
      <c r="D3550" t="s">
        <v>6526</v>
      </c>
      <c r="E3550" t="s">
        <v>6527</v>
      </c>
      <c r="F3550" t="s">
        <v>9261</v>
      </c>
      <c r="K3550" t="s">
        <v>660</v>
      </c>
    </row>
    <row r="3551" spans="2:20" x14ac:dyDescent="0.25">
      <c r="B3551" t="s">
        <v>133</v>
      </c>
      <c r="C3551" t="s">
        <v>3263</v>
      </c>
      <c r="D3551" t="s">
        <v>6529</v>
      </c>
      <c r="E3551" t="s">
        <v>6530</v>
      </c>
      <c r="F3551" t="s">
        <v>138</v>
      </c>
      <c r="G3551" t="s">
        <v>6239</v>
      </c>
      <c r="H3551" t="s">
        <v>6507</v>
      </c>
      <c r="I3551" t="s">
        <v>6241</v>
      </c>
      <c r="K3551">
        <v>0.29837944184270082</v>
      </c>
      <c r="L3551">
        <v>0.29188768406905025</v>
      </c>
      <c r="M3551">
        <v>0.25118199674202596</v>
      </c>
      <c r="N3551">
        <v>0.22249879032260603</v>
      </c>
      <c r="O3551">
        <v>0.19839854817419847</v>
      </c>
      <c r="P3551">
        <v>0.17713642675444999</v>
      </c>
      <c r="Q3551">
        <v>0.15670193489924827</v>
      </c>
      <c r="R3551">
        <v>0.13764802953839336</v>
      </c>
      <c r="S3551">
        <v>0.11479694890156079</v>
      </c>
      <c r="T3551">
        <v>7.6707287541813371E-2</v>
      </c>
    </row>
    <row r="3552" spans="2:20" x14ac:dyDescent="0.25">
      <c r="B3552" t="s">
        <v>133</v>
      </c>
      <c r="C3552" t="s">
        <v>3263</v>
      </c>
      <c r="D3552" t="s">
        <v>6531</v>
      </c>
      <c r="E3552" t="s">
        <v>6532</v>
      </c>
      <c r="F3552" t="s">
        <v>138</v>
      </c>
      <c r="G3552" t="s">
        <v>6239</v>
      </c>
      <c r="H3552" t="s">
        <v>6511</v>
      </c>
      <c r="I3552" t="s">
        <v>6241</v>
      </c>
      <c r="K3552">
        <v>1.0571505718305179</v>
      </c>
      <c r="L3552">
        <v>0.64271864549438817</v>
      </c>
      <c r="M3552">
        <v>0.46120212022295298</v>
      </c>
      <c r="N3552">
        <v>0.36553558901834798</v>
      </c>
      <c r="O3552">
        <v>0.28771517485365095</v>
      </c>
      <c r="P3552">
        <v>0.23682753560889278</v>
      </c>
      <c r="Q3552">
        <v>0.20128987598463655</v>
      </c>
      <c r="R3552">
        <v>0.18092811386725646</v>
      </c>
      <c r="S3552">
        <v>0.14594017268883433</v>
      </c>
      <c r="T3552">
        <v>9.3489976198087188E-2</v>
      </c>
    </row>
    <row r="3553" spans="2:20" x14ac:dyDescent="0.25">
      <c r="B3553" t="s">
        <v>133</v>
      </c>
      <c r="C3553" t="s">
        <v>3263</v>
      </c>
      <c r="D3553" t="s">
        <v>6533</v>
      </c>
      <c r="E3553" t="s">
        <v>6534</v>
      </c>
      <c r="F3553" t="s">
        <v>138</v>
      </c>
      <c r="G3553" t="s">
        <v>6239</v>
      </c>
      <c r="H3553" t="s">
        <v>6515</v>
      </c>
      <c r="I3553" t="s">
        <v>6241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2:20" x14ac:dyDescent="0.25">
      <c r="B3554" t="s">
        <v>133</v>
      </c>
      <c r="C3554" t="s">
        <v>3263</v>
      </c>
      <c r="D3554" t="s">
        <v>6535</v>
      </c>
      <c r="E3554" t="s">
        <v>6536</v>
      </c>
      <c r="F3554" t="s">
        <v>138</v>
      </c>
      <c r="G3554" t="s">
        <v>6239</v>
      </c>
      <c r="H3554" t="s">
        <v>6519</v>
      </c>
      <c r="I3554" t="s">
        <v>6241</v>
      </c>
      <c r="K3554">
        <v>0.63214911454340783</v>
      </c>
      <c r="L3554">
        <v>0.47514614658715221</v>
      </c>
      <c r="M3554">
        <v>0.4090111008510296</v>
      </c>
      <c r="N3554">
        <v>0.36209528702972466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2:20" x14ac:dyDescent="0.25">
      <c r="B3555" t="s">
        <v>133</v>
      </c>
      <c r="C3555" t="s">
        <v>3263</v>
      </c>
      <c r="D3555" t="s">
        <v>6537</v>
      </c>
      <c r="E3555" t="s">
        <v>6538</v>
      </c>
      <c r="F3555" t="s">
        <v>138</v>
      </c>
      <c r="G3555" t="s">
        <v>6239</v>
      </c>
      <c r="H3555" t="s">
        <v>6539</v>
      </c>
      <c r="I3555" t="s">
        <v>6241</v>
      </c>
      <c r="K3555">
        <v>1.9876791282166266</v>
      </c>
      <c r="L3555">
        <v>1.4097524761505906</v>
      </c>
      <c r="M3555">
        <v>1.1213952178160085</v>
      </c>
      <c r="N3555">
        <v>0.95012966637067864</v>
      </c>
      <c r="O3555">
        <v>0.48611372302784939</v>
      </c>
      <c r="P3555">
        <v>0.41396396236334276</v>
      </c>
      <c r="Q3555">
        <v>0.35799181088388482</v>
      </c>
      <c r="R3555">
        <v>0.31857614340564983</v>
      </c>
      <c r="S3555">
        <v>0.26073712159039514</v>
      </c>
      <c r="T3555">
        <v>0.17019726373990057</v>
      </c>
    </row>
    <row r="3556" spans="2:20" x14ac:dyDescent="0.25">
      <c r="B3556" t="s">
        <v>133</v>
      </c>
      <c r="C3556" t="s">
        <v>3263</v>
      </c>
      <c r="D3556" t="s">
        <v>6540</v>
      </c>
      <c r="E3556" t="s">
        <v>6541</v>
      </c>
      <c r="F3556" t="s">
        <v>138</v>
      </c>
      <c r="G3556" t="s">
        <v>6239</v>
      </c>
      <c r="H3556" t="s">
        <v>6507</v>
      </c>
      <c r="I3556" t="s">
        <v>6241</v>
      </c>
      <c r="K3556">
        <v>0.3155046431196693</v>
      </c>
      <c r="L3556">
        <v>0.31131659256643862</v>
      </c>
      <c r="M3556">
        <v>0.26990454752726301</v>
      </c>
      <c r="N3556">
        <v>0.24074037449644134</v>
      </c>
      <c r="O3556">
        <v>0.21679325391896373</v>
      </c>
      <c r="P3556">
        <v>0.1951970291102344</v>
      </c>
      <c r="Q3556">
        <v>0.17463108827946275</v>
      </c>
      <c r="R3556">
        <v>0.15394356419708824</v>
      </c>
      <c r="S3556">
        <v>0.131466669787487</v>
      </c>
      <c r="T3556">
        <v>9.1436744922325647E-2</v>
      </c>
    </row>
    <row r="3557" spans="2:20" x14ac:dyDescent="0.25">
      <c r="B3557" t="s">
        <v>133</v>
      </c>
      <c r="C3557" t="s">
        <v>3263</v>
      </c>
      <c r="D3557" t="s">
        <v>6542</v>
      </c>
      <c r="E3557" t="s">
        <v>6543</v>
      </c>
      <c r="F3557" t="s">
        <v>138</v>
      </c>
      <c r="G3557" t="s">
        <v>6239</v>
      </c>
      <c r="H3557" t="s">
        <v>6511</v>
      </c>
      <c r="I3557" t="s">
        <v>6241</v>
      </c>
      <c r="K3557">
        <v>1.3581592084962046</v>
      </c>
      <c r="L3557">
        <v>0.85984197188547062</v>
      </c>
      <c r="M3557">
        <v>0.6628883402085135</v>
      </c>
      <c r="N3557">
        <v>0.52953106447710385</v>
      </c>
      <c r="O3557">
        <v>0.44015153058944295</v>
      </c>
      <c r="P3557">
        <v>0.37219601151120779</v>
      </c>
      <c r="Q3557">
        <v>0.31063217056390563</v>
      </c>
      <c r="R3557">
        <v>0.28517087103253846</v>
      </c>
      <c r="S3557">
        <v>0.25040677233013503</v>
      </c>
      <c r="T3557">
        <v>0.18192234358715484</v>
      </c>
    </row>
    <row r="3558" spans="2:20" x14ac:dyDescent="0.25">
      <c r="B3558" t="s">
        <v>133</v>
      </c>
      <c r="C3558" t="s">
        <v>3263</v>
      </c>
      <c r="D3558" t="s">
        <v>6544</v>
      </c>
      <c r="E3558" t="s">
        <v>6545</v>
      </c>
      <c r="F3558" t="s">
        <v>138</v>
      </c>
      <c r="G3558" t="s">
        <v>6239</v>
      </c>
      <c r="H3558" t="s">
        <v>6515</v>
      </c>
      <c r="I3558" t="s">
        <v>6241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2:20" x14ac:dyDescent="0.25">
      <c r="B3559" t="s">
        <v>133</v>
      </c>
      <c r="C3559" t="s">
        <v>3263</v>
      </c>
      <c r="D3559" t="s">
        <v>6546</v>
      </c>
      <c r="E3559" t="s">
        <v>6547</v>
      </c>
      <c r="F3559" t="s">
        <v>138</v>
      </c>
      <c r="G3559" t="s">
        <v>6239</v>
      </c>
      <c r="H3559" t="s">
        <v>6519</v>
      </c>
      <c r="I3559" t="s">
        <v>6241</v>
      </c>
      <c r="K3559">
        <v>0.66843070538209659</v>
      </c>
      <c r="L3559">
        <v>0.50677328095690732</v>
      </c>
      <c r="M3559">
        <v>0.4394978841664513</v>
      </c>
      <c r="N3559">
        <v>0.39178170306697485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2:20" x14ac:dyDescent="0.25">
      <c r="B3560" t="s">
        <v>133</v>
      </c>
      <c r="C3560" t="s">
        <v>3263</v>
      </c>
      <c r="D3560" t="s">
        <v>6548</v>
      </c>
      <c r="E3560" t="s">
        <v>6549</v>
      </c>
      <c r="F3560" t="s">
        <v>138</v>
      </c>
      <c r="G3560" t="s">
        <v>6239</v>
      </c>
      <c r="H3560" t="s">
        <v>6539</v>
      </c>
      <c r="I3560" t="s">
        <v>6241</v>
      </c>
      <c r="K3560">
        <v>2.3420945569979708</v>
      </c>
      <c r="L3560">
        <v>1.6779318454088168</v>
      </c>
      <c r="M3560">
        <v>1.3722907719022279</v>
      </c>
      <c r="N3560">
        <v>1.16205314204052</v>
      </c>
      <c r="O3560">
        <v>0.65694478450840665</v>
      </c>
      <c r="P3560">
        <v>0.56739304062144225</v>
      </c>
      <c r="Q3560">
        <v>0.48526325884336841</v>
      </c>
      <c r="R3560">
        <v>0.43911443522962668</v>
      </c>
      <c r="S3560">
        <v>0.38187344211762203</v>
      </c>
      <c r="T3560">
        <v>0.27335908850948049</v>
      </c>
    </row>
    <row r="3561" spans="2:20" x14ac:dyDescent="0.25">
      <c r="B3561" t="s">
        <v>133</v>
      </c>
      <c r="C3561" t="s">
        <v>3263</v>
      </c>
      <c r="D3561" t="s">
        <v>6550</v>
      </c>
      <c r="E3561" t="s">
        <v>6551</v>
      </c>
      <c r="F3561" t="s">
        <v>138</v>
      </c>
      <c r="G3561" t="s">
        <v>6239</v>
      </c>
      <c r="H3561" t="s">
        <v>6507</v>
      </c>
      <c r="I3561" t="s">
        <v>6241</v>
      </c>
      <c r="K3561">
        <v>0.27129906165060957</v>
      </c>
      <c r="L3561">
        <v>0.2639281011959162</v>
      </c>
      <c r="M3561">
        <v>0.22614280426324052</v>
      </c>
      <c r="N3561">
        <v>0.19777896240888382</v>
      </c>
      <c r="O3561">
        <v>0.17685873773051419</v>
      </c>
      <c r="P3561">
        <v>0.15596142852206857</v>
      </c>
      <c r="Q3561">
        <v>0.13970468377417392</v>
      </c>
      <c r="R3561">
        <v>0.12015161596752268</v>
      </c>
      <c r="S3561">
        <v>0.10134404592274451</v>
      </c>
      <c r="T3561">
        <v>6.7656333926880433E-2</v>
      </c>
    </row>
    <row r="3562" spans="2:20" x14ac:dyDescent="0.25">
      <c r="B3562" t="s">
        <v>133</v>
      </c>
      <c r="C3562" t="s">
        <v>3263</v>
      </c>
      <c r="D3562" t="s">
        <v>6552</v>
      </c>
      <c r="E3562" t="s">
        <v>6553</v>
      </c>
      <c r="F3562" t="s">
        <v>138</v>
      </c>
      <c r="G3562" t="s">
        <v>6239</v>
      </c>
      <c r="H3562" t="s">
        <v>6511</v>
      </c>
      <c r="I3562" t="s">
        <v>6241</v>
      </c>
      <c r="K3562">
        <v>0.55835171207706491</v>
      </c>
      <c r="L3562">
        <v>0.31226958221602386</v>
      </c>
      <c r="M3562">
        <v>0.23008254768638009</v>
      </c>
      <c r="N3562">
        <v>0.17490634072488817</v>
      </c>
      <c r="O3562">
        <v>0.12698120343287306</v>
      </c>
      <c r="P3562">
        <v>0.10774150710506139</v>
      </c>
      <c r="Q3562">
        <v>0.1029614050601747</v>
      </c>
      <c r="R3562">
        <v>9.2650301870160962E-2</v>
      </c>
      <c r="S3562">
        <v>8.2291761155008455E-2</v>
      </c>
      <c r="T3562">
        <v>6.1461682116909062E-2</v>
      </c>
    </row>
    <row r="3563" spans="2:20" x14ac:dyDescent="0.25">
      <c r="B3563" t="s">
        <v>133</v>
      </c>
      <c r="C3563" t="s">
        <v>3263</v>
      </c>
      <c r="D3563" t="s">
        <v>6554</v>
      </c>
      <c r="E3563" t="s">
        <v>6555</v>
      </c>
      <c r="F3563" t="s">
        <v>138</v>
      </c>
      <c r="G3563" t="s">
        <v>6239</v>
      </c>
      <c r="H3563" t="s">
        <v>6515</v>
      </c>
      <c r="I3563" t="s">
        <v>6241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2:20" x14ac:dyDescent="0.25">
      <c r="B3564" t="s">
        <v>133</v>
      </c>
      <c r="C3564" t="s">
        <v>3263</v>
      </c>
      <c r="D3564" t="s">
        <v>6556</v>
      </c>
      <c r="E3564" t="s">
        <v>6557</v>
      </c>
      <c r="F3564" t="s">
        <v>138</v>
      </c>
      <c r="G3564" t="s">
        <v>6239</v>
      </c>
      <c r="H3564" t="s">
        <v>6519</v>
      </c>
      <c r="I3564" t="s">
        <v>6241</v>
      </c>
      <c r="K3564">
        <v>0.57477640061174895</v>
      </c>
      <c r="L3564">
        <v>0.42963244803997042</v>
      </c>
      <c r="M3564">
        <v>0.36823864178547366</v>
      </c>
      <c r="N3564">
        <v>0.32186615512852879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2:20" x14ac:dyDescent="0.25">
      <c r="B3565" t="s">
        <v>133</v>
      </c>
      <c r="C3565" t="s">
        <v>3263</v>
      </c>
      <c r="D3565" t="s">
        <v>6558</v>
      </c>
      <c r="E3565" t="s">
        <v>6559</v>
      </c>
      <c r="F3565" t="s">
        <v>138</v>
      </c>
      <c r="G3565" t="s">
        <v>6239</v>
      </c>
      <c r="H3565" t="s">
        <v>6539</v>
      </c>
      <c r="I3565" t="s">
        <v>6241</v>
      </c>
      <c r="K3565">
        <v>1.4044271743394234</v>
      </c>
      <c r="L3565">
        <v>1.0058301314519105</v>
      </c>
      <c r="M3565">
        <v>0.82446399373509427</v>
      </c>
      <c r="N3565">
        <v>0.6945514582623008</v>
      </c>
      <c r="O3565">
        <v>0.30383994116338725</v>
      </c>
      <c r="P3565">
        <v>0.26370293562712999</v>
      </c>
      <c r="Q3565">
        <v>0.24266608883434862</v>
      </c>
      <c r="R3565">
        <v>0.21280191783768365</v>
      </c>
      <c r="S3565">
        <v>0.18363580707775295</v>
      </c>
      <c r="T3565">
        <v>0.1291180160437895</v>
      </c>
    </row>
    <row r="3566" spans="2:20" x14ac:dyDescent="0.25">
      <c r="B3566" t="s">
        <v>133</v>
      </c>
      <c r="C3566" t="s">
        <v>3263</v>
      </c>
      <c r="D3566" t="s">
        <v>6560</v>
      </c>
      <c r="E3566" t="s">
        <v>6478</v>
      </c>
      <c r="F3566" t="s">
        <v>9246</v>
      </c>
      <c r="G3566" t="s">
        <v>6239</v>
      </c>
      <c r="H3566" t="s">
        <v>6440</v>
      </c>
      <c r="K3566">
        <v>0.16980956308170039</v>
      </c>
    </row>
    <row r="3567" spans="2:20" x14ac:dyDescent="0.25">
      <c r="B3567" t="s">
        <v>133</v>
      </c>
      <c r="C3567" t="s">
        <v>3263</v>
      </c>
      <c r="D3567" t="s">
        <v>6561</v>
      </c>
      <c r="E3567" t="s">
        <v>6475</v>
      </c>
      <c r="F3567" t="s">
        <v>9245</v>
      </c>
      <c r="G3567" t="s">
        <v>6239</v>
      </c>
      <c r="H3567" t="s">
        <v>6440</v>
      </c>
      <c r="K3567">
        <v>0.13374678441670176</v>
      </c>
    </row>
    <row r="3568" spans="2:20" x14ac:dyDescent="0.25">
      <c r="B3568" t="s">
        <v>133</v>
      </c>
      <c r="C3568" t="s">
        <v>3263</v>
      </c>
      <c r="D3568" t="s">
        <v>6562</v>
      </c>
      <c r="E3568" t="s">
        <v>6481</v>
      </c>
      <c r="F3568" t="s">
        <v>9247</v>
      </c>
      <c r="G3568" t="s">
        <v>6239</v>
      </c>
      <c r="H3568" t="s">
        <v>6440</v>
      </c>
      <c r="K3568">
        <v>0.18085718820922889</v>
      </c>
    </row>
    <row r="3569" spans="2:23" x14ac:dyDescent="0.25">
      <c r="B3569" t="s">
        <v>133</v>
      </c>
      <c r="C3569" t="s">
        <v>3263</v>
      </c>
      <c r="D3569" t="s">
        <v>6563</v>
      </c>
      <c r="E3569" t="s">
        <v>6469</v>
      </c>
      <c r="F3569" t="s">
        <v>9243</v>
      </c>
      <c r="G3569" t="s">
        <v>6239</v>
      </c>
      <c r="H3569" t="s">
        <v>6440</v>
      </c>
      <c r="K3569">
        <v>0.16721519409585286</v>
      </c>
    </row>
    <row r="3570" spans="2:23" x14ac:dyDescent="0.25">
      <c r="B3570" t="s">
        <v>133</v>
      </c>
      <c r="C3570" t="s">
        <v>3263</v>
      </c>
      <c r="D3570" t="s">
        <v>6564</v>
      </c>
      <c r="E3570" t="s">
        <v>6484</v>
      </c>
      <c r="F3570" t="s">
        <v>9248</v>
      </c>
      <c r="G3570" t="s">
        <v>6239</v>
      </c>
      <c r="H3570" t="s">
        <v>6440</v>
      </c>
      <c r="K3570">
        <v>0.14081389409175768</v>
      </c>
    </row>
    <row r="3571" spans="2:23" x14ac:dyDescent="0.25">
      <c r="B3571" t="s">
        <v>133</v>
      </c>
      <c r="C3571" t="s">
        <v>3263</v>
      </c>
      <c r="D3571" t="s">
        <v>6565</v>
      </c>
      <c r="E3571" t="s">
        <v>6463</v>
      </c>
      <c r="F3571" t="s">
        <v>9241</v>
      </c>
      <c r="G3571" t="s">
        <v>6239</v>
      </c>
      <c r="H3571" t="s">
        <v>6440</v>
      </c>
      <c r="K3571">
        <v>0.38735503541973931</v>
      </c>
      <c r="W3571" s="190"/>
    </row>
    <row r="3572" spans="2:23" x14ac:dyDescent="0.25">
      <c r="B3572" t="s">
        <v>133</v>
      </c>
      <c r="C3572" t="s">
        <v>3263</v>
      </c>
      <c r="D3572" t="s">
        <v>6566</v>
      </c>
      <c r="E3572" t="s">
        <v>6466</v>
      </c>
      <c r="F3572" t="s">
        <v>9242</v>
      </c>
      <c r="G3572" t="s">
        <v>6239</v>
      </c>
      <c r="H3572" t="s">
        <v>6440</v>
      </c>
      <c r="K3572">
        <v>1.0356063898552124</v>
      </c>
    </row>
    <row r="3573" spans="2:23" x14ac:dyDescent="0.25">
      <c r="B3573" t="s">
        <v>133</v>
      </c>
      <c r="C3573" t="s">
        <v>3263</v>
      </c>
      <c r="D3573" t="s">
        <v>6567</v>
      </c>
      <c r="E3573" t="s">
        <v>6502</v>
      </c>
      <c r="F3573" t="s">
        <v>9254</v>
      </c>
      <c r="G3573" t="s">
        <v>6239</v>
      </c>
      <c r="H3573" t="s">
        <v>6440</v>
      </c>
      <c r="K3573">
        <v>0.74753745241763314</v>
      </c>
    </row>
    <row r="3574" spans="2:23" x14ac:dyDescent="0.25">
      <c r="B3574" t="s">
        <v>133</v>
      </c>
      <c r="C3574" t="s">
        <v>3263</v>
      </c>
      <c r="D3574" t="s">
        <v>6568</v>
      </c>
      <c r="E3574" t="s">
        <v>6499</v>
      </c>
      <c r="F3574" t="s">
        <v>9253</v>
      </c>
      <c r="G3574" t="s">
        <v>6239</v>
      </c>
      <c r="H3574" t="s">
        <v>6440</v>
      </c>
      <c r="K3574">
        <v>0.1473567989134508</v>
      </c>
    </row>
    <row r="3575" spans="2:23" x14ac:dyDescent="0.25">
      <c r="B3575" t="s">
        <v>133</v>
      </c>
      <c r="C3575" t="s">
        <v>3263</v>
      </c>
      <c r="D3575" t="s">
        <v>6569</v>
      </c>
      <c r="E3575" t="s">
        <v>6490</v>
      </c>
      <c r="F3575" t="s">
        <v>9250</v>
      </c>
      <c r="G3575" t="s">
        <v>6239</v>
      </c>
      <c r="H3575" t="s">
        <v>6440</v>
      </c>
      <c r="K3575">
        <v>0.30218500316015956</v>
      </c>
    </row>
    <row r="3576" spans="2:23" x14ac:dyDescent="0.25">
      <c r="B3576" t="s">
        <v>133</v>
      </c>
      <c r="C3576" t="s">
        <v>3263</v>
      </c>
      <c r="D3576" t="s">
        <v>6570</v>
      </c>
      <c r="E3576" t="s">
        <v>6472</v>
      </c>
      <c r="F3576" t="s">
        <v>9244</v>
      </c>
      <c r="G3576" t="s">
        <v>6239</v>
      </c>
      <c r="H3576" t="s">
        <v>6440</v>
      </c>
      <c r="K3576">
        <v>5.9850038054932518E-2</v>
      </c>
    </row>
    <row r="3577" spans="2:23" x14ac:dyDescent="0.25">
      <c r="B3577" t="s">
        <v>133</v>
      </c>
      <c r="C3577" t="s">
        <v>3263</v>
      </c>
      <c r="D3577" t="s">
        <v>6571</v>
      </c>
      <c r="E3577" t="s">
        <v>6493</v>
      </c>
      <c r="F3577" t="s">
        <v>9251</v>
      </c>
      <c r="G3577" t="s">
        <v>6239</v>
      </c>
      <c r="H3577" t="s">
        <v>6440</v>
      </c>
      <c r="K3577">
        <v>0.44941186443688141</v>
      </c>
    </row>
    <row r="3578" spans="2:23" x14ac:dyDescent="0.25">
      <c r="B3578" t="s">
        <v>133</v>
      </c>
      <c r="C3578" t="s">
        <v>3263</v>
      </c>
      <c r="D3578" t="s">
        <v>6572</v>
      </c>
      <c r="E3578" t="s">
        <v>6496</v>
      </c>
      <c r="F3578" t="s">
        <v>9252</v>
      </c>
      <c r="G3578" t="s">
        <v>6239</v>
      </c>
      <c r="H3578" t="s">
        <v>6440</v>
      </c>
      <c r="K3578">
        <v>0.12069734314465221</v>
      </c>
    </row>
    <row r="3579" spans="2:23" x14ac:dyDescent="0.25">
      <c r="B3579" t="s">
        <v>133</v>
      </c>
      <c r="C3579" t="s">
        <v>3263</v>
      </c>
      <c r="D3579" t="s">
        <v>3170</v>
      </c>
      <c r="E3579" t="s">
        <v>6487</v>
      </c>
      <c r="F3579" t="s">
        <v>9249</v>
      </c>
      <c r="G3579" t="s">
        <v>6239</v>
      </c>
      <c r="H3579" t="s">
        <v>6440</v>
      </c>
      <c r="K3579">
        <v>6.5835634781121172E-2</v>
      </c>
    </row>
    <row r="3580" spans="2:23" x14ac:dyDescent="0.25">
      <c r="B3580" t="s">
        <v>133</v>
      </c>
      <c r="C3580" t="s">
        <v>3263</v>
      </c>
      <c r="D3580" t="s">
        <v>6573</v>
      </c>
      <c r="E3580" t="s">
        <v>6574</v>
      </c>
      <c r="F3580" t="s">
        <v>9262</v>
      </c>
      <c r="G3580" t="s">
        <v>6239</v>
      </c>
      <c r="K3580">
        <v>1.095275068428798</v>
      </c>
      <c r="L3580">
        <v>1.095275068428798</v>
      </c>
    </row>
    <row r="3581" spans="2:23" x14ac:dyDescent="0.25">
      <c r="B3581" t="s">
        <v>133</v>
      </c>
      <c r="C3581" t="s">
        <v>3263</v>
      </c>
      <c r="D3581" t="s">
        <v>6576</v>
      </c>
      <c r="E3581" t="s">
        <v>6577</v>
      </c>
      <c r="F3581" t="s">
        <v>9263</v>
      </c>
      <c r="G3581" t="s">
        <v>6239</v>
      </c>
      <c r="K3581">
        <v>0.17926802177480269</v>
      </c>
      <c r="L3581">
        <v>0.17926802177480269</v>
      </c>
    </row>
    <row r="3582" spans="2:23" x14ac:dyDescent="0.25">
      <c r="B3582" t="s">
        <v>133</v>
      </c>
      <c r="C3582" t="s">
        <v>3263</v>
      </c>
      <c r="D3582" t="s">
        <v>1113</v>
      </c>
      <c r="E3582" t="s">
        <v>6579</v>
      </c>
      <c r="F3582" t="s">
        <v>9264</v>
      </c>
      <c r="G3582" t="s">
        <v>6239</v>
      </c>
      <c r="K3582">
        <v>0.11548857777556347</v>
      </c>
      <c r="L3582">
        <v>0.11548857777556347</v>
      </c>
    </row>
    <row r="3583" spans="2:23" x14ac:dyDescent="0.25">
      <c r="B3583" t="s">
        <v>133</v>
      </c>
      <c r="C3583" t="s">
        <v>3263</v>
      </c>
      <c r="D3583" t="s">
        <v>873</v>
      </c>
      <c r="E3583" t="s">
        <v>6581</v>
      </c>
      <c r="F3583" t="s">
        <v>9265</v>
      </c>
      <c r="G3583" t="s">
        <v>6239</v>
      </c>
      <c r="K3583">
        <v>0.29129357275938189</v>
      </c>
      <c r="L3583">
        <v>0.29129357275938189</v>
      </c>
    </row>
    <row r="3584" spans="2:23" x14ac:dyDescent="0.25">
      <c r="B3584" t="s">
        <v>133</v>
      </c>
      <c r="C3584" t="s">
        <v>3263</v>
      </c>
      <c r="D3584" t="s">
        <v>871</v>
      </c>
      <c r="E3584" t="s">
        <v>6583</v>
      </c>
      <c r="F3584" t="s">
        <v>9266</v>
      </c>
      <c r="G3584" t="s">
        <v>6239</v>
      </c>
      <c r="K3584">
        <v>0.34204804338828498</v>
      </c>
      <c r="L3584">
        <v>0.34204804338828498</v>
      </c>
    </row>
    <row r="3585" spans="2:12" x14ac:dyDescent="0.25">
      <c r="B3585" t="s">
        <v>133</v>
      </c>
      <c r="C3585" t="s">
        <v>3263</v>
      </c>
      <c r="D3585" t="s">
        <v>6585</v>
      </c>
      <c r="E3585" t="s">
        <v>6586</v>
      </c>
      <c r="F3585" t="s">
        <v>9267</v>
      </c>
      <c r="G3585" t="s">
        <v>6239</v>
      </c>
      <c r="K3585">
        <v>0.80361498465108849</v>
      </c>
      <c r="L3585">
        <v>0.80361498465108849</v>
      </c>
    </row>
    <row r="3586" spans="2:12" x14ac:dyDescent="0.25">
      <c r="B3586" t="s">
        <v>133</v>
      </c>
      <c r="C3586" t="s">
        <v>3263</v>
      </c>
      <c r="D3586" t="s">
        <v>6588</v>
      </c>
      <c r="E3586" t="s">
        <v>6589</v>
      </c>
      <c r="F3586" t="s">
        <v>9268</v>
      </c>
      <c r="G3586" t="s">
        <v>6239</v>
      </c>
      <c r="K3586">
        <v>0.21160001377279056</v>
      </c>
      <c r="L3586">
        <v>0.21160001377279056</v>
      </c>
    </row>
    <row r="3587" spans="2:12" x14ac:dyDescent="0.25">
      <c r="B3587" t="s">
        <v>133</v>
      </c>
      <c r="C3587" t="s">
        <v>3263</v>
      </c>
      <c r="D3587" t="s">
        <v>870</v>
      </c>
      <c r="E3587" t="s">
        <v>6591</v>
      </c>
      <c r="F3587" t="s">
        <v>9269</v>
      </c>
      <c r="G3587" t="s">
        <v>6239</v>
      </c>
      <c r="K3587">
        <v>0.59193722812696148</v>
      </c>
      <c r="L3587">
        <v>0.59193722812696148</v>
      </c>
    </row>
    <row r="3588" spans="2:12" x14ac:dyDescent="0.25">
      <c r="B3588" t="s">
        <v>133</v>
      </c>
      <c r="C3588" t="s">
        <v>3263</v>
      </c>
      <c r="D3588" t="s">
        <v>112</v>
      </c>
      <c r="E3588" t="s">
        <v>6593</v>
      </c>
      <c r="F3588" t="s">
        <v>9270</v>
      </c>
      <c r="G3588" t="s">
        <v>6239</v>
      </c>
      <c r="K3588">
        <v>0.30287251641153734</v>
      </c>
      <c r="L3588">
        <v>0.30287251641153734</v>
      </c>
    </row>
    <row r="3589" spans="2:12" x14ac:dyDescent="0.25">
      <c r="B3589" t="s">
        <v>133</v>
      </c>
      <c r="C3589" t="s">
        <v>3263</v>
      </c>
      <c r="D3589" t="s">
        <v>6595</v>
      </c>
      <c r="E3589" t="s">
        <v>6596</v>
      </c>
      <c r="F3589" t="s">
        <v>9271</v>
      </c>
      <c r="G3589" t="s">
        <v>6239</v>
      </c>
      <c r="K3589">
        <v>0.83247126001045757</v>
      </c>
      <c r="L3589">
        <v>0.83247126001045757</v>
      </c>
    </row>
    <row r="3590" spans="2:12" x14ac:dyDescent="0.25">
      <c r="B3590" t="s">
        <v>133</v>
      </c>
      <c r="C3590" t="s">
        <v>3263</v>
      </c>
      <c r="D3590" t="s">
        <v>232</v>
      </c>
      <c r="E3590" t="s">
        <v>6598</v>
      </c>
      <c r="F3590" t="s">
        <v>9272</v>
      </c>
      <c r="G3590" t="s">
        <v>6239</v>
      </c>
      <c r="K3590">
        <v>0.14086132248485517</v>
      </c>
      <c r="L3590">
        <v>0.14086132248485517</v>
      </c>
    </row>
    <row r="3591" spans="2:12" x14ac:dyDescent="0.25">
      <c r="B3591" t="s">
        <v>133</v>
      </c>
      <c r="C3591" t="s">
        <v>3263</v>
      </c>
      <c r="D3591" t="s">
        <v>32</v>
      </c>
      <c r="E3591" t="s">
        <v>6600</v>
      </c>
      <c r="F3591" t="s">
        <v>9273</v>
      </c>
      <c r="G3591" t="s">
        <v>6239</v>
      </c>
    </row>
    <row r="3592" spans="2:12" x14ac:dyDescent="0.25">
      <c r="B3592" t="s">
        <v>133</v>
      </c>
      <c r="C3592" t="s">
        <v>3263</v>
      </c>
      <c r="D3592" t="s">
        <v>6573</v>
      </c>
      <c r="E3592" t="s">
        <v>6602</v>
      </c>
      <c r="F3592" t="s">
        <v>9274</v>
      </c>
      <c r="G3592" t="s">
        <v>6239</v>
      </c>
      <c r="K3592">
        <v>1.095275068428798</v>
      </c>
      <c r="L3592">
        <v>1.095275068428798</v>
      </c>
    </row>
    <row r="3593" spans="2:12" x14ac:dyDescent="0.25">
      <c r="B3593" t="s">
        <v>133</v>
      </c>
      <c r="C3593" t="s">
        <v>3263</v>
      </c>
      <c r="D3593" t="s">
        <v>6595</v>
      </c>
      <c r="E3593" t="s">
        <v>6604</v>
      </c>
      <c r="F3593" t="s">
        <v>9275</v>
      </c>
      <c r="G3593" t="s">
        <v>6239</v>
      </c>
      <c r="K3593">
        <v>0.83247126001045757</v>
      </c>
      <c r="L3593">
        <v>0.83247126001045757</v>
      </c>
    </row>
    <row r="3594" spans="2:12" x14ac:dyDescent="0.25">
      <c r="B3594" t="s">
        <v>133</v>
      </c>
      <c r="C3594" t="s">
        <v>3263</v>
      </c>
      <c r="D3594" t="s">
        <v>112</v>
      </c>
      <c r="E3594" t="s">
        <v>6606</v>
      </c>
      <c r="F3594" t="s">
        <v>9276</v>
      </c>
      <c r="G3594" t="s">
        <v>6239</v>
      </c>
      <c r="K3594">
        <v>0.80361498465108849</v>
      </c>
      <c r="L3594">
        <v>0.80361498465108849</v>
      </c>
    </row>
    <row r="3595" spans="2:12" x14ac:dyDescent="0.25">
      <c r="B3595" t="s">
        <v>133</v>
      </c>
      <c r="C3595" t="s">
        <v>3263</v>
      </c>
      <c r="D3595" t="s">
        <v>6585</v>
      </c>
      <c r="E3595" t="s">
        <v>6608</v>
      </c>
      <c r="F3595" t="s">
        <v>9277</v>
      </c>
      <c r="G3595" t="s">
        <v>6239</v>
      </c>
      <c r="K3595">
        <v>0.59193722812696148</v>
      </c>
      <c r="L3595">
        <v>0.59193722812696148</v>
      </c>
    </row>
    <row r="3596" spans="2:12" x14ac:dyDescent="0.25">
      <c r="B3596" t="s">
        <v>133</v>
      </c>
      <c r="C3596" t="s">
        <v>3263</v>
      </c>
      <c r="D3596" t="s">
        <v>870</v>
      </c>
      <c r="E3596" t="s">
        <v>6610</v>
      </c>
      <c r="F3596" t="s">
        <v>9278</v>
      </c>
      <c r="G3596" t="s">
        <v>6239</v>
      </c>
      <c r="K3596">
        <v>0.34204804338828498</v>
      </c>
      <c r="L3596">
        <v>0.34204804338828498</v>
      </c>
    </row>
    <row r="3597" spans="2:12" x14ac:dyDescent="0.25">
      <c r="B3597" t="s">
        <v>133</v>
      </c>
      <c r="C3597" t="s">
        <v>3263</v>
      </c>
      <c r="D3597" t="s">
        <v>6588</v>
      </c>
      <c r="E3597" t="s">
        <v>6612</v>
      </c>
      <c r="F3597" t="s">
        <v>9279</v>
      </c>
      <c r="G3597" t="s">
        <v>6239</v>
      </c>
      <c r="K3597">
        <v>0.30287251641153734</v>
      </c>
      <c r="L3597">
        <v>0.30287251641153734</v>
      </c>
    </row>
    <row r="3598" spans="2:12" x14ac:dyDescent="0.25">
      <c r="B3598" t="s">
        <v>133</v>
      </c>
      <c r="C3598" t="s">
        <v>3263</v>
      </c>
      <c r="D3598" t="s">
        <v>6576</v>
      </c>
      <c r="E3598" t="s">
        <v>6614</v>
      </c>
      <c r="F3598" t="s">
        <v>9280</v>
      </c>
      <c r="G3598" t="s">
        <v>6239</v>
      </c>
      <c r="K3598">
        <v>0.29129357275938189</v>
      </c>
      <c r="L3598">
        <v>0.29129357275938189</v>
      </c>
    </row>
    <row r="3599" spans="2:12" x14ac:dyDescent="0.25">
      <c r="B3599" t="s">
        <v>133</v>
      </c>
      <c r="C3599" t="s">
        <v>3263</v>
      </c>
      <c r="D3599" t="s">
        <v>871</v>
      </c>
      <c r="E3599" t="s">
        <v>6616</v>
      </c>
      <c r="F3599" t="s">
        <v>9281</v>
      </c>
      <c r="G3599" t="s">
        <v>6239</v>
      </c>
      <c r="K3599">
        <v>0.21160001377279056</v>
      </c>
      <c r="L3599">
        <v>0.21160001377279056</v>
      </c>
    </row>
    <row r="3600" spans="2:12" x14ac:dyDescent="0.25">
      <c r="B3600" t="s">
        <v>133</v>
      </c>
      <c r="C3600" t="s">
        <v>3263</v>
      </c>
      <c r="D3600" t="s">
        <v>232</v>
      </c>
      <c r="E3600" t="s">
        <v>6618</v>
      </c>
      <c r="F3600" t="s">
        <v>9282</v>
      </c>
      <c r="G3600" t="s">
        <v>6239</v>
      </c>
      <c r="K3600">
        <v>0.17926802177480269</v>
      </c>
      <c r="L3600">
        <v>0.17926802177480269</v>
      </c>
    </row>
    <row r="3601" spans="2:30" x14ac:dyDescent="0.25">
      <c r="B3601" t="s">
        <v>133</v>
      </c>
      <c r="C3601" t="s">
        <v>3263</v>
      </c>
      <c r="D3601" t="s">
        <v>873</v>
      </c>
      <c r="E3601" t="s">
        <v>6620</v>
      </c>
      <c r="F3601" t="s">
        <v>9283</v>
      </c>
      <c r="G3601" t="s">
        <v>6239</v>
      </c>
      <c r="K3601">
        <v>0.14086132248485517</v>
      </c>
      <c r="L3601">
        <v>0.14086132248485517</v>
      </c>
    </row>
    <row r="3602" spans="2:30" x14ac:dyDescent="0.25">
      <c r="B3602" t="s">
        <v>133</v>
      </c>
      <c r="C3602" t="s">
        <v>3263</v>
      </c>
      <c r="D3602" t="s">
        <v>1113</v>
      </c>
      <c r="E3602" t="s">
        <v>6622</v>
      </c>
      <c r="F3602" t="s">
        <v>9284</v>
      </c>
      <c r="G3602" t="s">
        <v>6239</v>
      </c>
      <c r="K3602">
        <v>0.11548857777556347</v>
      </c>
      <c r="L3602">
        <v>0.11548857777556347</v>
      </c>
    </row>
    <row r="3603" spans="2:30" x14ac:dyDescent="0.25">
      <c r="B3603" t="s">
        <v>133</v>
      </c>
      <c r="C3603" t="s">
        <v>3263</v>
      </c>
      <c r="D3603" t="s">
        <v>6624</v>
      </c>
      <c r="E3603" t="s">
        <v>6625</v>
      </c>
      <c r="F3603" t="s">
        <v>9285</v>
      </c>
      <c r="G3603" t="s">
        <v>3890</v>
      </c>
      <c r="H3603" t="s">
        <v>6627</v>
      </c>
      <c r="K3603">
        <v>1.0009999999999999</v>
      </c>
      <c r="L3603">
        <v>1.0009999999999999</v>
      </c>
      <c r="M3603">
        <v>0.995</v>
      </c>
      <c r="N3603">
        <v>0.99199999999999999</v>
      </c>
      <c r="O3603">
        <v>0.98199999999999998</v>
      </c>
      <c r="P3603">
        <v>0.97599999999999998</v>
      </c>
      <c r="Q3603">
        <v>0.96699999999999997</v>
      </c>
      <c r="R3603">
        <v>0.95599999999999996</v>
      </c>
      <c r="S3603">
        <v>0.94599999999999995</v>
      </c>
      <c r="T3603">
        <v>0.94</v>
      </c>
      <c r="U3603">
        <v>0.93799999999999994</v>
      </c>
      <c r="V3603">
        <v>0.93500000000000005</v>
      </c>
      <c r="W3603">
        <v>0.93300000000000005</v>
      </c>
      <c r="X3603">
        <v>0.93100000000000005</v>
      </c>
      <c r="Y3603">
        <v>0.92900000000000005</v>
      </c>
      <c r="Z3603">
        <v>0.92700000000000005</v>
      </c>
      <c r="AA3603">
        <v>0.92500000000000004</v>
      </c>
      <c r="AB3603">
        <v>0.92400000000000004</v>
      </c>
      <c r="AC3603">
        <v>0.92300000000000004</v>
      </c>
      <c r="AD3603">
        <v>0.92100000000000004</v>
      </c>
    </row>
    <row r="3604" spans="2:30" x14ac:dyDescent="0.25">
      <c r="B3604" t="s">
        <v>133</v>
      </c>
      <c r="C3604" t="s">
        <v>3263</v>
      </c>
      <c r="D3604" t="s">
        <v>6628</v>
      </c>
      <c r="E3604" t="s">
        <v>6629</v>
      </c>
      <c r="F3604" t="s">
        <v>9286</v>
      </c>
      <c r="G3604" t="s">
        <v>3890</v>
      </c>
      <c r="H3604" t="s">
        <v>6627</v>
      </c>
      <c r="K3604">
        <v>0.66800000000000004</v>
      </c>
      <c r="L3604">
        <v>0.66800000000000004</v>
      </c>
      <c r="M3604">
        <v>0.66300000000000003</v>
      </c>
      <c r="N3604">
        <v>0.66100000000000003</v>
      </c>
      <c r="O3604">
        <v>0.65500000000000003</v>
      </c>
      <c r="P3604">
        <v>0.65</v>
      </c>
      <c r="Q3604">
        <v>0.64500000000000002</v>
      </c>
      <c r="R3604">
        <v>0.63700000000000001</v>
      </c>
      <c r="S3604">
        <v>0.63100000000000001</v>
      </c>
      <c r="T3604">
        <v>0.627</v>
      </c>
      <c r="U3604">
        <v>0.625</v>
      </c>
      <c r="V3604">
        <v>0.623</v>
      </c>
      <c r="W3604">
        <v>0.622</v>
      </c>
      <c r="X3604">
        <v>0.621</v>
      </c>
      <c r="Y3604">
        <v>0.61899999999999999</v>
      </c>
      <c r="Z3604">
        <v>0.61799999999999999</v>
      </c>
      <c r="AA3604">
        <v>0.61699999999999999</v>
      </c>
      <c r="AB3604">
        <v>0.61599999999999999</v>
      </c>
      <c r="AC3604">
        <v>0.61499999999999999</v>
      </c>
      <c r="AD3604">
        <v>0.61399999999999999</v>
      </c>
    </row>
    <row r="3605" spans="2:30" x14ac:dyDescent="0.25">
      <c r="B3605" t="s">
        <v>133</v>
      </c>
      <c r="C3605" t="s">
        <v>3263</v>
      </c>
      <c r="D3605" t="s">
        <v>6631</v>
      </c>
      <c r="E3605" t="s">
        <v>6632</v>
      </c>
      <c r="F3605" t="s">
        <v>9287</v>
      </c>
      <c r="G3605" t="s">
        <v>3890</v>
      </c>
      <c r="H3605" t="s">
        <v>6627</v>
      </c>
      <c r="K3605">
        <v>0.51400000000000001</v>
      </c>
      <c r="L3605">
        <v>0.51400000000000001</v>
      </c>
      <c r="M3605">
        <v>0.51</v>
      </c>
      <c r="N3605">
        <v>0.50900000000000001</v>
      </c>
      <c r="O3605">
        <v>0.504</v>
      </c>
      <c r="P3605">
        <v>0.5</v>
      </c>
      <c r="Q3605">
        <v>0.496</v>
      </c>
      <c r="R3605">
        <v>0.49</v>
      </c>
      <c r="S3605">
        <v>0.48499999999999999</v>
      </c>
      <c r="T3605">
        <v>0.48199999999999998</v>
      </c>
      <c r="U3605">
        <v>0.48099999999999998</v>
      </c>
      <c r="V3605">
        <v>0.48</v>
      </c>
      <c r="W3605">
        <v>0.47799999999999998</v>
      </c>
      <c r="X3605">
        <v>0.47699999999999998</v>
      </c>
      <c r="Y3605">
        <v>0.47599999999999998</v>
      </c>
      <c r="Z3605">
        <v>0.47499999999999998</v>
      </c>
      <c r="AA3605">
        <v>0.47499999999999998</v>
      </c>
      <c r="AB3605">
        <v>0.47399999999999998</v>
      </c>
      <c r="AC3605">
        <v>0.47299999999999998</v>
      </c>
      <c r="AD3605">
        <v>0.47299999999999998</v>
      </c>
    </row>
    <row r="3606" spans="2:30" x14ac:dyDescent="0.25">
      <c r="B3606" t="s">
        <v>133</v>
      </c>
      <c r="C3606" t="s">
        <v>3263</v>
      </c>
      <c r="D3606" t="s">
        <v>6634</v>
      </c>
      <c r="E3606" t="s">
        <v>3917</v>
      </c>
      <c r="F3606" t="s">
        <v>9288</v>
      </c>
      <c r="G3606" t="s">
        <v>3890</v>
      </c>
      <c r="H3606" t="s">
        <v>6636</v>
      </c>
      <c r="K3606">
        <v>546.971</v>
      </c>
      <c r="L3606">
        <v>567.53899999999999</v>
      </c>
      <c r="M3606">
        <v>581.15300000000002</v>
      </c>
      <c r="N3606">
        <v>606.67899999999997</v>
      </c>
      <c r="O3606">
        <v>632.40099999999995</v>
      </c>
      <c r="P3606">
        <v>662.94100000000003</v>
      </c>
      <c r="Q3606">
        <v>699.63599999999997</v>
      </c>
      <c r="R3606">
        <v>736.20399999999995</v>
      </c>
      <c r="S3606">
        <v>771.85</v>
      </c>
      <c r="T3606">
        <v>808.81200000000001</v>
      </c>
      <c r="U3606">
        <v>847.11400000000003</v>
      </c>
      <c r="V3606">
        <v>886.779</v>
      </c>
      <c r="W3606">
        <v>927.83100000000002</v>
      </c>
      <c r="X3606">
        <v>970.29</v>
      </c>
      <c r="Y3606">
        <v>1014.177</v>
      </c>
      <c r="Z3606">
        <v>1059.509</v>
      </c>
      <c r="AA3606">
        <v>1106.3050000000001</v>
      </c>
      <c r="AB3606">
        <v>1154.58</v>
      </c>
      <c r="AC3606">
        <v>1204.348</v>
      </c>
      <c r="AD3606">
        <v>1255.6210000000001</v>
      </c>
    </row>
    <row r="3607" spans="2:30" x14ac:dyDescent="0.25">
      <c r="B3607" t="s">
        <v>133</v>
      </c>
      <c r="C3607" t="s">
        <v>3263</v>
      </c>
      <c r="D3607" t="s">
        <v>6637</v>
      </c>
      <c r="E3607" t="s">
        <v>6638</v>
      </c>
      <c r="F3607" t="s">
        <v>9289</v>
      </c>
      <c r="G3607" t="s">
        <v>3890</v>
      </c>
      <c r="H3607" t="s">
        <v>3126</v>
      </c>
      <c r="K3607">
        <v>82.215000000000003</v>
      </c>
      <c r="L3607">
        <v>78.525000000000006</v>
      </c>
      <c r="M3607">
        <v>90.742999999999995</v>
      </c>
      <c r="N3607">
        <v>95.17</v>
      </c>
      <c r="O3607">
        <v>92.542000000000002</v>
      </c>
      <c r="P3607">
        <v>90.585999999999999</v>
      </c>
      <c r="Q3607">
        <v>92.247</v>
      </c>
      <c r="R3607">
        <v>94.013999999999996</v>
      </c>
      <c r="S3607">
        <v>95.631</v>
      </c>
      <c r="T3607">
        <v>97.241</v>
      </c>
      <c r="U3607">
        <v>98.998000000000005</v>
      </c>
      <c r="V3607">
        <v>101.15300000000001</v>
      </c>
      <c r="W3607">
        <v>103.72499999999999</v>
      </c>
      <c r="X3607">
        <v>106.83499999999999</v>
      </c>
      <c r="Y3607">
        <v>110.491</v>
      </c>
      <c r="Z3607">
        <v>114.84399999999999</v>
      </c>
      <c r="AA3607">
        <v>119.98399999999999</v>
      </c>
      <c r="AB3607">
        <v>126.16200000000001</v>
      </c>
      <c r="AC3607">
        <v>133.006</v>
      </c>
      <c r="AD3607">
        <v>139.89500000000001</v>
      </c>
    </row>
    <row r="3608" spans="2:30" x14ac:dyDescent="0.25">
      <c r="B3608" t="s">
        <v>133</v>
      </c>
      <c r="C3608" t="s">
        <v>3263</v>
      </c>
      <c r="D3608" t="s">
        <v>6640</v>
      </c>
      <c r="E3608" t="s">
        <v>3126</v>
      </c>
      <c r="F3608" t="s">
        <v>9290</v>
      </c>
      <c r="G3608" t="s">
        <v>3890</v>
      </c>
      <c r="H3608" t="s">
        <v>3126</v>
      </c>
      <c r="K3608">
        <v>210.916</v>
      </c>
      <c r="L3608">
        <v>207.06800000000001</v>
      </c>
      <c r="M3608">
        <v>233.31299999999999</v>
      </c>
      <c r="N3608">
        <v>242.245</v>
      </c>
      <c r="O3608">
        <v>237.191</v>
      </c>
      <c r="P3608">
        <v>242.43600000000001</v>
      </c>
      <c r="Q3608">
        <v>250.36099999999999</v>
      </c>
      <c r="R3608">
        <v>257.79500000000002</v>
      </c>
      <c r="S3608">
        <v>265.69200000000001</v>
      </c>
      <c r="T3608">
        <v>274.63299999999998</v>
      </c>
      <c r="U3608">
        <v>283.74400000000003</v>
      </c>
      <c r="V3608">
        <v>293.68799999999999</v>
      </c>
      <c r="W3608">
        <v>304.36</v>
      </c>
      <c r="X3608">
        <v>315.87099999999998</v>
      </c>
      <c r="Y3608">
        <v>328.16800000000001</v>
      </c>
      <c r="Z3608">
        <v>341.46100000000001</v>
      </c>
      <c r="AA3608">
        <v>355.81900000000002</v>
      </c>
      <c r="AB3608">
        <v>371.49599999999998</v>
      </c>
      <c r="AC3608">
        <v>388.12299999999999</v>
      </c>
      <c r="AD3608">
        <v>404.98099999999999</v>
      </c>
    </row>
    <row r="3609" spans="2:30" x14ac:dyDescent="0.25">
      <c r="B3609" t="s">
        <v>133</v>
      </c>
      <c r="C3609" t="s">
        <v>3263</v>
      </c>
      <c r="D3609" t="s">
        <v>6642</v>
      </c>
      <c r="E3609" t="s">
        <v>6643</v>
      </c>
      <c r="F3609" t="s">
        <v>9291</v>
      </c>
      <c r="G3609" t="s">
        <v>3890</v>
      </c>
      <c r="H3609" t="s">
        <v>6645</v>
      </c>
      <c r="K3609">
        <v>0.38561000000000001</v>
      </c>
      <c r="L3609">
        <v>0.36485000000000001</v>
      </c>
      <c r="M3609">
        <v>0.40146999999999999</v>
      </c>
      <c r="N3609">
        <v>0.39929999999999999</v>
      </c>
      <c r="O3609">
        <v>0.37506</v>
      </c>
      <c r="P3609">
        <v>0.36570000000000003</v>
      </c>
      <c r="Q3609">
        <v>0.35783999999999999</v>
      </c>
      <c r="R3609">
        <v>0.35016999999999998</v>
      </c>
      <c r="S3609">
        <v>0.34422999999999998</v>
      </c>
      <c r="T3609">
        <v>0.33955000000000002</v>
      </c>
      <c r="U3609">
        <v>0.33495000000000003</v>
      </c>
      <c r="V3609">
        <v>0.33118999999999998</v>
      </c>
      <c r="W3609">
        <v>0.32802999999999999</v>
      </c>
      <c r="X3609">
        <v>0.32554</v>
      </c>
      <c r="Y3609">
        <v>0.32357999999999998</v>
      </c>
      <c r="Z3609">
        <v>0.32228000000000001</v>
      </c>
      <c r="AA3609">
        <v>0.32163000000000003</v>
      </c>
      <c r="AB3609">
        <v>0.32175999999999999</v>
      </c>
      <c r="AC3609">
        <v>0.32227</v>
      </c>
      <c r="AD3609">
        <v>0.32252999999999998</v>
      </c>
    </row>
    <row r="3610" spans="2:30" x14ac:dyDescent="0.25">
      <c r="B3610" t="s">
        <v>133</v>
      </c>
      <c r="C3610" t="s">
        <v>3263</v>
      </c>
      <c r="D3610" t="s">
        <v>6646</v>
      </c>
      <c r="E3610" t="s">
        <v>5467</v>
      </c>
      <c r="F3610" t="s">
        <v>9292</v>
      </c>
      <c r="G3610" t="s">
        <v>3890</v>
      </c>
      <c r="H3610" t="s">
        <v>5467</v>
      </c>
      <c r="K3610">
        <v>208.74</v>
      </c>
      <c r="L3610">
        <v>202.17599999999999</v>
      </c>
      <c r="M3610">
        <v>232.196</v>
      </c>
      <c r="N3610">
        <v>257.23</v>
      </c>
      <c r="O3610">
        <v>270.71899999999999</v>
      </c>
      <c r="P3610">
        <v>273.69200000000001</v>
      </c>
      <c r="Q3610">
        <v>281.33800000000002</v>
      </c>
      <c r="R3610">
        <v>291.22199999999998</v>
      </c>
      <c r="S3610">
        <v>301.78500000000003</v>
      </c>
      <c r="T3610">
        <v>312.76100000000002</v>
      </c>
      <c r="U3610">
        <v>324.22800000000001</v>
      </c>
      <c r="V3610">
        <v>336.85199999999998</v>
      </c>
      <c r="W3610">
        <v>350.98899999999998</v>
      </c>
      <c r="X3610">
        <v>367.12</v>
      </c>
      <c r="Y3610">
        <v>385.49599999999998</v>
      </c>
      <c r="Z3610">
        <v>406.61500000000001</v>
      </c>
      <c r="AA3610">
        <v>430.95800000000003</v>
      </c>
      <c r="AB3610">
        <v>459.15600000000001</v>
      </c>
      <c r="AC3610">
        <v>491.72</v>
      </c>
      <c r="AD3610">
        <v>527.75599999999997</v>
      </c>
    </row>
    <row r="3611" spans="2:30" x14ac:dyDescent="0.25">
      <c r="B3611" t="s">
        <v>133</v>
      </c>
      <c r="C3611" t="s">
        <v>3263</v>
      </c>
      <c r="D3611" t="s">
        <v>6648</v>
      </c>
      <c r="E3611" t="s">
        <v>6649</v>
      </c>
      <c r="F3611" t="s">
        <v>9293</v>
      </c>
      <c r="G3611" t="s">
        <v>3890</v>
      </c>
      <c r="H3611" t="s">
        <v>6651</v>
      </c>
      <c r="K3611">
        <v>0.12144000000000001</v>
      </c>
      <c r="L3611">
        <v>0.13524</v>
      </c>
      <c r="M3611">
        <v>0.11583</v>
      </c>
      <c r="N3611">
        <v>0.17368</v>
      </c>
      <c r="O3611">
        <v>0.23702000000000001</v>
      </c>
      <c r="P3611">
        <v>0.26105</v>
      </c>
      <c r="Q3611">
        <v>0.26480999999999999</v>
      </c>
      <c r="R3611">
        <v>0.27321000000000001</v>
      </c>
      <c r="S3611">
        <v>0.28394999999999998</v>
      </c>
      <c r="T3611">
        <v>0.29499999999999998</v>
      </c>
      <c r="U3611">
        <v>0.30526999999999999</v>
      </c>
      <c r="V3611">
        <v>0.31433</v>
      </c>
      <c r="W3611">
        <v>0.32278000000000001</v>
      </c>
      <c r="X3611">
        <v>0.33063999999999999</v>
      </c>
      <c r="Y3611">
        <v>0.33827000000000002</v>
      </c>
      <c r="Z3611">
        <v>0.34544999999999998</v>
      </c>
      <c r="AA3611">
        <v>0.35232000000000002</v>
      </c>
      <c r="AB3611">
        <v>0.35832999999999998</v>
      </c>
      <c r="AC3611">
        <v>0.36601</v>
      </c>
      <c r="AD3611">
        <v>0.37667</v>
      </c>
    </row>
    <row r="3612" spans="2:30" x14ac:dyDescent="0.25">
      <c r="B3612" t="s">
        <v>133</v>
      </c>
      <c r="C3612" t="s">
        <v>3263</v>
      </c>
      <c r="D3612" t="s">
        <v>6652</v>
      </c>
      <c r="E3612" t="s">
        <v>6651</v>
      </c>
      <c r="F3612" t="s">
        <v>9294</v>
      </c>
      <c r="G3612" t="s">
        <v>3890</v>
      </c>
      <c r="H3612" t="s">
        <v>6651</v>
      </c>
      <c r="K3612">
        <v>5.1270000000000003E-2</v>
      </c>
      <c r="L3612">
        <v>6.1109999999999998E-2</v>
      </c>
      <c r="M3612">
        <v>5.1290000000000002E-2</v>
      </c>
      <c r="N3612">
        <v>7.6090000000000005E-2</v>
      </c>
      <c r="O3612">
        <v>0.10342999999999999</v>
      </c>
      <c r="P3612">
        <v>0.12509000000000001</v>
      </c>
      <c r="Q3612">
        <v>0.13064000000000001</v>
      </c>
      <c r="R3612">
        <v>0.14099</v>
      </c>
      <c r="S3612">
        <v>0.15348999999999999</v>
      </c>
      <c r="T3612">
        <v>0.16624</v>
      </c>
      <c r="U3612">
        <v>0.17818999999999999</v>
      </c>
      <c r="V3612">
        <v>0.18914</v>
      </c>
      <c r="W3612">
        <v>0.19966999999999999</v>
      </c>
      <c r="X3612">
        <v>0.20988000000000001</v>
      </c>
      <c r="Y3612">
        <v>0.22006999999999999</v>
      </c>
      <c r="Z3612">
        <v>0.23005999999999999</v>
      </c>
      <c r="AA3612">
        <v>0.23996999999999999</v>
      </c>
      <c r="AB3612">
        <v>0.24925</v>
      </c>
      <c r="AC3612">
        <v>0.2591</v>
      </c>
      <c r="AD3612">
        <v>0.26719999999999999</v>
      </c>
    </row>
    <row r="3613" spans="2:30" x14ac:dyDescent="0.25">
      <c r="B3613" t="s">
        <v>133</v>
      </c>
      <c r="C3613" t="s">
        <v>3263</v>
      </c>
      <c r="D3613" t="s">
        <v>6654</v>
      </c>
      <c r="E3613" t="s">
        <v>6655</v>
      </c>
      <c r="F3613" t="s">
        <v>9295</v>
      </c>
      <c r="G3613" t="s">
        <v>3890</v>
      </c>
      <c r="H3613" t="s">
        <v>6657</v>
      </c>
      <c r="K3613">
        <v>0.39385999999999999</v>
      </c>
      <c r="L3613">
        <v>0.38840000000000002</v>
      </c>
      <c r="M3613">
        <v>0.39079999999999998</v>
      </c>
      <c r="N3613">
        <v>0.36997999999999998</v>
      </c>
      <c r="O3613">
        <v>0.34183999999999998</v>
      </c>
      <c r="P3613">
        <v>0.33098</v>
      </c>
      <c r="Q3613">
        <v>0.32789000000000001</v>
      </c>
      <c r="R3613">
        <v>0.32283000000000001</v>
      </c>
      <c r="S3613">
        <v>0.31688</v>
      </c>
      <c r="T3613">
        <v>0.31091000000000002</v>
      </c>
      <c r="U3613">
        <v>0.30534</v>
      </c>
      <c r="V3613">
        <v>0.30029</v>
      </c>
      <c r="W3613">
        <v>0.29552</v>
      </c>
      <c r="X3613">
        <v>0.29100999999999999</v>
      </c>
      <c r="Y3613">
        <v>0.28661999999999999</v>
      </c>
      <c r="Z3613">
        <v>0.28244000000000002</v>
      </c>
      <c r="AA3613">
        <v>0.27840999999999999</v>
      </c>
      <c r="AB3613">
        <v>0.27477000000000001</v>
      </c>
      <c r="AC3613">
        <v>0.27049000000000001</v>
      </c>
      <c r="AD3613">
        <v>0.26507999999999998</v>
      </c>
    </row>
    <row r="3614" spans="2:30" x14ac:dyDescent="0.25">
      <c r="B3614" t="s">
        <v>133</v>
      </c>
      <c r="C3614" t="s">
        <v>3263</v>
      </c>
      <c r="D3614" t="s">
        <v>6658</v>
      </c>
      <c r="E3614" t="s">
        <v>6659</v>
      </c>
      <c r="F3614" t="s">
        <v>9296</v>
      </c>
      <c r="G3614" t="s">
        <v>3890</v>
      </c>
      <c r="H3614" t="s">
        <v>6661</v>
      </c>
      <c r="J3614">
        <v>1</v>
      </c>
      <c r="K3614">
        <v>0.18672085273605965</v>
      </c>
    </row>
    <row r="3615" spans="2:30" x14ac:dyDescent="0.25">
      <c r="B3615" t="s">
        <v>133</v>
      </c>
      <c r="C3615" t="s">
        <v>3263</v>
      </c>
      <c r="D3615" t="s">
        <v>6662</v>
      </c>
      <c r="E3615" t="s">
        <v>6663</v>
      </c>
      <c r="F3615" t="s">
        <v>9297</v>
      </c>
      <c r="G3615" t="s">
        <v>3890</v>
      </c>
      <c r="H3615" t="s">
        <v>6665</v>
      </c>
      <c r="J3615">
        <v>1</v>
      </c>
      <c r="K3615">
        <v>3.8744775031930745E-2</v>
      </c>
    </row>
    <row r="3616" spans="2:30" x14ac:dyDescent="0.25">
      <c r="B3616" t="s">
        <v>133</v>
      </c>
      <c r="C3616" t="s">
        <v>3263</v>
      </c>
      <c r="D3616" t="s">
        <v>6666</v>
      </c>
      <c r="E3616" t="s">
        <v>6667</v>
      </c>
      <c r="F3616" t="s">
        <v>9298</v>
      </c>
      <c r="G3616" t="s">
        <v>3890</v>
      </c>
      <c r="H3616" t="s">
        <v>6669</v>
      </c>
      <c r="J3616">
        <v>1</v>
      </c>
      <c r="K3616">
        <v>9.2562380400507804E-3</v>
      </c>
    </row>
    <row r="3617" spans="2:28" x14ac:dyDescent="0.25">
      <c r="B3617" t="s">
        <v>133</v>
      </c>
      <c r="C3617" t="s">
        <v>3263</v>
      </c>
      <c r="D3617" t="s">
        <v>6670</v>
      </c>
      <c r="E3617" t="s">
        <v>6671</v>
      </c>
      <c r="F3617" t="s">
        <v>9299</v>
      </c>
      <c r="G3617" t="s">
        <v>3890</v>
      </c>
      <c r="H3617" t="s">
        <v>6673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2:28" x14ac:dyDescent="0.25">
      <c r="B3618" t="s">
        <v>133</v>
      </c>
      <c r="C3618" t="s">
        <v>3263</v>
      </c>
      <c r="D3618" t="s">
        <v>6674</v>
      </c>
      <c r="E3618" t="s">
        <v>6675</v>
      </c>
      <c r="F3618" t="s">
        <v>9300</v>
      </c>
      <c r="G3618" t="s">
        <v>3890</v>
      </c>
      <c r="H3618" t="s">
        <v>6673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1.993989130676856</v>
      </c>
      <c r="R3618">
        <v>0</v>
      </c>
      <c r="S3618">
        <v>0</v>
      </c>
      <c r="T3618">
        <v>0</v>
      </c>
      <c r="U3618">
        <v>276.17179900438128</v>
      </c>
      <c r="V3618">
        <v>0</v>
      </c>
      <c r="W3618">
        <v>0</v>
      </c>
      <c r="X3618">
        <v>1728.6923838696923</v>
      </c>
      <c r="Y3618">
        <v>0</v>
      </c>
      <c r="Z3618">
        <v>0</v>
      </c>
      <c r="AA3618">
        <v>0</v>
      </c>
      <c r="AB3618">
        <v>0</v>
      </c>
    </row>
    <row r="3619" spans="2:28" x14ac:dyDescent="0.25">
      <c r="B3619" t="s">
        <v>133</v>
      </c>
      <c r="C3619" t="s">
        <v>3263</v>
      </c>
      <c r="D3619" t="s">
        <v>6677</v>
      </c>
      <c r="E3619" t="s">
        <v>6678</v>
      </c>
      <c r="F3619" t="s">
        <v>9301</v>
      </c>
      <c r="G3619" t="s">
        <v>3890</v>
      </c>
      <c r="H3619" t="s">
        <v>6673</v>
      </c>
      <c r="J3619">
        <v>1</v>
      </c>
      <c r="K3619">
        <v>186318.24144011838</v>
      </c>
      <c r="L3619">
        <v>29824.367684429406</v>
      </c>
      <c r="M3619">
        <v>463.90033137874542</v>
      </c>
      <c r="N3619">
        <v>0</v>
      </c>
      <c r="O3619">
        <v>0</v>
      </c>
      <c r="P3619">
        <v>0</v>
      </c>
      <c r="Q3619">
        <v>2743.7479817675635</v>
      </c>
      <c r="R3619">
        <v>0</v>
      </c>
      <c r="S3619">
        <v>0</v>
      </c>
      <c r="T3619">
        <v>0</v>
      </c>
      <c r="U3619">
        <v>1557.4882109374457</v>
      </c>
      <c r="V3619">
        <v>0</v>
      </c>
      <c r="W3619">
        <v>0</v>
      </c>
      <c r="X3619">
        <v>1742.9509630814039</v>
      </c>
      <c r="Y3619">
        <v>951.24441541027238</v>
      </c>
      <c r="Z3619">
        <v>0</v>
      </c>
      <c r="AA3619">
        <v>7033.624667825371</v>
      </c>
      <c r="AB3619">
        <v>0</v>
      </c>
    </row>
    <row r="3620" spans="2:28" x14ac:dyDescent="0.25">
      <c r="B3620" t="s">
        <v>133</v>
      </c>
      <c r="C3620" t="s">
        <v>3263</v>
      </c>
      <c r="D3620" t="s">
        <v>6680</v>
      </c>
      <c r="E3620" t="s">
        <v>6681</v>
      </c>
      <c r="F3620" t="s">
        <v>9302</v>
      </c>
      <c r="G3620" t="s">
        <v>3890</v>
      </c>
      <c r="H3620" t="s">
        <v>6673</v>
      </c>
      <c r="J3620">
        <v>1</v>
      </c>
      <c r="K3620">
        <v>20190.83650202414</v>
      </c>
      <c r="L3620">
        <v>5639.2429773616032</v>
      </c>
      <c r="M3620">
        <v>0</v>
      </c>
      <c r="N3620">
        <v>0</v>
      </c>
      <c r="O3620">
        <v>0</v>
      </c>
      <c r="P3620">
        <v>406.19916287344472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3738.2677813151518</v>
      </c>
      <c r="Z3620">
        <v>0</v>
      </c>
      <c r="AA3620">
        <v>458.93271398915772</v>
      </c>
      <c r="AB3620">
        <v>132.16618156616914</v>
      </c>
    </row>
    <row r="3621" spans="2:28" x14ac:dyDescent="0.25">
      <c r="B3621" t="s">
        <v>133</v>
      </c>
      <c r="C3621" t="s">
        <v>3263</v>
      </c>
      <c r="D3621" t="s">
        <v>6683</v>
      </c>
      <c r="E3621" t="s">
        <v>6684</v>
      </c>
      <c r="F3621" t="s">
        <v>9303</v>
      </c>
      <c r="G3621" t="s">
        <v>3890</v>
      </c>
      <c r="H3621" t="s">
        <v>6673</v>
      </c>
      <c r="J3621">
        <v>1</v>
      </c>
      <c r="K3621">
        <v>0</v>
      </c>
      <c r="L3621">
        <v>0</v>
      </c>
      <c r="M3621">
        <v>6886.5366177210462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2:28" x14ac:dyDescent="0.25">
      <c r="B3622" t="s">
        <v>133</v>
      </c>
      <c r="C3622" t="s">
        <v>3263</v>
      </c>
      <c r="D3622" t="s">
        <v>6686</v>
      </c>
      <c r="E3622" t="s">
        <v>6687</v>
      </c>
      <c r="F3622" t="s">
        <v>9304</v>
      </c>
      <c r="G3622" t="s">
        <v>3890</v>
      </c>
      <c r="H3622" t="s">
        <v>6673</v>
      </c>
      <c r="J3622">
        <v>1</v>
      </c>
      <c r="K3622">
        <v>0</v>
      </c>
      <c r="L3622">
        <v>0</v>
      </c>
      <c r="M3622">
        <v>9684.2069881781063</v>
      </c>
      <c r="N3622">
        <v>0</v>
      </c>
      <c r="O3622">
        <v>0</v>
      </c>
      <c r="P3622">
        <v>0</v>
      </c>
      <c r="Q3622">
        <v>0</v>
      </c>
      <c r="R3622">
        <v>1387.0134096766124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5596.4219107402141</v>
      </c>
      <c r="Z3622">
        <v>0</v>
      </c>
      <c r="AA3622">
        <v>1263.5535407034979</v>
      </c>
      <c r="AB3622">
        <v>0</v>
      </c>
    </row>
    <row r="3623" spans="2:28" x14ac:dyDescent="0.25">
      <c r="B3623" t="s">
        <v>133</v>
      </c>
      <c r="C3623" t="s">
        <v>3263</v>
      </c>
      <c r="D3623" t="s">
        <v>6689</v>
      </c>
      <c r="E3623" t="s">
        <v>6690</v>
      </c>
      <c r="F3623" t="s">
        <v>9305</v>
      </c>
      <c r="G3623" t="s">
        <v>3890</v>
      </c>
      <c r="H3623" t="s">
        <v>6673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3.3419856694580128</v>
      </c>
      <c r="R3623">
        <v>0.43375111192193644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5.3963225426605339</v>
      </c>
      <c r="Z3623">
        <v>0</v>
      </c>
      <c r="AA3623">
        <v>0</v>
      </c>
      <c r="AB3623">
        <v>0</v>
      </c>
    </row>
    <row r="3624" spans="2:28" x14ac:dyDescent="0.25">
      <c r="B3624" t="s">
        <v>133</v>
      </c>
      <c r="C3624" t="s">
        <v>3263</v>
      </c>
      <c r="D3624" t="s">
        <v>6692</v>
      </c>
      <c r="E3624" t="s">
        <v>6693</v>
      </c>
      <c r="F3624" t="s">
        <v>9306</v>
      </c>
      <c r="G3624" t="s">
        <v>3890</v>
      </c>
      <c r="H3624" t="s">
        <v>6673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4252.483517832944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25.700629101682985</v>
      </c>
      <c r="Z3624">
        <v>0</v>
      </c>
      <c r="AA3624">
        <v>3382.6414899306828</v>
      </c>
      <c r="AB3624">
        <v>0</v>
      </c>
    </row>
    <row r="3625" spans="2:28" x14ac:dyDescent="0.25">
      <c r="B3625" t="s">
        <v>133</v>
      </c>
      <c r="C3625" t="s">
        <v>3263</v>
      </c>
      <c r="D3625" t="s">
        <v>6695</v>
      </c>
      <c r="E3625" t="s">
        <v>6696</v>
      </c>
      <c r="F3625" t="s">
        <v>9307</v>
      </c>
      <c r="G3625" t="s">
        <v>3890</v>
      </c>
      <c r="H3625" t="s">
        <v>6673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911.12642426304808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</row>
    <row r="3626" spans="2:28" x14ac:dyDescent="0.25">
      <c r="B3626" t="s">
        <v>133</v>
      </c>
      <c r="C3626" t="s">
        <v>3263</v>
      </c>
      <c r="D3626" t="s">
        <v>6698</v>
      </c>
      <c r="E3626" t="s">
        <v>6699</v>
      </c>
      <c r="F3626" t="s">
        <v>9308</v>
      </c>
      <c r="G3626" t="s">
        <v>3890</v>
      </c>
      <c r="H3626" t="s">
        <v>6673</v>
      </c>
      <c r="J3626">
        <v>1</v>
      </c>
      <c r="K3626">
        <v>14978.30883657722</v>
      </c>
      <c r="L3626">
        <v>420.29849247125264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2:28" x14ac:dyDescent="0.25">
      <c r="B3627" t="s">
        <v>133</v>
      </c>
      <c r="C3627" t="s">
        <v>3263</v>
      </c>
      <c r="D3627" t="s">
        <v>6701</v>
      </c>
      <c r="E3627" t="s">
        <v>6702</v>
      </c>
      <c r="F3627" t="s">
        <v>9309</v>
      </c>
      <c r="G3627" t="s">
        <v>3890</v>
      </c>
      <c r="H3627" t="s">
        <v>6673</v>
      </c>
      <c r="J3627">
        <v>1</v>
      </c>
      <c r="K3627">
        <v>13021.480196669825</v>
      </c>
      <c r="L3627">
        <v>365.92978728470621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2:28" x14ac:dyDescent="0.25">
      <c r="B3628" t="s">
        <v>133</v>
      </c>
      <c r="C3628" t="s">
        <v>3263</v>
      </c>
      <c r="D3628" t="s">
        <v>6704</v>
      </c>
      <c r="E3628" t="s">
        <v>6705</v>
      </c>
      <c r="F3628" t="s">
        <v>9310</v>
      </c>
      <c r="G3628" t="s">
        <v>3890</v>
      </c>
      <c r="H3628" t="s">
        <v>6673</v>
      </c>
      <c r="J3628">
        <v>1</v>
      </c>
      <c r="K3628">
        <v>36119.685164137016</v>
      </c>
      <c r="L3628">
        <v>1254.589239549776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2:28" x14ac:dyDescent="0.25">
      <c r="B3629" t="s">
        <v>133</v>
      </c>
      <c r="C3629" t="s">
        <v>3263</v>
      </c>
      <c r="D3629" t="s">
        <v>6707</v>
      </c>
      <c r="E3629" t="s">
        <v>6708</v>
      </c>
      <c r="F3629" t="s">
        <v>9311</v>
      </c>
      <c r="G3629" t="s">
        <v>3890</v>
      </c>
      <c r="H3629" t="s">
        <v>6673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2:28" x14ac:dyDescent="0.25">
      <c r="B3630" t="s">
        <v>133</v>
      </c>
      <c r="C3630" t="s">
        <v>3263</v>
      </c>
      <c r="D3630" t="s">
        <v>6710</v>
      </c>
      <c r="E3630" t="s">
        <v>6711</v>
      </c>
      <c r="F3630" t="s">
        <v>9312</v>
      </c>
      <c r="G3630" t="s">
        <v>3890</v>
      </c>
      <c r="H3630" t="s">
        <v>6673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2:28" x14ac:dyDescent="0.25">
      <c r="B3631" t="s">
        <v>133</v>
      </c>
      <c r="C3631" t="s">
        <v>3263</v>
      </c>
      <c r="D3631" t="s">
        <v>6713</v>
      </c>
      <c r="E3631" t="s">
        <v>6714</v>
      </c>
      <c r="F3631" t="s">
        <v>9313</v>
      </c>
      <c r="G3631" t="s">
        <v>3890</v>
      </c>
      <c r="H3631" t="s">
        <v>6673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1304.2656404773859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2:28" x14ac:dyDescent="0.25">
      <c r="B3632" t="s">
        <v>133</v>
      </c>
      <c r="C3632" t="s">
        <v>3263</v>
      </c>
      <c r="D3632" t="s">
        <v>6716</v>
      </c>
      <c r="E3632" t="s">
        <v>6717</v>
      </c>
      <c r="F3632" t="s">
        <v>9314</v>
      </c>
      <c r="G3632" t="s">
        <v>3890</v>
      </c>
      <c r="H3632" t="s">
        <v>6673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2:30" x14ac:dyDescent="0.25">
      <c r="B3633" t="s">
        <v>133</v>
      </c>
      <c r="C3633" t="s">
        <v>3263</v>
      </c>
      <c r="D3633" t="s">
        <v>6719</v>
      </c>
      <c r="E3633" t="s">
        <v>6720</v>
      </c>
      <c r="F3633" t="s">
        <v>9315</v>
      </c>
      <c r="G3633" t="s">
        <v>3890</v>
      </c>
      <c r="H3633" t="s">
        <v>6673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2:30" x14ac:dyDescent="0.25">
      <c r="B3634" t="s">
        <v>133</v>
      </c>
      <c r="C3634" t="s">
        <v>3263</v>
      </c>
      <c r="D3634" t="s">
        <v>6722</v>
      </c>
      <c r="E3634" t="s">
        <v>6723</v>
      </c>
      <c r="F3634" t="s">
        <v>9316</v>
      </c>
      <c r="G3634" t="s">
        <v>3890</v>
      </c>
      <c r="H3634" t="s">
        <v>6673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2:30" x14ac:dyDescent="0.25">
      <c r="B3635" t="s">
        <v>133</v>
      </c>
      <c r="C3635" t="s">
        <v>3263</v>
      </c>
      <c r="D3635" t="s">
        <v>6725</v>
      </c>
      <c r="E3635" t="s">
        <v>6726</v>
      </c>
      <c r="F3635" t="s">
        <v>9317</v>
      </c>
      <c r="G3635" t="s">
        <v>3890</v>
      </c>
      <c r="H3635" t="s">
        <v>6673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</row>
    <row r="3636" spans="2:30" x14ac:dyDescent="0.25">
      <c r="B3636" t="s">
        <v>133</v>
      </c>
      <c r="C3636" t="s">
        <v>3263</v>
      </c>
      <c r="D3636" t="s">
        <v>6728</v>
      </c>
      <c r="E3636" t="s">
        <v>6729</v>
      </c>
      <c r="F3636" t="s">
        <v>9318</v>
      </c>
      <c r="G3636" t="s">
        <v>3890</v>
      </c>
      <c r="K3636">
        <v>208.73974100000004</v>
      </c>
      <c r="L3636">
        <v>202.17573700254144</v>
      </c>
      <c r="M3636">
        <v>232.19628888015956</v>
      </c>
      <c r="N3636">
        <v>257.22993241027774</v>
      </c>
      <c r="O3636">
        <v>270.62855213952645</v>
      </c>
      <c r="P3636">
        <v>275.01978498763725</v>
      </c>
      <c r="Q3636">
        <v>282.76877708440276</v>
      </c>
      <c r="R3636">
        <v>292.86850456091923</v>
      </c>
      <c r="S3636">
        <v>303.31831763607943</v>
      </c>
      <c r="T3636">
        <v>314.24148100389641</v>
      </c>
      <c r="U3636">
        <v>325.73668571864528</v>
      </c>
      <c r="V3636">
        <v>338.34136364452507</v>
      </c>
      <c r="W3636">
        <v>352.28435131218072</v>
      </c>
      <c r="X3636">
        <v>367.97320446260295</v>
      </c>
      <c r="Y3636">
        <v>385.64770388357351</v>
      </c>
      <c r="Z3636">
        <v>405.73757366904999</v>
      </c>
      <c r="AA3636">
        <v>428.71565956124874</v>
      </c>
      <c r="AB3636">
        <v>455.17595647037155</v>
      </c>
      <c r="AC3636">
        <v>485.61048568896473</v>
      </c>
      <c r="AD3636">
        <v>519.09985912709499</v>
      </c>
    </row>
    <row r="3637" spans="2:30" x14ac:dyDescent="0.25">
      <c r="B3637" t="s">
        <v>133</v>
      </c>
      <c r="C3637" t="s">
        <v>3263</v>
      </c>
      <c r="D3637" t="s">
        <v>6731</v>
      </c>
      <c r="E3637" t="s">
        <v>6732</v>
      </c>
      <c r="F3637" t="s">
        <v>9319</v>
      </c>
      <c r="G3637" t="s">
        <v>3890</v>
      </c>
      <c r="K3637">
        <v>208.73974100000004</v>
      </c>
      <c r="L3637">
        <v>202.17573700254144</v>
      </c>
      <c r="M3637">
        <v>232.19628888015956</v>
      </c>
      <c r="N3637">
        <v>257.22993241027774</v>
      </c>
      <c r="O3637">
        <v>270.71888038161313</v>
      </c>
      <c r="P3637">
        <v>273.69188779207315</v>
      </c>
      <c r="Q3637">
        <v>281.33801452957937</v>
      </c>
      <c r="R3637">
        <v>291.22183603668657</v>
      </c>
      <c r="S3637">
        <v>301.78481308924245</v>
      </c>
      <c r="T3637">
        <v>312.76063581390008</v>
      </c>
      <c r="U3637">
        <v>324.22828016917526</v>
      </c>
      <c r="V3637">
        <v>336.8519707176107</v>
      </c>
      <c r="W3637">
        <v>350.98942640136477</v>
      </c>
      <c r="X3637">
        <v>367.12006942541166</v>
      </c>
      <c r="Y3637">
        <v>385.49587302146324</v>
      </c>
      <c r="Z3637">
        <v>406.61462449694102</v>
      </c>
      <c r="AA3637">
        <v>430.95774694388138</v>
      </c>
      <c r="AB3637">
        <v>459.15629822334546</v>
      </c>
      <c r="AC3637">
        <v>491.71969178641751</v>
      </c>
      <c r="AD3637">
        <v>527.75594207112397</v>
      </c>
    </row>
    <row r="3638" spans="2:30" x14ac:dyDescent="0.25">
      <c r="B3638" t="s">
        <v>133</v>
      </c>
      <c r="C3638" t="s">
        <v>3263</v>
      </c>
      <c r="D3638" t="s">
        <v>6734</v>
      </c>
      <c r="E3638" t="s">
        <v>6735</v>
      </c>
      <c r="F3638" t="s">
        <v>9320</v>
      </c>
      <c r="G3638" t="s">
        <v>3890</v>
      </c>
      <c r="H3638" t="s">
        <v>6737</v>
      </c>
      <c r="I3638" t="s">
        <v>6738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</row>
    <row r="3639" spans="2:30" x14ac:dyDescent="0.25">
      <c r="B3639" t="s">
        <v>133</v>
      </c>
      <c r="C3639" t="s">
        <v>3263</v>
      </c>
      <c r="D3639" t="s">
        <v>6739</v>
      </c>
      <c r="E3639" t="s">
        <v>6740</v>
      </c>
      <c r="F3639" t="s">
        <v>9321</v>
      </c>
      <c r="G3639" t="s">
        <v>3890</v>
      </c>
      <c r="H3639" t="s">
        <v>6742</v>
      </c>
      <c r="I3639" t="s">
        <v>6738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</row>
    <row r="3640" spans="2:30" x14ac:dyDescent="0.25">
      <c r="B3640" t="s">
        <v>133</v>
      </c>
      <c r="C3640" t="s">
        <v>3263</v>
      </c>
      <c r="D3640" t="s">
        <v>6743</v>
      </c>
      <c r="E3640" t="s">
        <v>6744</v>
      </c>
      <c r="F3640" t="s">
        <v>9322</v>
      </c>
      <c r="G3640" t="s">
        <v>3890</v>
      </c>
      <c r="H3640" t="s">
        <v>6746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</row>
    <row r="3641" spans="2:30" x14ac:dyDescent="0.25">
      <c r="B3641" t="s">
        <v>133</v>
      </c>
      <c r="C3641" t="s">
        <v>3263</v>
      </c>
      <c r="D3641" t="s">
        <v>6747</v>
      </c>
      <c r="E3641" t="s">
        <v>6748</v>
      </c>
      <c r="F3641" t="s">
        <v>9323</v>
      </c>
      <c r="G3641" t="s">
        <v>3890</v>
      </c>
      <c r="H3641" t="s">
        <v>6746</v>
      </c>
      <c r="J3641">
        <v>1</v>
      </c>
      <c r="K3641">
        <v>806.87211618252275</v>
      </c>
      <c r="L3641">
        <v>0</v>
      </c>
      <c r="M3641">
        <v>2040.3775691490387</v>
      </c>
      <c r="N3641">
        <v>2304.3477166152966</v>
      </c>
      <c r="O3641">
        <v>2471.0934380243948</v>
      </c>
      <c r="P3641">
        <v>1436.0097538045532</v>
      </c>
      <c r="Q3641">
        <v>1818.6975657260982</v>
      </c>
      <c r="R3641">
        <v>2083.8978284612131</v>
      </c>
      <c r="S3641">
        <v>2120.7847986129882</v>
      </c>
      <c r="T3641">
        <v>2208.2824680941562</v>
      </c>
      <c r="U3641">
        <v>2305.450274724375</v>
      </c>
      <c r="V3641">
        <v>2462.2479022470034</v>
      </c>
      <c r="W3641">
        <v>2643.8430519740896</v>
      </c>
      <c r="X3641">
        <v>2870.9657198748196</v>
      </c>
      <c r="Y3641">
        <v>3129.2168612762666</v>
      </c>
      <c r="Z3641">
        <v>3434.0645748948332</v>
      </c>
      <c r="AA3641">
        <v>3794.8012178577455</v>
      </c>
      <c r="AB3641">
        <v>4270.1518970037332</v>
      </c>
      <c r="AC3641">
        <v>4552.9607866877805</v>
      </c>
      <c r="AD3641">
        <v>4859.8743314159983</v>
      </c>
    </row>
    <row r="3642" spans="2:30" x14ac:dyDescent="0.25">
      <c r="B3642" t="s">
        <v>133</v>
      </c>
      <c r="C3642" t="s">
        <v>3263</v>
      </c>
      <c r="D3642" t="s">
        <v>6750</v>
      </c>
      <c r="E3642" t="s">
        <v>6751</v>
      </c>
      <c r="F3642" t="s">
        <v>9324</v>
      </c>
      <c r="G3642" t="s">
        <v>3890</v>
      </c>
      <c r="H3642" t="s">
        <v>6746</v>
      </c>
      <c r="J3642">
        <v>1</v>
      </c>
      <c r="K3642">
        <v>30.025615860050905</v>
      </c>
      <c r="L3642">
        <v>0</v>
      </c>
      <c r="M3642">
        <v>3447.3244899652409</v>
      </c>
      <c r="N3642">
        <v>164.15280510124751</v>
      </c>
      <c r="O3642">
        <v>109.66176751499754</v>
      </c>
      <c r="P3642">
        <v>64.430790069071051</v>
      </c>
      <c r="Q3642">
        <v>81.601201346977476</v>
      </c>
      <c r="R3642">
        <v>93.500189086634862</v>
      </c>
      <c r="S3642">
        <v>95.155231208623448</v>
      </c>
      <c r="T3642">
        <v>99.08107082004534</v>
      </c>
      <c r="U3642">
        <v>103.44078950153535</v>
      </c>
      <c r="V3642">
        <v>110.47597501853708</v>
      </c>
      <c r="W3642">
        <v>118.62377411156449</v>
      </c>
      <c r="X3642">
        <v>128.81429886020834</v>
      </c>
      <c r="Y3642">
        <v>140.40149388632204</v>
      </c>
      <c r="Z3642">
        <v>154.07938081373049</v>
      </c>
      <c r="AA3642">
        <v>170.26488850362347</v>
      </c>
      <c r="AB3642">
        <v>188.11160919406569</v>
      </c>
      <c r="AC3642">
        <v>208.28233937210624</v>
      </c>
      <c r="AD3642">
        <v>227.25340658098784</v>
      </c>
    </row>
    <row r="3643" spans="2:30" x14ac:dyDescent="0.25">
      <c r="B3643" t="s">
        <v>133</v>
      </c>
      <c r="C3643" t="s">
        <v>3263</v>
      </c>
      <c r="D3643" t="s">
        <v>6753</v>
      </c>
      <c r="E3643" t="s">
        <v>6754</v>
      </c>
      <c r="F3643" t="s">
        <v>9325</v>
      </c>
      <c r="G3643" t="s">
        <v>3890</v>
      </c>
      <c r="H3643" t="s">
        <v>6746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</row>
    <row r="3644" spans="2:30" x14ac:dyDescent="0.25">
      <c r="B3644" t="s">
        <v>133</v>
      </c>
      <c r="C3644" t="s">
        <v>3263</v>
      </c>
      <c r="D3644" t="s">
        <v>6756</v>
      </c>
      <c r="E3644" t="s">
        <v>6757</v>
      </c>
      <c r="F3644" t="s">
        <v>9326</v>
      </c>
      <c r="G3644" t="s">
        <v>3890</v>
      </c>
      <c r="H3644" t="s">
        <v>6746</v>
      </c>
      <c r="J3644">
        <v>1</v>
      </c>
      <c r="K3644">
        <v>599.35264415761799</v>
      </c>
      <c r="L3644">
        <v>0</v>
      </c>
      <c r="M3644">
        <v>1539.8049388511413</v>
      </c>
      <c r="N3644">
        <v>1739.0144101390101</v>
      </c>
      <c r="O3644">
        <v>1919.1658722481259</v>
      </c>
      <c r="P3644">
        <v>1092.6166377648299</v>
      </c>
      <c r="Q3644">
        <v>1403.7641535577277</v>
      </c>
      <c r="R3644">
        <v>1622.6889931977535</v>
      </c>
      <c r="S3644">
        <v>1663.0513027247614</v>
      </c>
      <c r="T3644">
        <v>1721.8851360842114</v>
      </c>
      <c r="U3644">
        <v>1792.8323271719692</v>
      </c>
      <c r="V3644">
        <v>1915.390042904259</v>
      </c>
      <c r="W3644">
        <v>2061.5929718568113</v>
      </c>
      <c r="X3644">
        <v>2248.5342097852754</v>
      </c>
      <c r="Y3644">
        <v>2459.556726350912</v>
      </c>
      <c r="Z3644">
        <v>2715.899162794718</v>
      </c>
      <c r="AA3644">
        <v>3021.9551336627501</v>
      </c>
      <c r="AB3644">
        <v>3234.5956177576491</v>
      </c>
      <c r="AC3644">
        <v>3435.9677403537121</v>
      </c>
      <c r="AD3644">
        <v>3667.5851621086063</v>
      </c>
    </row>
    <row r="3645" spans="2:30" x14ac:dyDescent="0.25">
      <c r="B3645" t="s">
        <v>133</v>
      </c>
      <c r="C3645" t="s">
        <v>3263</v>
      </c>
      <c r="D3645" t="s">
        <v>6759</v>
      </c>
      <c r="E3645" t="s">
        <v>6760</v>
      </c>
      <c r="F3645" t="s">
        <v>9327</v>
      </c>
      <c r="G3645" t="s">
        <v>3890</v>
      </c>
      <c r="H3645" t="s">
        <v>6746</v>
      </c>
      <c r="J3645">
        <v>1</v>
      </c>
      <c r="K3645">
        <v>294.69856660367191</v>
      </c>
      <c r="L3645">
        <v>0</v>
      </c>
      <c r="M3645">
        <v>2566.3415647519018</v>
      </c>
      <c r="N3645">
        <v>2898.3573502316831</v>
      </c>
      <c r="O3645">
        <v>1377.0619065393</v>
      </c>
      <c r="P3645">
        <v>876.72135226568696</v>
      </c>
      <c r="Q3645">
        <v>1254.1441154795466</v>
      </c>
      <c r="R3645">
        <v>1621.2179697272504</v>
      </c>
      <c r="S3645">
        <v>1853.0982152131214</v>
      </c>
      <c r="T3645">
        <v>1966.2700363119332</v>
      </c>
      <c r="U3645">
        <v>2098.0935643537923</v>
      </c>
      <c r="V3645">
        <v>2290.98605762531</v>
      </c>
      <c r="W3645">
        <v>2527.0529321122353</v>
      </c>
      <c r="X3645">
        <v>2824.6009855734233</v>
      </c>
      <c r="Y3645">
        <v>3163.1635253890222</v>
      </c>
      <c r="Z3645">
        <v>3579.5186949688577</v>
      </c>
      <c r="AA3645">
        <v>4070.7932862149719</v>
      </c>
      <c r="AB3645">
        <v>4783.2841359626818</v>
      </c>
      <c r="AC3645">
        <v>5726.6129005895191</v>
      </c>
      <c r="AD3645">
        <v>6112.6419368476763</v>
      </c>
    </row>
    <row r="3646" spans="2:30" x14ac:dyDescent="0.25">
      <c r="B3646" t="s">
        <v>133</v>
      </c>
      <c r="C3646" t="s">
        <v>3263</v>
      </c>
      <c r="D3646" t="s">
        <v>6762</v>
      </c>
      <c r="E3646" t="s">
        <v>6763</v>
      </c>
      <c r="F3646" t="s">
        <v>9328</v>
      </c>
      <c r="G3646" t="s">
        <v>3890</v>
      </c>
      <c r="H3646" t="s">
        <v>6746</v>
      </c>
      <c r="J3646">
        <v>1</v>
      </c>
      <c r="K3646">
        <v>90.057937790013483</v>
      </c>
      <c r="L3646">
        <v>0</v>
      </c>
      <c r="M3646">
        <v>2671.4616733757534</v>
      </c>
      <c r="N3646">
        <v>2909.0208218467078</v>
      </c>
      <c r="O3646">
        <v>274.87235124384648</v>
      </c>
      <c r="P3646">
        <v>159.73470341652776</v>
      </c>
      <c r="Q3646">
        <v>202.30302440213006</v>
      </c>
      <c r="R3646">
        <v>231.80260489017766</v>
      </c>
      <c r="S3646">
        <v>235.90573108518956</v>
      </c>
      <c r="T3646">
        <v>245.63854400458825</v>
      </c>
      <c r="U3646">
        <v>256.4470156967833</v>
      </c>
      <c r="V3646">
        <v>273.88841709561467</v>
      </c>
      <c r="W3646">
        <v>294.08817361306512</v>
      </c>
      <c r="X3646">
        <v>319.35218863815487</v>
      </c>
      <c r="Y3646">
        <v>348.07878284787256</v>
      </c>
      <c r="Z3646">
        <v>381.98855190971716</v>
      </c>
      <c r="AA3646">
        <v>422.11513219407175</v>
      </c>
      <c r="AB3646">
        <v>466.36013731335356</v>
      </c>
      <c r="AC3646">
        <v>834.39507283341698</v>
      </c>
      <c r="AD3646">
        <v>1164.4170107893983</v>
      </c>
    </row>
    <row r="3647" spans="2:30" x14ac:dyDescent="0.25">
      <c r="B3647" t="s">
        <v>133</v>
      </c>
      <c r="C3647" t="s">
        <v>3263</v>
      </c>
      <c r="D3647" t="s">
        <v>6765</v>
      </c>
      <c r="E3647" t="s">
        <v>6766</v>
      </c>
      <c r="F3647" t="s">
        <v>9329</v>
      </c>
      <c r="G3647" t="s">
        <v>3890</v>
      </c>
      <c r="H3647" t="s">
        <v>6746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</row>
    <row r="3648" spans="2:30" x14ac:dyDescent="0.25">
      <c r="B3648" t="s">
        <v>133</v>
      </c>
      <c r="C3648" t="s">
        <v>3263</v>
      </c>
      <c r="D3648" t="s">
        <v>6768</v>
      </c>
      <c r="E3648" t="s">
        <v>6769</v>
      </c>
      <c r="F3648" t="s">
        <v>9330</v>
      </c>
      <c r="G3648" t="s">
        <v>3890</v>
      </c>
      <c r="H3648" t="s">
        <v>6746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</row>
    <row r="3649" spans="2:30" x14ac:dyDescent="0.25">
      <c r="B3649" t="s">
        <v>133</v>
      </c>
      <c r="C3649" t="s">
        <v>3263</v>
      </c>
      <c r="D3649" t="s">
        <v>6771</v>
      </c>
      <c r="E3649" t="s">
        <v>6772</v>
      </c>
      <c r="F3649" t="s">
        <v>9331</v>
      </c>
      <c r="G3649" t="s">
        <v>3890</v>
      </c>
      <c r="H3649" t="s">
        <v>6746</v>
      </c>
      <c r="J3649">
        <v>2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</row>
    <row r="3650" spans="2:30" x14ac:dyDescent="0.25">
      <c r="B3650" t="s">
        <v>133</v>
      </c>
      <c r="C3650" t="s">
        <v>3263</v>
      </c>
      <c r="D3650" t="s">
        <v>6774</v>
      </c>
      <c r="E3650" t="s">
        <v>6775</v>
      </c>
      <c r="F3650" t="s">
        <v>9332</v>
      </c>
      <c r="G3650" t="s">
        <v>3890</v>
      </c>
      <c r="H3650" t="s">
        <v>6746</v>
      </c>
      <c r="J3650">
        <v>2</v>
      </c>
      <c r="K3650">
        <v>806.87211618252275</v>
      </c>
      <c r="L3650">
        <v>0</v>
      </c>
      <c r="M3650">
        <v>2040.3775691490387</v>
      </c>
      <c r="N3650">
        <v>2304.3477166152966</v>
      </c>
      <c r="O3650">
        <v>2471.0934380243948</v>
      </c>
      <c r="P3650">
        <v>1270.3246989132542</v>
      </c>
      <c r="Q3650">
        <v>1803.7646843921677</v>
      </c>
      <c r="R3650">
        <v>2056.8155191451046</v>
      </c>
      <c r="S3650">
        <v>2130.9074626867505</v>
      </c>
      <c r="T3650">
        <v>2213.1213025332463</v>
      </c>
      <c r="U3650">
        <v>2302.5371069423927</v>
      </c>
      <c r="V3650">
        <v>2465.5267120992366</v>
      </c>
      <c r="W3650">
        <v>2667.8397867639997</v>
      </c>
      <c r="X3650">
        <v>2924.2953036474696</v>
      </c>
      <c r="Y3650">
        <v>3214.128885286982</v>
      </c>
      <c r="Z3650">
        <v>3558.7550728360384</v>
      </c>
      <c r="AA3650">
        <v>4007.2415263376433</v>
      </c>
      <c r="AB3650">
        <v>4308.7346070683825</v>
      </c>
      <c r="AC3650">
        <v>4593.09968685064</v>
      </c>
      <c r="AD3650">
        <v>4921.4815216751731</v>
      </c>
    </row>
    <row r="3651" spans="2:30" x14ac:dyDescent="0.25">
      <c r="B3651" t="s">
        <v>133</v>
      </c>
      <c r="C3651" t="s">
        <v>3263</v>
      </c>
      <c r="D3651" t="s">
        <v>6777</v>
      </c>
      <c r="E3651" t="s">
        <v>6778</v>
      </c>
      <c r="F3651" t="s">
        <v>9333</v>
      </c>
      <c r="G3651" t="s">
        <v>3890</v>
      </c>
      <c r="H3651" t="s">
        <v>6746</v>
      </c>
      <c r="J3651">
        <v>2</v>
      </c>
      <c r="K3651">
        <v>30.025615860050905</v>
      </c>
      <c r="L3651">
        <v>0</v>
      </c>
      <c r="M3651">
        <v>3447.3244899652409</v>
      </c>
      <c r="N3651">
        <v>164.15280510124751</v>
      </c>
      <c r="O3651">
        <v>109.66176751499754</v>
      </c>
      <c r="P3651">
        <v>40.454282853766095</v>
      </c>
      <c r="Q3651">
        <v>55.119114891026044</v>
      </c>
      <c r="R3651">
        <v>59.792178697678501</v>
      </c>
      <c r="S3651">
        <v>58.359486994469648</v>
      </c>
      <c r="T3651">
        <v>56.914597808667814</v>
      </c>
      <c r="U3651">
        <v>55.542955174037104</v>
      </c>
      <c r="V3651">
        <v>55.769884253539125</v>
      </c>
      <c r="W3651">
        <v>56.6146089018834</v>
      </c>
      <c r="X3651">
        <v>58.320196252662043</v>
      </c>
      <c r="Y3651">
        <v>60.346988125543319</v>
      </c>
      <c r="Z3651">
        <v>63.017930867904788</v>
      </c>
      <c r="AA3651">
        <v>66.277682738956386</v>
      </c>
      <c r="AB3651">
        <v>69.735745921568068</v>
      </c>
      <c r="AC3651">
        <v>73.590396774540892</v>
      </c>
      <c r="AD3651">
        <v>80.637961294494417</v>
      </c>
    </row>
    <row r="3652" spans="2:30" x14ac:dyDescent="0.25">
      <c r="B3652" t="s">
        <v>133</v>
      </c>
      <c r="C3652" t="s">
        <v>3263</v>
      </c>
      <c r="D3652" t="s">
        <v>6780</v>
      </c>
      <c r="E3652" t="s">
        <v>6781</v>
      </c>
      <c r="F3652" t="s">
        <v>9334</v>
      </c>
      <c r="G3652" t="s">
        <v>3890</v>
      </c>
      <c r="H3652" t="s">
        <v>6746</v>
      </c>
      <c r="J3652">
        <v>2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</row>
    <row r="3653" spans="2:30" x14ac:dyDescent="0.25">
      <c r="B3653" t="s">
        <v>133</v>
      </c>
      <c r="C3653" t="s">
        <v>3263</v>
      </c>
      <c r="D3653" t="s">
        <v>6783</v>
      </c>
      <c r="E3653" t="s">
        <v>6784</v>
      </c>
      <c r="F3653" t="s">
        <v>9335</v>
      </c>
      <c r="G3653" t="s">
        <v>3890</v>
      </c>
      <c r="H3653" t="s">
        <v>6746</v>
      </c>
      <c r="J3653">
        <v>2</v>
      </c>
      <c r="K3653">
        <v>599.35264415761799</v>
      </c>
      <c r="L3653">
        <v>0</v>
      </c>
      <c r="M3653">
        <v>1539.8049388511413</v>
      </c>
      <c r="N3653">
        <v>1739.0144101390101</v>
      </c>
      <c r="O3653">
        <v>1919.1658722481259</v>
      </c>
      <c r="P3653">
        <v>964.96390532604346</v>
      </c>
      <c r="Q3653">
        <v>1394.9597553854692</v>
      </c>
      <c r="R3653">
        <v>1604.1629778609783</v>
      </c>
      <c r="S3653">
        <v>1673.9710064106832</v>
      </c>
      <c r="T3653">
        <v>1727.7773551442174</v>
      </c>
      <c r="U3653">
        <v>1792.0072442742753</v>
      </c>
      <c r="V3653">
        <v>1919.1442254317149</v>
      </c>
      <c r="W3653">
        <v>2081.4270214745843</v>
      </c>
      <c r="X3653">
        <v>2291.2090880097776</v>
      </c>
      <c r="Y3653">
        <v>2526.6588637316563</v>
      </c>
      <c r="Z3653">
        <v>2814.1530113320082</v>
      </c>
      <c r="AA3653">
        <v>3066.398699700937</v>
      </c>
      <c r="AB3653">
        <v>3251.6583834676062</v>
      </c>
      <c r="AC3653">
        <v>3466.2592303432834</v>
      </c>
      <c r="AD3653">
        <v>3714.0780550241966</v>
      </c>
    </row>
    <row r="3654" spans="2:30" x14ac:dyDescent="0.25">
      <c r="B3654" t="s">
        <v>133</v>
      </c>
      <c r="C3654" t="s">
        <v>3263</v>
      </c>
      <c r="D3654" t="s">
        <v>6786</v>
      </c>
      <c r="E3654" t="s">
        <v>6787</v>
      </c>
      <c r="F3654" t="s">
        <v>9336</v>
      </c>
      <c r="G3654" t="s">
        <v>3890</v>
      </c>
      <c r="H3654" t="s">
        <v>6746</v>
      </c>
      <c r="J3654">
        <v>2</v>
      </c>
      <c r="K3654">
        <v>294.69856660367191</v>
      </c>
      <c r="L3654">
        <v>0</v>
      </c>
      <c r="M3654">
        <v>2566.3415647519018</v>
      </c>
      <c r="N3654">
        <v>2898.3573502316831</v>
      </c>
      <c r="O3654">
        <v>1377.0619065393</v>
      </c>
      <c r="P3654">
        <v>774.29212655566096</v>
      </c>
      <c r="Q3654">
        <v>1246.278133056436</v>
      </c>
      <c r="R3654">
        <v>1602.70874886156</v>
      </c>
      <c r="S3654">
        <v>1865.2657793633573</v>
      </c>
      <c r="T3654">
        <v>1972.9985302992995</v>
      </c>
      <c r="U3654">
        <v>2097.1279965806798</v>
      </c>
      <c r="V3654">
        <v>2295.4764118798103</v>
      </c>
      <c r="W3654">
        <v>2551.365050908948</v>
      </c>
      <c r="X3654">
        <v>2878.2090216742672</v>
      </c>
      <c r="Y3654">
        <v>3249.4616095780898</v>
      </c>
      <c r="Z3654">
        <v>3709.0159504302719</v>
      </c>
      <c r="AA3654">
        <v>4247.4462704753505</v>
      </c>
      <c r="AB3654">
        <v>5419.4306391126765</v>
      </c>
      <c r="AC3654">
        <v>5777.098717238805</v>
      </c>
      <c r="AD3654">
        <v>6190.1300917069939</v>
      </c>
    </row>
    <row r="3655" spans="2:30" x14ac:dyDescent="0.25">
      <c r="B3655" t="s">
        <v>133</v>
      </c>
      <c r="C3655" t="s">
        <v>3263</v>
      </c>
      <c r="D3655" t="s">
        <v>6789</v>
      </c>
      <c r="E3655" t="s">
        <v>6790</v>
      </c>
      <c r="F3655" t="s">
        <v>9337</v>
      </c>
      <c r="G3655" t="s">
        <v>3890</v>
      </c>
      <c r="H3655" t="s">
        <v>6746</v>
      </c>
      <c r="J3655">
        <v>2</v>
      </c>
      <c r="K3655">
        <v>90.057937790013483</v>
      </c>
      <c r="L3655">
        <v>0</v>
      </c>
      <c r="M3655">
        <v>2671.4616733757534</v>
      </c>
      <c r="N3655">
        <v>2909.0208218467078</v>
      </c>
      <c r="O3655">
        <v>274.87235124384648</v>
      </c>
      <c r="P3655">
        <v>141.30470805368648</v>
      </c>
      <c r="Q3655">
        <v>200.64196369922746</v>
      </c>
      <c r="R3655">
        <v>228.7901012250862</v>
      </c>
      <c r="S3655">
        <v>237.03172674038882</v>
      </c>
      <c r="T3655">
        <v>246.17679228734676</v>
      </c>
      <c r="U3655">
        <v>256.12296915710999</v>
      </c>
      <c r="V3655">
        <v>274.25313587131802</v>
      </c>
      <c r="W3655">
        <v>296.75745305526675</v>
      </c>
      <c r="X3655">
        <v>325.28431077359443</v>
      </c>
      <c r="Y3655">
        <v>357.52398120806043</v>
      </c>
      <c r="Z3655">
        <v>395.85851320679654</v>
      </c>
      <c r="AA3655">
        <v>440.63455151805982</v>
      </c>
      <c r="AB3655">
        <v>655.1959516353628</v>
      </c>
      <c r="AC3655">
        <v>1374.9549422115244</v>
      </c>
      <c r="AD3655">
        <v>1769.37769978402</v>
      </c>
    </row>
    <row r="3656" spans="2:30" x14ac:dyDescent="0.25">
      <c r="B3656" t="s">
        <v>133</v>
      </c>
      <c r="C3656" t="s">
        <v>3263</v>
      </c>
      <c r="D3656" t="s">
        <v>6792</v>
      </c>
      <c r="E3656" t="s">
        <v>6793</v>
      </c>
      <c r="F3656" t="s">
        <v>9338</v>
      </c>
      <c r="G3656" t="s">
        <v>3890</v>
      </c>
      <c r="H3656" t="s">
        <v>6746</v>
      </c>
      <c r="J3656">
        <v>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</row>
    <row r="3657" spans="2:30" x14ac:dyDescent="0.25">
      <c r="B3657" t="s">
        <v>133</v>
      </c>
      <c r="C3657" t="s">
        <v>3263</v>
      </c>
      <c r="D3657" t="s">
        <v>6795</v>
      </c>
      <c r="E3657" t="s">
        <v>6796</v>
      </c>
      <c r="F3657" t="s">
        <v>9339</v>
      </c>
      <c r="G3657" t="s">
        <v>3890</v>
      </c>
      <c r="H3657" t="s">
        <v>6746</v>
      </c>
      <c r="J3657">
        <v>2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</row>
    <row r="3658" spans="2:30" x14ac:dyDescent="0.25">
      <c r="B3658" t="s">
        <v>133</v>
      </c>
      <c r="C3658" t="s">
        <v>3263</v>
      </c>
      <c r="D3658" t="s">
        <v>6798</v>
      </c>
      <c r="E3658" t="s">
        <v>6799</v>
      </c>
      <c r="F3658" t="s">
        <v>9340</v>
      </c>
      <c r="G3658" t="s">
        <v>3890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</row>
    <row r="3659" spans="2:30" x14ac:dyDescent="0.25">
      <c r="B3659" t="s">
        <v>133</v>
      </c>
      <c r="C3659" t="s">
        <v>3263</v>
      </c>
      <c r="D3659" t="s">
        <v>6801</v>
      </c>
      <c r="E3659" t="s">
        <v>6802</v>
      </c>
      <c r="F3659" t="s">
        <v>9341</v>
      </c>
      <c r="G3659" t="s">
        <v>3890</v>
      </c>
      <c r="K3659">
        <v>1.0523185795646652</v>
      </c>
      <c r="L3659">
        <v>0</v>
      </c>
      <c r="M3659">
        <v>2.6610502237963307</v>
      </c>
      <c r="N3659">
        <v>3.0053187702710864</v>
      </c>
      <c r="O3659">
        <v>3.2227877064042256</v>
      </c>
      <c r="P3659">
        <v>1.872836740863129</v>
      </c>
      <c r="Q3659">
        <v>2.3719362717321486</v>
      </c>
      <c r="R3659">
        <v>2.7178091283899715</v>
      </c>
      <c r="S3659">
        <v>2.7659169304270659</v>
      </c>
      <c r="T3659">
        <v>2.8800309534760578</v>
      </c>
      <c r="U3659">
        <v>3.0067567210441561</v>
      </c>
      <c r="V3659">
        <v>3.2112514028710302</v>
      </c>
      <c r="W3659">
        <v>3.4480868891693475</v>
      </c>
      <c r="X3659">
        <v>3.7442991370321401</v>
      </c>
      <c r="Y3659">
        <v>4.0811089843922002</v>
      </c>
      <c r="Z3659">
        <v>4.4786898482549669</v>
      </c>
      <c r="AA3659">
        <v>4.9491607743239818</v>
      </c>
      <c r="AB3659">
        <v>5.569110753312783</v>
      </c>
      <c r="AC3659">
        <v>5.9379486931942695</v>
      </c>
      <c r="AD3659">
        <v>6.3382238036610881</v>
      </c>
    </row>
    <row r="3660" spans="2:30" x14ac:dyDescent="0.25">
      <c r="B3660" t="s">
        <v>133</v>
      </c>
      <c r="C3660" t="s">
        <v>3263</v>
      </c>
      <c r="D3660" t="s">
        <v>6804</v>
      </c>
      <c r="E3660" t="s">
        <v>6805</v>
      </c>
      <c r="F3660" t="s">
        <v>9342</v>
      </c>
      <c r="G3660" t="s">
        <v>3890</v>
      </c>
      <c r="K3660">
        <v>4.0395862328930464E-2</v>
      </c>
      <c r="L3660">
        <v>0</v>
      </c>
      <c r="M3660">
        <v>4.6379613377079352</v>
      </c>
      <c r="N3660">
        <v>0.22084789689860856</v>
      </c>
      <c r="O3660">
        <v>0.14753674608809536</v>
      </c>
      <c r="P3660">
        <v>8.6683894761917513E-2</v>
      </c>
      <c r="Q3660">
        <v>0.10978462226560465</v>
      </c>
      <c r="R3660">
        <v>0.12579328209876942</v>
      </c>
      <c r="S3660">
        <v>0.12801994262823368</v>
      </c>
      <c r="T3660">
        <v>0.13330168862830363</v>
      </c>
      <c r="U3660">
        <v>0.13916716684101391</v>
      </c>
      <c r="V3660">
        <v>0.14863216455922573</v>
      </c>
      <c r="W3660">
        <v>0.15959405030304616</v>
      </c>
      <c r="X3660">
        <v>0.17330417823928887</v>
      </c>
      <c r="Y3660">
        <v>0.18889335839915797</v>
      </c>
      <c r="Z3660">
        <v>0.20729531357788292</v>
      </c>
      <c r="AA3660">
        <v>0.22907097151649924</v>
      </c>
      <c r="AB3660">
        <v>0.25308159216102633</v>
      </c>
      <c r="AC3660">
        <v>0.28021888863294447</v>
      </c>
      <c r="AD3660">
        <v>0.30574218256885671</v>
      </c>
    </row>
    <row r="3661" spans="2:30" x14ac:dyDescent="0.25">
      <c r="B3661" t="s">
        <v>133</v>
      </c>
      <c r="C3661" t="s">
        <v>3263</v>
      </c>
      <c r="D3661" t="s">
        <v>6807</v>
      </c>
      <c r="E3661" t="s">
        <v>6808</v>
      </c>
      <c r="F3661" t="s">
        <v>9343</v>
      </c>
      <c r="G3661" t="s">
        <v>3890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</row>
    <row r="3662" spans="2:30" x14ac:dyDescent="0.25">
      <c r="B3662" t="s">
        <v>133</v>
      </c>
      <c r="C3662" t="s">
        <v>3263</v>
      </c>
      <c r="D3662" t="s">
        <v>6810</v>
      </c>
      <c r="E3662" t="s">
        <v>6811</v>
      </c>
      <c r="F3662" t="s">
        <v>9344</v>
      </c>
      <c r="G3662" t="s">
        <v>3890</v>
      </c>
      <c r="K3662">
        <v>0.77915843740490331</v>
      </c>
      <c r="L3662">
        <v>0</v>
      </c>
      <c r="M3662">
        <v>2.0017464205064837</v>
      </c>
      <c r="N3662">
        <v>2.2607187331807137</v>
      </c>
      <c r="O3662">
        <v>2.4949156339225635</v>
      </c>
      <c r="P3662">
        <v>1.4204016290942789</v>
      </c>
      <c r="Q3662">
        <v>1.824893399625046</v>
      </c>
      <c r="R3662">
        <v>2.1094956911570795</v>
      </c>
      <c r="S3662">
        <v>2.16196669354219</v>
      </c>
      <c r="T3662">
        <v>2.2384506769094745</v>
      </c>
      <c r="U3662">
        <v>2.3306820253235601</v>
      </c>
      <c r="V3662">
        <v>2.4900070557755365</v>
      </c>
      <c r="W3662">
        <v>2.6800708634138548</v>
      </c>
      <c r="X3662">
        <v>2.9230944727208579</v>
      </c>
      <c r="Y3662">
        <v>3.1974237442561853</v>
      </c>
      <c r="Z3662">
        <v>3.5306689116331338</v>
      </c>
      <c r="AA3662">
        <v>3.928541673761575</v>
      </c>
      <c r="AB3662">
        <v>4.2049743030849429</v>
      </c>
      <c r="AC3662">
        <v>4.4667580624598262</v>
      </c>
      <c r="AD3662">
        <v>4.7678607107411883</v>
      </c>
    </row>
    <row r="3663" spans="2:30" x14ac:dyDescent="0.25">
      <c r="B3663" t="s">
        <v>133</v>
      </c>
      <c r="C3663" t="s">
        <v>3263</v>
      </c>
      <c r="D3663" t="s">
        <v>6813</v>
      </c>
      <c r="E3663" t="s">
        <v>6814</v>
      </c>
      <c r="F3663" t="s">
        <v>9345</v>
      </c>
      <c r="G3663" t="s">
        <v>3890</v>
      </c>
      <c r="K3663">
        <v>0.36032292751067735</v>
      </c>
      <c r="L3663">
        <v>0</v>
      </c>
      <c r="M3663">
        <v>3.1378222034155492</v>
      </c>
      <c r="N3663">
        <v>3.5437722600533248</v>
      </c>
      <c r="O3663">
        <v>1.6837101830731911</v>
      </c>
      <c r="P3663">
        <v>1.0719522931522669</v>
      </c>
      <c r="Q3663">
        <v>1.5334206895468785</v>
      </c>
      <c r="R3663">
        <v>1.9822356508800234</v>
      </c>
      <c r="S3663">
        <v>2.2657516850714252</v>
      </c>
      <c r="T3663">
        <v>2.4041249468079831</v>
      </c>
      <c r="U3663">
        <v>2.5653033335447879</v>
      </c>
      <c r="V3663">
        <v>2.8011497058954871</v>
      </c>
      <c r="W3663">
        <v>3.0897846601937839</v>
      </c>
      <c r="X3663">
        <v>3.4535916068438697</v>
      </c>
      <c r="Y3663">
        <v>3.8675462687132258</v>
      </c>
      <c r="Z3663">
        <v>4.3766166565206079</v>
      </c>
      <c r="AA3663">
        <v>4.9772897475691797</v>
      </c>
      <c r="AB3663">
        <v>5.8484401972112599</v>
      </c>
      <c r="AC3663">
        <v>7.0018322411314946</v>
      </c>
      <c r="AD3663">
        <v>7.4738233812707264</v>
      </c>
    </row>
    <row r="3664" spans="2:30" x14ac:dyDescent="0.25">
      <c r="B3664" t="s">
        <v>133</v>
      </c>
      <c r="C3664" t="s">
        <v>3263</v>
      </c>
      <c r="D3664" t="s">
        <v>6816</v>
      </c>
      <c r="E3664" t="s">
        <v>6817</v>
      </c>
      <c r="F3664" t="s">
        <v>9346</v>
      </c>
      <c r="G3664" t="s">
        <v>3890</v>
      </c>
      <c r="K3664">
        <v>0.29719119470704453</v>
      </c>
      <c r="L3664">
        <v>0</v>
      </c>
      <c r="M3664">
        <v>8.8158235221399863</v>
      </c>
      <c r="N3664">
        <v>9.5997687120941357</v>
      </c>
      <c r="O3664">
        <v>0.90707875910469338</v>
      </c>
      <c r="P3664">
        <v>0.52712452127454157</v>
      </c>
      <c r="Q3664">
        <v>0.66759998052702929</v>
      </c>
      <c r="R3664">
        <v>0.76494859613758626</v>
      </c>
      <c r="S3664">
        <v>0.77848891258112551</v>
      </c>
      <c r="T3664">
        <v>0.81060719521514124</v>
      </c>
      <c r="U3664">
        <v>0.84627515179938484</v>
      </c>
      <c r="V3664">
        <v>0.90383177641552837</v>
      </c>
      <c r="W3664">
        <v>0.97049097292311493</v>
      </c>
      <c r="X3664">
        <v>1.0538622225059109</v>
      </c>
      <c r="Y3664">
        <v>1.1486599833979794</v>
      </c>
      <c r="Z3664">
        <v>1.2605622213020669</v>
      </c>
      <c r="AA3664">
        <v>1.3929799362404367</v>
      </c>
      <c r="AB3664">
        <v>1.5389884531340667</v>
      </c>
      <c r="AC3664">
        <v>2.753503740350276</v>
      </c>
      <c r="AD3664">
        <v>3.8425761356050141</v>
      </c>
    </row>
    <row r="3665" spans="2:30" x14ac:dyDescent="0.25">
      <c r="B3665" t="s">
        <v>133</v>
      </c>
      <c r="C3665" t="s">
        <v>3263</v>
      </c>
      <c r="D3665" t="s">
        <v>6819</v>
      </c>
      <c r="E3665" t="s">
        <v>6820</v>
      </c>
      <c r="F3665" t="s">
        <v>9347</v>
      </c>
      <c r="G3665" t="s">
        <v>3890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</row>
    <row r="3666" spans="2:30" x14ac:dyDescent="0.25">
      <c r="B3666" t="s">
        <v>133</v>
      </c>
      <c r="C3666" t="s">
        <v>3263</v>
      </c>
      <c r="D3666" t="s">
        <v>6822</v>
      </c>
      <c r="E3666" t="s">
        <v>6823</v>
      </c>
      <c r="F3666" t="s">
        <v>9348</v>
      </c>
      <c r="G3666" t="s">
        <v>3890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</row>
    <row r="3667" spans="2:30" x14ac:dyDescent="0.25">
      <c r="B3667" t="s">
        <v>133</v>
      </c>
      <c r="C3667" t="s">
        <v>3263</v>
      </c>
      <c r="D3667" t="s">
        <v>6825</v>
      </c>
      <c r="E3667" t="s">
        <v>6826</v>
      </c>
      <c r="F3667" t="s">
        <v>9349</v>
      </c>
      <c r="G3667" t="s">
        <v>3890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</row>
    <row r="3668" spans="2:30" x14ac:dyDescent="0.25">
      <c r="B3668" t="s">
        <v>133</v>
      </c>
      <c r="C3668" t="s">
        <v>3263</v>
      </c>
      <c r="D3668" t="s">
        <v>6828</v>
      </c>
      <c r="E3668" t="s">
        <v>6829</v>
      </c>
      <c r="F3668" t="s">
        <v>9350</v>
      </c>
      <c r="G3668" t="s">
        <v>3890</v>
      </c>
      <c r="K3668">
        <v>1.0523185795646652</v>
      </c>
      <c r="L3668">
        <v>0</v>
      </c>
      <c r="M3668">
        <v>2.6610502237963307</v>
      </c>
      <c r="N3668">
        <v>3.0053187702710864</v>
      </c>
      <c r="O3668">
        <v>3.2227877064042256</v>
      </c>
      <c r="P3668">
        <v>1.6567511206991714</v>
      </c>
      <c r="Q3668">
        <v>2.3524608825608428</v>
      </c>
      <c r="R3668">
        <v>2.6824885159914498</v>
      </c>
      <c r="S3668">
        <v>2.7791188582987467</v>
      </c>
      <c r="T3668">
        <v>2.8863417371573474</v>
      </c>
      <c r="U3668">
        <v>3.0029573821887339</v>
      </c>
      <c r="V3668">
        <v>3.2155276102862635</v>
      </c>
      <c r="W3668">
        <v>3.4793833106986742</v>
      </c>
      <c r="X3668">
        <v>3.8138513135405114</v>
      </c>
      <c r="Y3668">
        <v>4.191850821546856</v>
      </c>
      <c r="Z3668">
        <v>4.6413105722173968</v>
      </c>
      <c r="AA3668">
        <v>5.2262243624419229</v>
      </c>
      <c r="AB3668">
        <v>5.619430130865549</v>
      </c>
      <c r="AC3668">
        <v>5.99029764609217</v>
      </c>
      <c r="AD3668">
        <v>6.4185715931611522</v>
      </c>
    </row>
    <row r="3669" spans="2:30" x14ac:dyDescent="0.25">
      <c r="B3669" t="s">
        <v>133</v>
      </c>
      <c r="C3669" t="s">
        <v>3263</v>
      </c>
      <c r="D3669" t="s">
        <v>6831</v>
      </c>
      <c r="E3669" t="s">
        <v>6832</v>
      </c>
      <c r="F3669" t="s">
        <v>9351</v>
      </c>
      <c r="G3669" t="s">
        <v>3890</v>
      </c>
      <c r="K3669">
        <v>4.0395862328930464E-2</v>
      </c>
      <c r="L3669">
        <v>0</v>
      </c>
      <c r="M3669">
        <v>4.6379613377079352</v>
      </c>
      <c r="N3669">
        <v>0.22084789689860856</v>
      </c>
      <c r="O3669">
        <v>0.14753674608809536</v>
      </c>
      <c r="P3669">
        <v>5.4426382073002939E-2</v>
      </c>
      <c r="Q3669">
        <v>7.4156153439399061E-2</v>
      </c>
      <c r="R3669">
        <v>8.0443199908910523E-2</v>
      </c>
      <c r="S3669">
        <v>7.8515685180407385E-2</v>
      </c>
      <c r="T3669">
        <v>7.6571760203072631E-2</v>
      </c>
      <c r="U3669">
        <v>7.4726379668954929E-2</v>
      </c>
      <c r="V3669">
        <v>7.5031685508366253E-2</v>
      </c>
      <c r="W3669">
        <v>7.61681611350251E-2</v>
      </c>
      <c r="X3669">
        <v>7.8462824203158504E-2</v>
      </c>
      <c r="Y3669">
        <v>8.1189629403355612E-2</v>
      </c>
      <c r="Z3669">
        <v>8.4783062284525715E-2</v>
      </c>
      <c r="AA3669">
        <v>8.9168667176802871E-2</v>
      </c>
      <c r="AB3669">
        <v>9.3821076136559947E-2</v>
      </c>
      <c r="AC3669">
        <v>9.9007046206534735E-2</v>
      </c>
      <c r="AD3669">
        <v>0.10848869838743408</v>
      </c>
    </row>
    <row r="3670" spans="2:30" x14ac:dyDescent="0.25">
      <c r="B3670" t="s">
        <v>133</v>
      </c>
      <c r="C3670" t="s">
        <v>3263</v>
      </c>
      <c r="D3670" t="s">
        <v>6834</v>
      </c>
      <c r="E3670" t="s">
        <v>6835</v>
      </c>
      <c r="F3670" t="s">
        <v>9352</v>
      </c>
      <c r="G3670" t="s">
        <v>3890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</row>
    <row r="3671" spans="2:30" x14ac:dyDescent="0.25">
      <c r="B3671" t="s">
        <v>133</v>
      </c>
      <c r="C3671" t="s">
        <v>3263</v>
      </c>
      <c r="D3671" t="s">
        <v>6837</v>
      </c>
      <c r="E3671" t="s">
        <v>6838</v>
      </c>
      <c r="F3671" t="s">
        <v>9353</v>
      </c>
      <c r="G3671" t="s">
        <v>3890</v>
      </c>
      <c r="K3671">
        <v>0.77915843740490331</v>
      </c>
      <c r="L3671">
        <v>0</v>
      </c>
      <c r="M3671">
        <v>2.0017464205064837</v>
      </c>
      <c r="N3671">
        <v>2.2607187331807137</v>
      </c>
      <c r="O3671">
        <v>2.4949156339225635</v>
      </c>
      <c r="P3671">
        <v>1.2544530769238564</v>
      </c>
      <c r="Q3671">
        <v>1.8134476820011101</v>
      </c>
      <c r="R3671">
        <v>2.0854118712192715</v>
      </c>
      <c r="S3671">
        <v>2.1761623083338884</v>
      </c>
      <c r="T3671">
        <v>2.2461105616874826</v>
      </c>
      <c r="U3671">
        <v>2.3296094175565578</v>
      </c>
      <c r="V3671">
        <v>2.494887493061229</v>
      </c>
      <c r="W3671">
        <v>2.7058551279169598</v>
      </c>
      <c r="X3671">
        <v>2.9785718144127107</v>
      </c>
      <c r="Y3671">
        <v>3.2846565228511531</v>
      </c>
      <c r="Z3671">
        <v>3.6583989147316105</v>
      </c>
      <c r="AA3671">
        <v>3.9863183096112178</v>
      </c>
      <c r="AB3671">
        <v>4.2271558985078883</v>
      </c>
      <c r="AC3671">
        <v>4.5061369994462686</v>
      </c>
      <c r="AD3671">
        <v>4.8283014715314554</v>
      </c>
    </row>
    <row r="3672" spans="2:30" x14ac:dyDescent="0.25">
      <c r="B3672" t="s">
        <v>133</v>
      </c>
      <c r="C3672" t="s">
        <v>3263</v>
      </c>
      <c r="D3672" t="s">
        <v>6840</v>
      </c>
      <c r="E3672" t="s">
        <v>6841</v>
      </c>
      <c r="F3672" t="s">
        <v>9354</v>
      </c>
      <c r="G3672" t="s">
        <v>3890</v>
      </c>
      <c r="K3672">
        <v>0.36032292751067735</v>
      </c>
      <c r="L3672">
        <v>0</v>
      </c>
      <c r="M3672">
        <v>3.1378222034155492</v>
      </c>
      <c r="N3672">
        <v>3.5437722600533248</v>
      </c>
      <c r="O3672">
        <v>1.6837101830731911</v>
      </c>
      <c r="P3672">
        <v>0.94671382017345518</v>
      </c>
      <c r="Q3672">
        <v>1.5238030865598424</v>
      </c>
      <c r="R3672">
        <v>1.9596047411842989</v>
      </c>
      <c r="S3672">
        <v>2.2806287589093279</v>
      </c>
      <c r="T3672">
        <v>2.4123517620219381</v>
      </c>
      <c r="U3672">
        <v>2.5641227502432553</v>
      </c>
      <c r="V3672">
        <v>2.8066399857064419</v>
      </c>
      <c r="W3672">
        <v>3.1195106745405052</v>
      </c>
      <c r="X3672">
        <v>3.5191372412477575</v>
      </c>
      <c r="Y3672">
        <v>3.9730614691837678</v>
      </c>
      <c r="Z3672">
        <v>4.5349507493199361</v>
      </c>
      <c r="AA3672">
        <v>5.1932803483236132</v>
      </c>
      <c r="AB3672">
        <v>6.6262457121222047</v>
      </c>
      <c r="AC3672">
        <v>7.0635603908896938</v>
      </c>
      <c r="AD3672">
        <v>7.5685668309185825</v>
      </c>
    </row>
    <row r="3673" spans="2:30" x14ac:dyDescent="0.25">
      <c r="B3673" t="s">
        <v>133</v>
      </c>
      <c r="C3673" t="s">
        <v>3263</v>
      </c>
      <c r="D3673" t="s">
        <v>6843</v>
      </c>
      <c r="E3673" t="s">
        <v>6844</v>
      </c>
      <c r="F3673" t="s">
        <v>9355</v>
      </c>
      <c r="G3673" t="s">
        <v>3890</v>
      </c>
      <c r="K3673">
        <v>0.29719119470704453</v>
      </c>
      <c r="L3673">
        <v>0</v>
      </c>
      <c r="M3673">
        <v>8.8158235221399863</v>
      </c>
      <c r="N3673">
        <v>9.5997687120941357</v>
      </c>
      <c r="O3673">
        <v>0.90707875910469338</v>
      </c>
      <c r="P3673">
        <v>0.46630553657716539</v>
      </c>
      <c r="Q3673">
        <v>0.66211848020745057</v>
      </c>
      <c r="R3673">
        <v>0.75500733404278453</v>
      </c>
      <c r="S3673">
        <v>0.78220469824328309</v>
      </c>
      <c r="T3673">
        <v>0.81238341454824436</v>
      </c>
      <c r="U3673">
        <v>0.84520579821846298</v>
      </c>
      <c r="V3673">
        <v>0.90503534837534938</v>
      </c>
      <c r="W3673">
        <v>0.97929959508238029</v>
      </c>
      <c r="X3673">
        <v>1.0734382255528614</v>
      </c>
      <c r="Y3673">
        <v>1.1798291379865995</v>
      </c>
      <c r="Z3673">
        <v>1.3063330935824284</v>
      </c>
      <c r="AA3673">
        <v>1.4540940200095975</v>
      </c>
      <c r="AB3673">
        <v>2.1621466403966974</v>
      </c>
      <c r="AC3673">
        <v>4.5373513092980309</v>
      </c>
      <c r="AD3673">
        <v>5.8389464092872672</v>
      </c>
    </row>
    <row r="3674" spans="2:30" x14ac:dyDescent="0.25">
      <c r="B3674" t="s">
        <v>133</v>
      </c>
      <c r="C3674" t="s">
        <v>3263</v>
      </c>
      <c r="D3674" t="s">
        <v>6846</v>
      </c>
      <c r="E3674" t="s">
        <v>6847</v>
      </c>
      <c r="F3674" t="s">
        <v>9356</v>
      </c>
      <c r="G3674" t="s">
        <v>3890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</row>
    <row r="3675" spans="2:30" x14ac:dyDescent="0.25">
      <c r="B3675" t="s">
        <v>133</v>
      </c>
      <c r="C3675" t="s">
        <v>3263</v>
      </c>
      <c r="D3675" t="s">
        <v>6849</v>
      </c>
      <c r="E3675" t="s">
        <v>6850</v>
      </c>
      <c r="F3675" t="s">
        <v>9357</v>
      </c>
      <c r="G3675" t="s">
        <v>3890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</row>
    <row r="3676" spans="2:30" x14ac:dyDescent="0.25">
      <c r="B3676" t="s">
        <v>133</v>
      </c>
      <c r="C3676" t="s">
        <v>3263</v>
      </c>
      <c r="D3676" t="s">
        <v>6852</v>
      </c>
      <c r="E3676" t="s">
        <v>6853</v>
      </c>
      <c r="F3676" t="s">
        <v>9358</v>
      </c>
      <c r="G3676" t="s">
        <v>3890</v>
      </c>
      <c r="H3676" t="s">
        <v>6853</v>
      </c>
      <c r="I3676" t="s">
        <v>4165</v>
      </c>
      <c r="K3676">
        <v>1.1368175895069652</v>
      </c>
      <c r="L3676">
        <v>1.0917610197470982</v>
      </c>
      <c r="M3676">
        <v>1.0604552177698889</v>
      </c>
      <c r="N3676">
        <v>1.03227909878657</v>
      </c>
      <c r="O3676">
        <v>1</v>
      </c>
      <c r="P3676">
        <v>0.97903567880143105</v>
      </c>
      <c r="Q3676">
        <v>0.95811374720502052</v>
      </c>
      <c r="R3676">
        <v>0.93759960694773214</v>
      </c>
      <c r="S3676">
        <v>0.91750779927332549</v>
      </c>
      <c r="T3676">
        <v>0.897896011223145</v>
      </c>
      <c r="U3676">
        <v>0.897896011223145</v>
      </c>
      <c r="V3676">
        <v>0.897896011223145</v>
      </c>
      <c r="W3676">
        <v>0.897896011223145</v>
      </c>
      <c r="X3676">
        <v>0.897896011223145</v>
      </c>
      <c r="Y3676">
        <v>0.897896011223145</v>
      </c>
      <c r="Z3676">
        <v>0.897896011223145</v>
      </c>
      <c r="AA3676">
        <v>0.897896011223145</v>
      </c>
      <c r="AB3676">
        <v>0.897896011223145</v>
      </c>
      <c r="AC3676">
        <v>0.897896011223145</v>
      </c>
      <c r="AD3676">
        <v>0.897896011223145</v>
      </c>
    </row>
    <row r="3677" spans="2:30" x14ac:dyDescent="0.25">
      <c r="B3677" t="s">
        <v>133</v>
      </c>
      <c r="C3677" t="s">
        <v>3263</v>
      </c>
      <c r="D3677" t="s">
        <v>6855</v>
      </c>
      <c r="E3677" t="s">
        <v>4476</v>
      </c>
      <c r="F3677" t="s">
        <v>9359</v>
      </c>
      <c r="G3677" t="s">
        <v>3890</v>
      </c>
      <c r="H3677" t="s">
        <v>4476</v>
      </c>
      <c r="I3677" t="s">
        <v>3892</v>
      </c>
      <c r="K3677">
        <v>0.14000000000000001</v>
      </c>
      <c r="L3677">
        <v>0.14000000000000001</v>
      </c>
      <c r="M3677">
        <v>0.14000000000000001</v>
      </c>
      <c r="N3677">
        <v>0.14000000000000001</v>
      </c>
      <c r="O3677">
        <v>0.14000000000000001</v>
      </c>
      <c r="P3677">
        <v>0.14000000000000001</v>
      </c>
      <c r="Q3677">
        <v>0.14000000000000001</v>
      </c>
      <c r="R3677">
        <v>0.14000000000000001</v>
      </c>
      <c r="S3677">
        <v>0.14000000000000001</v>
      </c>
      <c r="T3677">
        <v>0.14000000000000001</v>
      </c>
      <c r="U3677">
        <v>0.14000000000000001</v>
      </c>
      <c r="V3677">
        <v>0.14000000000000001</v>
      </c>
      <c r="W3677">
        <v>0.14000000000000001</v>
      </c>
      <c r="X3677">
        <v>0.14000000000000001</v>
      </c>
      <c r="Y3677">
        <v>0.14000000000000001</v>
      </c>
      <c r="Z3677">
        <v>0.14000000000000001</v>
      </c>
      <c r="AA3677">
        <v>0.14000000000000001</v>
      </c>
      <c r="AB3677">
        <v>0.14000000000000001</v>
      </c>
      <c r="AC3677">
        <v>0.14000000000000001</v>
      </c>
      <c r="AD3677">
        <v>0.14000000000000001</v>
      </c>
    </row>
    <row r="3678" spans="2:30" x14ac:dyDescent="0.25">
      <c r="B3678" t="s">
        <v>133</v>
      </c>
      <c r="C3678" t="s">
        <v>3263</v>
      </c>
      <c r="D3678" t="s">
        <v>6857</v>
      </c>
      <c r="E3678" t="s">
        <v>6858</v>
      </c>
      <c r="F3678" t="s">
        <v>9360</v>
      </c>
      <c r="G3678" t="s">
        <v>3890</v>
      </c>
      <c r="H3678" t="s">
        <v>6858</v>
      </c>
      <c r="I3678" t="s">
        <v>6860</v>
      </c>
      <c r="K3678">
        <v>111.75716230528862</v>
      </c>
      <c r="L3678">
        <v>89.403538478705627</v>
      </c>
      <c r="M3678">
        <v>84.949161735266472</v>
      </c>
      <c r="N3678">
        <v>72.686827484089392</v>
      </c>
      <c r="O3678">
        <v>76.093255999999997</v>
      </c>
      <c r="P3678">
        <v>70.958268078865274</v>
      </c>
      <c r="Q3678">
        <v>69.545549719803304</v>
      </c>
      <c r="R3678">
        <v>68.833425107272674</v>
      </c>
      <c r="S3678">
        <v>68.210667701936828</v>
      </c>
      <c r="T3678">
        <v>67.534099175383218</v>
      </c>
      <c r="U3678">
        <v>67.534099175383218</v>
      </c>
      <c r="V3678">
        <v>67.534099175383218</v>
      </c>
      <c r="W3678">
        <v>67.534099175383218</v>
      </c>
      <c r="X3678">
        <v>67.534099175383218</v>
      </c>
      <c r="Y3678">
        <v>67.534099175383218</v>
      </c>
      <c r="Z3678">
        <v>67.534099175383218</v>
      </c>
      <c r="AA3678">
        <v>67.534099175383218</v>
      </c>
      <c r="AB3678">
        <v>67.534099175383218</v>
      </c>
      <c r="AC3678">
        <v>67.534099175383218</v>
      </c>
      <c r="AD3678">
        <v>67.534099175383218</v>
      </c>
    </row>
    <row r="3679" spans="2:30" x14ac:dyDescent="0.25">
      <c r="B3679" t="s">
        <v>133</v>
      </c>
      <c r="C3679" t="s">
        <v>3263</v>
      </c>
      <c r="D3679" t="s">
        <v>6861</v>
      </c>
      <c r="E3679" t="s">
        <v>6862</v>
      </c>
      <c r="F3679" t="s">
        <v>9361</v>
      </c>
      <c r="G3679" t="s">
        <v>3890</v>
      </c>
      <c r="H3679" t="s">
        <v>6862</v>
      </c>
      <c r="I3679" t="s">
        <v>6864</v>
      </c>
      <c r="K3679">
        <v>409.80694455874033</v>
      </c>
      <c r="L3679">
        <v>195.64124003578868</v>
      </c>
      <c r="M3679">
        <v>147.93633497530044</v>
      </c>
      <c r="N3679">
        <v>119.54828976084644</v>
      </c>
      <c r="O3679">
        <v>120.300743</v>
      </c>
      <c r="P3679">
        <v>122.55003123620016</v>
      </c>
      <c r="Q3679">
        <v>121.48350328436834</v>
      </c>
      <c r="R3679">
        <v>120.3397797631516</v>
      </c>
      <c r="S3679">
        <v>119.11569833746792</v>
      </c>
      <c r="T3679">
        <v>117.93440993934053</v>
      </c>
      <c r="U3679">
        <v>117.93440993934054</v>
      </c>
      <c r="V3679">
        <v>117.93440993934055</v>
      </c>
      <c r="W3679">
        <v>117.93440993934054</v>
      </c>
      <c r="X3679">
        <v>117.93440993934053</v>
      </c>
      <c r="Y3679">
        <v>117.93440993934054</v>
      </c>
      <c r="Z3679">
        <v>117.93440993934051</v>
      </c>
      <c r="AA3679">
        <v>117.93440993934053</v>
      </c>
      <c r="AB3679">
        <v>117.93440993934053</v>
      </c>
      <c r="AC3679">
        <v>117.93440993934053</v>
      </c>
      <c r="AD3679">
        <v>117.93440993934051</v>
      </c>
    </row>
    <row r="3680" spans="2:30" x14ac:dyDescent="0.25">
      <c r="B3680" t="s">
        <v>133</v>
      </c>
      <c r="C3680" t="s">
        <v>3263</v>
      </c>
      <c r="D3680" t="s">
        <v>6865</v>
      </c>
      <c r="E3680" t="s">
        <v>6866</v>
      </c>
      <c r="F3680" t="s">
        <v>9362</v>
      </c>
      <c r="G3680" t="s">
        <v>3890</v>
      </c>
      <c r="H3680" t="s">
        <v>6866</v>
      </c>
      <c r="I3680" t="s">
        <v>6868</v>
      </c>
      <c r="K3680">
        <v>26.693896382197355</v>
      </c>
      <c r="L3680">
        <v>10.670418595749961</v>
      </c>
      <c r="M3680">
        <v>8.9942369846005317</v>
      </c>
      <c r="N3680">
        <v>9.6066996433622407</v>
      </c>
      <c r="O3680">
        <v>9.9645608333333335</v>
      </c>
      <c r="P3680">
        <v>9.0393681253503324</v>
      </c>
      <c r="Q3680">
        <v>7.9510314623354663</v>
      </c>
      <c r="R3680">
        <v>7.563351911337068</v>
      </c>
      <c r="S3680">
        <v>7.4533706916082316</v>
      </c>
      <c r="T3680">
        <v>7.3910456015428156</v>
      </c>
      <c r="U3680">
        <v>7.3910456015428165</v>
      </c>
      <c r="V3680">
        <v>7.3910456015428165</v>
      </c>
      <c r="W3680">
        <v>7.3910456015428165</v>
      </c>
      <c r="X3680">
        <v>7.3910456015428156</v>
      </c>
      <c r="Y3680">
        <v>7.3910456015428165</v>
      </c>
      <c r="Z3680">
        <v>7.3910456015428165</v>
      </c>
      <c r="AA3680">
        <v>7.3910456015428156</v>
      </c>
      <c r="AB3680">
        <v>7.3910456015428156</v>
      </c>
      <c r="AC3680">
        <v>7.3910456015428174</v>
      </c>
      <c r="AD3680">
        <v>7.3910456015428156</v>
      </c>
    </row>
    <row r="3681" spans="2:30" x14ac:dyDescent="0.25">
      <c r="B3681" t="s">
        <v>133</v>
      </c>
      <c r="C3681" t="s">
        <v>3263</v>
      </c>
      <c r="D3681" t="s">
        <v>6857</v>
      </c>
      <c r="E3681" t="s">
        <v>6869</v>
      </c>
      <c r="F3681" t="s">
        <v>9363</v>
      </c>
      <c r="G3681" t="s">
        <v>3890</v>
      </c>
      <c r="H3681" t="s">
        <v>6869</v>
      </c>
      <c r="I3681" t="s">
        <v>6860</v>
      </c>
      <c r="K3681">
        <v>18.260974232890298</v>
      </c>
      <c r="L3681">
        <v>14.608421320049938</v>
      </c>
      <c r="M3681">
        <v>13.880581982886678</v>
      </c>
      <c r="N3681">
        <v>11.876932595439444</v>
      </c>
      <c r="O3681">
        <v>12.433538562091503</v>
      </c>
      <c r="P3681">
        <v>11.5944882481806</v>
      </c>
      <c r="Q3681">
        <v>11.36365191500054</v>
      </c>
      <c r="R3681">
        <v>11.247291684194881</v>
      </c>
      <c r="S3681">
        <v>11.145533938224972</v>
      </c>
      <c r="T3681">
        <v>11.034983525389414</v>
      </c>
      <c r="U3681">
        <v>11.034983525389414</v>
      </c>
      <c r="V3681">
        <v>11.034983525389414</v>
      </c>
      <c r="W3681">
        <v>11.034983525389414</v>
      </c>
      <c r="X3681">
        <v>11.034983525389414</v>
      </c>
      <c r="Y3681">
        <v>11.034983525389414</v>
      </c>
      <c r="Z3681">
        <v>11.034983525389414</v>
      </c>
      <c r="AA3681">
        <v>11.034983525389414</v>
      </c>
      <c r="AB3681">
        <v>11.034983525389414</v>
      </c>
      <c r="AC3681">
        <v>11.034983525389414</v>
      </c>
      <c r="AD3681">
        <v>11.034983525389414</v>
      </c>
    </row>
    <row r="3682" spans="2:30" x14ac:dyDescent="0.25">
      <c r="B3682" t="s">
        <v>133</v>
      </c>
      <c r="C3682" t="s">
        <v>3263</v>
      </c>
      <c r="D3682" t="s">
        <v>6861</v>
      </c>
      <c r="E3682" t="s">
        <v>6871</v>
      </c>
      <c r="F3682" t="s">
        <v>9364</v>
      </c>
      <c r="G3682" t="s">
        <v>3890</v>
      </c>
      <c r="H3682" t="s">
        <v>6871</v>
      </c>
      <c r="I3682" t="s">
        <v>6864</v>
      </c>
      <c r="K3682">
        <v>16.300992225884656</v>
      </c>
      <c r="L3682">
        <v>7.7820700093790238</v>
      </c>
      <c r="M3682">
        <v>5.8845001979037557</v>
      </c>
      <c r="N3682">
        <v>4.7553018997950049</v>
      </c>
      <c r="O3682">
        <v>4.7852324184566415</v>
      </c>
      <c r="P3682">
        <v>4.8747029131344526</v>
      </c>
      <c r="Q3682">
        <v>4.8322793669199813</v>
      </c>
      <c r="R3682">
        <v>4.7867851934427836</v>
      </c>
      <c r="S3682">
        <v>4.7380946037178955</v>
      </c>
      <c r="T3682">
        <v>4.6911062028377293</v>
      </c>
      <c r="U3682">
        <v>4.6911062028377293</v>
      </c>
      <c r="V3682">
        <v>4.6911062028377302</v>
      </c>
      <c r="W3682">
        <v>4.6911062028377293</v>
      </c>
      <c r="X3682">
        <v>4.6911062028377293</v>
      </c>
      <c r="Y3682">
        <v>4.6911062028377293</v>
      </c>
      <c r="Z3682">
        <v>4.6911062028377284</v>
      </c>
      <c r="AA3682">
        <v>4.6911062028377293</v>
      </c>
      <c r="AB3682">
        <v>4.6911062028377293</v>
      </c>
      <c r="AC3682">
        <v>4.6911062028377293</v>
      </c>
      <c r="AD3682">
        <v>4.6911062028377284</v>
      </c>
    </row>
    <row r="3683" spans="2:30" x14ac:dyDescent="0.25">
      <c r="B3683" t="s">
        <v>133</v>
      </c>
      <c r="C3683" t="s">
        <v>3263</v>
      </c>
      <c r="D3683" t="s">
        <v>6865</v>
      </c>
      <c r="E3683" t="s">
        <v>6873</v>
      </c>
      <c r="F3683" t="s">
        <v>9365</v>
      </c>
      <c r="G3683" t="s">
        <v>3890</v>
      </c>
      <c r="H3683" t="s">
        <v>6873</v>
      </c>
      <c r="I3683" t="s">
        <v>6868</v>
      </c>
      <c r="K3683">
        <v>25.300928464647711</v>
      </c>
      <c r="L3683">
        <v>10.113604013199263</v>
      </c>
      <c r="M3683">
        <v>8.5248906073237176</v>
      </c>
      <c r="N3683">
        <v>9.1053931197606968</v>
      </c>
      <c r="O3683">
        <v>9.4445800349302154</v>
      </c>
      <c r="P3683">
        <v>8.5676666692102899</v>
      </c>
      <c r="Q3683">
        <v>7.5361226914357777</v>
      </c>
      <c r="R3683">
        <v>7.1686734271328421</v>
      </c>
      <c r="S3683">
        <v>7.0644313587224108</v>
      </c>
      <c r="T3683">
        <v>7.0053585795851747</v>
      </c>
      <c r="U3683">
        <v>7.0053585795851756</v>
      </c>
      <c r="V3683">
        <v>7.0053585795851756</v>
      </c>
      <c r="W3683">
        <v>7.0053585795851756</v>
      </c>
      <c r="X3683">
        <v>7.0053585795851747</v>
      </c>
      <c r="Y3683">
        <v>7.0053585795851756</v>
      </c>
      <c r="Z3683">
        <v>7.0053585795851756</v>
      </c>
      <c r="AA3683">
        <v>7.0053585795851747</v>
      </c>
      <c r="AB3683">
        <v>7.0053585795851747</v>
      </c>
      <c r="AC3683">
        <v>7.0053585795851756</v>
      </c>
      <c r="AD3683">
        <v>7.0053585795851747</v>
      </c>
    </row>
    <row r="3684" spans="2:30" x14ac:dyDescent="0.25">
      <c r="B3684" t="s">
        <v>133</v>
      </c>
      <c r="C3684" t="s">
        <v>3263</v>
      </c>
      <c r="D3684" t="s">
        <v>6875</v>
      </c>
      <c r="E3684" t="s">
        <v>6876</v>
      </c>
      <c r="F3684" t="s">
        <v>9366</v>
      </c>
      <c r="G3684" t="s">
        <v>3890</v>
      </c>
      <c r="H3684" t="s">
        <v>6876</v>
      </c>
      <c r="I3684" t="s">
        <v>6878</v>
      </c>
      <c r="K3684">
        <v>0.66649403623702208</v>
      </c>
      <c r="L3684">
        <v>0.52974010355228474</v>
      </c>
      <c r="M3684">
        <v>0.5026069413629517</v>
      </c>
      <c r="N3684">
        <v>0.44257796119644682</v>
      </c>
      <c r="O3684">
        <v>0.46331913590053142</v>
      </c>
      <c r="P3684">
        <v>0.43205305147276285</v>
      </c>
      <c r="Q3684">
        <v>0.4234512451656256</v>
      </c>
      <c r="R3684">
        <v>0.41911523725276678</v>
      </c>
      <c r="S3684">
        <v>0.4153233713492252</v>
      </c>
      <c r="T3684">
        <v>0.41120385850960756</v>
      </c>
      <c r="U3684">
        <v>0.41120385850960756</v>
      </c>
      <c r="V3684">
        <v>0.41120385850960756</v>
      </c>
      <c r="W3684">
        <v>0.41120385850960756</v>
      </c>
      <c r="X3684">
        <v>0.41120385850960756</v>
      </c>
      <c r="Y3684">
        <v>0.41120385850960756</v>
      </c>
      <c r="Z3684">
        <v>0.41120385850960756</v>
      </c>
      <c r="AA3684">
        <v>0.41120385850960756</v>
      </c>
      <c r="AB3684">
        <v>0.41120385850960756</v>
      </c>
      <c r="AC3684">
        <v>0.41120385850960756</v>
      </c>
      <c r="AD3684">
        <v>0.41120385850960756</v>
      </c>
    </row>
    <row r="3685" spans="2:30" x14ac:dyDescent="0.25">
      <c r="B3685" t="s">
        <v>133</v>
      </c>
      <c r="C3685" t="s">
        <v>3263</v>
      </c>
      <c r="D3685" t="s">
        <v>6879</v>
      </c>
      <c r="E3685" t="s">
        <v>6880</v>
      </c>
      <c r="F3685" t="s">
        <v>9367</v>
      </c>
      <c r="G3685" t="s">
        <v>3890</v>
      </c>
      <c r="H3685" t="s">
        <v>6880</v>
      </c>
      <c r="I3685" t="s">
        <v>6878</v>
      </c>
      <c r="K3685">
        <v>0.69186626801993456</v>
      </c>
      <c r="L3685">
        <v>0.54990635855423164</v>
      </c>
      <c r="M3685">
        <v>0.52174028557704244</v>
      </c>
      <c r="N3685">
        <v>0.45942610987139121</v>
      </c>
      <c r="O3685">
        <v>0.48095686387165837</v>
      </c>
      <c r="P3685">
        <v>0.44850053572389442</v>
      </c>
      <c r="Q3685">
        <v>0.43957127408856161</v>
      </c>
      <c r="R3685">
        <v>0.43507020213642233</v>
      </c>
      <c r="S3685">
        <v>0.43113398670330721</v>
      </c>
      <c r="T3685">
        <v>0.42685765140329729</v>
      </c>
      <c r="U3685">
        <v>0.42685765140329729</v>
      </c>
      <c r="V3685">
        <v>0.42685765140329729</v>
      </c>
      <c r="W3685">
        <v>0.42685765140329729</v>
      </c>
      <c r="X3685">
        <v>0.42685765140329729</v>
      </c>
      <c r="Y3685">
        <v>0.42685765140329729</v>
      </c>
      <c r="Z3685">
        <v>0.42685765140329729</v>
      </c>
      <c r="AA3685">
        <v>0.42685765140329729</v>
      </c>
      <c r="AB3685">
        <v>0.42685765140329729</v>
      </c>
      <c r="AC3685">
        <v>0.42685765140329729</v>
      </c>
      <c r="AD3685">
        <v>0.42685765140329729</v>
      </c>
    </row>
    <row r="3686" spans="2:30" x14ac:dyDescent="0.25">
      <c r="B3686" t="s">
        <v>133</v>
      </c>
      <c r="C3686" t="s">
        <v>3263</v>
      </c>
      <c r="D3686" t="s">
        <v>6882</v>
      </c>
      <c r="E3686" t="s">
        <v>6883</v>
      </c>
      <c r="F3686" t="s">
        <v>9368</v>
      </c>
      <c r="G3686" t="s">
        <v>3890</v>
      </c>
      <c r="H3686" t="s">
        <v>6883</v>
      </c>
      <c r="I3686" t="s">
        <v>6878</v>
      </c>
      <c r="K3686">
        <v>0.69186626801993456</v>
      </c>
      <c r="L3686">
        <v>0.54990635855423164</v>
      </c>
      <c r="M3686">
        <v>0.52174028557704244</v>
      </c>
      <c r="N3686">
        <v>0.45942610987139121</v>
      </c>
      <c r="O3686">
        <v>0.48095686387165837</v>
      </c>
      <c r="P3686">
        <v>0.44850053572389442</v>
      </c>
      <c r="Q3686">
        <v>0.43957127408856161</v>
      </c>
      <c r="R3686">
        <v>0.43507020213642233</v>
      </c>
      <c r="S3686">
        <v>0.43113398670330721</v>
      </c>
      <c r="T3686">
        <v>0.42685765140329729</v>
      </c>
      <c r="U3686">
        <v>0.42685765140329729</v>
      </c>
      <c r="V3686">
        <v>0.42685765140329729</v>
      </c>
      <c r="W3686">
        <v>0.42685765140329729</v>
      </c>
      <c r="X3686">
        <v>0.42685765140329729</v>
      </c>
      <c r="Y3686">
        <v>0.42685765140329729</v>
      </c>
      <c r="Z3686">
        <v>0.42685765140329729</v>
      </c>
      <c r="AA3686">
        <v>0.42685765140329729</v>
      </c>
      <c r="AB3686">
        <v>0.42685765140329729</v>
      </c>
      <c r="AC3686">
        <v>0.42685765140329729</v>
      </c>
      <c r="AD3686">
        <v>0.42685765140329729</v>
      </c>
    </row>
    <row r="3687" spans="2:30" x14ac:dyDescent="0.25">
      <c r="B3687" t="s">
        <v>133</v>
      </c>
      <c r="C3687" t="s">
        <v>3263</v>
      </c>
      <c r="D3687" t="s">
        <v>6885</v>
      </c>
      <c r="E3687" t="s">
        <v>6886</v>
      </c>
      <c r="F3687" t="s">
        <v>9369</v>
      </c>
      <c r="G3687" t="s">
        <v>3890</v>
      </c>
      <c r="H3687" t="s">
        <v>6886</v>
      </c>
      <c r="I3687" t="s">
        <v>6878</v>
      </c>
      <c r="K3687">
        <v>0.55763179275081687</v>
      </c>
      <c r="L3687">
        <v>0.44321465395800225</v>
      </c>
      <c r="M3687">
        <v>0.42051330473054166</v>
      </c>
      <c r="N3687">
        <v>0.37028919767589552</v>
      </c>
      <c r="O3687">
        <v>0.38764259891455777</v>
      </c>
      <c r="P3687">
        <v>0.36148338103139183</v>
      </c>
      <c r="Q3687">
        <v>0.35428655643709278</v>
      </c>
      <c r="R3687">
        <v>0.35065877323969097</v>
      </c>
      <c r="S3687">
        <v>0.34748625425722457</v>
      </c>
      <c r="T3687">
        <v>0.34403960476732715</v>
      </c>
      <c r="U3687">
        <v>0.34403960476732715</v>
      </c>
      <c r="V3687">
        <v>0.34403960476732715</v>
      </c>
      <c r="W3687">
        <v>0.34403960476732715</v>
      </c>
      <c r="X3687">
        <v>0.34403960476732715</v>
      </c>
      <c r="Y3687">
        <v>0.34403960476732715</v>
      </c>
      <c r="Z3687">
        <v>0.34403960476732715</v>
      </c>
      <c r="AA3687">
        <v>0.34403960476732715</v>
      </c>
      <c r="AB3687">
        <v>0.34403960476732715</v>
      </c>
      <c r="AC3687">
        <v>0.34403960476732715</v>
      </c>
      <c r="AD3687">
        <v>0.34403960476732715</v>
      </c>
    </row>
    <row r="3688" spans="2:30" x14ac:dyDescent="0.25">
      <c r="B3688" t="s">
        <v>133</v>
      </c>
      <c r="C3688" t="s">
        <v>3263</v>
      </c>
      <c r="D3688" t="s">
        <v>6888</v>
      </c>
      <c r="E3688" t="s">
        <v>6889</v>
      </c>
      <c r="F3688" t="s">
        <v>9370</v>
      </c>
      <c r="G3688" t="s">
        <v>3890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</row>
    <row r="3689" spans="2:30" x14ac:dyDescent="0.25">
      <c r="B3689" t="s">
        <v>133</v>
      </c>
      <c r="C3689" t="s">
        <v>3263</v>
      </c>
      <c r="D3689" t="s">
        <v>6891</v>
      </c>
      <c r="E3689" t="s">
        <v>6892</v>
      </c>
      <c r="F3689" t="s">
        <v>9371</v>
      </c>
      <c r="G3689" t="s">
        <v>3890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</row>
    <row r="3690" spans="2:30" x14ac:dyDescent="0.25">
      <c r="B3690" t="s">
        <v>133</v>
      </c>
      <c r="C3690" t="s">
        <v>3263</v>
      </c>
      <c r="D3690" t="s">
        <v>6894</v>
      </c>
      <c r="E3690" t="s">
        <v>6895</v>
      </c>
      <c r="F3690" t="s">
        <v>9372</v>
      </c>
      <c r="G3690" t="s">
        <v>3890</v>
      </c>
      <c r="H3690" t="s">
        <v>6897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</row>
    <row r="3691" spans="2:30" x14ac:dyDescent="0.25">
      <c r="B3691" t="s">
        <v>133</v>
      </c>
      <c r="C3691" t="s">
        <v>3263</v>
      </c>
      <c r="D3691" t="s">
        <v>6898</v>
      </c>
      <c r="E3691" t="s">
        <v>6899</v>
      </c>
      <c r="F3691" t="s">
        <v>9373</v>
      </c>
      <c r="G3691" t="s">
        <v>3890</v>
      </c>
      <c r="H3691" t="s">
        <v>6897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</row>
    <row r="3692" spans="2:30" x14ac:dyDescent="0.25">
      <c r="B3692" t="s">
        <v>133</v>
      </c>
      <c r="C3692" t="s">
        <v>3263</v>
      </c>
      <c r="D3692" t="s">
        <v>6901</v>
      </c>
      <c r="E3692" t="s">
        <v>6902</v>
      </c>
      <c r="F3692" t="s">
        <v>9374</v>
      </c>
      <c r="G3692" t="s">
        <v>3890</v>
      </c>
      <c r="H3692" t="s">
        <v>6897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</row>
    <row r="3693" spans="2:30" x14ac:dyDescent="0.25">
      <c r="B3693" t="s">
        <v>133</v>
      </c>
      <c r="C3693" t="s">
        <v>3263</v>
      </c>
      <c r="D3693" t="s">
        <v>6904</v>
      </c>
      <c r="E3693" t="s">
        <v>6905</v>
      </c>
      <c r="F3693" t="s">
        <v>9375</v>
      </c>
      <c r="G3693" t="s">
        <v>3890</v>
      </c>
      <c r="H3693" t="s">
        <v>6897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</row>
    <row r="3694" spans="2:30" x14ac:dyDescent="0.25">
      <c r="B3694" t="s">
        <v>133</v>
      </c>
      <c r="C3694" t="s">
        <v>3263</v>
      </c>
      <c r="D3694" t="s">
        <v>6907</v>
      </c>
      <c r="E3694" t="s">
        <v>6908</v>
      </c>
      <c r="F3694" t="s">
        <v>9376</v>
      </c>
      <c r="G3694" t="s">
        <v>3890</v>
      </c>
      <c r="H3694" t="s">
        <v>6897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</row>
    <row r="3695" spans="2:30" x14ac:dyDescent="0.25">
      <c r="B3695" t="s">
        <v>133</v>
      </c>
      <c r="C3695" t="s">
        <v>3263</v>
      </c>
      <c r="D3695" t="s">
        <v>6910</v>
      </c>
      <c r="E3695" t="s">
        <v>6911</v>
      </c>
      <c r="F3695" t="s">
        <v>9377</v>
      </c>
      <c r="G3695" t="s">
        <v>3890</v>
      </c>
      <c r="H3695" t="s">
        <v>6897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</row>
    <row r="3696" spans="2:30" x14ac:dyDescent="0.25">
      <c r="B3696" t="s">
        <v>133</v>
      </c>
      <c r="C3696" t="s">
        <v>3263</v>
      </c>
      <c r="D3696" t="s">
        <v>6913</v>
      </c>
      <c r="E3696" t="s">
        <v>6914</v>
      </c>
      <c r="F3696" t="s">
        <v>9378</v>
      </c>
      <c r="G3696" t="s">
        <v>3890</v>
      </c>
      <c r="H3696" t="s">
        <v>6897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</row>
    <row r="3697" spans="2:30" x14ac:dyDescent="0.25">
      <c r="B3697" t="s">
        <v>133</v>
      </c>
      <c r="C3697" t="s">
        <v>3263</v>
      </c>
      <c r="D3697" t="s">
        <v>6916</v>
      </c>
      <c r="E3697" t="s">
        <v>6917</v>
      </c>
      <c r="F3697" t="s">
        <v>9379</v>
      </c>
      <c r="G3697" t="s">
        <v>3890</v>
      </c>
      <c r="H3697" t="s">
        <v>6897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</row>
    <row r="3698" spans="2:30" x14ac:dyDescent="0.25">
      <c r="B3698" t="s">
        <v>133</v>
      </c>
      <c r="C3698" t="s">
        <v>3263</v>
      </c>
      <c r="D3698" t="s">
        <v>6919</v>
      </c>
      <c r="E3698" t="s">
        <v>6920</v>
      </c>
      <c r="F3698" t="s">
        <v>9380</v>
      </c>
      <c r="G3698" t="s">
        <v>3890</v>
      </c>
      <c r="H3698" t="s">
        <v>6897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</row>
    <row r="3699" spans="2:30" x14ac:dyDescent="0.25">
      <c r="B3699" t="s">
        <v>133</v>
      </c>
      <c r="C3699" t="s">
        <v>3263</v>
      </c>
      <c r="D3699" t="s">
        <v>6922</v>
      </c>
      <c r="E3699" t="s">
        <v>6923</v>
      </c>
      <c r="F3699" t="s">
        <v>9381</v>
      </c>
      <c r="G3699" t="s">
        <v>3890</v>
      </c>
      <c r="H3699" t="s">
        <v>6925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</row>
    <row r="3700" spans="2:30" x14ac:dyDescent="0.25">
      <c r="B3700" t="s">
        <v>133</v>
      </c>
      <c r="C3700" t="s">
        <v>3263</v>
      </c>
      <c r="D3700" t="s">
        <v>6926</v>
      </c>
      <c r="E3700" t="s">
        <v>6927</v>
      </c>
      <c r="F3700" t="s">
        <v>9382</v>
      </c>
      <c r="G3700" t="s">
        <v>3890</v>
      </c>
      <c r="H3700" t="s">
        <v>6925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</row>
    <row r="3701" spans="2:30" x14ac:dyDescent="0.25">
      <c r="B3701" t="s">
        <v>133</v>
      </c>
      <c r="C3701" t="s">
        <v>3263</v>
      </c>
      <c r="D3701" t="s">
        <v>6929</v>
      </c>
      <c r="E3701" t="s">
        <v>6930</v>
      </c>
      <c r="F3701" t="s">
        <v>9383</v>
      </c>
      <c r="G3701" t="s">
        <v>3890</v>
      </c>
      <c r="H3701" t="s">
        <v>6925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</row>
    <row r="3702" spans="2:30" x14ac:dyDescent="0.25">
      <c r="B3702" t="s">
        <v>133</v>
      </c>
      <c r="C3702" t="s">
        <v>3263</v>
      </c>
      <c r="D3702" t="s">
        <v>6932</v>
      </c>
      <c r="E3702" t="s">
        <v>6933</v>
      </c>
      <c r="F3702" t="s">
        <v>9384</v>
      </c>
      <c r="G3702" t="s">
        <v>3890</v>
      </c>
      <c r="H3702" t="s">
        <v>6925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</row>
    <row r="3703" spans="2:30" x14ac:dyDescent="0.25">
      <c r="B3703" t="s">
        <v>133</v>
      </c>
      <c r="C3703" t="s">
        <v>3263</v>
      </c>
      <c r="D3703" t="s">
        <v>6935</v>
      </c>
      <c r="E3703" t="s">
        <v>6936</v>
      </c>
      <c r="F3703" t="s">
        <v>9385</v>
      </c>
      <c r="G3703" t="s">
        <v>3890</v>
      </c>
      <c r="H3703" t="s">
        <v>6925</v>
      </c>
      <c r="J3703">
        <v>1</v>
      </c>
      <c r="K3703">
        <v>6.5115671266546826E-4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</row>
    <row r="3704" spans="2:30" x14ac:dyDescent="0.25">
      <c r="B3704" t="s">
        <v>133</v>
      </c>
      <c r="C3704" t="s">
        <v>3263</v>
      </c>
      <c r="D3704" t="s">
        <v>6938</v>
      </c>
      <c r="E3704" t="s">
        <v>6939</v>
      </c>
      <c r="F3704" t="s">
        <v>9386</v>
      </c>
      <c r="G3704" t="s">
        <v>3890</v>
      </c>
      <c r="H3704" t="s">
        <v>6925</v>
      </c>
      <c r="J3704">
        <v>1</v>
      </c>
      <c r="K3704">
        <v>0.16861237962541242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</row>
    <row r="3705" spans="2:30" x14ac:dyDescent="0.25">
      <c r="B3705" t="s">
        <v>133</v>
      </c>
      <c r="C3705" t="s">
        <v>3263</v>
      </c>
      <c r="D3705" t="s">
        <v>6941</v>
      </c>
      <c r="E3705" t="s">
        <v>6942</v>
      </c>
      <c r="F3705" t="s">
        <v>9387</v>
      </c>
      <c r="G3705" t="s">
        <v>3890</v>
      </c>
      <c r="H3705" t="s">
        <v>6925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</row>
    <row r="3706" spans="2:30" x14ac:dyDescent="0.25">
      <c r="B3706" t="s">
        <v>133</v>
      </c>
      <c r="C3706" t="s">
        <v>3263</v>
      </c>
      <c r="D3706" t="s">
        <v>6944</v>
      </c>
      <c r="E3706" t="s">
        <v>6945</v>
      </c>
      <c r="F3706" t="s">
        <v>9388</v>
      </c>
      <c r="G3706" t="s">
        <v>3890</v>
      </c>
      <c r="H3706" t="s">
        <v>6925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</row>
    <row r="3707" spans="2:30" x14ac:dyDescent="0.25">
      <c r="B3707" t="s">
        <v>133</v>
      </c>
      <c r="C3707" t="s">
        <v>3263</v>
      </c>
      <c r="D3707" t="s">
        <v>6947</v>
      </c>
      <c r="E3707" t="s">
        <v>6948</v>
      </c>
      <c r="F3707" t="s">
        <v>9389</v>
      </c>
      <c r="G3707" t="s">
        <v>3890</v>
      </c>
      <c r="H3707" t="s">
        <v>6925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</row>
    <row r="3708" spans="2:30" x14ac:dyDescent="0.25">
      <c r="B3708" t="s">
        <v>133</v>
      </c>
      <c r="C3708" t="s">
        <v>3263</v>
      </c>
      <c r="D3708" t="s">
        <v>6950</v>
      </c>
      <c r="E3708" t="s">
        <v>6951</v>
      </c>
      <c r="F3708" t="s">
        <v>9390</v>
      </c>
      <c r="G3708" t="s">
        <v>3890</v>
      </c>
      <c r="H3708" t="s">
        <v>6925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</row>
    <row r="3709" spans="2:30" x14ac:dyDescent="0.25">
      <c r="B3709" t="s">
        <v>133</v>
      </c>
      <c r="C3709" t="s">
        <v>3263</v>
      </c>
      <c r="D3709" t="s">
        <v>6953</v>
      </c>
      <c r="E3709" t="s">
        <v>6954</v>
      </c>
      <c r="F3709" t="s">
        <v>9391</v>
      </c>
      <c r="G3709" t="s">
        <v>3890</v>
      </c>
      <c r="H3709" t="s">
        <v>6925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</row>
    <row r="3710" spans="2:30" x14ac:dyDescent="0.25">
      <c r="B3710" t="s">
        <v>133</v>
      </c>
      <c r="C3710" t="s">
        <v>3263</v>
      </c>
      <c r="D3710" t="s">
        <v>6956</v>
      </c>
      <c r="E3710" t="s">
        <v>6957</v>
      </c>
      <c r="F3710" t="s">
        <v>9392</v>
      </c>
      <c r="G3710" t="s">
        <v>3890</v>
      </c>
      <c r="H3710" t="s">
        <v>6925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</row>
    <row r="3711" spans="2:30" x14ac:dyDescent="0.25">
      <c r="B3711" t="s">
        <v>133</v>
      </c>
      <c r="C3711" t="s">
        <v>3263</v>
      </c>
      <c r="D3711" t="s">
        <v>6959</v>
      </c>
      <c r="E3711" t="s">
        <v>6960</v>
      </c>
      <c r="F3711" t="s">
        <v>9393</v>
      </c>
      <c r="G3711" t="s">
        <v>3890</v>
      </c>
      <c r="H3711" t="s">
        <v>4401</v>
      </c>
      <c r="J3711">
        <v>1</v>
      </c>
      <c r="K3711">
        <v>13.300765797231492</v>
      </c>
      <c r="L3711">
        <v>6.6597422204572982</v>
      </c>
      <c r="M3711">
        <v>5.9120378390671311</v>
      </c>
      <c r="N3711">
        <v>10.667339738862136</v>
      </c>
      <c r="O3711">
        <v>10.697270257523773</v>
      </c>
      <c r="P3711">
        <v>10.786740752201585</v>
      </c>
      <c r="Q3711">
        <v>10.744317205987112</v>
      </c>
      <c r="R3711">
        <v>10.698823032509914</v>
      </c>
      <c r="S3711">
        <v>10.650132442785026</v>
      </c>
      <c r="T3711">
        <v>10.60314404190486</v>
      </c>
      <c r="U3711">
        <v>10.60314404190486</v>
      </c>
      <c r="V3711">
        <v>10.603144041904862</v>
      </c>
      <c r="W3711">
        <v>10.60314404190486</v>
      </c>
      <c r="X3711">
        <v>10.60314404190486</v>
      </c>
      <c r="Y3711">
        <v>10.60314404190486</v>
      </c>
      <c r="Z3711">
        <v>10.603144041904859</v>
      </c>
      <c r="AA3711">
        <v>10.60314404190486</v>
      </c>
      <c r="AB3711">
        <v>10.60314404190486</v>
      </c>
      <c r="AC3711">
        <v>10.60314404190486</v>
      </c>
      <c r="AD3711">
        <v>10.603144041904859</v>
      </c>
    </row>
    <row r="3712" spans="2:30" x14ac:dyDescent="0.25">
      <c r="B3712" t="s">
        <v>133</v>
      </c>
      <c r="C3712" t="s">
        <v>3263</v>
      </c>
      <c r="D3712" t="s">
        <v>6962</v>
      </c>
      <c r="E3712" t="s">
        <v>6963</v>
      </c>
      <c r="F3712" t="s">
        <v>9394</v>
      </c>
      <c r="G3712" t="s">
        <v>3890</v>
      </c>
      <c r="H3712" t="s">
        <v>4401</v>
      </c>
      <c r="J3712">
        <v>1</v>
      </c>
      <c r="K3712">
        <v>20.341077129048131</v>
      </c>
      <c r="L3712">
        <v>13.728894823319759</v>
      </c>
      <c r="M3712">
        <v>12.932251380703796</v>
      </c>
      <c r="N3712">
        <v>4.7553018997950049</v>
      </c>
      <c r="O3712">
        <v>4.7852324184566415</v>
      </c>
      <c r="P3712">
        <v>4.8747029131344526</v>
      </c>
      <c r="Q3712">
        <v>4.8322793669199813</v>
      </c>
      <c r="R3712">
        <v>4.7867851934427836</v>
      </c>
      <c r="S3712">
        <v>4.7380946037178955</v>
      </c>
      <c r="T3712">
        <v>4.6911062028377293</v>
      </c>
      <c r="U3712">
        <v>4.6911062028377293</v>
      </c>
      <c r="V3712">
        <v>4.6911062028377302</v>
      </c>
      <c r="W3712">
        <v>4.6911062028377293</v>
      </c>
      <c r="X3712">
        <v>4.6911062028377293</v>
      </c>
      <c r="Y3712">
        <v>4.6911062028377293</v>
      </c>
      <c r="Z3712">
        <v>4.6911062028377284</v>
      </c>
      <c r="AA3712">
        <v>4.6911062028377293</v>
      </c>
      <c r="AB3712">
        <v>4.6911062028377293</v>
      </c>
      <c r="AC3712">
        <v>4.6911062028377293</v>
      </c>
      <c r="AD3712">
        <v>4.6911062028377284</v>
      </c>
    </row>
    <row r="3713" spans="2:30" x14ac:dyDescent="0.25">
      <c r="B3713" t="s">
        <v>133</v>
      </c>
      <c r="C3713" t="s">
        <v>3263</v>
      </c>
      <c r="D3713" t="s">
        <v>6965</v>
      </c>
      <c r="E3713" t="s">
        <v>6966</v>
      </c>
      <c r="F3713" t="s">
        <v>9395</v>
      </c>
      <c r="G3713" t="s">
        <v>3890</v>
      </c>
      <c r="H3713" t="s">
        <v>4401</v>
      </c>
      <c r="J3713">
        <v>1</v>
      </c>
      <c r="K3713">
        <v>11.120349660557133</v>
      </c>
      <c r="L3713">
        <v>8.6107191627453634</v>
      </c>
      <c r="M3713">
        <v>7.5769525309658565</v>
      </c>
      <c r="N3713">
        <v>4.7553018997950049</v>
      </c>
      <c r="O3713">
        <v>4.7852324184566415</v>
      </c>
      <c r="P3713">
        <v>4.8747029131344526</v>
      </c>
      <c r="Q3713">
        <v>4.8322793669199813</v>
      </c>
      <c r="R3713">
        <v>4.7867851934427836</v>
      </c>
      <c r="S3713">
        <v>4.7380946037178955</v>
      </c>
      <c r="T3713">
        <v>4.6911062028377293</v>
      </c>
      <c r="U3713">
        <v>4.6911062028377293</v>
      </c>
      <c r="V3713">
        <v>4.6911062028377302</v>
      </c>
      <c r="W3713">
        <v>4.6911062028377293</v>
      </c>
      <c r="X3713">
        <v>4.6911062028377293</v>
      </c>
      <c r="Y3713">
        <v>4.6911062028377293</v>
      </c>
      <c r="Z3713">
        <v>4.6911062028377284</v>
      </c>
      <c r="AA3713">
        <v>4.6911062028377293</v>
      </c>
      <c r="AB3713">
        <v>4.6911062028377293</v>
      </c>
      <c r="AC3713">
        <v>4.6911062028377293</v>
      </c>
      <c r="AD3713">
        <v>4.6911062028377284</v>
      </c>
    </row>
    <row r="3714" spans="2:30" x14ac:dyDescent="0.25">
      <c r="B3714" t="s">
        <v>133</v>
      </c>
      <c r="C3714" t="s">
        <v>3263</v>
      </c>
      <c r="D3714" t="s">
        <v>6968</v>
      </c>
      <c r="E3714" t="s">
        <v>6969</v>
      </c>
      <c r="F3714" t="s">
        <v>9396</v>
      </c>
      <c r="G3714" t="s">
        <v>3890</v>
      </c>
      <c r="H3714" t="s">
        <v>4401</v>
      </c>
      <c r="J3714">
        <v>1</v>
      </c>
      <c r="K3714">
        <v>11.487541741967885</v>
      </c>
      <c r="L3714">
        <v>9.3891447698250445</v>
      </c>
      <c r="M3714">
        <v>8.7667832853036707</v>
      </c>
      <c r="N3714">
        <v>9.1053931197606968</v>
      </c>
      <c r="O3714">
        <v>9.4445800349302154</v>
      </c>
      <c r="P3714">
        <v>8.5676666692102899</v>
      </c>
      <c r="Q3714">
        <v>7.5361226914357777</v>
      </c>
      <c r="R3714">
        <v>7.1686734271328421</v>
      </c>
      <c r="S3714">
        <v>7.0644313587224108</v>
      </c>
      <c r="T3714">
        <v>7.0053585795851747</v>
      </c>
      <c r="U3714">
        <v>7.0053585795851756</v>
      </c>
      <c r="V3714">
        <v>7.0053585795851756</v>
      </c>
      <c r="W3714">
        <v>7.0053585795851756</v>
      </c>
      <c r="X3714">
        <v>7.0053585795851747</v>
      </c>
      <c r="Y3714">
        <v>7.0053585795851756</v>
      </c>
      <c r="Z3714">
        <v>7.0053585795851756</v>
      </c>
      <c r="AA3714">
        <v>7.0053585795851747</v>
      </c>
      <c r="AB3714">
        <v>7.0053585795851747</v>
      </c>
      <c r="AC3714">
        <v>7.0053585795851756</v>
      </c>
      <c r="AD3714">
        <v>7.0053585795851747</v>
      </c>
    </row>
    <row r="3715" spans="2:30" x14ac:dyDescent="0.25">
      <c r="B3715" t="s">
        <v>133</v>
      </c>
      <c r="C3715" t="s">
        <v>3263</v>
      </c>
      <c r="D3715" t="s">
        <v>6971</v>
      </c>
      <c r="E3715" t="s">
        <v>6972</v>
      </c>
      <c r="F3715" t="s">
        <v>9397</v>
      </c>
      <c r="G3715" t="s">
        <v>3890</v>
      </c>
      <c r="H3715" t="s">
        <v>4401</v>
      </c>
      <c r="J3715">
        <v>1</v>
      </c>
      <c r="K3715">
        <v>16.896519832842024</v>
      </c>
      <c r="L3715">
        <v>15.007346977443612</v>
      </c>
      <c r="M3715">
        <v>14.387195939484084</v>
      </c>
      <c r="N3715">
        <v>9.1053931197606968</v>
      </c>
      <c r="O3715">
        <v>9.4445800349302154</v>
      </c>
      <c r="P3715">
        <v>8.5676666692102899</v>
      </c>
      <c r="Q3715">
        <v>7.5361226914357777</v>
      </c>
      <c r="R3715">
        <v>7.1686734271328421</v>
      </c>
      <c r="S3715">
        <v>7.0644313587224108</v>
      </c>
      <c r="T3715">
        <v>7.0053585795851747</v>
      </c>
      <c r="U3715">
        <v>7.0053585795851756</v>
      </c>
      <c r="V3715">
        <v>7.0053585795851756</v>
      </c>
      <c r="W3715">
        <v>7.0053585795851756</v>
      </c>
      <c r="X3715">
        <v>7.0053585795851747</v>
      </c>
      <c r="Y3715">
        <v>7.0053585795851756</v>
      </c>
      <c r="Z3715">
        <v>7.0053585795851756</v>
      </c>
      <c r="AA3715">
        <v>7.0053585795851747</v>
      </c>
      <c r="AB3715">
        <v>7.0053585795851747</v>
      </c>
      <c r="AC3715">
        <v>7.0053585795851756</v>
      </c>
      <c r="AD3715">
        <v>7.0053585795851747</v>
      </c>
    </row>
    <row r="3716" spans="2:30" x14ac:dyDescent="0.25">
      <c r="B3716" t="s">
        <v>133</v>
      </c>
      <c r="C3716" t="s">
        <v>3263</v>
      </c>
      <c r="D3716" t="s">
        <v>6974</v>
      </c>
      <c r="E3716" t="s">
        <v>6975</v>
      </c>
      <c r="F3716" t="s">
        <v>9398</v>
      </c>
      <c r="G3716" t="s">
        <v>3890</v>
      </c>
      <c r="H3716" t="s">
        <v>4401</v>
      </c>
      <c r="J3716">
        <v>1</v>
      </c>
      <c r="K3716">
        <v>12.26057770283262</v>
      </c>
      <c r="L3716">
        <v>10.191589119339163</v>
      </c>
      <c r="M3716">
        <v>9.5695478851554761</v>
      </c>
      <c r="N3716">
        <v>9.1053931197606968</v>
      </c>
      <c r="O3716">
        <v>9.4445800349302154</v>
      </c>
      <c r="P3716">
        <v>8.5676666692102899</v>
      </c>
      <c r="Q3716">
        <v>7.5361226914357777</v>
      </c>
      <c r="R3716">
        <v>7.1686734271328421</v>
      </c>
      <c r="S3716">
        <v>7.0644313587224108</v>
      </c>
      <c r="T3716">
        <v>7.0053585795851747</v>
      </c>
      <c r="U3716">
        <v>7.0053585795851756</v>
      </c>
      <c r="V3716">
        <v>7.0053585795851756</v>
      </c>
      <c r="W3716">
        <v>7.0053585795851756</v>
      </c>
      <c r="X3716">
        <v>7.0053585795851747</v>
      </c>
      <c r="Y3716">
        <v>7.0053585795851756</v>
      </c>
      <c r="Z3716">
        <v>7.0053585795851756</v>
      </c>
      <c r="AA3716">
        <v>7.0053585795851747</v>
      </c>
      <c r="AB3716">
        <v>7.0053585795851747</v>
      </c>
      <c r="AC3716">
        <v>7.0053585795851756</v>
      </c>
      <c r="AD3716">
        <v>7.0053585795851747</v>
      </c>
    </row>
    <row r="3717" spans="2:30" x14ac:dyDescent="0.25">
      <c r="B3717" t="s">
        <v>133</v>
      </c>
      <c r="C3717" t="s">
        <v>3263</v>
      </c>
      <c r="D3717" t="s">
        <v>6977</v>
      </c>
      <c r="E3717" t="s">
        <v>6978</v>
      </c>
      <c r="F3717" t="s">
        <v>9399</v>
      </c>
      <c r="G3717" t="s">
        <v>3890</v>
      </c>
      <c r="H3717" t="s">
        <v>4401</v>
      </c>
      <c r="J3717">
        <v>1</v>
      </c>
      <c r="K3717">
        <v>0.96288449831239953</v>
      </c>
      <c r="L3717">
        <v>0.81772900379057656</v>
      </c>
      <c r="M3717">
        <v>0.76352775679432006</v>
      </c>
      <c r="N3717">
        <v>0.44257796119644682</v>
      </c>
      <c r="O3717">
        <v>0.46331913590053142</v>
      </c>
      <c r="P3717">
        <v>0.43205305147276285</v>
      </c>
      <c r="Q3717">
        <v>0.4234512451656256</v>
      </c>
      <c r="R3717">
        <v>0.41911523725276678</v>
      </c>
      <c r="S3717">
        <v>0.4153233713492252</v>
      </c>
      <c r="T3717">
        <v>0.41120385850960756</v>
      </c>
      <c r="U3717">
        <v>0.41120385850960756</v>
      </c>
      <c r="V3717">
        <v>0.41120385850960756</v>
      </c>
      <c r="W3717">
        <v>0.41120385850960756</v>
      </c>
      <c r="X3717">
        <v>0.41120385850960756</v>
      </c>
      <c r="Y3717">
        <v>0.41120385850960756</v>
      </c>
      <c r="Z3717">
        <v>0.41120385850960756</v>
      </c>
      <c r="AA3717">
        <v>0.41120385850960756</v>
      </c>
      <c r="AB3717">
        <v>0.41120385850960756</v>
      </c>
      <c r="AC3717">
        <v>0.41120385850960756</v>
      </c>
      <c r="AD3717">
        <v>0.41120385850960756</v>
      </c>
    </row>
    <row r="3718" spans="2:30" x14ac:dyDescent="0.25">
      <c r="B3718" t="s">
        <v>133</v>
      </c>
      <c r="C3718" t="s">
        <v>3263</v>
      </c>
      <c r="D3718" t="s">
        <v>6980</v>
      </c>
      <c r="E3718" t="s">
        <v>6981</v>
      </c>
      <c r="F3718" t="s">
        <v>9400</v>
      </c>
      <c r="G3718" t="s">
        <v>3890</v>
      </c>
      <c r="H3718" t="s">
        <v>4401</v>
      </c>
      <c r="J3718">
        <v>1</v>
      </c>
      <c r="K3718">
        <v>1.0765662572630961</v>
      </c>
      <c r="L3718">
        <v>0.85484887846197788</v>
      </c>
      <c r="M3718">
        <v>0.77837412984309851</v>
      </c>
      <c r="N3718">
        <v>0.44257796119644682</v>
      </c>
      <c r="O3718">
        <v>0.48095686387165837</v>
      </c>
      <c r="P3718">
        <v>0.44850053572389442</v>
      </c>
      <c r="Q3718">
        <v>0.43957127408856161</v>
      </c>
      <c r="R3718">
        <v>0.43507020213642233</v>
      </c>
      <c r="S3718">
        <v>0.43113398670330721</v>
      </c>
      <c r="T3718">
        <v>0.42685765140329729</v>
      </c>
      <c r="U3718">
        <v>0.42685765140329729</v>
      </c>
      <c r="V3718">
        <v>0.42685765140329729</v>
      </c>
      <c r="W3718">
        <v>0.42685765140329729</v>
      </c>
      <c r="X3718">
        <v>0.42685765140329729</v>
      </c>
      <c r="Y3718">
        <v>0.42685765140329729</v>
      </c>
      <c r="Z3718">
        <v>0.42685765140329729</v>
      </c>
      <c r="AA3718">
        <v>0.42685765140329729</v>
      </c>
      <c r="AB3718">
        <v>0.42685765140329729</v>
      </c>
      <c r="AC3718">
        <v>0.42685765140329729</v>
      </c>
      <c r="AD3718">
        <v>0.42685765140329729</v>
      </c>
    </row>
    <row r="3719" spans="2:30" x14ac:dyDescent="0.25">
      <c r="B3719" t="s">
        <v>133</v>
      </c>
      <c r="C3719" t="s">
        <v>3263</v>
      </c>
      <c r="D3719" t="s">
        <v>6983</v>
      </c>
      <c r="E3719" t="s">
        <v>6984</v>
      </c>
      <c r="F3719" t="s">
        <v>9401</v>
      </c>
      <c r="G3719" t="s">
        <v>3890</v>
      </c>
      <c r="H3719" t="s">
        <v>4401</v>
      </c>
      <c r="J3719">
        <v>1</v>
      </c>
      <c r="K3719">
        <v>0.67072237780910948</v>
      </c>
      <c r="L3719">
        <v>0.57754157944621498</v>
      </c>
      <c r="M3719">
        <v>0.54295307149818317</v>
      </c>
      <c r="N3719">
        <v>0.37028919767589552</v>
      </c>
      <c r="O3719">
        <v>0.38764259891455777</v>
      </c>
      <c r="P3719">
        <v>0.36148338103139183</v>
      </c>
      <c r="Q3719">
        <v>0.35428655643709278</v>
      </c>
      <c r="R3719">
        <v>0.35065877323969097</v>
      </c>
      <c r="S3719">
        <v>0.34748625425722457</v>
      </c>
      <c r="T3719">
        <v>0.34403960476732715</v>
      </c>
      <c r="U3719">
        <v>0.34403960476732715</v>
      </c>
      <c r="V3719">
        <v>0.34403960476732715</v>
      </c>
      <c r="W3719">
        <v>0.34403960476732715</v>
      </c>
      <c r="X3719">
        <v>0.34403960476732715</v>
      </c>
      <c r="Y3719">
        <v>0.34403960476732715</v>
      </c>
      <c r="Z3719">
        <v>0.34403960476732715</v>
      </c>
      <c r="AA3719">
        <v>0.34403960476732715</v>
      </c>
      <c r="AB3719">
        <v>0.34403960476732715</v>
      </c>
      <c r="AC3719">
        <v>0.34403960476732715</v>
      </c>
      <c r="AD3719">
        <v>0.34403960476732715</v>
      </c>
    </row>
    <row r="3720" spans="2:30" x14ac:dyDescent="0.25">
      <c r="B3720" t="s">
        <v>133</v>
      </c>
      <c r="C3720" t="s">
        <v>3263</v>
      </c>
      <c r="D3720" t="s">
        <v>6986</v>
      </c>
      <c r="E3720" t="s">
        <v>6987</v>
      </c>
      <c r="F3720" t="s">
        <v>9402</v>
      </c>
      <c r="G3720" t="s">
        <v>3890</v>
      </c>
      <c r="H3720" t="s">
        <v>4401</v>
      </c>
      <c r="J3720">
        <v>1</v>
      </c>
      <c r="K3720">
        <v>0.78326731917029901</v>
      </c>
      <c r="L3720">
        <v>0.69872705263814272</v>
      </c>
      <c r="M3720">
        <v>0.69141680198596767</v>
      </c>
      <c r="N3720">
        <v>0.45942610987139121</v>
      </c>
      <c r="O3720">
        <v>0.48095686387165837</v>
      </c>
      <c r="P3720">
        <v>0.44850053572389442</v>
      </c>
      <c r="Q3720">
        <v>0.43957127408856161</v>
      </c>
      <c r="R3720">
        <v>0.43507020213642233</v>
      </c>
      <c r="S3720">
        <v>0.43113398670330721</v>
      </c>
      <c r="T3720">
        <v>0.42685765140329729</v>
      </c>
      <c r="U3720">
        <v>0.42685765140329729</v>
      </c>
      <c r="V3720">
        <v>0.42685765140329729</v>
      </c>
      <c r="W3720">
        <v>0.42685765140329729</v>
      </c>
      <c r="X3720">
        <v>0.42685765140329729</v>
      </c>
      <c r="Y3720">
        <v>0.42685765140329729</v>
      </c>
      <c r="Z3720">
        <v>0.42685765140329729</v>
      </c>
      <c r="AA3720">
        <v>0.42685765140329729</v>
      </c>
      <c r="AB3720">
        <v>0.42685765140329729</v>
      </c>
      <c r="AC3720">
        <v>0.42685765140329729</v>
      </c>
      <c r="AD3720">
        <v>0.42685765140329729</v>
      </c>
    </row>
    <row r="3721" spans="2:30" x14ac:dyDescent="0.25">
      <c r="B3721" t="s">
        <v>133</v>
      </c>
      <c r="C3721" t="s">
        <v>3263</v>
      </c>
      <c r="D3721" t="s">
        <v>6989</v>
      </c>
      <c r="E3721" t="s">
        <v>6990</v>
      </c>
      <c r="F3721" t="s">
        <v>9403</v>
      </c>
      <c r="G3721" t="s">
        <v>3890</v>
      </c>
      <c r="H3721" t="s">
        <v>4401</v>
      </c>
      <c r="J3721">
        <v>1</v>
      </c>
      <c r="K3721">
        <v>116.49765611990527</v>
      </c>
      <c r="L3721">
        <v>95.069457838557554</v>
      </c>
      <c r="M3721">
        <v>91.60742398705186</v>
      </c>
      <c r="N3721">
        <v>78.383975634268623</v>
      </c>
      <c r="O3721">
        <v>82.05739789017133</v>
      </c>
      <c r="P3721">
        <v>76.519932822231851</v>
      </c>
      <c r="Q3721">
        <v>74.996486480333985</v>
      </c>
      <c r="R3721">
        <v>74.228545985347012</v>
      </c>
      <c r="S3721">
        <v>73.556977243450959</v>
      </c>
      <c r="T3721">
        <v>72.827379698257502</v>
      </c>
      <c r="U3721">
        <v>72.827379698257502</v>
      </c>
      <c r="V3721">
        <v>72.827379698257502</v>
      </c>
      <c r="W3721">
        <v>72.827379698257502</v>
      </c>
      <c r="X3721">
        <v>72.827379698257502</v>
      </c>
      <c r="Y3721">
        <v>72.827379698257502</v>
      </c>
      <c r="Z3721">
        <v>72.827379698257502</v>
      </c>
      <c r="AA3721">
        <v>72.827379698257502</v>
      </c>
      <c r="AB3721">
        <v>72.827379698257502</v>
      </c>
      <c r="AC3721">
        <v>72.827379698257502</v>
      </c>
      <c r="AD3721">
        <v>72.827379698257502</v>
      </c>
    </row>
    <row r="3722" spans="2:30" x14ac:dyDescent="0.25">
      <c r="B3722" t="s">
        <v>133</v>
      </c>
      <c r="C3722" t="s">
        <v>3263</v>
      </c>
      <c r="D3722" t="s">
        <v>6992</v>
      </c>
      <c r="E3722" t="s">
        <v>4362</v>
      </c>
      <c r="F3722" t="s">
        <v>8596</v>
      </c>
      <c r="G3722" t="s">
        <v>3890</v>
      </c>
      <c r="H3722" t="s">
        <v>4262</v>
      </c>
      <c r="J3722">
        <v>1</v>
      </c>
      <c r="K3722">
        <v>13.300765797231492</v>
      </c>
      <c r="L3722">
        <v>6.6597422204572982</v>
      </c>
      <c r="M3722">
        <v>5.9120378390671311</v>
      </c>
      <c r="N3722">
        <v>5.0316224519831581</v>
      </c>
      <c r="O3722">
        <v>5.0549587333229749</v>
      </c>
      <c r="P3722">
        <v>5.1247172516773594</v>
      </c>
      <c r="Q3722">
        <v>5.0916403838460447</v>
      </c>
      <c r="R3722">
        <v>5.056169403754172</v>
      </c>
      <c r="S3722">
        <v>5.0182062360166881</v>
      </c>
      <c r="T3722">
        <v>4.9815702339799719</v>
      </c>
      <c r="U3722">
        <v>4.9815702339799719</v>
      </c>
      <c r="V3722">
        <v>4.9815702339799728</v>
      </c>
      <c r="W3722">
        <v>4.9815702339799719</v>
      </c>
      <c r="X3722">
        <v>4.9815702339799719</v>
      </c>
      <c r="Y3722">
        <v>4.9815702339799719</v>
      </c>
      <c r="Z3722">
        <v>4.981570233979971</v>
      </c>
      <c r="AA3722">
        <v>4.9815702339799719</v>
      </c>
      <c r="AB3722">
        <v>4.9815702339799719</v>
      </c>
      <c r="AC3722">
        <v>4.9815702339799719</v>
      </c>
      <c r="AD3722">
        <v>4.981570233979971</v>
      </c>
    </row>
    <row r="3723" spans="2:30" x14ac:dyDescent="0.25">
      <c r="B3723" t="s">
        <v>133</v>
      </c>
      <c r="C3723" t="s">
        <v>3263</v>
      </c>
      <c r="D3723" t="s">
        <v>6993</v>
      </c>
      <c r="E3723" t="s">
        <v>4356</v>
      </c>
      <c r="F3723" t="s">
        <v>8594</v>
      </c>
      <c r="G3723" t="s">
        <v>3890</v>
      </c>
      <c r="H3723" t="s">
        <v>4262</v>
      </c>
      <c r="J3723">
        <v>1</v>
      </c>
      <c r="K3723">
        <v>23.399139181173656</v>
      </c>
      <c r="L3723">
        <v>15.863833497435211</v>
      </c>
      <c r="M3723">
        <v>14.743508892654766</v>
      </c>
      <c r="N3723">
        <v>13.652285126927826</v>
      </c>
      <c r="O3723">
        <v>13.68120909301847</v>
      </c>
      <c r="P3723">
        <v>13.767670727159517</v>
      </c>
      <c r="Q3723">
        <v>13.726673869536567</v>
      </c>
      <c r="R3723">
        <v>13.682709648740651</v>
      </c>
      <c r="S3723">
        <v>13.635656506025111</v>
      </c>
      <c r="T3723">
        <v>13.59024830815604</v>
      </c>
      <c r="U3723">
        <v>13.59024830815604</v>
      </c>
      <c r="V3723">
        <v>13.59024830815604</v>
      </c>
      <c r="W3723">
        <v>13.59024830815604</v>
      </c>
      <c r="X3723">
        <v>13.59024830815604</v>
      </c>
      <c r="Y3723">
        <v>13.59024830815604</v>
      </c>
      <c r="Z3723">
        <v>13.590248308156037</v>
      </c>
      <c r="AA3723">
        <v>13.59024830815604</v>
      </c>
      <c r="AB3723">
        <v>13.59024830815604</v>
      </c>
      <c r="AC3723">
        <v>13.59024830815604</v>
      </c>
      <c r="AD3723">
        <v>13.590248308156037</v>
      </c>
    </row>
    <row r="3724" spans="2:30" x14ac:dyDescent="0.25">
      <c r="B3724" t="s">
        <v>133</v>
      </c>
      <c r="C3724" t="s">
        <v>3263</v>
      </c>
      <c r="D3724" t="s">
        <v>6994</v>
      </c>
      <c r="E3724" t="s">
        <v>4350</v>
      </c>
      <c r="F3724" t="s">
        <v>8592</v>
      </c>
      <c r="G3724" t="s">
        <v>3890</v>
      </c>
      <c r="H3724" t="s">
        <v>4262</v>
      </c>
      <c r="J3724">
        <v>1</v>
      </c>
      <c r="K3724">
        <v>11.465942207767251</v>
      </c>
      <c r="L3724">
        <v>8.8301631277145294</v>
      </c>
      <c r="M3724">
        <v>7.7455649105912689</v>
      </c>
      <c r="N3724">
        <v>7.0537973643552112</v>
      </c>
      <c r="O3724">
        <v>7.072133347934721</v>
      </c>
      <c r="P3724">
        <v>7.1269446106398249</v>
      </c>
      <c r="Q3724">
        <v>7.1009551697094144</v>
      </c>
      <c r="R3724">
        <v>7.0730846063131816</v>
      </c>
      <c r="S3724">
        <v>7.0432558598164983</v>
      </c>
      <c r="T3724">
        <v>7.0144699053629092</v>
      </c>
      <c r="U3724">
        <v>7.0144699053629092</v>
      </c>
      <c r="V3724">
        <v>7.0144699053629092</v>
      </c>
      <c r="W3724">
        <v>7.0144699053629092</v>
      </c>
      <c r="X3724">
        <v>7.0144699053629092</v>
      </c>
      <c r="Y3724">
        <v>7.0144699053629092</v>
      </c>
      <c r="Z3724">
        <v>7.0144699053629083</v>
      </c>
      <c r="AA3724">
        <v>7.0144699053629092</v>
      </c>
      <c r="AB3724">
        <v>7.0144699053629092</v>
      </c>
      <c r="AC3724">
        <v>7.0144699053629092</v>
      </c>
      <c r="AD3724">
        <v>7.0144699053629083</v>
      </c>
    </row>
    <row r="3725" spans="2:30" x14ac:dyDescent="0.25">
      <c r="B3725" t="s">
        <v>133</v>
      </c>
      <c r="C3725" t="s">
        <v>3263</v>
      </c>
      <c r="D3725" t="s">
        <v>6995</v>
      </c>
      <c r="E3725" t="s">
        <v>4365</v>
      </c>
      <c r="F3725" t="s">
        <v>8597</v>
      </c>
      <c r="G3725" t="s">
        <v>3890</v>
      </c>
      <c r="H3725" t="s">
        <v>4262</v>
      </c>
      <c r="J3725">
        <v>1</v>
      </c>
      <c r="K3725">
        <v>2.7840662767025575</v>
      </c>
      <c r="L3725">
        <v>2.6136758812745531</v>
      </c>
      <c r="M3725">
        <v>2.6543194100780321</v>
      </c>
      <c r="N3725">
        <v>2.6543194100780321</v>
      </c>
      <c r="O3725">
        <v>2.6543194100780321</v>
      </c>
      <c r="P3725">
        <v>2.6543194100780321</v>
      </c>
      <c r="Q3725">
        <v>2.6543194100780321</v>
      </c>
      <c r="R3725">
        <v>2.6543194100780321</v>
      </c>
      <c r="S3725">
        <v>2.6543194100780321</v>
      </c>
      <c r="T3725">
        <v>2.6543194100780321</v>
      </c>
      <c r="U3725">
        <v>2.6543194100780321</v>
      </c>
      <c r="V3725">
        <v>2.6543194100780321</v>
      </c>
      <c r="W3725">
        <v>2.6543194100780321</v>
      </c>
      <c r="X3725">
        <v>2.6543194100780321</v>
      </c>
      <c r="Y3725">
        <v>2.6543194100780321</v>
      </c>
      <c r="Z3725">
        <v>2.6543194100780321</v>
      </c>
      <c r="AA3725">
        <v>2.6543194100780321</v>
      </c>
      <c r="AB3725">
        <v>2.6543194100780321</v>
      </c>
      <c r="AC3725">
        <v>2.6543194100780321</v>
      </c>
      <c r="AD3725">
        <v>2.6543194100780321</v>
      </c>
    </row>
    <row r="3726" spans="2:30" x14ac:dyDescent="0.25">
      <c r="B3726" t="s">
        <v>133</v>
      </c>
      <c r="C3726" t="s">
        <v>3263</v>
      </c>
      <c r="D3726" t="s">
        <v>6996</v>
      </c>
      <c r="E3726" t="s">
        <v>4359</v>
      </c>
      <c r="F3726" t="s">
        <v>8595</v>
      </c>
      <c r="G3726" t="s">
        <v>3890</v>
      </c>
      <c r="H3726" t="s">
        <v>4262</v>
      </c>
      <c r="J3726">
        <v>1</v>
      </c>
      <c r="K3726">
        <v>4.6336684948303901</v>
      </c>
      <c r="L3726">
        <v>3.2086856370367216</v>
      </c>
      <c r="M3726">
        <v>2.3308805686582157</v>
      </c>
      <c r="N3726">
        <v>2.3308805686582161</v>
      </c>
      <c r="O3726">
        <v>2.3308805686582161</v>
      </c>
      <c r="P3726">
        <v>2.3308805686582161</v>
      </c>
      <c r="Q3726">
        <v>2.3308805686582161</v>
      </c>
      <c r="R3726">
        <v>2.3308805686582161</v>
      </c>
      <c r="S3726">
        <v>2.3308805686582161</v>
      </c>
      <c r="T3726">
        <v>2.3308805686582161</v>
      </c>
      <c r="U3726">
        <v>2.3308805686582161</v>
      </c>
      <c r="V3726">
        <v>2.3308805686582161</v>
      </c>
      <c r="W3726">
        <v>2.3308805686582161</v>
      </c>
      <c r="X3726">
        <v>2.3308805686582161</v>
      </c>
      <c r="Y3726">
        <v>2.3308805686582161</v>
      </c>
      <c r="Z3726">
        <v>2.3308805686582161</v>
      </c>
      <c r="AA3726">
        <v>2.3308805686582161</v>
      </c>
      <c r="AB3726">
        <v>2.3308805686582161</v>
      </c>
      <c r="AC3726">
        <v>2.3308805686582161</v>
      </c>
      <c r="AD3726">
        <v>2.3308805686582161</v>
      </c>
    </row>
    <row r="3727" spans="2:30" x14ac:dyDescent="0.25">
      <c r="B3727" t="s">
        <v>133</v>
      </c>
      <c r="C3727" t="s">
        <v>3263</v>
      </c>
      <c r="D3727" t="s">
        <v>6997</v>
      </c>
      <c r="E3727" t="s">
        <v>4353</v>
      </c>
      <c r="F3727" t="s">
        <v>8593</v>
      </c>
      <c r="G3727" t="s">
        <v>3890</v>
      </c>
      <c r="H3727" t="s">
        <v>4262</v>
      </c>
      <c r="J3727">
        <v>1</v>
      </c>
      <c r="K3727">
        <v>5.3362217651456945</v>
      </c>
      <c r="L3727">
        <v>5.0100913196194341</v>
      </c>
      <c r="M3727">
        <v>5.0870036796421569</v>
      </c>
      <c r="N3727">
        <v>5.0870036796421569</v>
      </c>
      <c r="O3727">
        <v>5.0870036796421569</v>
      </c>
      <c r="P3727">
        <v>5.0870036796421569</v>
      </c>
      <c r="Q3727">
        <v>5.0870036796421569</v>
      </c>
      <c r="R3727">
        <v>5.0870036796421569</v>
      </c>
      <c r="S3727">
        <v>5.0870036796421569</v>
      </c>
      <c r="T3727">
        <v>5.0870036796421569</v>
      </c>
      <c r="U3727">
        <v>5.0870036796421569</v>
      </c>
      <c r="V3727">
        <v>5.0870036796421569</v>
      </c>
      <c r="W3727">
        <v>5.0870036796421569</v>
      </c>
      <c r="X3727">
        <v>5.0870036796421569</v>
      </c>
      <c r="Y3727">
        <v>5.0870036796421569</v>
      </c>
      <c r="Z3727">
        <v>5.0870036796421569</v>
      </c>
      <c r="AA3727">
        <v>5.0870036796421569</v>
      </c>
      <c r="AB3727">
        <v>5.0870036796421569</v>
      </c>
      <c r="AC3727">
        <v>5.0870036796421569</v>
      </c>
      <c r="AD3727">
        <v>5.0870036796421569</v>
      </c>
    </row>
    <row r="3728" spans="2:30" x14ac:dyDescent="0.25">
      <c r="B3728" t="s">
        <v>133</v>
      </c>
      <c r="C3728" t="s">
        <v>3263</v>
      </c>
      <c r="D3728" t="s">
        <v>6998</v>
      </c>
      <c r="E3728" t="s">
        <v>6999</v>
      </c>
      <c r="F3728" t="s">
        <v>9404</v>
      </c>
      <c r="G3728" t="s">
        <v>3890</v>
      </c>
      <c r="H3728" t="s">
        <v>4262</v>
      </c>
      <c r="J3728">
        <v>1</v>
      </c>
      <c r="K3728">
        <v>0.41380160258053544</v>
      </c>
      <c r="L3728">
        <v>0.28058258207500419</v>
      </c>
      <c r="M3728">
        <v>0.24920697617592391</v>
      </c>
      <c r="N3728">
        <v>0.24920697617592391</v>
      </c>
      <c r="O3728">
        <v>0.24920697617592391</v>
      </c>
      <c r="P3728">
        <v>0.24920697617592391</v>
      </c>
      <c r="Q3728">
        <v>0.24920697617592391</v>
      </c>
      <c r="R3728">
        <v>0.24920697617592391</v>
      </c>
      <c r="S3728">
        <v>0.24920697617592391</v>
      </c>
      <c r="T3728">
        <v>0.24920697617592391</v>
      </c>
      <c r="U3728">
        <v>0.24920697617592391</v>
      </c>
      <c r="V3728">
        <v>0.24920697617592391</v>
      </c>
      <c r="W3728">
        <v>0.24920697617592391</v>
      </c>
      <c r="X3728">
        <v>0.24920697617592391</v>
      </c>
      <c r="Y3728">
        <v>0.24920697617592391</v>
      </c>
      <c r="Z3728">
        <v>0.24920697617592391</v>
      </c>
      <c r="AA3728">
        <v>0.24920697617592391</v>
      </c>
      <c r="AB3728">
        <v>0.24920697617592391</v>
      </c>
      <c r="AC3728">
        <v>0.24920697617592391</v>
      </c>
      <c r="AD3728">
        <v>0.24920697617592391</v>
      </c>
    </row>
    <row r="3729" spans="2:30" x14ac:dyDescent="0.25">
      <c r="B3729" t="s">
        <v>133</v>
      </c>
      <c r="C3729" t="s">
        <v>3263</v>
      </c>
      <c r="D3729" t="s">
        <v>7001</v>
      </c>
      <c r="E3729" t="s">
        <v>7002</v>
      </c>
      <c r="F3729" t="s">
        <v>9405</v>
      </c>
      <c r="G3729" t="s">
        <v>3890</v>
      </c>
      <c r="H3729" t="s">
        <v>4262</v>
      </c>
      <c r="J3729">
        <v>1</v>
      </c>
      <c r="K3729">
        <v>0.17506990878407264</v>
      </c>
      <c r="L3729">
        <v>0.10153377483648018</v>
      </c>
      <c r="M3729">
        <v>8.8017783074900768E-2</v>
      </c>
      <c r="N3729">
        <v>8.8017783074900768E-2</v>
      </c>
      <c r="O3729">
        <v>8.8017783074900768E-2</v>
      </c>
      <c r="P3729">
        <v>8.8017783074900768E-2</v>
      </c>
      <c r="Q3729">
        <v>8.8017783074900768E-2</v>
      </c>
      <c r="R3729">
        <v>8.8017783074900768E-2</v>
      </c>
      <c r="S3729">
        <v>8.8017783074900768E-2</v>
      </c>
      <c r="T3729">
        <v>8.8017783074900768E-2</v>
      </c>
      <c r="U3729">
        <v>8.8017783074900768E-2</v>
      </c>
      <c r="V3729">
        <v>8.8017783074900768E-2</v>
      </c>
      <c r="W3729">
        <v>8.8017783074900768E-2</v>
      </c>
      <c r="X3729">
        <v>8.8017783074900768E-2</v>
      </c>
      <c r="Y3729">
        <v>8.8017783074900768E-2</v>
      </c>
      <c r="Z3729">
        <v>8.8017783074900768E-2</v>
      </c>
      <c r="AA3729">
        <v>8.8017783074900768E-2</v>
      </c>
      <c r="AB3729">
        <v>8.8017783074900768E-2</v>
      </c>
      <c r="AC3729">
        <v>8.8017783074900768E-2</v>
      </c>
      <c r="AD3729">
        <v>8.8017783074900768E-2</v>
      </c>
    </row>
    <row r="3730" spans="2:30" x14ac:dyDescent="0.25">
      <c r="B3730" t="s">
        <v>133</v>
      </c>
      <c r="C3730" t="s">
        <v>3263</v>
      </c>
      <c r="D3730" t="s">
        <v>7004</v>
      </c>
      <c r="E3730" t="s">
        <v>7005</v>
      </c>
      <c r="F3730" t="s">
        <v>9406</v>
      </c>
      <c r="G3730" t="s">
        <v>3890</v>
      </c>
      <c r="H3730" t="s">
        <v>4262</v>
      </c>
      <c r="J3730">
        <v>1</v>
      </c>
      <c r="K3730">
        <v>0.41380160258053539</v>
      </c>
      <c r="L3730">
        <v>0.25874736168006218</v>
      </c>
      <c r="M3730">
        <v>0.24390470008707449</v>
      </c>
      <c r="N3730">
        <v>0.24390470008707449</v>
      </c>
      <c r="O3730">
        <v>0.24390470008707449</v>
      </c>
      <c r="P3730">
        <v>0.24390470008707449</v>
      </c>
      <c r="Q3730">
        <v>0.24390470008707449</v>
      </c>
      <c r="R3730">
        <v>0.24390470008707449</v>
      </c>
      <c r="S3730">
        <v>0.24390470008707449</v>
      </c>
      <c r="T3730">
        <v>0.24390470008707449</v>
      </c>
      <c r="U3730">
        <v>0.24390470008707449</v>
      </c>
      <c r="V3730">
        <v>0.24390470008707449</v>
      </c>
      <c r="W3730">
        <v>0.24390470008707449</v>
      </c>
      <c r="X3730">
        <v>0.24390470008707449</v>
      </c>
      <c r="Y3730">
        <v>0.24390470008707449</v>
      </c>
      <c r="Z3730">
        <v>0.24390470008707449</v>
      </c>
      <c r="AA3730">
        <v>0.24390470008707449</v>
      </c>
      <c r="AB3730">
        <v>0.24390470008707449</v>
      </c>
      <c r="AC3730">
        <v>0.24390470008707449</v>
      </c>
      <c r="AD3730">
        <v>0.24390470008707449</v>
      </c>
    </row>
    <row r="3731" spans="2:30" x14ac:dyDescent="0.25">
      <c r="B3731" t="s">
        <v>133</v>
      </c>
      <c r="C3731" t="s">
        <v>3263</v>
      </c>
      <c r="D3731" t="s">
        <v>7007</v>
      </c>
      <c r="E3731" t="s">
        <v>7008</v>
      </c>
      <c r="F3731" t="s">
        <v>9407</v>
      </c>
      <c r="G3731" t="s">
        <v>3890</v>
      </c>
      <c r="H3731" t="s">
        <v>4262</v>
      </c>
      <c r="J3731">
        <v>1</v>
      </c>
      <c r="K3731">
        <v>33.050697779735998</v>
      </c>
      <c r="L3731">
        <v>26.300522965707586</v>
      </c>
      <c r="M3731">
        <v>23.176248784360922</v>
      </c>
      <c r="N3731">
        <v>15</v>
      </c>
      <c r="O3731">
        <v>15</v>
      </c>
      <c r="P3731">
        <v>15</v>
      </c>
      <c r="Q3731">
        <v>15</v>
      </c>
      <c r="R3731">
        <v>15</v>
      </c>
      <c r="S3731">
        <v>15</v>
      </c>
      <c r="T3731">
        <v>15</v>
      </c>
      <c r="U3731">
        <v>15</v>
      </c>
      <c r="V3731">
        <v>15</v>
      </c>
      <c r="W3731">
        <v>15</v>
      </c>
      <c r="X3731">
        <v>15</v>
      </c>
      <c r="Y3731">
        <v>15</v>
      </c>
      <c r="Z3731">
        <v>15</v>
      </c>
      <c r="AA3731">
        <v>15</v>
      </c>
      <c r="AB3731">
        <v>15</v>
      </c>
      <c r="AC3731">
        <v>15</v>
      </c>
      <c r="AD3731">
        <v>15</v>
      </c>
    </row>
    <row r="3732" spans="2:30" x14ac:dyDescent="0.25">
      <c r="B3732" t="s">
        <v>133</v>
      </c>
      <c r="C3732" t="s">
        <v>3263</v>
      </c>
      <c r="D3732" t="s">
        <v>7010</v>
      </c>
      <c r="E3732" t="s">
        <v>7011</v>
      </c>
      <c r="F3732" t="s">
        <v>9408</v>
      </c>
      <c r="G3732" t="s">
        <v>3890</v>
      </c>
      <c r="H3732" t="s">
        <v>7013</v>
      </c>
      <c r="J3732">
        <v>1</v>
      </c>
      <c r="K3732">
        <v>0.61781329947639674</v>
      </c>
      <c r="L3732">
        <v>0.6195087385311161</v>
      </c>
      <c r="M3732">
        <v>0.61795996668478836</v>
      </c>
      <c r="N3732">
        <v>0.61641506676807645</v>
      </c>
      <c r="O3732">
        <v>0.61487402910115629</v>
      </c>
      <c r="P3732">
        <v>0.61333684402840338</v>
      </c>
      <c r="Q3732">
        <v>0.61180350191833244</v>
      </c>
      <c r="R3732">
        <v>0.61027399316353659</v>
      </c>
      <c r="S3732">
        <v>0.60874830818062775</v>
      </c>
      <c r="T3732">
        <v>0.60722643741017623</v>
      </c>
      <c r="U3732">
        <v>0.60570837131665078</v>
      </c>
      <c r="V3732">
        <v>0.60419410038835919</v>
      </c>
      <c r="W3732">
        <v>0.60268361513738833</v>
      </c>
      <c r="X3732">
        <v>0.60117690609954488</v>
      </c>
      <c r="Y3732">
        <v>0.59967396383429605</v>
      </c>
      <c r="Z3732">
        <v>0.59817477892471038</v>
      </c>
      <c r="AA3732">
        <v>0.59667934197739869</v>
      </c>
      <c r="AB3732">
        <v>0.59518764362245524</v>
      </c>
      <c r="AC3732">
        <v>0.59369967451339911</v>
      </c>
      <c r="AD3732">
        <v>0.59221542532711569</v>
      </c>
    </row>
    <row r="3733" spans="2:30" x14ac:dyDescent="0.25">
      <c r="B3733" t="s">
        <v>133</v>
      </c>
      <c r="C3733" t="s">
        <v>3263</v>
      </c>
      <c r="D3733" t="s">
        <v>7014</v>
      </c>
      <c r="E3733" t="s">
        <v>7015</v>
      </c>
      <c r="F3733" t="s">
        <v>9409</v>
      </c>
      <c r="G3733" t="s">
        <v>3890</v>
      </c>
      <c r="H3733" t="s">
        <v>7013</v>
      </c>
      <c r="J3733">
        <v>2</v>
      </c>
      <c r="K3733">
        <v>0.61781329947639674</v>
      </c>
      <c r="L3733">
        <v>0.6195087385311161</v>
      </c>
      <c r="M3733">
        <v>0.61795996668478836</v>
      </c>
      <c r="N3733">
        <v>0.61641506676807645</v>
      </c>
      <c r="O3733">
        <v>0.61487402910115629</v>
      </c>
      <c r="P3733">
        <v>0.61333684402840338</v>
      </c>
      <c r="Q3733">
        <v>0.61180350191833244</v>
      </c>
      <c r="R3733">
        <v>0.61027399316353659</v>
      </c>
      <c r="S3733">
        <v>0.60874830818062775</v>
      </c>
      <c r="T3733">
        <v>0.60722643741017623</v>
      </c>
      <c r="U3733">
        <v>0.60570837131665078</v>
      </c>
      <c r="V3733">
        <v>0.60419410038835919</v>
      </c>
      <c r="W3733">
        <v>0.60268361513738833</v>
      </c>
      <c r="X3733">
        <v>0.60117690609954488</v>
      </c>
      <c r="Y3733">
        <v>0.59967396383429605</v>
      </c>
      <c r="Z3733">
        <v>0.59817477892471038</v>
      </c>
      <c r="AA3733">
        <v>0.59667934197739869</v>
      </c>
      <c r="AB3733">
        <v>0.59518764362245524</v>
      </c>
      <c r="AC3733">
        <v>0.59369967451339911</v>
      </c>
      <c r="AD3733">
        <v>0.59221542532711569</v>
      </c>
    </row>
    <row r="3734" spans="2:30" x14ac:dyDescent="0.25">
      <c r="B3734" t="s">
        <v>133</v>
      </c>
      <c r="C3734" t="s">
        <v>3263</v>
      </c>
      <c r="D3734" t="s">
        <v>7017</v>
      </c>
      <c r="E3734" t="s">
        <v>7018</v>
      </c>
      <c r="F3734" t="s">
        <v>9410</v>
      </c>
      <c r="G3734" t="s">
        <v>3890</v>
      </c>
      <c r="H3734" t="s">
        <v>7013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</row>
    <row r="3735" spans="2:30" x14ac:dyDescent="0.25">
      <c r="B3735" t="s">
        <v>133</v>
      </c>
      <c r="C3735" t="s">
        <v>3263</v>
      </c>
      <c r="D3735" t="s">
        <v>7020</v>
      </c>
      <c r="E3735" t="s">
        <v>7021</v>
      </c>
      <c r="F3735" t="s">
        <v>9411</v>
      </c>
      <c r="G3735" t="s">
        <v>3890</v>
      </c>
      <c r="H3735" t="s">
        <v>7013</v>
      </c>
      <c r="J3735">
        <v>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</row>
    <row r="3736" spans="2:30" x14ac:dyDescent="0.25">
      <c r="B3736" t="s">
        <v>133</v>
      </c>
      <c r="C3736" t="s">
        <v>3263</v>
      </c>
      <c r="D3736" t="s">
        <v>7023</v>
      </c>
      <c r="E3736" t="s">
        <v>4116</v>
      </c>
      <c r="F3736" t="s">
        <v>8521</v>
      </c>
      <c r="G3736" t="s">
        <v>3890</v>
      </c>
      <c r="H3736" t="s">
        <v>7013</v>
      </c>
      <c r="J3736">
        <v>1</v>
      </c>
      <c r="K3736">
        <v>1.9183594836308</v>
      </c>
      <c r="L3736">
        <v>1.9236239568823399</v>
      </c>
      <c r="M3736">
        <v>1.9495786224001388</v>
      </c>
      <c r="N3736">
        <v>1.9528324758330775</v>
      </c>
      <c r="O3736">
        <v>1.9534450933804692</v>
      </c>
      <c r="P3736">
        <v>1.9551539131253526</v>
      </c>
      <c r="Q3736">
        <v>1.9589917133836747</v>
      </c>
      <c r="R3736">
        <v>1.9630166950625969</v>
      </c>
      <c r="S3736">
        <v>1.9667559743802079</v>
      </c>
      <c r="T3736">
        <v>1.9705482294793291</v>
      </c>
      <c r="U3736">
        <v>1.9602591945498284</v>
      </c>
      <c r="V3736">
        <v>1.950282685511969</v>
      </c>
      <c r="W3736">
        <v>1.9406091533185987</v>
      </c>
      <c r="X3736">
        <v>1.9313136477730053</v>
      </c>
      <c r="Y3736">
        <v>1.9224019024004297</v>
      </c>
      <c r="Z3736">
        <v>1.9126501266081062</v>
      </c>
      <c r="AA3736">
        <v>1.9034360265766122</v>
      </c>
      <c r="AB3736">
        <v>1.8948533497241411</v>
      </c>
      <c r="AC3736">
        <v>1.887011421656992</v>
      </c>
      <c r="AD3736">
        <v>1.8792374416312119</v>
      </c>
    </row>
    <row r="3737" spans="2:30" x14ac:dyDescent="0.25">
      <c r="B3737" t="s">
        <v>133</v>
      </c>
      <c r="C3737" t="s">
        <v>3263</v>
      </c>
      <c r="D3737" t="s">
        <v>7024</v>
      </c>
      <c r="E3737" t="s">
        <v>4122</v>
      </c>
      <c r="F3737" t="s">
        <v>8523</v>
      </c>
      <c r="G3737" t="s">
        <v>3890</v>
      </c>
      <c r="H3737" t="s">
        <v>7013</v>
      </c>
      <c r="J3737">
        <v>1</v>
      </c>
      <c r="K3737">
        <v>15.788350712964199</v>
      </c>
      <c r="L3737">
        <v>17.709445005999601</v>
      </c>
      <c r="M3737">
        <v>18.013645438268195</v>
      </c>
      <c r="N3737">
        <v>18.257946899703906</v>
      </c>
      <c r="O3737">
        <v>18.54387298167482</v>
      </c>
      <c r="P3737">
        <v>18.938934819449567</v>
      </c>
      <c r="Q3737">
        <v>19.358782038364822</v>
      </c>
      <c r="R3737">
        <v>19.807872441783321</v>
      </c>
      <c r="S3737">
        <v>20.258477071761995</v>
      </c>
      <c r="T3737">
        <v>20.860030119397162</v>
      </c>
      <c r="U3737">
        <v>21.634014903127714</v>
      </c>
      <c r="V3737">
        <v>22.435010302638723</v>
      </c>
      <c r="W3737">
        <v>23.263891338460716</v>
      </c>
      <c r="X3737">
        <v>24.121558811041407</v>
      </c>
      <c r="Y3737">
        <v>25.008939966964491</v>
      </c>
      <c r="Z3737">
        <v>25.926989179128281</v>
      </c>
      <c r="AA3737">
        <v>26.876688641065538</v>
      </c>
      <c r="AB3737">
        <v>27.859049075584327</v>
      </c>
      <c r="AC3737">
        <v>28.875110457908111</v>
      </c>
      <c r="AD3737">
        <v>29.92594275349088</v>
      </c>
    </row>
    <row r="3738" spans="2:30" x14ac:dyDescent="0.25">
      <c r="B3738" t="s">
        <v>133</v>
      </c>
      <c r="C3738" t="s">
        <v>3263</v>
      </c>
      <c r="D3738" t="s">
        <v>7025</v>
      </c>
      <c r="E3738" t="s">
        <v>4128</v>
      </c>
      <c r="F3738" t="s">
        <v>8525</v>
      </c>
      <c r="G3738" t="s">
        <v>3890</v>
      </c>
      <c r="H3738" t="s">
        <v>7013</v>
      </c>
      <c r="J3738">
        <v>1</v>
      </c>
      <c r="K3738">
        <v>35.126042972388703</v>
      </c>
      <c r="L3738">
        <v>35.772328129626999</v>
      </c>
      <c r="M3738">
        <v>36.324796517729354</v>
      </c>
      <c r="N3738">
        <v>36.808206357318902</v>
      </c>
      <c r="O3738">
        <v>37.257086922652057</v>
      </c>
      <c r="P3738">
        <v>38.002228661105107</v>
      </c>
      <c r="Q3738">
        <v>38.762273234327196</v>
      </c>
      <c r="R3738">
        <v>39.537518629955187</v>
      </c>
      <c r="S3738">
        <v>40.32826905089528</v>
      </c>
      <c r="T3738">
        <v>41.538117156951415</v>
      </c>
      <c r="U3738">
        <v>43.199641663677241</v>
      </c>
      <c r="V3738">
        <v>44.927627143490007</v>
      </c>
      <c r="W3738">
        <v>46.724732035025916</v>
      </c>
      <c r="X3738">
        <v>48.593721114455107</v>
      </c>
      <c r="Y3738">
        <v>50.537469748982602</v>
      </c>
      <c r="Z3738">
        <v>52.558968320489171</v>
      </c>
      <c r="AA3738">
        <v>54.661326826117879</v>
      </c>
      <c r="AB3738">
        <v>56.847779662884115</v>
      </c>
      <c r="AC3738">
        <v>59.121690603669862</v>
      </c>
      <c r="AD3738">
        <v>61.486557972257835</v>
      </c>
    </row>
    <row r="3739" spans="2:30" x14ac:dyDescent="0.25">
      <c r="B3739" t="s">
        <v>133</v>
      </c>
      <c r="C3739" t="s">
        <v>3263</v>
      </c>
      <c r="D3739" t="s">
        <v>7026</v>
      </c>
      <c r="E3739" t="s">
        <v>4131</v>
      </c>
      <c r="F3739" t="s">
        <v>8526</v>
      </c>
      <c r="G3739" t="s">
        <v>3890</v>
      </c>
      <c r="H3739" t="s">
        <v>7013</v>
      </c>
      <c r="J3739">
        <v>1</v>
      </c>
      <c r="K3739">
        <v>8.9167735999999997E-2</v>
      </c>
      <c r="L3739">
        <v>0.106864256591645</v>
      </c>
      <c r="M3739">
        <v>0.10843425056703646</v>
      </c>
      <c r="N3739">
        <v>0.11010891080745402</v>
      </c>
      <c r="O3739">
        <v>0.11157423851781936</v>
      </c>
      <c r="P3739">
        <v>0.11293489996315863</v>
      </c>
      <c r="Q3739">
        <v>0.1151935979624218</v>
      </c>
      <c r="R3739">
        <v>0.11749746992167022</v>
      </c>
      <c r="S3739">
        <v>0.1198474191107711</v>
      </c>
      <c r="T3739">
        <v>0.12224436763951929</v>
      </c>
      <c r="U3739">
        <v>0.12591169877337113</v>
      </c>
      <c r="V3739">
        <v>0.13094816618004138</v>
      </c>
      <c r="W3739">
        <v>0.13618609226120784</v>
      </c>
      <c r="X3739">
        <v>0.14163353536297957</v>
      </c>
      <c r="Y3739">
        <v>0.14729887616527509</v>
      </c>
      <c r="Z3739">
        <v>0.15319083057517352</v>
      </c>
      <c r="AA3739">
        <v>0.15931846313599937</v>
      </c>
      <c r="AB3739">
        <v>0.16569120097277101</v>
      </c>
      <c r="AC3739">
        <v>0.17231884829546679</v>
      </c>
      <c r="AD3739">
        <v>0.1792116014824218</v>
      </c>
    </row>
    <row r="3740" spans="2:30" x14ac:dyDescent="0.25">
      <c r="B3740" t="s">
        <v>133</v>
      </c>
      <c r="C3740" t="s">
        <v>3263</v>
      </c>
      <c r="D3740" t="s">
        <v>7027</v>
      </c>
      <c r="E3740" t="s">
        <v>4110</v>
      </c>
      <c r="F3740" t="s">
        <v>8519</v>
      </c>
      <c r="G3740" t="s">
        <v>3890</v>
      </c>
      <c r="H3740" t="s">
        <v>7013</v>
      </c>
      <c r="J3740">
        <v>1</v>
      </c>
      <c r="K3740">
        <v>53.087639112183702</v>
      </c>
      <c r="L3740">
        <v>55.678150773981152</v>
      </c>
      <c r="M3740">
        <v>56.591949464302623</v>
      </c>
      <c r="N3740">
        <v>57.340453153368216</v>
      </c>
      <c r="O3740">
        <v>58.083369000928201</v>
      </c>
      <c r="P3740">
        <v>59.233699190437143</v>
      </c>
      <c r="Q3740">
        <v>60.428256184953092</v>
      </c>
      <c r="R3740">
        <v>61.667203421556167</v>
      </c>
      <c r="S3740">
        <v>62.922470538923662</v>
      </c>
      <c r="T3740">
        <v>64.748000314064839</v>
      </c>
      <c r="U3740">
        <v>67.184910935311578</v>
      </c>
      <c r="V3740">
        <v>69.717117766655775</v>
      </c>
      <c r="W3740">
        <v>72.346976143125957</v>
      </c>
      <c r="X3740">
        <v>75.078233759580968</v>
      </c>
      <c r="Y3740">
        <v>77.914706259845602</v>
      </c>
      <c r="Z3740">
        <v>80.859122143440842</v>
      </c>
      <c r="AA3740">
        <v>83.916959092338857</v>
      </c>
      <c r="AB3740">
        <v>87.09256401985111</v>
      </c>
      <c r="AC3740">
        <v>90.390458318112564</v>
      </c>
      <c r="AD3740">
        <v>93.814546078030361</v>
      </c>
    </row>
    <row r="3741" spans="2:30" x14ac:dyDescent="0.25">
      <c r="B3741" t="s">
        <v>133</v>
      </c>
      <c r="C3741" t="s">
        <v>3263</v>
      </c>
      <c r="D3741" t="s">
        <v>7028</v>
      </c>
      <c r="E3741" t="s">
        <v>4113</v>
      </c>
      <c r="F3741" t="s">
        <v>8520</v>
      </c>
      <c r="G3741" t="s">
        <v>3890</v>
      </c>
      <c r="H3741" t="s">
        <v>7013</v>
      </c>
      <c r="J3741">
        <v>1</v>
      </c>
      <c r="K3741">
        <v>53.087639112183702</v>
      </c>
      <c r="L3741">
        <v>55.678150773981152</v>
      </c>
      <c r="M3741">
        <v>56.591949464302623</v>
      </c>
      <c r="N3741">
        <v>57.340453153368216</v>
      </c>
      <c r="O3741">
        <v>58.083369000928201</v>
      </c>
      <c r="P3741">
        <v>59.233699190437143</v>
      </c>
      <c r="Q3741">
        <v>60.428256184953092</v>
      </c>
      <c r="R3741">
        <v>61.667203421556167</v>
      </c>
      <c r="S3741">
        <v>62.922470538923662</v>
      </c>
      <c r="T3741">
        <v>64.748000314064839</v>
      </c>
      <c r="U3741">
        <v>67.184910935311578</v>
      </c>
      <c r="V3741">
        <v>69.717117766655775</v>
      </c>
      <c r="W3741">
        <v>72.346976143125957</v>
      </c>
      <c r="X3741">
        <v>75.078233759580968</v>
      </c>
      <c r="Y3741">
        <v>77.914706259845602</v>
      </c>
      <c r="Z3741">
        <v>80.859122143440842</v>
      </c>
      <c r="AA3741">
        <v>83.916959092338857</v>
      </c>
      <c r="AB3741">
        <v>87.09256401985111</v>
      </c>
      <c r="AC3741">
        <v>90.390458318112564</v>
      </c>
      <c r="AD3741">
        <v>93.814546078030361</v>
      </c>
    </row>
    <row r="3742" spans="2:30" x14ac:dyDescent="0.25">
      <c r="B3742" t="s">
        <v>133</v>
      </c>
      <c r="C3742" t="s">
        <v>3263</v>
      </c>
      <c r="D3742" t="s">
        <v>7029</v>
      </c>
      <c r="E3742" t="s">
        <v>4143</v>
      </c>
      <c r="F3742" t="s">
        <v>8530</v>
      </c>
      <c r="G3742" t="s">
        <v>3890</v>
      </c>
      <c r="H3742" t="s">
        <v>7013</v>
      </c>
      <c r="J3742">
        <v>2</v>
      </c>
      <c r="K3742">
        <v>1.9183594836308</v>
      </c>
      <c r="L3742">
        <v>1.9236239568823399</v>
      </c>
      <c r="M3742">
        <v>1.9495790807199709</v>
      </c>
      <c r="N3742">
        <v>1.952832904753073</v>
      </c>
      <c r="O3742">
        <v>1.9522362609792654</v>
      </c>
      <c r="P3742">
        <v>1.9530384538055252</v>
      </c>
      <c r="Q3742">
        <v>1.9564874176580185</v>
      </c>
      <c r="R3742">
        <v>1.9599334596972866</v>
      </c>
      <c r="S3742">
        <v>1.9631977829479936</v>
      </c>
      <c r="T3742">
        <v>1.9664509681877322</v>
      </c>
      <c r="U3742">
        <v>1.9556016096844635</v>
      </c>
      <c r="V3742">
        <v>1.9450810703490646</v>
      </c>
      <c r="W3742">
        <v>1.9349010489429206</v>
      </c>
      <c r="X3742">
        <v>1.9251431087018676</v>
      </c>
      <c r="Y3742">
        <v>1.9158062024990445</v>
      </c>
      <c r="Z3742">
        <v>1.9056845549366794</v>
      </c>
      <c r="AA3742">
        <v>1.8961481008972896</v>
      </c>
      <c r="AB3742">
        <v>1.8873623684199758</v>
      </c>
      <c r="AC3742">
        <v>1.8790724096084768</v>
      </c>
      <c r="AD3742">
        <v>1.8708554881221144</v>
      </c>
    </row>
    <row r="3743" spans="2:30" x14ac:dyDescent="0.25">
      <c r="B3743" t="s">
        <v>133</v>
      </c>
      <c r="C3743" t="s">
        <v>3263</v>
      </c>
      <c r="D3743" t="s">
        <v>7030</v>
      </c>
      <c r="E3743" t="s">
        <v>4148</v>
      </c>
      <c r="F3743" t="s">
        <v>8532</v>
      </c>
      <c r="G3743" t="s">
        <v>3890</v>
      </c>
      <c r="H3743" t="s">
        <v>7013</v>
      </c>
      <c r="J3743">
        <v>2</v>
      </c>
      <c r="K3743">
        <v>15.788350712964199</v>
      </c>
      <c r="L3743">
        <v>17.709445005999601</v>
      </c>
      <c r="M3743">
        <v>18.013645438268195</v>
      </c>
      <c r="N3743">
        <v>18.257946899703906</v>
      </c>
      <c r="O3743">
        <v>18.54387298167482</v>
      </c>
      <c r="P3743">
        <v>18.938934845315096</v>
      </c>
      <c r="Q3743">
        <v>19.359068843539525</v>
      </c>
      <c r="R3743">
        <v>19.807494803728844</v>
      </c>
      <c r="S3743">
        <v>20.258316838755324</v>
      </c>
      <c r="T3743">
        <v>20.859449875966938</v>
      </c>
      <c r="U3743">
        <v>21.633746715575519</v>
      </c>
      <c r="V3743">
        <v>22.435223516316722</v>
      </c>
      <c r="W3743">
        <v>23.26464341870313</v>
      </c>
      <c r="X3743">
        <v>24.123163550557802</v>
      </c>
      <c r="Y3743">
        <v>25.012032133075472</v>
      </c>
      <c r="Z3743">
        <v>25.931502780379294</v>
      </c>
      <c r="AA3743">
        <v>26.882914523329713</v>
      </c>
      <c r="AB3743">
        <v>27.866906628832318</v>
      </c>
      <c r="AC3743">
        <v>28.884821223902787</v>
      </c>
      <c r="AD3743">
        <v>29.93769944712</v>
      </c>
    </row>
    <row r="3744" spans="2:30" x14ac:dyDescent="0.25">
      <c r="B3744" t="s">
        <v>133</v>
      </c>
      <c r="C3744" t="s">
        <v>3263</v>
      </c>
      <c r="D3744" t="s">
        <v>7031</v>
      </c>
      <c r="E3744" t="s">
        <v>4154</v>
      </c>
      <c r="F3744" t="s">
        <v>8534</v>
      </c>
      <c r="G3744" t="s">
        <v>3890</v>
      </c>
      <c r="H3744" t="s">
        <v>7013</v>
      </c>
      <c r="J3744">
        <v>2</v>
      </c>
      <c r="K3744">
        <v>35.126042972388703</v>
      </c>
      <c r="L3744">
        <v>35.772328129626999</v>
      </c>
      <c r="M3744">
        <v>36.324796517729354</v>
      </c>
      <c r="N3744">
        <v>36.808206357318902</v>
      </c>
      <c r="O3744">
        <v>37.257086922652057</v>
      </c>
      <c r="P3744">
        <v>38.002228661105107</v>
      </c>
      <c r="Q3744">
        <v>38.762273234327196</v>
      </c>
      <c r="R3744">
        <v>39.537518629955187</v>
      </c>
      <c r="S3744">
        <v>40.32826905089528</v>
      </c>
      <c r="T3744">
        <v>41.538117156951415</v>
      </c>
      <c r="U3744">
        <v>43.199641663677241</v>
      </c>
      <c r="V3744">
        <v>44.927627143490007</v>
      </c>
      <c r="W3744">
        <v>46.724732035025916</v>
      </c>
      <c r="X3744">
        <v>48.593721114455107</v>
      </c>
      <c r="Y3744">
        <v>50.537469748982602</v>
      </c>
      <c r="Z3744">
        <v>52.558968320489171</v>
      </c>
      <c r="AA3744">
        <v>54.661326826117879</v>
      </c>
      <c r="AB3744">
        <v>56.847779662884115</v>
      </c>
      <c r="AC3744">
        <v>59.121690603669862</v>
      </c>
      <c r="AD3744">
        <v>61.486557972257835</v>
      </c>
    </row>
    <row r="3745" spans="2:30" x14ac:dyDescent="0.25">
      <c r="B3745" t="s">
        <v>133</v>
      </c>
      <c r="C3745" t="s">
        <v>3263</v>
      </c>
      <c r="D3745" t="s">
        <v>7032</v>
      </c>
      <c r="E3745" t="s">
        <v>4157</v>
      </c>
      <c r="F3745" t="s">
        <v>8535</v>
      </c>
      <c r="G3745" t="s">
        <v>3890</v>
      </c>
      <c r="H3745" t="s">
        <v>7013</v>
      </c>
      <c r="J3745">
        <v>2</v>
      </c>
      <c r="K3745">
        <v>8.9167735999999997E-2</v>
      </c>
      <c r="L3745">
        <v>0.106864256591645</v>
      </c>
      <c r="M3745">
        <v>0.10843425056703646</v>
      </c>
      <c r="N3745">
        <v>0.11010891080745402</v>
      </c>
      <c r="O3745">
        <v>0.11157423851781936</v>
      </c>
      <c r="P3745">
        <v>0.11293489996315863</v>
      </c>
      <c r="Q3745">
        <v>0.1151935979624218</v>
      </c>
      <c r="R3745">
        <v>0.11749746992167022</v>
      </c>
      <c r="S3745">
        <v>0.1198474191107711</v>
      </c>
      <c r="T3745">
        <v>0.12224436763951929</v>
      </c>
      <c r="U3745">
        <v>0.12591169877337113</v>
      </c>
      <c r="V3745">
        <v>0.13094816618004138</v>
      </c>
      <c r="W3745">
        <v>0.13618609226120784</v>
      </c>
      <c r="X3745">
        <v>0.14163353536297957</v>
      </c>
      <c r="Y3745">
        <v>0.14729887616527509</v>
      </c>
      <c r="Z3745">
        <v>0.15319083057517352</v>
      </c>
      <c r="AA3745">
        <v>0.15931846313599937</v>
      </c>
      <c r="AB3745">
        <v>0.16569120097277101</v>
      </c>
      <c r="AC3745">
        <v>0.17231884829546679</v>
      </c>
      <c r="AD3745">
        <v>0.1792116014824218</v>
      </c>
    </row>
    <row r="3746" spans="2:30" x14ac:dyDescent="0.25">
      <c r="B3746" t="s">
        <v>133</v>
      </c>
      <c r="C3746" t="s">
        <v>3263</v>
      </c>
      <c r="D3746" t="s">
        <v>7033</v>
      </c>
      <c r="E3746" t="s">
        <v>4137</v>
      </c>
      <c r="F3746" t="s">
        <v>8528</v>
      </c>
      <c r="G3746" t="s">
        <v>3890</v>
      </c>
      <c r="H3746" t="s">
        <v>7013</v>
      </c>
      <c r="J3746">
        <v>2</v>
      </c>
      <c r="K3746">
        <v>53.087639112183702</v>
      </c>
      <c r="L3746">
        <v>55.678150773981152</v>
      </c>
      <c r="M3746">
        <v>56.591949922622454</v>
      </c>
      <c r="N3746">
        <v>57.340453582288205</v>
      </c>
      <c r="O3746">
        <v>58.066933005646661</v>
      </c>
      <c r="P3746">
        <v>59.216660212120992</v>
      </c>
      <c r="Q3746">
        <v>60.406763339094901</v>
      </c>
      <c r="R3746">
        <v>61.638302587432335</v>
      </c>
      <c r="S3746">
        <v>62.887102981446368</v>
      </c>
      <c r="T3746">
        <v>64.705621471838612</v>
      </c>
      <c r="U3746">
        <v>67.135412398418339</v>
      </c>
      <c r="V3746">
        <v>69.660867149147506</v>
      </c>
      <c r="W3746">
        <v>72.284211209602901</v>
      </c>
      <c r="X3746">
        <v>75.00944209899896</v>
      </c>
      <c r="Y3746">
        <v>77.840654257852535</v>
      </c>
      <c r="Z3746">
        <v>80.779880426093712</v>
      </c>
      <c r="AA3746">
        <v>83.832923513318775</v>
      </c>
      <c r="AB3746">
        <v>87.003823133835127</v>
      </c>
      <c r="AC3746">
        <v>90.297032133584295</v>
      </c>
      <c r="AD3746">
        <v>93.716664601454639</v>
      </c>
    </row>
    <row r="3747" spans="2:30" x14ac:dyDescent="0.25">
      <c r="B3747" t="s">
        <v>133</v>
      </c>
      <c r="C3747" t="s">
        <v>3263</v>
      </c>
      <c r="D3747" t="s">
        <v>7034</v>
      </c>
      <c r="E3747" t="s">
        <v>4140</v>
      </c>
      <c r="F3747" t="s">
        <v>8529</v>
      </c>
      <c r="G3747" t="s">
        <v>3890</v>
      </c>
      <c r="H3747" t="s">
        <v>7013</v>
      </c>
      <c r="J3747">
        <v>2</v>
      </c>
      <c r="K3747">
        <v>53.087639112183702</v>
      </c>
      <c r="L3747">
        <v>55.678150773981152</v>
      </c>
      <c r="M3747">
        <v>56.591949922622454</v>
      </c>
      <c r="N3747">
        <v>57.340453582288205</v>
      </c>
      <c r="O3747">
        <v>58.066933005646661</v>
      </c>
      <c r="P3747">
        <v>59.216660212120992</v>
      </c>
      <c r="Q3747">
        <v>60.406763339094901</v>
      </c>
      <c r="R3747">
        <v>61.638302587432335</v>
      </c>
      <c r="S3747">
        <v>62.887102981446368</v>
      </c>
      <c r="T3747">
        <v>64.705621471838612</v>
      </c>
      <c r="U3747">
        <v>67.135412398418339</v>
      </c>
      <c r="V3747">
        <v>69.660867149147506</v>
      </c>
      <c r="W3747">
        <v>72.284211209602901</v>
      </c>
      <c r="X3747">
        <v>75.00944209899896</v>
      </c>
      <c r="Y3747">
        <v>77.840654257852535</v>
      </c>
      <c r="Z3747">
        <v>80.779880426093712</v>
      </c>
      <c r="AA3747">
        <v>83.832923513318775</v>
      </c>
      <c r="AB3747">
        <v>87.003823133835127</v>
      </c>
      <c r="AC3747">
        <v>90.297032133584295</v>
      </c>
      <c r="AD3747">
        <v>93.716664601454639</v>
      </c>
    </row>
    <row r="3748" spans="2:30" x14ac:dyDescent="0.25">
      <c r="B3748" t="s">
        <v>133</v>
      </c>
      <c r="C3748" t="s">
        <v>3263</v>
      </c>
      <c r="D3748" t="s">
        <v>7035</v>
      </c>
      <c r="E3748" t="s">
        <v>7036</v>
      </c>
      <c r="F3748" t="s">
        <v>9412</v>
      </c>
      <c r="G3748" t="s">
        <v>3890</v>
      </c>
      <c r="H3748" t="s">
        <v>7013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</row>
    <row r="3749" spans="2:30" x14ac:dyDescent="0.25">
      <c r="B3749" t="s">
        <v>133</v>
      </c>
      <c r="C3749" t="s">
        <v>3263</v>
      </c>
      <c r="D3749" t="s">
        <v>7038</v>
      </c>
      <c r="E3749" t="s">
        <v>7039</v>
      </c>
      <c r="F3749" t="s">
        <v>9413</v>
      </c>
      <c r="G3749" t="s">
        <v>3890</v>
      </c>
      <c r="H3749" t="s">
        <v>7013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</row>
    <row r="3750" spans="2:30" x14ac:dyDescent="0.25">
      <c r="B3750" t="s">
        <v>133</v>
      </c>
      <c r="C3750" t="s">
        <v>3263</v>
      </c>
      <c r="D3750" t="s">
        <v>7041</v>
      </c>
      <c r="E3750" t="s">
        <v>7042</v>
      </c>
      <c r="F3750" t="s">
        <v>9414</v>
      </c>
      <c r="G3750" t="s">
        <v>3890</v>
      </c>
      <c r="H3750" t="s">
        <v>7013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</row>
    <row r="3751" spans="2:30" x14ac:dyDescent="0.25">
      <c r="B3751" t="s">
        <v>133</v>
      </c>
      <c r="C3751" t="s">
        <v>3263</v>
      </c>
      <c r="D3751" t="s">
        <v>7044</v>
      </c>
      <c r="E3751" t="s">
        <v>7045</v>
      </c>
      <c r="F3751" t="s">
        <v>9415</v>
      </c>
      <c r="G3751" t="s">
        <v>3890</v>
      </c>
      <c r="H3751" t="s">
        <v>7013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</row>
    <row r="3752" spans="2:30" x14ac:dyDescent="0.25">
      <c r="B3752" t="s">
        <v>133</v>
      </c>
      <c r="C3752" t="s">
        <v>3263</v>
      </c>
      <c r="D3752" t="s">
        <v>7047</v>
      </c>
      <c r="E3752" t="s">
        <v>7048</v>
      </c>
      <c r="F3752" t="s">
        <v>9416</v>
      </c>
      <c r="G3752" t="s">
        <v>3890</v>
      </c>
      <c r="H3752" t="s">
        <v>7013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</row>
    <row r="3753" spans="2:30" x14ac:dyDescent="0.25">
      <c r="B3753" t="s">
        <v>133</v>
      </c>
      <c r="C3753" t="s">
        <v>3263</v>
      </c>
      <c r="D3753" t="s">
        <v>7050</v>
      </c>
      <c r="E3753" t="s">
        <v>7051</v>
      </c>
      <c r="F3753" t="s">
        <v>9417</v>
      </c>
      <c r="G3753" t="s">
        <v>3890</v>
      </c>
      <c r="H3753" t="s">
        <v>7013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</row>
    <row r="3754" spans="2:30" x14ac:dyDescent="0.25">
      <c r="B3754" t="s">
        <v>133</v>
      </c>
      <c r="C3754" t="s">
        <v>3263</v>
      </c>
      <c r="D3754" t="s">
        <v>7053</v>
      </c>
      <c r="E3754" t="s">
        <v>7054</v>
      </c>
      <c r="F3754" t="s">
        <v>9418</v>
      </c>
      <c r="G3754" t="s">
        <v>3890</v>
      </c>
      <c r="H3754" t="s">
        <v>7013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</row>
    <row r="3755" spans="2:30" x14ac:dyDescent="0.25">
      <c r="B3755" t="s">
        <v>133</v>
      </c>
      <c r="C3755" t="s">
        <v>3263</v>
      </c>
      <c r="D3755" t="s">
        <v>7056</v>
      </c>
      <c r="E3755" t="s">
        <v>7057</v>
      </c>
      <c r="F3755" t="s">
        <v>9419</v>
      </c>
      <c r="G3755" t="s">
        <v>3890</v>
      </c>
      <c r="H3755" t="s">
        <v>7013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</row>
    <row r="3756" spans="2:30" x14ac:dyDescent="0.25">
      <c r="B3756" t="s">
        <v>133</v>
      </c>
      <c r="C3756" t="s">
        <v>3263</v>
      </c>
      <c r="D3756" t="s">
        <v>7059</v>
      </c>
      <c r="E3756" t="s">
        <v>7060</v>
      </c>
      <c r="F3756" t="s">
        <v>9420</v>
      </c>
      <c r="G3756" t="s">
        <v>3890</v>
      </c>
      <c r="H3756" t="s">
        <v>7013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</row>
    <row r="3757" spans="2:30" x14ac:dyDescent="0.25">
      <c r="B3757" t="s">
        <v>133</v>
      </c>
      <c r="C3757" t="s">
        <v>3263</v>
      </c>
      <c r="D3757" t="s">
        <v>7062</v>
      </c>
      <c r="E3757" t="s">
        <v>7063</v>
      </c>
      <c r="F3757" t="s">
        <v>9421</v>
      </c>
      <c r="G3757" t="s">
        <v>3890</v>
      </c>
      <c r="H3757" t="s">
        <v>7013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</row>
    <row r="3758" spans="2:30" x14ac:dyDescent="0.25">
      <c r="B3758" t="s">
        <v>133</v>
      </c>
      <c r="C3758" t="s">
        <v>3263</v>
      </c>
      <c r="D3758" t="s">
        <v>7065</v>
      </c>
      <c r="E3758" t="s">
        <v>7066</v>
      </c>
      <c r="F3758" t="s">
        <v>9422</v>
      </c>
      <c r="G3758" t="s">
        <v>3890</v>
      </c>
      <c r="H3758" t="s">
        <v>7068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</row>
    <row r="3759" spans="2:30" x14ac:dyDescent="0.25">
      <c r="B3759" t="s">
        <v>133</v>
      </c>
      <c r="C3759" t="s">
        <v>3263</v>
      </c>
      <c r="D3759" t="s">
        <v>7069</v>
      </c>
      <c r="E3759" t="s">
        <v>7070</v>
      </c>
      <c r="F3759" t="s">
        <v>9423</v>
      </c>
      <c r="G3759" t="s">
        <v>3890</v>
      </c>
      <c r="H3759" t="s">
        <v>4476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</row>
    <row r="3760" spans="2:30" x14ac:dyDescent="0.25">
      <c r="B3760" t="s">
        <v>133</v>
      </c>
      <c r="C3760" t="s">
        <v>3263</v>
      </c>
      <c r="D3760" t="s">
        <v>7072</v>
      </c>
      <c r="E3760" t="s">
        <v>7073</v>
      </c>
      <c r="F3760" t="s">
        <v>9424</v>
      </c>
      <c r="G3760" t="s">
        <v>3890</v>
      </c>
      <c r="H3760" t="s">
        <v>884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1</v>
      </c>
      <c r="AD3760">
        <v>1</v>
      </c>
    </row>
    <row r="3761" spans="2:30" x14ac:dyDescent="0.25">
      <c r="B3761" t="s">
        <v>133</v>
      </c>
      <c r="C3761" t="s">
        <v>3263</v>
      </c>
      <c r="D3761" t="s">
        <v>7075</v>
      </c>
      <c r="E3761" t="s">
        <v>7076</v>
      </c>
      <c r="F3761" t="s">
        <v>9425</v>
      </c>
      <c r="G3761" t="s">
        <v>3890</v>
      </c>
      <c r="H3761" t="s">
        <v>7078</v>
      </c>
      <c r="J3761">
        <v>1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  <c r="W3761" t="e">
        <v>#N/A</v>
      </c>
      <c r="X3761" t="e">
        <v>#N/A</v>
      </c>
      <c r="Y3761" t="e">
        <v>#N/A</v>
      </c>
      <c r="Z3761" t="e">
        <v>#N/A</v>
      </c>
      <c r="AA3761" t="e">
        <v>#N/A</v>
      </c>
      <c r="AB3761" t="e">
        <v>#N/A</v>
      </c>
      <c r="AC3761" t="e">
        <v>#N/A</v>
      </c>
      <c r="AD3761" t="e">
        <v>#N/A</v>
      </c>
    </row>
    <row r="3762" spans="2:30" x14ac:dyDescent="0.25">
      <c r="B3762" t="s">
        <v>133</v>
      </c>
      <c r="C3762" t="s">
        <v>3263</v>
      </c>
      <c r="D3762" t="s">
        <v>7079</v>
      </c>
      <c r="E3762" t="s">
        <v>7080</v>
      </c>
      <c r="F3762" t="s">
        <v>9426</v>
      </c>
      <c r="G3762" t="s">
        <v>3890</v>
      </c>
      <c r="H3762" t="s">
        <v>7082</v>
      </c>
      <c r="J3762">
        <v>1</v>
      </c>
      <c r="K3762">
        <v>8.8716917086029241</v>
      </c>
      <c r="L3762">
        <v>8.5644978351756595</v>
      </c>
      <c r="M3762">
        <v>8.3886588486919944</v>
      </c>
      <c r="N3762">
        <v>8.0920965483836973</v>
      </c>
      <c r="O3762">
        <v>8.2513019622825858</v>
      </c>
      <c r="P3762">
        <v>9.0448654195698879</v>
      </c>
      <c r="Q3762">
        <v>9.9024311893545622</v>
      </c>
      <c r="R3762">
        <v>10.830429536925404</v>
      </c>
      <c r="S3762">
        <v>11.937330520511658</v>
      </c>
      <c r="T3762">
        <v>13.245866289163711</v>
      </c>
      <c r="U3762">
        <v>14.659607172703971</v>
      </c>
      <c r="V3762">
        <v>16.170961797431815</v>
      </c>
      <c r="W3762">
        <v>17.771968652327125</v>
      </c>
      <c r="X3762">
        <v>19.453959635201674</v>
      </c>
      <c r="Y3762">
        <v>21.205664968067008</v>
      </c>
      <c r="Z3762">
        <v>23.042890070278919</v>
      </c>
      <c r="AA3762">
        <v>24.962714757195489</v>
      </c>
      <c r="AB3762">
        <v>26.962131602506165</v>
      </c>
      <c r="AC3762">
        <v>29.039093418621174</v>
      </c>
      <c r="AD3762">
        <v>31.153556937608005</v>
      </c>
    </row>
    <row r="3763" spans="2:30" x14ac:dyDescent="0.25">
      <c r="B3763" t="s">
        <v>133</v>
      </c>
      <c r="C3763" t="s">
        <v>3263</v>
      </c>
      <c r="D3763" t="s">
        <v>7083</v>
      </c>
      <c r="E3763" t="s">
        <v>7084</v>
      </c>
      <c r="F3763" t="s">
        <v>9427</v>
      </c>
      <c r="G3763" t="s">
        <v>3890</v>
      </c>
      <c r="H3763" t="s">
        <v>7086</v>
      </c>
      <c r="J3763">
        <v>1</v>
      </c>
      <c r="K3763">
        <v>3.2172729633843065</v>
      </c>
      <c r="L3763">
        <v>3.4876935640271411</v>
      </c>
      <c r="M3763">
        <v>3.5939020066595377</v>
      </c>
      <c r="N3763">
        <v>2.7186556230175296</v>
      </c>
      <c r="O3763">
        <v>2.9840769510823266</v>
      </c>
      <c r="P3763">
        <v>2.9208651320491938</v>
      </c>
      <c r="Q3763">
        <v>3.0923179897128521</v>
      </c>
      <c r="R3763">
        <v>3.3239579484754502</v>
      </c>
      <c r="S3763">
        <v>3.6076222018563118</v>
      </c>
      <c r="T3763">
        <v>3.9355066907315273</v>
      </c>
      <c r="U3763">
        <v>4.3555461645321243</v>
      </c>
      <c r="V3763">
        <v>4.8045878585850383</v>
      </c>
      <c r="W3763">
        <v>5.2802663119076518</v>
      </c>
      <c r="X3763">
        <v>5.7800061267560174</v>
      </c>
      <c r="Y3763">
        <v>6.3004589161157742</v>
      </c>
      <c r="Z3763">
        <v>6.8463206607756915</v>
      </c>
      <c r="AA3763">
        <v>7.41672373864556</v>
      </c>
      <c r="AB3763">
        <v>8.0107746070828174</v>
      </c>
      <c r="AC3763">
        <v>8.6278650219544737</v>
      </c>
      <c r="AD3763">
        <v>9.256097645221109</v>
      </c>
    </row>
    <row r="3764" spans="2:30" x14ac:dyDescent="0.25">
      <c r="B3764" t="s">
        <v>133</v>
      </c>
      <c r="C3764" t="s">
        <v>3263</v>
      </c>
      <c r="D3764" t="s">
        <v>7087</v>
      </c>
      <c r="E3764" t="s">
        <v>7088</v>
      </c>
      <c r="F3764" t="s">
        <v>9428</v>
      </c>
      <c r="G3764" t="s">
        <v>3890</v>
      </c>
      <c r="H3764" t="s">
        <v>7090</v>
      </c>
      <c r="J3764">
        <v>1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  <c r="W3764" t="e">
        <v>#N/A</v>
      </c>
      <c r="X3764" t="e">
        <v>#N/A</v>
      </c>
      <c r="Y3764" t="e">
        <v>#N/A</v>
      </c>
      <c r="Z3764" t="e">
        <v>#N/A</v>
      </c>
      <c r="AA3764" t="e">
        <v>#N/A</v>
      </c>
      <c r="AB3764" t="e">
        <v>#N/A</v>
      </c>
      <c r="AC3764" t="e">
        <v>#N/A</v>
      </c>
      <c r="AD3764" t="e">
        <v>#N/A</v>
      </c>
    </row>
    <row r="3765" spans="2:30" x14ac:dyDescent="0.25">
      <c r="B3765" t="s">
        <v>133</v>
      </c>
      <c r="C3765" t="s">
        <v>3263</v>
      </c>
      <c r="D3765" t="s">
        <v>7091</v>
      </c>
      <c r="E3765" t="s">
        <v>7092</v>
      </c>
      <c r="F3765" t="s">
        <v>9429</v>
      </c>
      <c r="G3765" t="s">
        <v>3890</v>
      </c>
      <c r="H3765" t="s">
        <v>7068</v>
      </c>
      <c r="J3765">
        <v>1</v>
      </c>
      <c r="K3765">
        <v>0.65794924908352259</v>
      </c>
      <c r="L3765">
        <v>0.60845193959275345</v>
      </c>
      <c r="M3765">
        <v>0.54630541792531939</v>
      </c>
      <c r="N3765">
        <v>0.53003725334707352</v>
      </c>
      <c r="O3765">
        <v>0.5400759140421193</v>
      </c>
      <c r="P3765">
        <v>0.55729901263447357</v>
      </c>
      <c r="Q3765">
        <v>0.57353529169704798</v>
      </c>
      <c r="R3765">
        <v>0.58991413670284198</v>
      </c>
      <c r="S3765">
        <v>0.60850356052176169</v>
      </c>
      <c r="T3765">
        <v>0.62857513271899157</v>
      </c>
      <c r="U3765">
        <v>0.64784581168589572</v>
      </c>
      <c r="V3765">
        <v>0.66607130085772004</v>
      </c>
      <c r="W3765">
        <v>0.68295984870081283</v>
      </c>
      <c r="X3765">
        <v>0.69864245759263588</v>
      </c>
      <c r="Y3765">
        <v>0.71313770397093301</v>
      </c>
      <c r="Z3765">
        <v>0.72662781923768394</v>
      </c>
      <c r="AA3765">
        <v>0.73918398021715881</v>
      </c>
      <c r="AB3765">
        <v>0.75089939620077151</v>
      </c>
      <c r="AC3765">
        <v>0.76186170987122492</v>
      </c>
      <c r="AD3765">
        <v>0.77208128625452732</v>
      </c>
    </row>
    <row r="3766" spans="2:30" x14ac:dyDescent="0.25">
      <c r="B3766" t="s">
        <v>133</v>
      </c>
      <c r="C3766" t="s">
        <v>3263</v>
      </c>
      <c r="D3766" t="s">
        <v>7094</v>
      </c>
      <c r="E3766" t="s">
        <v>7095</v>
      </c>
      <c r="F3766" t="s">
        <v>9430</v>
      </c>
      <c r="G3766" t="s">
        <v>3890</v>
      </c>
      <c r="H3766" t="s">
        <v>4476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</row>
    <row r="3767" spans="2:30" x14ac:dyDescent="0.25">
      <c r="B3767" t="s">
        <v>133</v>
      </c>
      <c r="C3767" t="s">
        <v>3263</v>
      </c>
      <c r="D3767" t="s">
        <v>7097</v>
      </c>
      <c r="E3767" t="s">
        <v>7098</v>
      </c>
      <c r="F3767" t="s">
        <v>9431</v>
      </c>
      <c r="G3767" t="s">
        <v>3890</v>
      </c>
      <c r="H3767" t="s">
        <v>884</v>
      </c>
      <c r="J3767">
        <v>1</v>
      </c>
      <c r="K3767">
        <v>3.1462278217077255E-2</v>
      </c>
      <c r="L3767">
        <v>3.1462278217077255E-2</v>
      </c>
      <c r="M3767">
        <v>3.1462278217077255E-2</v>
      </c>
      <c r="N3767">
        <v>3.1462278217077255E-2</v>
      </c>
      <c r="O3767">
        <v>3.1462278217077255E-2</v>
      </c>
      <c r="P3767">
        <v>3.1462278217077255E-2</v>
      </c>
      <c r="Q3767">
        <v>3.1462278217077255E-2</v>
      </c>
      <c r="R3767">
        <v>3.1462278217077255E-2</v>
      </c>
      <c r="S3767">
        <v>3.1462278217077255E-2</v>
      </c>
      <c r="T3767">
        <v>3.1462278217077255E-2</v>
      </c>
      <c r="U3767">
        <v>3.1462278217077255E-2</v>
      </c>
      <c r="V3767">
        <v>3.1462278217077255E-2</v>
      </c>
      <c r="W3767">
        <v>3.1462278217077255E-2</v>
      </c>
      <c r="X3767">
        <v>3.1462278217077255E-2</v>
      </c>
      <c r="Y3767">
        <v>3.1462278217077255E-2</v>
      </c>
      <c r="Z3767">
        <v>3.1462278217077255E-2</v>
      </c>
      <c r="AA3767">
        <v>3.1462278217077255E-2</v>
      </c>
      <c r="AB3767">
        <v>3.1462278217077255E-2</v>
      </c>
      <c r="AC3767">
        <v>3.1462278217077255E-2</v>
      </c>
      <c r="AD3767">
        <v>3.1462278217077255E-2</v>
      </c>
    </row>
    <row r="3768" spans="2:30" x14ac:dyDescent="0.25">
      <c r="B3768" t="s">
        <v>133</v>
      </c>
      <c r="C3768" t="s">
        <v>3263</v>
      </c>
      <c r="D3768" t="s">
        <v>7100</v>
      </c>
      <c r="E3768" t="s">
        <v>7101</v>
      </c>
      <c r="F3768" t="s">
        <v>9432</v>
      </c>
      <c r="G3768" t="s">
        <v>3890</v>
      </c>
      <c r="H3768" t="s">
        <v>7078</v>
      </c>
      <c r="J3768">
        <v>1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  <c r="W3768" t="e">
        <v>#N/A</v>
      </c>
      <c r="X3768" t="e">
        <v>#N/A</v>
      </c>
      <c r="Y3768" t="e">
        <v>#N/A</v>
      </c>
      <c r="Z3768" t="e">
        <v>#N/A</v>
      </c>
      <c r="AA3768" t="e">
        <v>#N/A</v>
      </c>
      <c r="AB3768" t="e">
        <v>#N/A</v>
      </c>
      <c r="AC3768" t="e">
        <v>#N/A</v>
      </c>
      <c r="AD3768" t="e">
        <v>#N/A</v>
      </c>
    </row>
    <row r="3769" spans="2:30" x14ac:dyDescent="0.25">
      <c r="B3769" t="s">
        <v>133</v>
      </c>
      <c r="C3769" t="s">
        <v>3263</v>
      </c>
      <c r="D3769" t="s">
        <v>7103</v>
      </c>
      <c r="E3769" t="s">
        <v>7104</v>
      </c>
      <c r="F3769" t="s">
        <v>9433</v>
      </c>
      <c r="G3769" t="s">
        <v>3890</v>
      </c>
      <c r="H3769" t="s">
        <v>7082</v>
      </c>
      <c r="J3769">
        <v>1</v>
      </c>
      <c r="K3769">
        <v>17.093399168632743</v>
      </c>
      <c r="L3769">
        <v>18.164558263381714</v>
      </c>
      <c r="M3769">
        <v>19.625046708005698</v>
      </c>
      <c r="N3769">
        <v>19.335582542555347</v>
      </c>
      <c r="O3769">
        <v>20.145147566900832</v>
      </c>
      <c r="P3769">
        <v>21.396616032809217</v>
      </c>
      <c r="Q3769">
        <v>22.778580481929932</v>
      </c>
      <c r="R3769">
        <v>24.251237959003845</v>
      </c>
      <c r="S3769">
        <v>25.953300675727256</v>
      </c>
      <c r="T3769">
        <v>27.937864998266871</v>
      </c>
      <c r="U3769">
        <v>30.084512993071748</v>
      </c>
      <c r="V3769">
        <v>32.382008614704581</v>
      </c>
      <c r="W3769">
        <v>34.801431221443664</v>
      </c>
      <c r="X3769">
        <v>37.347143191031492</v>
      </c>
      <c r="Y3769">
        <v>40.010165184002858</v>
      </c>
      <c r="Z3769">
        <v>42.802796078230102</v>
      </c>
      <c r="AA3769">
        <v>45.725142911345095</v>
      </c>
      <c r="AB3769">
        <v>48.781996709719095</v>
      </c>
      <c r="AC3769">
        <v>51.979744326232307</v>
      </c>
      <c r="AD3769">
        <v>55.309305872774132</v>
      </c>
    </row>
    <row r="3770" spans="2:30" x14ac:dyDescent="0.25">
      <c r="B3770" t="s">
        <v>133</v>
      </c>
      <c r="C3770" t="s">
        <v>3263</v>
      </c>
      <c r="D3770" t="s">
        <v>7106</v>
      </c>
      <c r="E3770" t="s">
        <v>7107</v>
      </c>
      <c r="F3770" t="s">
        <v>9434</v>
      </c>
      <c r="G3770" t="s">
        <v>3890</v>
      </c>
      <c r="H3770" t="s">
        <v>7086</v>
      </c>
      <c r="J3770">
        <v>1</v>
      </c>
      <c r="K3770">
        <v>11.328900797350048</v>
      </c>
      <c r="L3770">
        <v>10.431293599417616</v>
      </c>
      <c r="M3770">
        <v>10.384930107060731</v>
      </c>
      <c r="N3770">
        <v>8.4025576431049362</v>
      </c>
      <c r="O3770">
        <v>9.2837853528539647</v>
      </c>
      <c r="P3770">
        <v>9.0128716278437704</v>
      </c>
      <c r="Q3770">
        <v>9.3467316486689587</v>
      </c>
      <c r="R3770">
        <v>9.8177714332667954</v>
      </c>
      <c r="S3770">
        <v>10.382134611873608</v>
      </c>
      <c r="T3770">
        <v>11.030196530876275</v>
      </c>
      <c r="U3770">
        <v>11.877718317769371</v>
      </c>
      <c r="V3770">
        <v>12.78479651565636</v>
      </c>
      <c r="W3770">
        <v>13.740012916237886</v>
      </c>
      <c r="X3770">
        <v>14.745089837373406</v>
      </c>
      <c r="Y3770">
        <v>15.796482130604909</v>
      </c>
      <c r="Z3770">
        <v>16.899045537058271</v>
      </c>
      <c r="AA3770">
        <v>18.052822316445024</v>
      </c>
      <c r="AB3770">
        <v>19.259704022126993</v>
      </c>
      <c r="AC3770">
        <v>20.522212258474688</v>
      </c>
      <c r="AD3770">
        <v>21.836762179246477</v>
      </c>
    </row>
    <row r="3771" spans="2:30" x14ac:dyDescent="0.25">
      <c r="B3771" t="s">
        <v>133</v>
      </c>
      <c r="C3771" t="s">
        <v>3263</v>
      </c>
      <c r="D3771" t="s">
        <v>7109</v>
      </c>
      <c r="E3771" t="s">
        <v>7110</v>
      </c>
      <c r="F3771" t="s">
        <v>9435</v>
      </c>
      <c r="G3771" t="s">
        <v>3890</v>
      </c>
      <c r="H3771" t="s">
        <v>7090</v>
      </c>
      <c r="J3771">
        <v>1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  <c r="W3771" t="e">
        <v>#N/A</v>
      </c>
      <c r="X3771" t="e">
        <v>#N/A</v>
      </c>
      <c r="Y3771" t="e">
        <v>#N/A</v>
      </c>
      <c r="Z3771" t="e">
        <v>#N/A</v>
      </c>
      <c r="AA3771" t="e">
        <v>#N/A</v>
      </c>
      <c r="AB3771" t="e">
        <v>#N/A</v>
      </c>
      <c r="AC3771" t="e">
        <v>#N/A</v>
      </c>
      <c r="AD3771" t="e">
        <v>#N/A</v>
      </c>
    </row>
    <row r="3772" spans="2:30" x14ac:dyDescent="0.25">
      <c r="B3772" t="s">
        <v>133</v>
      </c>
      <c r="C3772" t="s">
        <v>3263</v>
      </c>
      <c r="D3772" t="s">
        <v>7112</v>
      </c>
      <c r="E3772" t="s">
        <v>7113</v>
      </c>
      <c r="F3772" t="s">
        <v>9436</v>
      </c>
      <c r="G3772" t="s">
        <v>3890</v>
      </c>
      <c r="H3772" t="s">
        <v>4476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</row>
    <row r="3773" spans="2:30" x14ac:dyDescent="0.25">
      <c r="B3773" t="s">
        <v>133</v>
      </c>
      <c r="C3773" t="s">
        <v>3263</v>
      </c>
      <c r="D3773" t="s">
        <v>7115</v>
      </c>
      <c r="E3773" t="s">
        <v>7116</v>
      </c>
      <c r="F3773" t="s">
        <v>9437</v>
      </c>
      <c r="G3773" t="s">
        <v>3890</v>
      </c>
      <c r="H3773" t="s">
        <v>884</v>
      </c>
      <c r="J3773">
        <v>1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  <c r="W3773" t="e">
        <v>#N/A</v>
      </c>
      <c r="X3773" t="e">
        <v>#N/A</v>
      </c>
      <c r="Y3773" t="e">
        <v>#N/A</v>
      </c>
      <c r="Z3773" t="e">
        <v>#N/A</v>
      </c>
      <c r="AA3773" t="e">
        <v>#N/A</v>
      </c>
      <c r="AB3773" t="e">
        <v>#N/A</v>
      </c>
      <c r="AC3773" t="e">
        <v>#N/A</v>
      </c>
      <c r="AD3773" t="e">
        <v>#N/A</v>
      </c>
    </row>
    <row r="3774" spans="2:30" x14ac:dyDescent="0.25">
      <c r="B3774" t="s">
        <v>133</v>
      </c>
      <c r="C3774" t="s">
        <v>3263</v>
      </c>
      <c r="D3774" t="s">
        <v>7118</v>
      </c>
      <c r="E3774" t="s">
        <v>7119</v>
      </c>
      <c r="F3774" t="s">
        <v>9438</v>
      </c>
      <c r="G3774" t="s">
        <v>3890</v>
      </c>
      <c r="H3774" t="s">
        <v>7078</v>
      </c>
      <c r="J3774">
        <v>1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  <c r="W3774" t="e">
        <v>#N/A</v>
      </c>
      <c r="X3774" t="e">
        <v>#N/A</v>
      </c>
      <c r="Y3774" t="e">
        <v>#N/A</v>
      </c>
      <c r="Z3774" t="e">
        <v>#N/A</v>
      </c>
      <c r="AA3774" t="e">
        <v>#N/A</v>
      </c>
      <c r="AB3774" t="e">
        <v>#N/A</v>
      </c>
      <c r="AC3774" t="e">
        <v>#N/A</v>
      </c>
      <c r="AD3774" t="e">
        <v>#N/A</v>
      </c>
    </row>
    <row r="3775" spans="2:30" x14ac:dyDescent="0.25">
      <c r="B3775" t="s">
        <v>133</v>
      </c>
      <c r="C3775" t="s">
        <v>3263</v>
      </c>
      <c r="D3775" t="s">
        <v>7121</v>
      </c>
      <c r="E3775" t="s">
        <v>7122</v>
      </c>
      <c r="F3775" t="s">
        <v>9439</v>
      </c>
      <c r="G3775" t="s">
        <v>3890</v>
      </c>
      <c r="H3775" t="s">
        <v>7082</v>
      </c>
      <c r="J3775">
        <v>1</v>
      </c>
      <c r="K3775">
        <v>8.7592273594097882</v>
      </c>
      <c r="L3775">
        <v>9.8483367689349723</v>
      </c>
      <c r="M3775">
        <v>11.872645748894794</v>
      </c>
      <c r="N3775">
        <v>12.165496369500795</v>
      </c>
      <c r="O3775">
        <v>12.451220798302455</v>
      </c>
      <c r="P3775">
        <v>12.787576079133844</v>
      </c>
      <c r="Q3775">
        <v>13.185926293726901</v>
      </c>
      <c r="R3775">
        <v>13.567516333534819</v>
      </c>
      <c r="S3775">
        <v>13.924630751853487</v>
      </c>
      <c r="T3775">
        <v>14.284805547580049</v>
      </c>
      <c r="U3775">
        <v>14.649307370291794</v>
      </c>
      <c r="V3775">
        <v>15.018063306158167</v>
      </c>
      <c r="W3775">
        <v>15.390998538298842</v>
      </c>
      <c r="X3775">
        <v>15.768036297169033</v>
      </c>
      <c r="Y3775">
        <v>16.149097798433552</v>
      </c>
      <c r="Z3775">
        <v>16.534102168271236</v>
      </c>
      <c r="AA3775">
        <v>16.922966356059909</v>
      </c>
      <c r="AB3775">
        <v>17.315605034396299</v>
      </c>
      <c r="AC3775">
        <v>17.711930486408583</v>
      </c>
      <c r="AD3775">
        <v>18.111852480319339</v>
      </c>
    </row>
    <row r="3776" spans="2:30" x14ac:dyDescent="0.25">
      <c r="B3776" t="s">
        <v>133</v>
      </c>
      <c r="C3776" t="s">
        <v>3263</v>
      </c>
      <c r="D3776" t="s">
        <v>7124</v>
      </c>
      <c r="E3776" t="s">
        <v>7125</v>
      </c>
      <c r="F3776" t="s">
        <v>9440</v>
      </c>
      <c r="G3776" t="s">
        <v>3890</v>
      </c>
      <c r="H3776" t="s">
        <v>7086</v>
      </c>
      <c r="J3776">
        <v>1</v>
      </c>
      <c r="K3776">
        <v>4.3415326674431149</v>
      </c>
      <c r="L3776">
        <v>4.6878851644380655</v>
      </c>
      <c r="M3776">
        <v>5.4012855181209103</v>
      </c>
      <c r="N3776">
        <v>4.7970431075413851</v>
      </c>
      <c r="O3776">
        <v>5.1193866689866239</v>
      </c>
      <c r="P3776">
        <v>4.9330654080764651</v>
      </c>
      <c r="Q3776">
        <v>4.9946480086541092</v>
      </c>
      <c r="R3776">
        <v>5.0914253757795098</v>
      </c>
      <c r="S3776">
        <v>5.1825691281617061</v>
      </c>
      <c r="T3776">
        <v>5.2688435912409322</v>
      </c>
      <c r="U3776">
        <v>5.4032873599148266</v>
      </c>
      <c r="V3776">
        <v>5.539300226379833</v>
      </c>
      <c r="W3776">
        <v>5.6768545949897167</v>
      </c>
      <c r="X3776">
        <v>5.8159221498725753</v>
      </c>
      <c r="Y3776">
        <v>5.9564738320161474</v>
      </c>
      <c r="Z3776">
        <v>6.0984798117169134</v>
      </c>
      <c r="AA3776">
        <v>6.2419094563745929</v>
      </c>
      <c r="AB3776">
        <v>6.3867312936152452</v>
      </c>
      <c r="AC3776">
        <v>6.5329129697273389</v>
      </c>
      <c r="AD3776">
        <v>6.680421203395241</v>
      </c>
    </row>
    <row r="3777" spans="2:30" x14ac:dyDescent="0.25">
      <c r="B3777" t="s">
        <v>133</v>
      </c>
      <c r="C3777" t="s">
        <v>3263</v>
      </c>
      <c r="D3777" t="s">
        <v>7127</v>
      </c>
      <c r="E3777" t="s">
        <v>7128</v>
      </c>
      <c r="F3777" t="s">
        <v>9441</v>
      </c>
      <c r="G3777" t="s">
        <v>3890</v>
      </c>
      <c r="H3777" t="s">
        <v>7090</v>
      </c>
      <c r="J3777">
        <v>1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  <c r="W3777" t="e">
        <v>#N/A</v>
      </c>
      <c r="X3777" t="e">
        <v>#N/A</v>
      </c>
      <c r="Y3777" t="e">
        <v>#N/A</v>
      </c>
      <c r="Z3777" t="e">
        <v>#N/A</v>
      </c>
      <c r="AA3777" t="e">
        <v>#N/A</v>
      </c>
      <c r="AB3777" t="e">
        <v>#N/A</v>
      </c>
      <c r="AC3777" t="e">
        <v>#N/A</v>
      </c>
      <c r="AD3777" t="e">
        <v>#N/A</v>
      </c>
    </row>
    <row r="3778" spans="2:30" x14ac:dyDescent="0.25">
      <c r="B3778" t="s">
        <v>133</v>
      </c>
      <c r="C3778" t="s">
        <v>3263</v>
      </c>
      <c r="D3778" t="s">
        <v>7130</v>
      </c>
      <c r="E3778" t="s">
        <v>7131</v>
      </c>
      <c r="F3778" t="s">
        <v>9442</v>
      </c>
      <c r="G3778" t="s">
        <v>3890</v>
      </c>
      <c r="H3778" t="s">
        <v>4476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</row>
    <row r="3779" spans="2:30" x14ac:dyDescent="0.25">
      <c r="B3779" t="s">
        <v>133</v>
      </c>
      <c r="C3779" t="s">
        <v>3263</v>
      </c>
      <c r="D3779" t="s">
        <v>7133</v>
      </c>
      <c r="E3779" t="s">
        <v>7134</v>
      </c>
      <c r="F3779" t="s">
        <v>9443</v>
      </c>
      <c r="G3779" t="s">
        <v>3890</v>
      </c>
      <c r="H3779" t="s">
        <v>884</v>
      </c>
      <c r="J3779">
        <v>1</v>
      </c>
      <c r="K3779">
        <v>0.38980710506439209</v>
      </c>
      <c r="L3779">
        <v>0.38980710506439209</v>
      </c>
      <c r="M3779">
        <v>0.38980710506439209</v>
      </c>
      <c r="N3779">
        <v>0.38980710506439209</v>
      </c>
      <c r="O3779">
        <v>0.38980710506439209</v>
      </c>
      <c r="P3779">
        <v>0.38980710506439209</v>
      </c>
      <c r="Q3779">
        <v>0.38980710506439209</v>
      </c>
      <c r="R3779">
        <v>0.38980710506439209</v>
      </c>
      <c r="S3779">
        <v>0.38980710506439209</v>
      </c>
      <c r="T3779">
        <v>0.38980710506439209</v>
      </c>
      <c r="U3779">
        <v>0.38980710506439209</v>
      </c>
      <c r="V3779">
        <v>0.38980710506439209</v>
      </c>
      <c r="W3779">
        <v>0.38980710506439209</v>
      </c>
      <c r="X3779">
        <v>0.38980710506439209</v>
      </c>
      <c r="Y3779">
        <v>0.38980710506439209</v>
      </c>
      <c r="Z3779">
        <v>0.38980710506439209</v>
      </c>
      <c r="AA3779">
        <v>0.38980710506439209</v>
      </c>
      <c r="AB3779">
        <v>0.38980710506439209</v>
      </c>
      <c r="AC3779">
        <v>0.38980710506439209</v>
      </c>
      <c r="AD3779">
        <v>0.38980710506439209</v>
      </c>
    </row>
    <row r="3780" spans="2:30" x14ac:dyDescent="0.25">
      <c r="B3780" t="s">
        <v>133</v>
      </c>
      <c r="C3780" t="s">
        <v>3263</v>
      </c>
      <c r="D3780" t="s">
        <v>7136</v>
      </c>
      <c r="E3780" t="s">
        <v>7137</v>
      </c>
      <c r="F3780" t="s">
        <v>9444</v>
      </c>
      <c r="G3780" t="s">
        <v>3890</v>
      </c>
      <c r="H3780" t="s">
        <v>7078</v>
      </c>
      <c r="J3780">
        <v>1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  <c r="W3780" t="e">
        <v>#N/A</v>
      </c>
      <c r="X3780" t="e">
        <v>#N/A</v>
      </c>
      <c r="Y3780" t="e">
        <v>#N/A</v>
      </c>
      <c r="Z3780" t="e">
        <v>#N/A</v>
      </c>
      <c r="AA3780" t="e">
        <v>#N/A</v>
      </c>
      <c r="AB3780" t="e">
        <v>#N/A</v>
      </c>
      <c r="AC3780" t="e">
        <v>#N/A</v>
      </c>
      <c r="AD3780" t="e">
        <v>#N/A</v>
      </c>
    </row>
    <row r="3781" spans="2:30" x14ac:dyDescent="0.25">
      <c r="B3781" t="s">
        <v>133</v>
      </c>
      <c r="C3781" t="s">
        <v>3263</v>
      </c>
      <c r="D3781" t="s">
        <v>7139</v>
      </c>
      <c r="E3781" t="s">
        <v>7140</v>
      </c>
      <c r="F3781" t="s">
        <v>9445</v>
      </c>
      <c r="G3781" t="s">
        <v>3890</v>
      </c>
      <c r="H3781" t="s">
        <v>7082</v>
      </c>
      <c r="J3781">
        <v>1</v>
      </c>
      <c r="K3781">
        <v>0.74072845747668814</v>
      </c>
      <c r="L3781">
        <v>0.86721354102799408</v>
      </c>
      <c r="M3781">
        <v>0.96364265512465508</v>
      </c>
      <c r="N3781">
        <v>0.9988957686311748</v>
      </c>
      <c r="O3781">
        <v>1.0339270684047732</v>
      </c>
      <c r="P3781">
        <v>1.0762198961506069</v>
      </c>
      <c r="Q3781">
        <v>1.1277638855092658</v>
      </c>
      <c r="R3781">
        <v>1.1783280880287157</v>
      </c>
      <c r="S3781">
        <v>1.2266700805639159</v>
      </c>
      <c r="T3781">
        <v>1.2763498867482865</v>
      </c>
      <c r="U3781">
        <v>1.3273714719702523</v>
      </c>
      <c r="V3781">
        <v>1.3797355811327254</v>
      </c>
      <c r="W3781">
        <v>1.4334408714602123</v>
      </c>
      <c r="X3781">
        <v>1.4884838304763481</v>
      </c>
      <c r="Y3781">
        <v>1.5448586963577673</v>
      </c>
      <c r="Z3781">
        <v>1.6025573810131351</v>
      </c>
      <c r="AA3781">
        <v>1.6615693962402645</v>
      </c>
      <c r="AB3781">
        <v>1.7218817833169799</v>
      </c>
      <c r="AC3781">
        <v>1.7834790463827501</v>
      </c>
      <c r="AD3781">
        <v>1.8463430899680089</v>
      </c>
    </row>
    <row r="3782" spans="2:30" x14ac:dyDescent="0.25">
      <c r="B3782" t="s">
        <v>133</v>
      </c>
      <c r="C3782" t="s">
        <v>3263</v>
      </c>
      <c r="D3782" t="s">
        <v>7142</v>
      </c>
      <c r="E3782" t="s">
        <v>7143</v>
      </c>
      <c r="F3782" t="s">
        <v>9446</v>
      </c>
      <c r="G3782" t="s">
        <v>3890</v>
      </c>
      <c r="H3782" t="s">
        <v>7086</v>
      </c>
      <c r="J3782">
        <v>1</v>
      </c>
      <c r="K3782">
        <v>0.27367377034005486</v>
      </c>
      <c r="L3782">
        <v>0.38155634577615954</v>
      </c>
      <c r="M3782">
        <v>0.43124175007426463</v>
      </c>
      <c r="N3782">
        <v>0.36505809917876048</v>
      </c>
      <c r="O3782">
        <v>0.40142729937355043</v>
      </c>
      <c r="P3782">
        <v>0.38086928737994213</v>
      </c>
      <c r="Q3782">
        <v>0.38844987055893182</v>
      </c>
      <c r="R3782">
        <v>0.40025158852473763</v>
      </c>
      <c r="S3782">
        <v>0.41156070572289422</v>
      </c>
      <c r="T3782">
        <v>0.4224506458058534</v>
      </c>
      <c r="U3782">
        <v>0.43933794438349538</v>
      </c>
      <c r="V3782">
        <v>0.45666959612132135</v>
      </c>
      <c r="W3782">
        <v>0.47444515658291136</v>
      </c>
      <c r="X3782">
        <v>0.49266346319683868</v>
      </c>
      <c r="Y3782">
        <v>0.51132260889512215</v>
      </c>
      <c r="Z3782">
        <v>0.53041991665366117</v>
      </c>
      <c r="AA3782">
        <v>0.54995191505146579</v>
      </c>
      <c r="AB3782">
        <v>0.56991431496640055</v>
      </c>
      <c r="AC3782">
        <v>0.59030198752560969</v>
      </c>
      <c r="AD3782">
        <v>0.61110894342875799</v>
      </c>
    </row>
    <row r="3783" spans="2:30" x14ac:dyDescent="0.25">
      <c r="B3783" t="s">
        <v>133</v>
      </c>
      <c r="C3783" t="s">
        <v>3263</v>
      </c>
      <c r="D3783" t="s">
        <v>7145</v>
      </c>
      <c r="E3783" t="s">
        <v>7146</v>
      </c>
      <c r="F3783" t="s">
        <v>9447</v>
      </c>
      <c r="G3783" t="s">
        <v>3890</v>
      </c>
      <c r="H3783" t="s">
        <v>7090</v>
      </c>
      <c r="J3783">
        <v>1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  <c r="W3783" t="e">
        <v>#N/A</v>
      </c>
      <c r="X3783" t="e">
        <v>#N/A</v>
      </c>
      <c r="Y3783" t="e">
        <v>#N/A</v>
      </c>
      <c r="Z3783" t="e">
        <v>#N/A</v>
      </c>
      <c r="AA3783" t="e">
        <v>#N/A</v>
      </c>
      <c r="AB3783" t="e">
        <v>#N/A</v>
      </c>
      <c r="AC3783" t="e">
        <v>#N/A</v>
      </c>
      <c r="AD3783" t="e">
        <v>#N/A</v>
      </c>
    </row>
    <row r="3784" spans="2:30" x14ac:dyDescent="0.25">
      <c r="B3784" t="s">
        <v>133</v>
      </c>
      <c r="C3784" t="s">
        <v>3263</v>
      </c>
      <c r="D3784" t="s">
        <v>7148</v>
      </c>
      <c r="E3784" t="s">
        <v>7149</v>
      </c>
      <c r="F3784" t="s">
        <v>9448</v>
      </c>
      <c r="G3784" t="s">
        <v>3890</v>
      </c>
      <c r="H3784" t="s">
        <v>4476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</row>
    <row r="3785" spans="2:30" x14ac:dyDescent="0.25">
      <c r="B3785" t="s">
        <v>133</v>
      </c>
      <c r="C3785" t="s">
        <v>3263</v>
      </c>
      <c r="D3785" t="s">
        <v>7151</v>
      </c>
      <c r="E3785" t="s">
        <v>7152</v>
      </c>
      <c r="F3785" t="s">
        <v>9449</v>
      </c>
      <c r="G3785" t="s">
        <v>3890</v>
      </c>
      <c r="H3785" t="s">
        <v>884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</row>
    <row r="3786" spans="2:30" x14ac:dyDescent="0.25">
      <c r="B3786" t="s">
        <v>133</v>
      </c>
      <c r="C3786" t="s">
        <v>3263</v>
      </c>
      <c r="D3786" t="s">
        <v>7154</v>
      </c>
      <c r="E3786" t="s">
        <v>7155</v>
      </c>
      <c r="F3786" t="s">
        <v>9450</v>
      </c>
      <c r="G3786" t="s">
        <v>3890</v>
      </c>
      <c r="H3786" t="s">
        <v>7078</v>
      </c>
      <c r="J3786">
        <v>1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  <c r="W3786" t="e">
        <v>#N/A</v>
      </c>
      <c r="X3786" t="e">
        <v>#N/A</v>
      </c>
      <c r="Y3786" t="e">
        <v>#N/A</v>
      </c>
      <c r="Z3786" t="e">
        <v>#N/A</v>
      </c>
      <c r="AA3786" t="e">
        <v>#N/A</v>
      </c>
      <c r="AB3786" t="e">
        <v>#N/A</v>
      </c>
      <c r="AC3786" t="e">
        <v>#N/A</v>
      </c>
      <c r="AD3786" t="e">
        <v>#N/A</v>
      </c>
    </row>
    <row r="3787" spans="2:30" x14ac:dyDescent="0.25">
      <c r="B3787" t="s">
        <v>133</v>
      </c>
      <c r="C3787" t="s">
        <v>3263</v>
      </c>
      <c r="D3787" t="s">
        <v>7157</v>
      </c>
      <c r="E3787" t="s">
        <v>7158</v>
      </c>
      <c r="F3787" t="s">
        <v>9451</v>
      </c>
      <c r="G3787" t="s">
        <v>3890</v>
      </c>
      <c r="H3787" t="s">
        <v>7160</v>
      </c>
      <c r="J3787">
        <v>1</v>
      </c>
      <c r="K3787">
        <v>5.4004408136823523</v>
      </c>
      <c r="L3787">
        <v>4.2974710728280368</v>
      </c>
      <c r="M3787">
        <v>3.7869687556145295</v>
      </c>
      <c r="N3787">
        <v>2.4509803921568629</v>
      </c>
      <c r="O3787">
        <v>2.4509803921568629</v>
      </c>
      <c r="P3787">
        <v>2.4509803921568629</v>
      </c>
      <c r="Q3787">
        <v>2.4509803921568629</v>
      </c>
      <c r="R3787">
        <v>2.4509803921568629</v>
      </c>
      <c r="S3787">
        <v>2.4509803921568629</v>
      </c>
      <c r="T3787">
        <v>2.4509803921568629</v>
      </c>
      <c r="U3787">
        <v>2.4509803921568629</v>
      </c>
      <c r="V3787">
        <v>2.4509803921568629</v>
      </c>
      <c r="W3787">
        <v>2.4509803921568629</v>
      </c>
      <c r="X3787">
        <v>2.4509803921568629</v>
      </c>
      <c r="Y3787">
        <v>2.4509803921568629</v>
      </c>
      <c r="Z3787">
        <v>2.4509803921568629</v>
      </c>
      <c r="AA3787">
        <v>2.4509803921568629</v>
      </c>
      <c r="AB3787">
        <v>2.4509803921568629</v>
      </c>
      <c r="AC3787">
        <v>2.4509803921568629</v>
      </c>
      <c r="AD3787">
        <v>2.4509803921568629</v>
      </c>
    </row>
    <row r="3788" spans="2:30" x14ac:dyDescent="0.25">
      <c r="B3788" t="s">
        <v>133</v>
      </c>
      <c r="C3788" t="s">
        <v>3263</v>
      </c>
      <c r="D3788" t="s">
        <v>7161</v>
      </c>
      <c r="E3788" t="s">
        <v>7162</v>
      </c>
      <c r="F3788" t="s">
        <v>9452</v>
      </c>
      <c r="G3788" t="s">
        <v>3890</v>
      </c>
      <c r="H3788" t="s">
        <v>7082</v>
      </c>
      <c r="J3788">
        <v>1</v>
      </c>
      <c r="K3788">
        <v>0.32188346580599997</v>
      </c>
      <c r="L3788">
        <v>0.30907468551335748</v>
      </c>
      <c r="M3788">
        <v>0.32742941030768441</v>
      </c>
      <c r="N3788">
        <v>0.41714299562181384</v>
      </c>
      <c r="O3788">
        <v>0.41853233544167368</v>
      </c>
      <c r="P3788">
        <v>0.42037537114824253</v>
      </c>
      <c r="Q3788">
        <v>0.42304891067540284</v>
      </c>
      <c r="R3788">
        <v>0.42581749885475445</v>
      </c>
      <c r="S3788">
        <v>0.42844057373942768</v>
      </c>
      <c r="T3788">
        <v>0.43132378821689515</v>
      </c>
      <c r="U3788">
        <v>0.43451735355254528</v>
      </c>
      <c r="V3788">
        <v>0.43802052103692163</v>
      </c>
      <c r="W3788">
        <v>0.44186115675546345</v>
      </c>
      <c r="X3788">
        <v>0.44604620340491274</v>
      </c>
      <c r="Y3788">
        <v>0.4505941987804567</v>
      </c>
      <c r="Z3788">
        <v>0.45551475744414072</v>
      </c>
      <c r="AA3788">
        <v>0.4608259823323354</v>
      </c>
      <c r="AB3788">
        <v>0.46655066981579063</v>
      </c>
      <c r="AC3788">
        <v>0.47269999343659175</v>
      </c>
      <c r="AD3788">
        <v>0.47929315727775429</v>
      </c>
    </row>
    <row r="3789" spans="2:30" x14ac:dyDescent="0.25">
      <c r="B3789" t="s">
        <v>133</v>
      </c>
      <c r="C3789" t="s">
        <v>3263</v>
      </c>
      <c r="D3789" t="s">
        <v>7164</v>
      </c>
      <c r="E3789" t="s">
        <v>7165</v>
      </c>
      <c r="F3789" t="s">
        <v>9453</v>
      </c>
      <c r="G3789" t="s">
        <v>3890</v>
      </c>
      <c r="H3789" t="s">
        <v>7086</v>
      </c>
      <c r="J3789">
        <v>1</v>
      </c>
      <c r="K3789">
        <v>4.3889209414219907</v>
      </c>
      <c r="L3789">
        <v>3.4729962285808278</v>
      </c>
      <c r="M3789">
        <v>3.661173095307015</v>
      </c>
      <c r="N3789">
        <v>4.3202910899507962</v>
      </c>
      <c r="O3789">
        <v>4.5858969522246671</v>
      </c>
      <c r="P3789">
        <v>4.2257295086863822</v>
      </c>
      <c r="Q3789">
        <v>4.1472954656628804</v>
      </c>
      <c r="R3789">
        <v>4.1210051163863186</v>
      </c>
      <c r="S3789">
        <v>4.0993766219984868</v>
      </c>
      <c r="T3789">
        <v>4.0755432147237256</v>
      </c>
      <c r="U3789">
        <v>4.1057189525106264</v>
      </c>
      <c r="V3789">
        <v>4.1388200956912833</v>
      </c>
      <c r="W3789">
        <v>4.1751099486289966</v>
      </c>
      <c r="X3789">
        <v>4.2146541122977261</v>
      </c>
      <c r="Y3789">
        <v>4.2576277488087557</v>
      </c>
      <c r="Z3789">
        <v>4.3041217053728742</v>
      </c>
      <c r="AA3789">
        <v>4.3543070351559576</v>
      </c>
      <c r="AB3789">
        <v>4.4083991392016486</v>
      </c>
      <c r="AC3789">
        <v>4.4665035953956886</v>
      </c>
      <c r="AD3789">
        <v>4.5288018615485859</v>
      </c>
    </row>
    <row r="3790" spans="2:30" x14ac:dyDescent="0.25">
      <c r="B3790" t="s">
        <v>133</v>
      </c>
      <c r="C3790" t="s">
        <v>3263</v>
      </c>
      <c r="D3790" t="s">
        <v>7167</v>
      </c>
      <c r="E3790" t="s">
        <v>7168</v>
      </c>
      <c r="F3790" t="s">
        <v>9454</v>
      </c>
      <c r="G3790" t="s">
        <v>3890</v>
      </c>
      <c r="H3790" t="s">
        <v>4476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</row>
    <row r="3791" spans="2:30" x14ac:dyDescent="0.25">
      <c r="B3791" t="s">
        <v>133</v>
      </c>
      <c r="C3791" t="s">
        <v>3263</v>
      </c>
      <c r="D3791" t="s">
        <v>7170</v>
      </c>
      <c r="E3791" t="s">
        <v>7171</v>
      </c>
      <c r="F3791" t="s">
        <v>9455</v>
      </c>
      <c r="G3791" t="s">
        <v>3890</v>
      </c>
      <c r="H3791" t="s">
        <v>7078</v>
      </c>
      <c r="J3791">
        <v>1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  <c r="W3791" t="e">
        <v>#N/A</v>
      </c>
      <c r="X3791" t="e">
        <v>#N/A</v>
      </c>
      <c r="Y3791" t="e">
        <v>#N/A</v>
      </c>
      <c r="Z3791" t="e">
        <v>#N/A</v>
      </c>
      <c r="AA3791" t="e">
        <v>#N/A</v>
      </c>
      <c r="AB3791" t="e">
        <v>#N/A</v>
      </c>
      <c r="AC3791" t="e">
        <v>#N/A</v>
      </c>
      <c r="AD3791" t="e">
        <v>#N/A</v>
      </c>
    </row>
    <row r="3792" spans="2:30" x14ac:dyDescent="0.25">
      <c r="B3792" t="s">
        <v>133</v>
      </c>
      <c r="C3792" t="s">
        <v>3263</v>
      </c>
      <c r="D3792" t="s">
        <v>7173</v>
      </c>
      <c r="E3792" t="s">
        <v>7174</v>
      </c>
      <c r="F3792" t="s">
        <v>9456</v>
      </c>
      <c r="G3792" t="s">
        <v>3890</v>
      </c>
      <c r="H3792" t="s">
        <v>7082</v>
      </c>
      <c r="J3792">
        <v>1</v>
      </c>
      <c r="K3792">
        <v>0.4637672137728</v>
      </c>
      <c r="L3792">
        <v>0.39792308812516519</v>
      </c>
      <c r="M3792">
        <v>0.43807968256506025</v>
      </c>
      <c r="N3792">
        <v>0.45539144372591023</v>
      </c>
      <c r="O3792">
        <v>0.47249328611473107</v>
      </c>
      <c r="P3792">
        <v>0.49287018315998643</v>
      </c>
      <c r="Q3792">
        <v>0.51734449869533039</v>
      </c>
      <c r="R3792">
        <v>0.5411488016992192</v>
      </c>
      <c r="S3792">
        <v>0.56374026880622363</v>
      </c>
      <c r="T3792">
        <v>0.58682088394191312</v>
      </c>
      <c r="U3792">
        <v>0.61047490501407875</v>
      </c>
      <c r="V3792">
        <v>0.63470239672366058</v>
      </c>
      <c r="W3792">
        <v>0.65950299482287689</v>
      </c>
      <c r="X3792">
        <v>0.68487589963987638</v>
      </c>
      <c r="Y3792">
        <v>0.71081986871967007</v>
      </c>
      <c r="Z3792">
        <v>0.73733320850855688</v>
      </c>
      <c r="AA3792">
        <v>0.76441376501215852</v>
      </c>
      <c r="AB3792">
        <v>0.79205891335993706</v>
      </c>
      <c r="AC3792">
        <v>0.82026554621181647</v>
      </c>
      <c r="AD3792">
        <v>0.84903006094513367</v>
      </c>
    </row>
    <row r="3793" spans="2:30" x14ac:dyDescent="0.25">
      <c r="B3793" t="s">
        <v>133</v>
      </c>
      <c r="C3793" t="s">
        <v>3263</v>
      </c>
      <c r="D3793" t="s">
        <v>7176</v>
      </c>
      <c r="E3793" t="s">
        <v>7177</v>
      </c>
      <c r="F3793" t="s">
        <v>9457</v>
      </c>
      <c r="G3793" t="s">
        <v>3890</v>
      </c>
      <c r="H3793" t="s">
        <v>7086</v>
      </c>
      <c r="J3793">
        <v>1</v>
      </c>
      <c r="K3793">
        <v>3.2112892603922094</v>
      </c>
      <c r="L3793">
        <v>2.0618376055782233</v>
      </c>
      <c r="M3793">
        <v>1.963711542635125</v>
      </c>
      <c r="N3793">
        <v>2.0734284673921919</v>
      </c>
      <c r="O3793">
        <v>2.1707645000789553</v>
      </c>
      <c r="P3793">
        <v>2.2118737304513205</v>
      </c>
      <c r="Q3793">
        <v>2.2568741472875389</v>
      </c>
      <c r="R3793">
        <v>2.336561180963785</v>
      </c>
      <c r="S3793">
        <v>2.4269668290236366</v>
      </c>
      <c r="T3793">
        <v>2.5221201225048731</v>
      </c>
      <c r="U3793">
        <v>2.6237836524793252</v>
      </c>
      <c r="V3793">
        <v>2.7279119240365537</v>
      </c>
      <c r="W3793">
        <v>2.834503371661961</v>
      </c>
      <c r="X3793">
        <v>2.943554558415038</v>
      </c>
      <c r="Y3793">
        <v>3.055060144300541</v>
      </c>
      <c r="Z3793">
        <v>3.1690128505286643</v>
      </c>
      <c r="AA3793">
        <v>3.2854034193638468</v>
      </c>
      <c r="AB3793">
        <v>3.40422056927371</v>
      </c>
      <c r="AC3793">
        <v>3.5254509451014284</v>
      </c>
      <c r="AD3793">
        <v>3.6490790629960337</v>
      </c>
    </row>
    <row r="3794" spans="2:30" x14ac:dyDescent="0.25">
      <c r="B3794" t="s">
        <v>133</v>
      </c>
      <c r="C3794" t="s">
        <v>3263</v>
      </c>
      <c r="D3794" t="s">
        <v>7179</v>
      </c>
      <c r="E3794" t="s">
        <v>7180</v>
      </c>
      <c r="F3794" t="s">
        <v>9458</v>
      </c>
      <c r="G3794" t="s">
        <v>3890</v>
      </c>
      <c r="H3794" t="s">
        <v>7090</v>
      </c>
      <c r="J3794">
        <v>1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  <c r="W3794" t="e">
        <v>#N/A</v>
      </c>
      <c r="X3794" t="e">
        <v>#N/A</v>
      </c>
      <c r="Y3794" t="e">
        <v>#N/A</v>
      </c>
      <c r="Z3794" t="e">
        <v>#N/A</v>
      </c>
      <c r="AA3794" t="e">
        <v>#N/A</v>
      </c>
      <c r="AB3794" t="e">
        <v>#N/A</v>
      </c>
      <c r="AC3794" t="e">
        <v>#N/A</v>
      </c>
      <c r="AD3794" t="e">
        <v>#N/A</v>
      </c>
    </row>
    <row r="3795" spans="2:30" x14ac:dyDescent="0.25">
      <c r="B3795" t="s">
        <v>133</v>
      </c>
      <c r="C3795" t="s">
        <v>3263</v>
      </c>
      <c r="D3795" t="s">
        <v>7182</v>
      </c>
      <c r="E3795" t="s">
        <v>7183</v>
      </c>
      <c r="F3795" t="s">
        <v>9459</v>
      </c>
      <c r="G3795" t="s">
        <v>3890</v>
      </c>
      <c r="H3795" t="s">
        <v>4476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</row>
    <row r="3796" spans="2:30" x14ac:dyDescent="0.25">
      <c r="B3796" t="s">
        <v>133</v>
      </c>
      <c r="C3796" t="s">
        <v>3263</v>
      </c>
      <c r="D3796" t="s">
        <v>7185</v>
      </c>
      <c r="E3796" t="s">
        <v>7186</v>
      </c>
      <c r="F3796" t="s">
        <v>9460</v>
      </c>
      <c r="G3796" t="s">
        <v>3890</v>
      </c>
      <c r="H3796" t="s">
        <v>7078</v>
      </c>
      <c r="J3796">
        <v>1</v>
      </c>
      <c r="K3796">
        <v>22.748523734833093</v>
      </c>
      <c r="L3796">
        <v>20.734316063112885</v>
      </c>
      <c r="M3796">
        <v>20.172373840271693</v>
      </c>
      <c r="N3796">
        <v>20.399377853331679</v>
      </c>
      <c r="O3796">
        <v>20.600749001389481</v>
      </c>
      <c r="P3796">
        <v>20.648807010553384</v>
      </c>
      <c r="Q3796">
        <v>20.683098104648398</v>
      </c>
      <c r="R3796">
        <v>20.811322806032202</v>
      </c>
      <c r="S3796">
        <v>20.981145026025391</v>
      </c>
      <c r="T3796">
        <v>21.164234353630714</v>
      </c>
      <c r="U3796">
        <v>21.36270902812899</v>
      </c>
      <c r="V3796">
        <v>21.569122352789062</v>
      </c>
      <c r="W3796">
        <v>21.783791918491982</v>
      </c>
      <c r="X3796">
        <v>22.007047947590266</v>
      </c>
      <c r="Y3796">
        <v>22.239233919970122</v>
      </c>
      <c r="Z3796">
        <v>22.480707024597837</v>
      </c>
      <c r="AA3796">
        <v>22.731834181620087</v>
      </c>
      <c r="AB3796">
        <v>22.993006424923227</v>
      </c>
      <c r="AC3796">
        <v>23.264625557958492</v>
      </c>
      <c r="AD3796">
        <v>23.547109456315169</v>
      </c>
    </row>
    <row r="3797" spans="2:30" x14ac:dyDescent="0.25">
      <c r="B3797" t="s">
        <v>133</v>
      </c>
      <c r="C3797" t="s">
        <v>3263</v>
      </c>
      <c r="D3797" t="s">
        <v>7188</v>
      </c>
      <c r="E3797" t="s">
        <v>7189</v>
      </c>
      <c r="F3797" t="s">
        <v>9461</v>
      </c>
      <c r="G3797" t="s">
        <v>3890</v>
      </c>
      <c r="H3797" t="s">
        <v>7082</v>
      </c>
      <c r="J3797">
        <v>1</v>
      </c>
      <c r="K3797">
        <v>8.0436035415600002E-2</v>
      </c>
      <c r="L3797">
        <v>8.2826328027928303E-2</v>
      </c>
      <c r="M3797">
        <v>0.11330860976480066</v>
      </c>
      <c r="N3797">
        <v>0.11412159141724208</v>
      </c>
      <c r="O3797">
        <v>0.11487524050064434</v>
      </c>
      <c r="P3797">
        <v>0.11581982025604542</v>
      </c>
      <c r="Q3797">
        <v>0.1169910005586642</v>
      </c>
      <c r="R3797">
        <v>0.11805078974817901</v>
      </c>
      <c r="S3797">
        <v>0.11897425274284208</v>
      </c>
      <c r="T3797">
        <v>0.11987712491385735</v>
      </c>
      <c r="U3797">
        <v>0.12076480283842975</v>
      </c>
      <c r="V3797">
        <v>0.12163721140263649</v>
      </c>
      <c r="W3797">
        <v>0.12249428500567361</v>
      </c>
      <c r="X3797">
        <v>0.12333596678715079</v>
      </c>
      <c r="Y3797">
        <v>0.12416220786644326</v>
      </c>
      <c r="Z3797">
        <v>0.12497296659523903</v>
      </c>
      <c r="AA3797">
        <v>0.12576820782419945</v>
      </c>
      <c r="AB3797">
        <v>0.12654790218444076</v>
      </c>
      <c r="AC3797">
        <v>0.12731202538435987</v>
      </c>
      <c r="AD3797">
        <v>0.12806055752215423</v>
      </c>
    </row>
    <row r="3798" spans="2:30" x14ac:dyDescent="0.25">
      <c r="B3798" t="s">
        <v>133</v>
      </c>
      <c r="C3798" t="s">
        <v>3263</v>
      </c>
      <c r="D3798" t="s">
        <v>7191</v>
      </c>
      <c r="E3798" t="s">
        <v>7192</v>
      </c>
      <c r="F3798" t="s">
        <v>9462</v>
      </c>
      <c r="G3798" t="s">
        <v>3890</v>
      </c>
      <c r="H3798" t="s">
        <v>7086</v>
      </c>
      <c r="J3798">
        <v>1</v>
      </c>
      <c r="K3798">
        <v>0.98637514452054165</v>
      </c>
      <c r="L3798">
        <v>0.97723979447097742</v>
      </c>
      <c r="M3798">
        <v>1.3660843335542761</v>
      </c>
      <c r="N3798">
        <v>1.3835118739348162</v>
      </c>
      <c r="O3798">
        <v>1.3971337415339518</v>
      </c>
      <c r="P3798">
        <v>1.3969305843117998</v>
      </c>
      <c r="Q3798">
        <v>1.3971645021213579</v>
      </c>
      <c r="R3798">
        <v>1.4048277045120772</v>
      </c>
      <c r="S3798">
        <v>1.4143894535822581</v>
      </c>
      <c r="T3798">
        <v>1.4243078082352829</v>
      </c>
      <c r="U3798">
        <v>1.4348546627755057</v>
      </c>
      <c r="V3798">
        <v>1.4452200959710706</v>
      </c>
      <c r="W3798">
        <v>1.4554033283927301</v>
      </c>
      <c r="X3798">
        <v>1.4654036844595677</v>
      </c>
      <c r="Y3798">
        <v>1.4752205834014356</v>
      </c>
      <c r="Z3798">
        <v>1.4848535303781714</v>
      </c>
      <c r="AA3798">
        <v>1.4943021077665002</v>
      </c>
      <c r="AB3798">
        <v>1.5035659666230312</v>
      </c>
      <c r="AC3798">
        <v>1.5126448183295649</v>
      </c>
      <c r="AD3798">
        <v>1.5215384264248681</v>
      </c>
    </row>
    <row r="3799" spans="2:30" x14ac:dyDescent="0.25">
      <c r="B3799" t="s">
        <v>133</v>
      </c>
      <c r="C3799" t="s">
        <v>3263</v>
      </c>
      <c r="D3799" t="s">
        <v>7194</v>
      </c>
      <c r="E3799" t="s">
        <v>7195</v>
      </c>
      <c r="F3799" t="s">
        <v>9463</v>
      </c>
      <c r="G3799" t="s">
        <v>3890</v>
      </c>
      <c r="H3799" t="s">
        <v>7090</v>
      </c>
      <c r="J3799">
        <v>1</v>
      </c>
      <c r="K3799">
        <v>0.470711993112783</v>
      </c>
      <c r="L3799">
        <v>0.47434382009544784</v>
      </c>
      <c r="M3799">
        <v>0.65551046518029188</v>
      </c>
      <c r="N3799">
        <v>0.67849379071023663</v>
      </c>
      <c r="O3799">
        <v>0.70162178859118229</v>
      </c>
      <c r="P3799">
        <v>0.72464836365196028</v>
      </c>
      <c r="Q3799">
        <v>0.7498797898843963</v>
      </c>
      <c r="R3799">
        <v>0.77680309650552604</v>
      </c>
      <c r="S3799">
        <v>0.80451182368938878</v>
      </c>
      <c r="T3799">
        <v>0.83338049599273345</v>
      </c>
      <c r="U3799">
        <v>0.86352034878729855</v>
      </c>
      <c r="V3799">
        <v>0.89486598694028763</v>
      </c>
      <c r="W3799">
        <v>0.92746713868391006</v>
      </c>
      <c r="X3799">
        <v>0.96137544188681545</v>
      </c>
      <c r="Y3799">
        <v>0.99664452368275558</v>
      </c>
      <c r="Z3799">
        <v>1.0333300581998346</v>
      </c>
      <c r="AA3799">
        <v>1.071489266040341</v>
      </c>
      <c r="AB3799">
        <v>1.1111827151581974</v>
      </c>
      <c r="AC3799">
        <v>1.1524726551379481</v>
      </c>
      <c r="AD3799">
        <v>1.1954236734461154</v>
      </c>
    </row>
    <row r="3800" spans="2:30" x14ac:dyDescent="0.25">
      <c r="B3800" t="s">
        <v>133</v>
      </c>
      <c r="C3800" t="s">
        <v>3263</v>
      </c>
      <c r="D3800" t="s">
        <v>7197</v>
      </c>
      <c r="E3800" t="s">
        <v>7198</v>
      </c>
      <c r="F3800" t="s">
        <v>9464</v>
      </c>
      <c r="G3800" t="s">
        <v>3890</v>
      </c>
      <c r="H3800" t="s">
        <v>7078</v>
      </c>
      <c r="J3800">
        <v>1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  <c r="W3800" t="e">
        <v>#N/A</v>
      </c>
      <c r="X3800" t="e">
        <v>#N/A</v>
      </c>
      <c r="Y3800" t="e">
        <v>#N/A</v>
      </c>
      <c r="Z3800" t="e">
        <v>#N/A</v>
      </c>
      <c r="AA3800" t="e">
        <v>#N/A</v>
      </c>
      <c r="AB3800" t="e">
        <v>#N/A</v>
      </c>
      <c r="AC3800" t="e">
        <v>#N/A</v>
      </c>
      <c r="AD3800" t="e">
        <v>#N/A</v>
      </c>
    </row>
    <row r="3801" spans="2:30" x14ac:dyDescent="0.25">
      <c r="B3801" t="s">
        <v>133</v>
      </c>
      <c r="C3801" t="s">
        <v>3263</v>
      </c>
      <c r="D3801" t="s">
        <v>7200</v>
      </c>
      <c r="E3801" t="s">
        <v>7201</v>
      </c>
      <c r="F3801" t="s">
        <v>9465</v>
      </c>
      <c r="G3801" t="s">
        <v>3890</v>
      </c>
      <c r="H3801" t="s">
        <v>7082</v>
      </c>
      <c r="J3801">
        <v>1</v>
      </c>
      <c r="K3801">
        <v>1.2327486599412001</v>
      </c>
      <c r="L3801">
        <v>1.1725498535410277</v>
      </c>
      <c r="M3801">
        <v>1.4033766257361235</v>
      </c>
      <c r="N3801">
        <v>1.4309089276484832</v>
      </c>
      <c r="O3801">
        <v>1.3887855603775396</v>
      </c>
      <c r="P3801">
        <v>1.3709239007009983</v>
      </c>
      <c r="Q3801">
        <v>1.405333502695209</v>
      </c>
      <c r="R3801">
        <v>1.4460673124581764</v>
      </c>
      <c r="S3801">
        <v>1.4809159686338571</v>
      </c>
      <c r="T3801">
        <v>1.5169720235909432</v>
      </c>
      <c r="U3801">
        <v>1.5559131246288957</v>
      </c>
      <c r="V3801">
        <v>1.6012953086123916</v>
      </c>
      <c r="W3801">
        <v>1.6529409425998396</v>
      </c>
      <c r="X3801">
        <v>1.7129466952684886</v>
      </c>
      <c r="Y3801">
        <v>1.7815671654478555</v>
      </c>
      <c r="Z3801">
        <v>1.861141002950899</v>
      </c>
      <c r="AA3801">
        <v>1.9534533709407098</v>
      </c>
      <c r="AB3801">
        <v>2.0611656660334066</v>
      </c>
      <c r="AC3801">
        <v>2.1873878738852857</v>
      </c>
      <c r="AD3801">
        <v>2.3139890053442147</v>
      </c>
    </row>
    <row r="3802" spans="2:30" x14ac:dyDescent="0.25">
      <c r="B3802" t="s">
        <v>133</v>
      </c>
      <c r="C3802" t="s">
        <v>3263</v>
      </c>
      <c r="D3802" t="s">
        <v>7203</v>
      </c>
      <c r="E3802" t="s">
        <v>7204</v>
      </c>
      <c r="F3802" t="s">
        <v>9466</v>
      </c>
      <c r="G3802" t="s">
        <v>3890</v>
      </c>
      <c r="H3802" t="s">
        <v>7086</v>
      </c>
      <c r="J3802">
        <v>1</v>
      </c>
      <c r="K3802">
        <v>10.729197716636946</v>
      </c>
      <c r="L3802">
        <v>7.9445750529416692</v>
      </c>
      <c r="M3802">
        <v>8.578088928148107</v>
      </c>
      <c r="N3802">
        <v>8.8593982840530714</v>
      </c>
      <c r="O3802">
        <v>8.6626865911711999</v>
      </c>
      <c r="P3802">
        <v>8.3877018488758033</v>
      </c>
      <c r="Q3802">
        <v>8.4009858835835729</v>
      </c>
      <c r="R3802">
        <v>8.5721925016772875</v>
      </c>
      <c r="S3802">
        <v>8.7577687002893185</v>
      </c>
      <c r="T3802">
        <v>8.9588025119718164</v>
      </c>
      <c r="U3802">
        <v>9.1887775071414239</v>
      </c>
      <c r="V3802">
        <v>9.4567916943165358</v>
      </c>
      <c r="W3802">
        <v>9.7617960241945987</v>
      </c>
      <c r="X3802">
        <v>10.116172821775946</v>
      </c>
      <c r="Y3802">
        <v>10.521425674864402</v>
      </c>
      <c r="Z3802">
        <v>10.991365979776536</v>
      </c>
      <c r="AA3802">
        <v>11.536536399119871</v>
      </c>
      <c r="AB3802">
        <v>12.17265437943861</v>
      </c>
      <c r="AC3802">
        <v>12.918086605731906</v>
      </c>
      <c r="AD3802">
        <v>13.665756646375034</v>
      </c>
    </row>
    <row r="3803" spans="2:30" x14ac:dyDescent="0.25">
      <c r="B3803" t="s">
        <v>133</v>
      </c>
      <c r="C3803" t="s">
        <v>3263</v>
      </c>
      <c r="D3803" t="s">
        <v>7206</v>
      </c>
      <c r="E3803" t="s">
        <v>7207</v>
      </c>
      <c r="F3803" t="s">
        <v>9467</v>
      </c>
      <c r="G3803" t="s">
        <v>3890</v>
      </c>
      <c r="H3803" t="s">
        <v>7090</v>
      </c>
      <c r="J3803">
        <v>1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  <c r="W3803" t="e">
        <v>#N/A</v>
      </c>
      <c r="X3803" t="e">
        <v>#N/A</v>
      </c>
      <c r="Y3803" t="e">
        <v>#N/A</v>
      </c>
      <c r="Z3803" t="e">
        <v>#N/A</v>
      </c>
      <c r="AA3803" t="e">
        <v>#N/A</v>
      </c>
      <c r="AB3803" t="e">
        <v>#N/A</v>
      </c>
      <c r="AC3803" t="e">
        <v>#N/A</v>
      </c>
      <c r="AD3803" t="e">
        <v>#N/A</v>
      </c>
    </row>
    <row r="3804" spans="2:30" x14ac:dyDescent="0.25">
      <c r="B3804" t="s">
        <v>133</v>
      </c>
      <c r="C3804" t="s">
        <v>3263</v>
      </c>
      <c r="D3804" t="s">
        <v>7209</v>
      </c>
      <c r="E3804" t="s">
        <v>7210</v>
      </c>
      <c r="F3804" t="s">
        <v>9468</v>
      </c>
      <c r="G3804" t="s">
        <v>3890</v>
      </c>
      <c r="H3804" t="s">
        <v>7212</v>
      </c>
      <c r="J3804">
        <v>1</v>
      </c>
      <c r="K3804">
        <v>11.934141046607984</v>
      </c>
      <c r="L3804">
        <v>9.8637389385673195</v>
      </c>
      <c r="M3804">
        <v>9.2724788787181698</v>
      </c>
      <c r="N3804">
        <v>9.3465329133906021</v>
      </c>
      <c r="O3804">
        <v>9.4062507450471351</v>
      </c>
      <c r="P3804">
        <v>9.3010918182266025</v>
      </c>
      <c r="Q3804">
        <v>9.1630818173852937</v>
      </c>
      <c r="R3804">
        <v>9.1104335154490101</v>
      </c>
      <c r="S3804">
        <v>9.0935178941482739</v>
      </c>
      <c r="T3804">
        <v>9.0824347550541678</v>
      </c>
      <c r="U3804">
        <v>9.0786598757442114</v>
      </c>
      <c r="V3804">
        <v>9.073723849886095</v>
      </c>
      <c r="W3804">
        <v>9.0678069195426865</v>
      </c>
      <c r="X3804">
        <v>9.0606305780844689</v>
      </c>
      <c r="Y3804">
        <v>9.0523445517797505</v>
      </c>
      <c r="Z3804">
        <v>9.042734168814949</v>
      </c>
      <c r="AA3804">
        <v>9.0317689603847953</v>
      </c>
      <c r="AB3804">
        <v>9.0193488829070567</v>
      </c>
      <c r="AC3804">
        <v>9.0054107227450775</v>
      </c>
      <c r="AD3804">
        <v>8.992779379311056</v>
      </c>
    </row>
    <row r="3805" spans="2:30" x14ac:dyDescent="0.25">
      <c r="B3805" t="s">
        <v>133</v>
      </c>
      <c r="C3805" t="s">
        <v>3263</v>
      </c>
      <c r="D3805" t="s">
        <v>7213</v>
      </c>
      <c r="E3805" t="s">
        <v>7214</v>
      </c>
      <c r="F3805" t="s">
        <v>9469</v>
      </c>
      <c r="G3805" t="s">
        <v>3890</v>
      </c>
      <c r="H3805" t="s">
        <v>5985</v>
      </c>
      <c r="J3805">
        <v>1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  <c r="W3805" t="e">
        <v>#N/A</v>
      </c>
      <c r="X3805" t="e">
        <v>#N/A</v>
      </c>
      <c r="Y3805" t="e">
        <v>#N/A</v>
      </c>
      <c r="Z3805" t="e">
        <v>#N/A</v>
      </c>
      <c r="AA3805" t="e">
        <v>#N/A</v>
      </c>
      <c r="AB3805" t="e">
        <v>#N/A</v>
      </c>
      <c r="AC3805" t="e">
        <v>#N/A</v>
      </c>
      <c r="AD3805" t="e">
        <v>#N/A</v>
      </c>
    </row>
    <row r="3806" spans="2:30" x14ac:dyDescent="0.25">
      <c r="B3806" t="s">
        <v>133</v>
      </c>
      <c r="C3806" t="s">
        <v>3263</v>
      </c>
      <c r="D3806" t="s">
        <v>7216</v>
      </c>
      <c r="E3806" t="s">
        <v>7217</v>
      </c>
      <c r="F3806" t="s">
        <v>9470</v>
      </c>
      <c r="G3806" t="s">
        <v>3890</v>
      </c>
      <c r="H3806" t="s">
        <v>4476</v>
      </c>
      <c r="J3806">
        <v>1</v>
      </c>
      <c r="K3806">
        <v>0.12645947806431773</v>
      </c>
      <c r="L3806">
        <v>0.12756450051444032</v>
      </c>
      <c r="M3806">
        <v>0.14359805819631091</v>
      </c>
      <c r="N3806">
        <v>0.14291779658104437</v>
      </c>
      <c r="O3806">
        <v>0.1470658453988665</v>
      </c>
      <c r="P3806">
        <v>0.14836126945545097</v>
      </c>
      <c r="Q3806">
        <v>0.14569060132266123</v>
      </c>
      <c r="R3806">
        <v>0.14331267541830933</v>
      </c>
      <c r="S3806">
        <v>0.14168447421085414</v>
      </c>
      <c r="T3806">
        <v>0.14011728751933397</v>
      </c>
      <c r="U3806">
        <v>0.13852389679989052</v>
      </c>
      <c r="V3806">
        <v>0.13666130347430691</v>
      </c>
      <c r="W3806">
        <v>0.13458124582457398</v>
      </c>
      <c r="X3806">
        <v>0.13221312065558435</v>
      </c>
      <c r="Y3806">
        <v>0.12959955836153667</v>
      </c>
      <c r="Z3806">
        <v>0.12668648101971544</v>
      </c>
      <c r="AA3806">
        <v>0.12346806235780568</v>
      </c>
      <c r="AB3806">
        <v>0.11991977087874954</v>
      </c>
      <c r="AC3806">
        <v>0.11602616034667598</v>
      </c>
      <c r="AD3806">
        <v>0.11252208877552253</v>
      </c>
    </row>
    <row r="3807" spans="2:30" x14ac:dyDescent="0.25">
      <c r="B3807" t="s">
        <v>133</v>
      </c>
      <c r="C3807" t="s">
        <v>3263</v>
      </c>
      <c r="D3807" t="s">
        <v>7219</v>
      </c>
      <c r="E3807" t="s">
        <v>7220</v>
      </c>
      <c r="F3807" t="s">
        <v>9471</v>
      </c>
      <c r="G3807" t="s">
        <v>3890</v>
      </c>
      <c r="H3807" t="s">
        <v>7078</v>
      </c>
      <c r="J3807">
        <v>1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  <c r="W3807" t="e">
        <v>#N/A</v>
      </c>
      <c r="X3807" t="e">
        <v>#N/A</v>
      </c>
      <c r="Y3807" t="e">
        <v>#N/A</v>
      </c>
      <c r="Z3807" t="e">
        <v>#N/A</v>
      </c>
      <c r="AA3807" t="e">
        <v>#N/A</v>
      </c>
      <c r="AB3807" t="e">
        <v>#N/A</v>
      </c>
      <c r="AC3807" t="e">
        <v>#N/A</v>
      </c>
      <c r="AD3807" t="e">
        <v>#N/A</v>
      </c>
    </row>
    <row r="3808" spans="2:30" x14ac:dyDescent="0.25">
      <c r="B3808" t="s">
        <v>133</v>
      </c>
      <c r="C3808" t="s">
        <v>3263</v>
      </c>
      <c r="D3808" t="s">
        <v>7222</v>
      </c>
      <c r="E3808" t="s">
        <v>7223</v>
      </c>
      <c r="F3808" t="s">
        <v>9472</v>
      </c>
      <c r="G3808" t="s">
        <v>3890</v>
      </c>
      <c r="H3808" t="s">
        <v>7160</v>
      </c>
      <c r="J3808">
        <v>1</v>
      </c>
      <c r="K3808">
        <v>3.5338787520243979</v>
      </c>
      <c r="L3808">
        <v>3.220263885788178</v>
      </c>
      <c r="M3808">
        <v>3.1807567006268043</v>
      </c>
      <c r="N3808">
        <v>3.1896625857961474</v>
      </c>
      <c r="O3808">
        <v>3.2171661421378506</v>
      </c>
      <c r="P3808">
        <v>3.2410686295181246</v>
      </c>
      <c r="Q3808">
        <v>3.2527970988980686</v>
      </c>
      <c r="R3808">
        <v>3.2614927638941014</v>
      </c>
      <c r="S3808">
        <v>3.2703770944315771</v>
      </c>
      <c r="T3808">
        <v>3.2788621681122594</v>
      </c>
      <c r="U3808">
        <v>3.2865607933126637</v>
      </c>
      <c r="V3808">
        <v>3.292538808234946</v>
      </c>
      <c r="W3808">
        <v>3.2969407042038128</v>
      </c>
      <c r="X3808">
        <v>3.2993384144998865</v>
      </c>
      <c r="Y3808">
        <v>3.2998419193943698</v>
      </c>
      <c r="Z3808">
        <v>3.2980909509286911</v>
      </c>
      <c r="AA3808">
        <v>3.2939580410078686</v>
      </c>
      <c r="AB3808">
        <v>3.2872196613192104</v>
      </c>
      <c r="AC3808">
        <v>3.2776977123692239</v>
      </c>
      <c r="AD3808">
        <v>3.2693158691876096</v>
      </c>
    </row>
    <row r="3809" spans="2:30" x14ac:dyDescent="0.25">
      <c r="B3809" t="s">
        <v>133</v>
      </c>
      <c r="C3809" t="s">
        <v>3263</v>
      </c>
      <c r="D3809" t="s">
        <v>7225</v>
      </c>
      <c r="E3809" t="s">
        <v>7226</v>
      </c>
      <c r="F3809" t="s">
        <v>9473</v>
      </c>
      <c r="G3809" t="s">
        <v>3890</v>
      </c>
      <c r="H3809" t="s">
        <v>7082</v>
      </c>
      <c r="J3809">
        <v>1</v>
      </c>
      <c r="K3809">
        <v>2.07346120236E-2</v>
      </c>
      <c r="L3809">
        <v>2.0285868083065432E-2</v>
      </c>
      <c r="M3809">
        <v>1.9772134898585956E-2</v>
      </c>
      <c r="N3809">
        <v>1.9035859948046196E-2</v>
      </c>
      <c r="O3809">
        <v>1.9422579074165315E-2</v>
      </c>
      <c r="P3809">
        <v>2.1329280058097252E-2</v>
      </c>
      <c r="Q3809">
        <v>2.3413353899107776E-2</v>
      </c>
      <c r="R3809">
        <v>2.5683290922500476E-2</v>
      </c>
      <c r="S3809">
        <v>2.8390849334554529E-2</v>
      </c>
      <c r="T3809">
        <v>3.1593746187351258E-2</v>
      </c>
      <c r="U3809">
        <v>3.506793832902242E-2</v>
      </c>
      <c r="V3809">
        <v>3.8798034922163702E-2</v>
      </c>
      <c r="W3809">
        <v>4.2764588673719107E-2</v>
      </c>
      <c r="X3809">
        <v>4.6948306438777461E-2</v>
      </c>
      <c r="Y3809">
        <v>5.1323169163651552E-2</v>
      </c>
      <c r="Z3809">
        <v>5.5929800254312441E-2</v>
      </c>
      <c r="AA3809">
        <v>6.0763121295548991E-2</v>
      </c>
      <c r="AB3809">
        <v>6.5817895828502393E-2</v>
      </c>
      <c r="AC3809">
        <v>7.1091293013425538E-2</v>
      </c>
      <c r="AD3809">
        <v>7.6489337131125379E-2</v>
      </c>
    </row>
    <row r="3810" spans="2:30" x14ac:dyDescent="0.25">
      <c r="B3810" t="s">
        <v>133</v>
      </c>
      <c r="C3810" t="s">
        <v>3263</v>
      </c>
      <c r="D3810" t="s">
        <v>7228</v>
      </c>
      <c r="E3810" t="s">
        <v>7229</v>
      </c>
      <c r="F3810" t="s">
        <v>9474</v>
      </c>
      <c r="G3810" t="s">
        <v>3890</v>
      </c>
      <c r="H3810" t="s">
        <v>7086</v>
      </c>
      <c r="J3810">
        <v>1</v>
      </c>
      <c r="K3810">
        <v>0.17417617957466655</v>
      </c>
      <c r="L3810">
        <v>0.13476865853381381</v>
      </c>
      <c r="M3810">
        <v>0.12044635266993034</v>
      </c>
      <c r="N3810">
        <v>0.11720132127436933</v>
      </c>
      <c r="O3810">
        <v>0.12020798509670462</v>
      </c>
      <c r="P3810">
        <v>0.12925593175052666</v>
      </c>
      <c r="Q3810">
        <v>0.13837958775842998</v>
      </c>
      <c r="R3810">
        <v>0.1502200469106533</v>
      </c>
      <c r="S3810">
        <v>0.1653239130986541</v>
      </c>
      <c r="T3810">
        <v>0.18335659929171219</v>
      </c>
      <c r="U3810">
        <v>0.20311697341829688</v>
      </c>
      <c r="V3810">
        <v>0.22429861913747171</v>
      </c>
      <c r="W3810">
        <v>0.24678871999002905</v>
      </c>
      <c r="X3810">
        <v>0.27048290997929619</v>
      </c>
      <c r="Y3810">
        <v>0.29523666571626578</v>
      </c>
      <c r="Z3810">
        <v>0.32129674770866906</v>
      </c>
      <c r="AA3810">
        <v>0.34864730086502566</v>
      </c>
      <c r="AB3810">
        <v>0.37727668398198339</v>
      </c>
      <c r="AC3810">
        <v>0.40719052391743948</v>
      </c>
      <c r="AD3810">
        <v>0.4377839299835265</v>
      </c>
    </row>
    <row r="3811" spans="2:30" x14ac:dyDescent="0.25">
      <c r="B3811" t="s">
        <v>133</v>
      </c>
      <c r="C3811" t="s">
        <v>3263</v>
      </c>
      <c r="D3811" t="s">
        <v>7231</v>
      </c>
      <c r="E3811" t="s">
        <v>7232</v>
      </c>
      <c r="F3811" t="s">
        <v>9475</v>
      </c>
      <c r="G3811" t="s">
        <v>3890</v>
      </c>
      <c r="H3811" t="s">
        <v>7090</v>
      </c>
      <c r="J3811">
        <v>1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  <c r="W3811" t="e">
        <v>#N/A</v>
      </c>
      <c r="X3811" t="e">
        <v>#N/A</v>
      </c>
      <c r="Y3811" t="e">
        <v>#N/A</v>
      </c>
      <c r="Z3811" t="e">
        <v>#N/A</v>
      </c>
      <c r="AA3811" t="e">
        <v>#N/A</v>
      </c>
      <c r="AB3811" t="e">
        <v>#N/A</v>
      </c>
      <c r="AC3811" t="e">
        <v>#N/A</v>
      </c>
      <c r="AD3811" t="e">
        <v>#N/A</v>
      </c>
    </row>
    <row r="3812" spans="2:30" x14ac:dyDescent="0.25">
      <c r="B3812" t="s">
        <v>133</v>
      </c>
      <c r="C3812" t="s">
        <v>3263</v>
      </c>
      <c r="D3812" t="s">
        <v>7234</v>
      </c>
      <c r="E3812" t="s">
        <v>7235</v>
      </c>
      <c r="F3812" t="s">
        <v>9476</v>
      </c>
      <c r="G3812" t="s">
        <v>3890</v>
      </c>
      <c r="H3812" t="s">
        <v>7078</v>
      </c>
      <c r="J3812">
        <v>1</v>
      </c>
      <c r="K3812">
        <v>16.392425627687448</v>
      </c>
      <c r="L3812">
        <v>14.09367816856089</v>
      </c>
      <c r="M3812">
        <v>13.279229897014005</v>
      </c>
      <c r="N3812">
        <v>12.815553445419873</v>
      </c>
      <c r="O3812">
        <v>13.071104167426984</v>
      </c>
      <c r="P3812">
        <v>13.372618758096797</v>
      </c>
      <c r="Q3812">
        <v>13.603200778249683</v>
      </c>
      <c r="R3812">
        <v>13.842164534380075</v>
      </c>
      <c r="S3812">
        <v>14.089843480191085</v>
      </c>
      <c r="T3812">
        <v>14.349665525737496</v>
      </c>
      <c r="U3812">
        <v>14.649817845737497</v>
      </c>
      <c r="V3812">
        <v>14.961976258537497</v>
      </c>
      <c r="W3812">
        <v>15.286621007849497</v>
      </c>
      <c r="X3812">
        <v>15.624251547133976</v>
      </c>
      <c r="Y3812">
        <v>15.975387307989836</v>
      </c>
      <c r="Z3812">
        <v>16.340568499279929</v>
      </c>
      <c r="AA3812">
        <v>16.720356938221627</v>
      </c>
      <c r="AB3812">
        <v>17.115336914720992</v>
      </c>
      <c r="AC3812">
        <v>17.526116090280333</v>
      </c>
      <c r="AD3812">
        <v>17.953326432862045</v>
      </c>
    </row>
    <row r="3813" spans="2:30" x14ac:dyDescent="0.25">
      <c r="B3813" t="s">
        <v>133</v>
      </c>
      <c r="C3813" t="s">
        <v>3263</v>
      </c>
      <c r="D3813" t="s">
        <v>7237</v>
      </c>
      <c r="E3813" t="s">
        <v>7238</v>
      </c>
      <c r="F3813" t="s">
        <v>9477</v>
      </c>
      <c r="G3813" t="s">
        <v>3890</v>
      </c>
      <c r="H3813" t="s">
        <v>7082</v>
      </c>
      <c r="J3813">
        <v>1</v>
      </c>
      <c r="K3813">
        <v>6.9059390313599991E-2</v>
      </c>
      <c r="L3813">
        <v>6.4623086170915042E-2</v>
      </c>
      <c r="M3813">
        <v>7.6825636347470722E-2</v>
      </c>
      <c r="N3813">
        <v>8.2613612343509196E-2</v>
      </c>
      <c r="O3813">
        <v>8.393965360857171E-2</v>
      </c>
      <c r="P3813">
        <v>8.5261902309808402E-2</v>
      </c>
      <c r="Q3813">
        <v>8.7450641271725596E-2</v>
      </c>
      <c r="R3813">
        <v>8.9554234089705073E-2</v>
      </c>
      <c r="S3813">
        <v>9.1536842493587303E-2</v>
      </c>
      <c r="T3813">
        <v>9.3520080623973406E-2</v>
      </c>
      <c r="U3813">
        <v>9.5290608477598807E-2</v>
      </c>
      <c r="V3813">
        <v>9.7065604041481776E-2</v>
      </c>
      <c r="W3813">
        <v>9.8844561385924623E-2</v>
      </c>
      <c r="X3813">
        <v>0.10062697903987067</v>
      </c>
      <c r="Y3813">
        <v>0.10241235956622304</v>
      </c>
      <c r="Z3813">
        <v>0.10420020909157315</v>
      </c>
      <c r="AA3813">
        <v>0.10599003679268053</v>
      </c>
      <c r="AB3813">
        <v>0.10778135434189404</v>
      </c>
      <c r="AC3813">
        <v>0.10957367531355508</v>
      </c>
      <c r="AD3813">
        <v>0.11136651455327028</v>
      </c>
    </row>
    <row r="3814" spans="2:30" x14ac:dyDescent="0.25">
      <c r="B3814" t="s">
        <v>133</v>
      </c>
      <c r="C3814" t="s">
        <v>3263</v>
      </c>
      <c r="D3814" t="s">
        <v>7240</v>
      </c>
      <c r="E3814" t="s">
        <v>7241</v>
      </c>
      <c r="F3814" t="s">
        <v>9478</v>
      </c>
      <c r="G3814" t="s">
        <v>3890</v>
      </c>
      <c r="H3814" t="s">
        <v>7086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</row>
    <row r="3815" spans="2:30" x14ac:dyDescent="0.25">
      <c r="B3815" t="s">
        <v>133</v>
      </c>
      <c r="C3815" t="s">
        <v>3263</v>
      </c>
      <c r="D3815" t="s">
        <v>7243</v>
      </c>
      <c r="E3815" t="s">
        <v>7244</v>
      </c>
      <c r="F3815" t="s">
        <v>9479</v>
      </c>
      <c r="G3815" t="s">
        <v>3890</v>
      </c>
      <c r="H3815" t="s">
        <v>7090</v>
      </c>
      <c r="J3815">
        <v>1</v>
      </c>
      <c r="K3815">
        <v>0.34021994136974787</v>
      </c>
      <c r="L3815">
        <v>0.34014458604652181</v>
      </c>
      <c r="M3815">
        <v>0.42512733391564467</v>
      </c>
      <c r="N3815">
        <v>0.47599948329893271</v>
      </c>
      <c r="O3815">
        <v>0.50355153259611019</v>
      </c>
      <c r="P3815">
        <v>0.53251805901937221</v>
      </c>
      <c r="Q3815">
        <v>0.56862554817310806</v>
      </c>
      <c r="R3815">
        <v>0.60619976845002654</v>
      </c>
      <c r="S3815">
        <v>0.64502238112349075</v>
      </c>
      <c r="T3815">
        <v>0.685988085810048</v>
      </c>
      <c r="U3815">
        <v>0.72757695117647525</v>
      </c>
      <c r="V3815">
        <v>0.77142950479440542</v>
      </c>
      <c r="W3815">
        <v>0.81765714744337969</v>
      </c>
      <c r="X3815">
        <v>0.86637631680436056</v>
      </c>
      <c r="Y3815">
        <v>0.91770869508105413</v>
      </c>
      <c r="Z3815">
        <v>0.97178142349477992</v>
      </c>
      <c r="AA3815">
        <v>1.0287273237182966</v>
      </c>
      <c r="AB3815">
        <v>1.0886851262959711</v>
      </c>
      <c r="AC3815">
        <v>1.1517997060771119</v>
      </c>
      <c r="AD3815">
        <v>1.2182223246658683</v>
      </c>
    </row>
    <row r="3816" spans="2:30" x14ac:dyDescent="0.25">
      <c r="B3816" t="s">
        <v>133</v>
      </c>
      <c r="C3816" t="s">
        <v>3263</v>
      </c>
      <c r="D3816" t="s">
        <v>7246</v>
      </c>
      <c r="E3816" t="s">
        <v>7247</v>
      </c>
      <c r="F3816" t="s">
        <v>9480</v>
      </c>
      <c r="G3816" t="s">
        <v>3890</v>
      </c>
      <c r="H3816" t="s">
        <v>4476</v>
      </c>
      <c r="J3816">
        <v>1</v>
      </c>
      <c r="K3816">
        <v>0.14000000000000001</v>
      </c>
      <c r="L3816">
        <v>0.14000000000000001</v>
      </c>
      <c r="M3816">
        <v>0.14000000000000001</v>
      </c>
      <c r="N3816">
        <v>0.14000000000000001</v>
      </c>
      <c r="O3816">
        <v>0.14000000000000001</v>
      </c>
      <c r="P3816">
        <v>0.14000000000000001</v>
      </c>
      <c r="Q3816">
        <v>0.14000000000000001</v>
      </c>
      <c r="R3816">
        <v>0.14000000000000001</v>
      </c>
      <c r="S3816">
        <v>0.14000000000000001</v>
      </c>
      <c r="T3816">
        <v>0.14000000000000001</v>
      </c>
      <c r="U3816">
        <v>0.14000000000000001</v>
      </c>
      <c r="V3816">
        <v>0.14000000000000001</v>
      </c>
      <c r="W3816">
        <v>0.14000000000000001</v>
      </c>
      <c r="X3816">
        <v>0.14000000000000001</v>
      </c>
      <c r="Y3816">
        <v>0.14000000000000001</v>
      </c>
      <c r="Z3816">
        <v>0.14000000000000001</v>
      </c>
      <c r="AA3816">
        <v>0.14000000000000001</v>
      </c>
      <c r="AB3816">
        <v>0.14000000000000001</v>
      </c>
      <c r="AC3816">
        <v>0.14000000000000001</v>
      </c>
      <c r="AD3816">
        <v>0.14000000000000001</v>
      </c>
    </row>
    <row r="3817" spans="2:30" x14ac:dyDescent="0.25">
      <c r="B3817" t="s">
        <v>133</v>
      </c>
      <c r="C3817" t="s">
        <v>3263</v>
      </c>
      <c r="D3817" t="s">
        <v>7249</v>
      </c>
      <c r="E3817" t="s">
        <v>7250</v>
      </c>
      <c r="F3817" t="s">
        <v>9481</v>
      </c>
      <c r="G3817" t="s">
        <v>3890</v>
      </c>
      <c r="H3817" t="s">
        <v>7078</v>
      </c>
      <c r="J3817">
        <v>1</v>
      </c>
      <c r="K3817">
        <v>29.198994529643425</v>
      </c>
      <c r="L3817">
        <v>21.901513365214228</v>
      </c>
      <c r="M3817">
        <v>21.243362771297214</v>
      </c>
      <c r="N3817">
        <v>20.412162853462071</v>
      </c>
      <c r="O3817">
        <v>20.711511621360181</v>
      </c>
      <c r="P3817">
        <v>21.079215049380998</v>
      </c>
      <c r="Q3817">
        <v>21.330709657393001</v>
      </c>
      <c r="R3817">
        <v>21.590936560857443</v>
      </c>
      <c r="S3817">
        <v>21.86024218737267</v>
      </c>
      <c r="T3817">
        <v>22.1438471095036</v>
      </c>
      <c r="U3817">
        <v>22.486020754303599</v>
      </c>
      <c r="V3817">
        <v>22.841881344895601</v>
      </c>
      <c r="W3817">
        <v>23.211976359111283</v>
      </c>
      <c r="X3817">
        <v>23.596875173895587</v>
      </c>
      <c r="Y3817">
        <v>23.997169941271267</v>
      </c>
      <c r="Z3817">
        <v>24.413476499341975</v>
      </c>
      <c r="AA3817">
        <v>24.846435319735509</v>
      </c>
      <c r="AB3817">
        <v>25.296712492944785</v>
      </c>
      <c r="AC3817">
        <v>25.765000753082433</v>
      </c>
      <c r="AD3817">
        <v>26.252020543625587</v>
      </c>
    </row>
    <row r="3818" spans="2:30" x14ac:dyDescent="0.25">
      <c r="B3818" t="s">
        <v>133</v>
      </c>
      <c r="C3818" t="s">
        <v>3263</v>
      </c>
      <c r="D3818" t="s">
        <v>7252</v>
      </c>
      <c r="E3818" t="s">
        <v>7253</v>
      </c>
      <c r="F3818" t="s">
        <v>9482</v>
      </c>
      <c r="G3818" t="s">
        <v>3890</v>
      </c>
      <c r="H3818" t="s">
        <v>7082</v>
      </c>
      <c r="J3818">
        <v>1</v>
      </c>
      <c r="K3818">
        <v>6.858397079999999E-5</v>
      </c>
      <c r="L3818">
        <v>6.8580036717958112E-5</v>
      </c>
      <c r="M3818">
        <v>7.8460671290462932E-5</v>
      </c>
      <c r="N3818">
        <v>8.2832906860848496E-5</v>
      </c>
      <c r="O3818">
        <v>8.3484336923178609E-5</v>
      </c>
      <c r="P3818">
        <v>8.4071957938455815E-5</v>
      </c>
      <c r="Q3818">
        <v>8.5280257200442635E-5</v>
      </c>
      <c r="R3818">
        <v>8.6427028704826199E-5</v>
      </c>
      <c r="S3818">
        <v>8.7493938512133836E-5</v>
      </c>
      <c r="T3818">
        <v>8.8547866882130361E-5</v>
      </c>
      <c r="U3818">
        <v>8.9424957569430083E-5</v>
      </c>
      <c r="V3818">
        <v>9.0294521793758361E-5</v>
      </c>
      <c r="W3818">
        <v>9.1156439839580711E-5</v>
      </c>
      <c r="X3818">
        <v>9.201059765179075E-5</v>
      </c>
      <c r="Y3818">
        <v>9.2856886343157879E-5</v>
      </c>
      <c r="Z3818">
        <v>9.3695201703777883E-5</v>
      </c>
      <c r="AA3818">
        <v>9.4525443713318116E-5</v>
      </c>
      <c r="AB3818">
        <v>9.5347516056705107E-5</v>
      </c>
      <c r="AC3818">
        <v>9.6161325643775688E-5</v>
      </c>
      <c r="AD3818">
        <v>9.696678213329031E-5</v>
      </c>
    </row>
    <row r="3819" spans="2:30" x14ac:dyDescent="0.25">
      <c r="B3819" t="s">
        <v>133</v>
      </c>
      <c r="C3819" t="s">
        <v>3263</v>
      </c>
      <c r="D3819" t="s">
        <v>7255</v>
      </c>
      <c r="E3819" t="s">
        <v>7256</v>
      </c>
      <c r="F3819" t="s">
        <v>9483</v>
      </c>
      <c r="G3819" t="s">
        <v>3890</v>
      </c>
      <c r="H3819" t="s">
        <v>7086</v>
      </c>
      <c r="J3819">
        <v>1</v>
      </c>
      <c r="K3819">
        <v>1.029092562136108E-3</v>
      </c>
      <c r="L3819">
        <v>5.9793586442043016E-4</v>
      </c>
      <c r="M3819">
        <v>6.1554340106525726E-4</v>
      </c>
      <c r="N3819">
        <v>5.7055586813039118E-4</v>
      </c>
      <c r="O3819">
        <v>5.7716109671923838E-4</v>
      </c>
      <c r="P3819">
        <v>5.8759987403493325E-4</v>
      </c>
      <c r="Q3819">
        <v>5.9297811692145632E-4</v>
      </c>
      <c r="R3819">
        <v>5.9761888097207064E-4</v>
      </c>
      <c r="S3819">
        <v>6.0138498084958867E-4</v>
      </c>
      <c r="T3819">
        <v>6.05102085304453E-4</v>
      </c>
      <c r="U3819">
        <v>6.1109578591604034E-4</v>
      </c>
      <c r="V3819">
        <v>6.1703805357278248E-4</v>
      </c>
      <c r="W3819">
        <v>6.2292807018473424E-4</v>
      </c>
      <c r="X3819">
        <v>6.2876505634314043E-4</v>
      </c>
      <c r="Y3819">
        <v>6.3454826795452226E-4</v>
      </c>
      <c r="Z3819">
        <v>6.4027699288845142E-4</v>
      </c>
      <c r="AA3819">
        <v>6.4595054764442206E-4</v>
      </c>
      <c r="AB3819">
        <v>6.5156827404224424E-4</v>
      </c>
      <c r="AC3819">
        <v>6.5712953593952594E-4</v>
      </c>
      <c r="AD3819">
        <v>6.6263371597896224E-4</v>
      </c>
    </row>
    <row r="3820" spans="2:30" x14ac:dyDescent="0.25">
      <c r="B3820" t="s">
        <v>133</v>
      </c>
      <c r="C3820" t="s">
        <v>3263</v>
      </c>
      <c r="D3820" t="s">
        <v>7258</v>
      </c>
      <c r="E3820" t="s">
        <v>7259</v>
      </c>
      <c r="F3820" t="s">
        <v>9484</v>
      </c>
      <c r="G3820" t="s">
        <v>3890</v>
      </c>
      <c r="H3820" t="s">
        <v>7090</v>
      </c>
      <c r="J3820">
        <v>1</v>
      </c>
      <c r="K3820">
        <v>6.0751114835123953E-4</v>
      </c>
      <c r="L3820">
        <v>5.6047847968498791E-4</v>
      </c>
      <c r="M3820">
        <v>6.5209537887577244E-4</v>
      </c>
      <c r="N3820">
        <v>6.9887161434231172E-4</v>
      </c>
      <c r="O3820">
        <v>7.2724058854602906E-4</v>
      </c>
      <c r="P3820">
        <v>7.5689664758464548E-4</v>
      </c>
      <c r="Q3820">
        <v>7.9228930674950313E-4</v>
      </c>
      <c r="R3820">
        <v>8.2876699989524786E-4</v>
      </c>
      <c r="S3820">
        <v>8.6617171779514038E-4</v>
      </c>
      <c r="T3820">
        <v>9.0524501615225786E-4</v>
      </c>
      <c r="U3820">
        <v>9.4481057773534863E-4</v>
      </c>
      <c r="V3820">
        <v>9.8613013471795814E-4</v>
      </c>
      <c r="W3820">
        <v>1.0292799114653371E-3</v>
      </c>
      <c r="X3820">
        <v>1.0743392823009627E-3</v>
      </c>
      <c r="Y3820">
        <v>1.1213908913317908E-3</v>
      </c>
      <c r="Z3820">
        <v>1.1705207761759039E-3</v>
      </c>
      <c r="AA3820">
        <v>1.2218184956583791E-3</v>
      </c>
      <c r="AB3820">
        <v>1.2753772615354628E-3</v>
      </c>
      <c r="AC3820">
        <v>1.331294074300605E-3</v>
      </c>
      <c r="AD3820">
        <v>1.3896698631183342E-3</v>
      </c>
    </row>
    <row r="3821" spans="2:30" x14ac:dyDescent="0.25">
      <c r="B3821" t="s">
        <v>133</v>
      </c>
      <c r="C3821" t="s">
        <v>3263</v>
      </c>
      <c r="D3821" t="s">
        <v>7261</v>
      </c>
      <c r="E3821" t="s">
        <v>7262</v>
      </c>
      <c r="F3821" t="s">
        <v>9485</v>
      </c>
      <c r="G3821" t="s">
        <v>3890</v>
      </c>
      <c r="H3821" t="s">
        <v>7078</v>
      </c>
      <c r="J3821">
        <v>1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  <c r="W3821" t="e">
        <v>#N/A</v>
      </c>
      <c r="X3821" t="e">
        <v>#N/A</v>
      </c>
      <c r="Y3821" t="e">
        <v>#N/A</v>
      </c>
      <c r="Z3821" t="e">
        <v>#N/A</v>
      </c>
      <c r="AA3821" t="e">
        <v>#N/A</v>
      </c>
      <c r="AB3821" t="e">
        <v>#N/A</v>
      </c>
      <c r="AC3821" t="e">
        <v>#N/A</v>
      </c>
      <c r="AD3821" t="e">
        <v>#N/A</v>
      </c>
    </row>
    <row r="3822" spans="2:30" x14ac:dyDescent="0.25">
      <c r="B3822" t="s">
        <v>133</v>
      </c>
      <c r="C3822" t="s">
        <v>3263</v>
      </c>
      <c r="D3822" t="s">
        <v>7264</v>
      </c>
      <c r="E3822" t="s">
        <v>7265</v>
      </c>
      <c r="F3822" t="s">
        <v>9486</v>
      </c>
      <c r="G3822" t="s">
        <v>3890</v>
      </c>
      <c r="H3822" t="s">
        <v>7082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</row>
    <row r="3823" spans="2:30" x14ac:dyDescent="0.25">
      <c r="B3823" t="s">
        <v>133</v>
      </c>
      <c r="C3823" t="s">
        <v>3263</v>
      </c>
      <c r="D3823" t="s">
        <v>7267</v>
      </c>
      <c r="E3823" t="s">
        <v>7268</v>
      </c>
      <c r="F3823" t="s">
        <v>9487</v>
      </c>
      <c r="G3823" t="s">
        <v>3890</v>
      </c>
      <c r="H3823" t="s">
        <v>7086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</row>
    <row r="3824" spans="2:30" x14ac:dyDescent="0.25">
      <c r="B3824" t="s">
        <v>133</v>
      </c>
      <c r="C3824" t="s">
        <v>3263</v>
      </c>
      <c r="D3824" t="s">
        <v>7270</v>
      </c>
      <c r="E3824" t="s">
        <v>7271</v>
      </c>
      <c r="F3824" t="s">
        <v>9488</v>
      </c>
      <c r="G3824" t="s">
        <v>3890</v>
      </c>
      <c r="H3824" t="s">
        <v>7090</v>
      </c>
      <c r="J3824">
        <v>1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  <c r="W3824" t="e">
        <v>#N/A</v>
      </c>
      <c r="X3824" t="e">
        <v>#N/A</v>
      </c>
      <c r="Y3824" t="e">
        <v>#N/A</v>
      </c>
      <c r="Z3824" t="e">
        <v>#N/A</v>
      </c>
      <c r="AA3824" t="e">
        <v>#N/A</v>
      </c>
      <c r="AB3824" t="e">
        <v>#N/A</v>
      </c>
      <c r="AC3824" t="e">
        <v>#N/A</v>
      </c>
      <c r="AD3824" t="e">
        <v>#N/A</v>
      </c>
    </row>
    <row r="3825" spans="2:30" x14ac:dyDescent="0.25">
      <c r="B3825" t="s">
        <v>133</v>
      </c>
      <c r="C3825" t="s">
        <v>3263</v>
      </c>
      <c r="D3825" t="s">
        <v>7273</v>
      </c>
      <c r="E3825" t="s">
        <v>7274</v>
      </c>
      <c r="F3825" t="s">
        <v>9489</v>
      </c>
      <c r="G3825" t="s">
        <v>3890</v>
      </c>
      <c r="H3825" t="s">
        <v>7212</v>
      </c>
      <c r="J3825">
        <v>1</v>
      </c>
      <c r="K3825">
        <v>11.129497825391994</v>
      </c>
      <c r="L3825">
        <v>8.6161449725182102</v>
      </c>
      <c r="M3825">
        <v>7.5824162235258123</v>
      </c>
      <c r="N3825">
        <v>6.8902832363207906</v>
      </c>
      <c r="O3825">
        <v>6.9085851728340364</v>
      </c>
      <c r="P3825">
        <v>6.9633737531537587</v>
      </c>
      <c r="Q3825">
        <v>6.9373191142644348</v>
      </c>
      <c r="R3825">
        <v>6.9093867428146023</v>
      </c>
      <c r="S3825">
        <v>6.8795000210555131</v>
      </c>
      <c r="T3825">
        <v>6.8506579307463058</v>
      </c>
      <c r="U3825">
        <v>6.8506154435009314</v>
      </c>
      <c r="V3825">
        <v>6.8505738959570159</v>
      </c>
      <c r="W3825">
        <v>6.8505332609071869</v>
      </c>
      <c r="X3825">
        <v>6.8504935121037445</v>
      </c>
      <c r="Y3825">
        <v>6.8504546242323965</v>
      </c>
      <c r="Z3825">
        <v>6.85041657288635</v>
      </c>
      <c r="AA3825">
        <v>6.8503793345408033</v>
      </c>
      <c r="AB3825">
        <v>6.850342886527887</v>
      </c>
      <c r="AC3825">
        <v>6.8503072070121291</v>
      </c>
      <c r="AD3825">
        <v>6.8502722749664349</v>
      </c>
    </row>
    <row r="3826" spans="2:30" x14ac:dyDescent="0.25">
      <c r="B3826" t="s">
        <v>133</v>
      </c>
      <c r="C3826" t="s">
        <v>3263</v>
      </c>
      <c r="D3826" t="s">
        <v>7276</v>
      </c>
      <c r="E3826" t="s">
        <v>7277</v>
      </c>
      <c r="F3826" t="s">
        <v>9490</v>
      </c>
      <c r="G3826" t="s">
        <v>3890</v>
      </c>
      <c r="H3826" t="s">
        <v>5985</v>
      </c>
      <c r="J3826">
        <v>1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  <c r="W3826" t="e">
        <v>#N/A</v>
      </c>
      <c r="X3826" t="e">
        <v>#N/A</v>
      </c>
      <c r="Y3826" t="e">
        <v>#N/A</v>
      </c>
      <c r="Z3826" t="e">
        <v>#N/A</v>
      </c>
      <c r="AA3826" t="e">
        <v>#N/A</v>
      </c>
      <c r="AB3826" t="e">
        <v>#N/A</v>
      </c>
      <c r="AC3826" t="e">
        <v>#N/A</v>
      </c>
      <c r="AD3826" t="e">
        <v>#N/A</v>
      </c>
    </row>
    <row r="3827" spans="2:30" x14ac:dyDescent="0.25">
      <c r="B3827" t="s">
        <v>133</v>
      </c>
      <c r="C3827" t="s">
        <v>3263</v>
      </c>
      <c r="D3827" t="s">
        <v>7279</v>
      </c>
      <c r="E3827" t="s">
        <v>7280</v>
      </c>
      <c r="F3827" t="s">
        <v>9491</v>
      </c>
      <c r="G3827" t="s">
        <v>3890</v>
      </c>
      <c r="H3827" t="s">
        <v>4476</v>
      </c>
      <c r="J3827">
        <v>1</v>
      </c>
      <c r="K3827">
        <v>3.5576226080979117E-3</v>
      </c>
      <c r="L3827">
        <v>2.8513247618490883E-3</v>
      </c>
      <c r="M3827">
        <v>2.6616380243212096E-3</v>
      </c>
      <c r="N3827">
        <v>2.5108933686182619E-3</v>
      </c>
      <c r="O3827">
        <v>2.5272085754152519E-3</v>
      </c>
      <c r="P3827">
        <v>2.5500326446776292E-3</v>
      </c>
      <c r="Q3827">
        <v>2.5520588333246236E-3</v>
      </c>
      <c r="R3827">
        <v>2.5564611507088572E-3</v>
      </c>
      <c r="S3827">
        <v>2.563570572938996E-3</v>
      </c>
      <c r="T3827">
        <v>2.5723998753247011E-3</v>
      </c>
      <c r="U3827">
        <v>2.5890298876198666E-3</v>
      </c>
      <c r="V3827">
        <v>2.6070375413537695E-3</v>
      </c>
      <c r="W3827">
        <v>2.626452494797548E-3</v>
      </c>
      <c r="X3827">
        <v>2.6473061627102792E-3</v>
      </c>
      <c r="Y3827">
        <v>2.6696317655340134E-3</v>
      </c>
      <c r="Z3827">
        <v>2.6934643812052636E-3</v>
      </c>
      <c r="AA3827">
        <v>2.718840999727184E-3</v>
      </c>
      <c r="AB3827">
        <v>2.7458005806517494E-3</v>
      </c>
      <c r="AC3827">
        <v>2.7743841136271424E-3</v>
      </c>
      <c r="AD3827">
        <v>2.8046346821718874E-3</v>
      </c>
    </row>
    <row r="3828" spans="2:30" x14ac:dyDescent="0.25">
      <c r="B3828" t="s">
        <v>133</v>
      </c>
      <c r="C3828" t="s">
        <v>3263</v>
      </c>
      <c r="D3828" t="s">
        <v>7282</v>
      </c>
      <c r="E3828" t="s">
        <v>7283</v>
      </c>
      <c r="F3828" t="s">
        <v>9492</v>
      </c>
      <c r="G3828" t="s">
        <v>3890</v>
      </c>
      <c r="H3828" t="s">
        <v>7078</v>
      </c>
      <c r="J3828">
        <v>1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  <c r="W3828" t="e">
        <v>#N/A</v>
      </c>
      <c r="X3828" t="e">
        <v>#N/A</v>
      </c>
      <c r="Y3828" t="e">
        <v>#N/A</v>
      </c>
      <c r="Z3828" t="e">
        <v>#N/A</v>
      </c>
      <c r="AA3828" t="e">
        <v>#N/A</v>
      </c>
      <c r="AB3828" t="e">
        <v>#N/A</v>
      </c>
      <c r="AC3828" t="e">
        <v>#N/A</v>
      </c>
      <c r="AD3828" t="e">
        <v>#N/A</v>
      </c>
    </row>
    <row r="3829" spans="2:30" x14ac:dyDescent="0.25">
      <c r="B3829" t="s">
        <v>133</v>
      </c>
      <c r="C3829" t="s">
        <v>3263</v>
      </c>
      <c r="D3829" t="s">
        <v>7285</v>
      </c>
      <c r="E3829" t="s">
        <v>7286</v>
      </c>
      <c r="F3829" t="s">
        <v>9493</v>
      </c>
      <c r="G3829" t="s">
        <v>3890</v>
      </c>
      <c r="H3829" t="s">
        <v>7160</v>
      </c>
      <c r="J3829">
        <v>1</v>
      </c>
      <c r="K3829">
        <v>11.459860725238636</v>
      </c>
      <c r="L3829">
        <v>8.8261134458896162</v>
      </c>
      <c r="M3829">
        <v>7.7428525388590312</v>
      </c>
      <c r="N3829">
        <v>7.0518273251642007</v>
      </c>
      <c r="O3829">
        <v>7.070160947973041</v>
      </c>
      <c r="P3829">
        <v>7.1249351212688357</v>
      </c>
      <c r="Q3829">
        <v>7.0989931146117771</v>
      </c>
      <c r="R3829">
        <v>7.0711697267137019</v>
      </c>
      <c r="S3829">
        <v>7.0413877949045824</v>
      </c>
      <c r="T3829">
        <v>7.012646643709294</v>
      </c>
      <c r="U3829">
        <v>7.0126627809654458</v>
      </c>
      <c r="V3829">
        <v>7.0126785613097047</v>
      </c>
      <c r="W3829">
        <v>7.012693995075816</v>
      </c>
      <c r="X3829">
        <v>7.0127090922330266</v>
      </c>
      <c r="Y3829">
        <v>7.0127238623960633</v>
      </c>
      <c r="Z3829">
        <v>7.0127383148349676</v>
      </c>
      <c r="AA3829">
        <v>7.0127524584847976</v>
      </c>
      <c r="AB3829">
        <v>7.012766301955125</v>
      </c>
      <c r="AC3829">
        <v>7.0127798535393735</v>
      </c>
      <c r="AD3829">
        <v>7.0127931212239281</v>
      </c>
    </row>
    <row r="3830" spans="2:30" x14ac:dyDescent="0.25">
      <c r="B3830" t="s">
        <v>133</v>
      </c>
      <c r="C3830" t="s">
        <v>3263</v>
      </c>
      <c r="D3830" t="s">
        <v>7288</v>
      </c>
      <c r="E3830" t="s">
        <v>7289</v>
      </c>
      <c r="F3830" t="s">
        <v>9494</v>
      </c>
      <c r="G3830" t="s">
        <v>3890</v>
      </c>
      <c r="H3830" t="s">
        <v>7082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</row>
    <row r="3831" spans="2:30" x14ac:dyDescent="0.25">
      <c r="B3831" t="s">
        <v>133</v>
      </c>
      <c r="C3831" t="s">
        <v>3263</v>
      </c>
      <c r="D3831" t="s">
        <v>7291</v>
      </c>
      <c r="E3831" t="s">
        <v>7292</v>
      </c>
      <c r="F3831" t="s">
        <v>9495</v>
      </c>
      <c r="G3831" t="s">
        <v>3890</v>
      </c>
      <c r="H3831" t="s">
        <v>7086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</row>
    <row r="3832" spans="2:30" x14ac:dyDescent="0.25">
      <c r="B3832" t="s">
        <v>133</v>
      </c>
      <c r="C3832" t="s">
        <v>3263</v>
      </c>
      <c r="D3832" t="s">
        <v>7294</v>
      </c>
      <c r="E3832" t="s">
        <v>7295</v>
      </c>
      <c r="F3832" t="s">
        <v>9496</v>
      </c>
      <c r="G3832" t="s">
        <v>3890</v>
      </c>
      <c r="H3832" t="s">
        <v>7090</v>
      </c>
      <c r="J3832">
        <v>1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  <c r="W3832" t="e">
        <v>#N/A</v>
      </c>
      <c r="X3832" t="e">
        <v>#N/A</v>
      </c>
      <c r="Y3832" t="e">
        <v>#N/A</v>
      </c>
      <c r="Z3832" t="e">
        <v>#N/A</v>
      </c>
      <c r="AA3832" t="e">
        <v>#N/A</v>
      </c>
      <c r="AB3832" t="e">
        <v>#N/A</v>
      </c>
      <c r="AC3832" t="e">
        <v>#N/A</v>
      </c>
      <c r="AD3832" t="e">
        <v>#N/A</v>
      </c>
    </row>
    <row r="3833" spans="2:30" x14ac:dyDescent="0.25">
      <c r="B3833" t="s">
        <v>133</v>
      </c>
      <c r="C3833" t="s">
        <v>3263</v>
      </c>
      <c r="D3833" t="s">
        <v>7297</v>
      </c>
      <c r="E3833" t="s">
        <v>7298</v>
      </c>
      <c r="F3833" t="s">
        <v>9497</v>
      </c>
      <c r="G3833" t="s">
        <v>3890</v>
      </c>
      <c r="H3833" t="s">
        <v>7078</v>
      </c>
      <c r="J3833">
        <v>1</v>
      </c>
      <c r="K3833">
        <v>6.3657651756497291E-2</v>
      </c>
      <c r="L3833">
        <v>6.2227839357171119E-2</v>
      </c>
      <c r="M3833">
        <v>0.10710597699475878</v>
      </c>
      <c r="N3833">
        <v>0.10463798276974871</v>
      </c>
      <c r="O3833">
        <v>0.10654961486224911</v>
      </c>
      <c r="P3833">
        <v>0.10768613029465351</v>
      </c>
      <c r="Q3833">
        <v>0.10767610301039665</v>
      </c>
      <c r="R3833">
        <v>0.1073571738721998</v>
      </c>
      <c r="S3833">
        <v>0.10704426248060314</v>
      </c>
      <c r="T3833">
        <v>0.10679986559029916</v>
      </c>
      <c r="U3833">
        <v>0.10654996219488333</v>
      </c>
      <c r="V3833">
        <v>0.10630651882443917</v>
      </c>
      <c r="W3833">
        <v>0.10604886862205862</v>
      </c>
      <c r="X3833">
        <v>0.10578505921214379</v>
      </c>
      <c r="Y3833">
        <v>0.10550702606056485</v>
      </c>
      <c r="Z3833">
        <v>0.10522005397257674</v>
      </c>
      <c r="AA3833">
        <v>0.10492040200409505</v>
      </c>
      <c r="AB3833">
        <v>0.10460643816568688</v>
      </c>
      <c r="AC3833">
        <v>0.10427749978766443</v>
      </c>
      <c r="AD3833">
        <v>0.10391169263953905</v>
      </c>
    </row>
    <row r="3834" spans="2:30" x14ac:dyDescent="0.25">
      <c r="B3834" t="s">
        <v>133</v>
      </c>
      <c r="C3834" t="s">
        <v>3263</v>
      </c>
      <c r="D3834" t="s">
        <v>7300</v>
      </c>
      <c r="E3834" t="s">
        <v>7301</v>
      </c>
      <c r="F3834" t="s">
        <v>9498</v>
      </c>
      <c r="G3834" t="s">
        <v>3890</v>
      </c>
      <c r="H3834" t="s">
        <v>7082</v>
      </c>
      <c r="J3834">
        <v>1</v>
      </c>
      <c r="K3834">
        <v>99.833519124999995</v>
      </c>
      <c r="L3834">
        <v>96.467134733572721</v>
      </c>
      <c r="M3834">
        <v>108.07218043494078</v>
      </c>
      <c r="N3834">
        <v>120.63906671537571</v>
      </c>
      <c r="O3834">
        <v>126.8571991259778</v>
      </c>
      <c r="P3834">
        <v>128.91908550862945</v>
      </c>
      <c r="Q3834">
        <v>132.53622661235633</v>
      </c>
      <c r="R3834">
        <v>137.15464337819989</v>
      </c>
      <c r="S3834">
        <v>141.80651312167373</v>
      </c>
      <c r="T3834">
        <v>146.49447185321083</v>
      </c>
      <c r="U3834">
        <v>151.1688653926457</v>
      </c>
      <c r="V3834">
        <v>155.91851530858926</v>
      </c>
      <c r="W3834">
        <v>160.72723703650806</v>
      </c>
      <c r="X3834">
        <v>165.62329308632752</v>
      </c>
      <c r="Y3834">
        <v>170.59655685519297</v>
      </c>
      <c r="Z3834">
        <v>175.66010692134194</v>
      </c>
      <c r="AA3834">
        <v>180.80764706198289</v>
      </c>
      <c r="AB3834">
        <v>186.04671936791274</v>
      </c>
      <c r="AC3834">
        <v>191.38226332596105</v>
      </c>
      <c r="AD3834">
        <v>196.81807187336838</v>
      </c>
    </row>
    <row r="3835" spans="2:30" x14ac:dyDescent="0.25">
      <c r="B3835" t="s">
        <v>133</v>
      </c>
      <c r="C3835" t="s">
        <v>3263</v>
      </c>
      <c r="D3835" t="s">
        <v>7303</v>
      </c>
      <c r="E3835" t="s">
        <v>7304</v>
      </c>
      <c r="F3835" t="s">
        <v>9499</v>
      </c>
      <c r="G3835" t="s">
        <v>3890</v>
      </c>
      <c r="H3835" t="s">
        <v>7086</v>
      </c>
      <c r="J3835">
        <v>1</v>
      </c>
      <c r="K3835">
        <v>0</v>
      </c>
      <c r="L3835">
        <v>0</v>
      </c>
      <c r="M3835">
        <v>5.9594967971760955</v>
      </c>
      <c r="N3835">
        <v>6.6524810437909148</v>
      </c>
      <c r="O3835">
        <v>6.9953716936904815</v>
      </c>
      <c r="P3835">
        <v>7.109071678682926</v>
      </c>
      <c r="Q3835">
        <v>7.3085341188394946</v>
      </c>
      <c r="R3835">
        <v>7.5632105750125813</v>
      </c>
      <c r="S3835">
        <v>7.8197317511889226</v>
      </c>
      <c r="T3835">
        <v>8.0782430066614399</v>
      </c>
      <c r="U3835">
        <v>8.3360062276392259</v>
      </c>
      <c r="V3835">
        <v>8.5979193615082448</v>
      </c>
      <c r="W3835">
        <v>8.8630899319613405</v>
      </c>
      <c r="X3835">
        <v>9.1330764375566336</v>
      </c>
      <c r="Y3835">
        <v>9.4073204602346792</v>
      </c>
      <c r="Z3835">
        <v>9.6865432008151888</v>
      </c>
      <c r="AA3835">
        <v>9.9703974624579654</v>
      </c>
      <c r="AB3835">
        <v>10.259299143739012</v>
      </c>
      <c r="AC3835">
        <v>10.553520626096564</v>
      </c>
      <c r="AD3835">
        <v>10.85327106601517</v>
      </c>
    </row>
    <row r="3836" spans="2:30" x14ac:dyDescent="0.25">
      <c r="B3836" t="s">
        <v>133</v>
      </c>
      <c r="C3836" t="s">
        <v>3263</v>
      </c>
      <c r="D3836" t="s">
        <v>7306</v>
      </c>
      <c r="E3836" t="s">
        <v>7307</v>
      </c>
      <c r="F3836" t="s">
        <v>9500</v>
      </c>
      <c r="G3836" t="s">
        <v>3890</v>
      </c>
      <c r="H3836" t="s">
        <v>7090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</row>
    <row r="3837" spans="2:30" x14ac:dyDescent="0.25">
      <c r="B3837" t="s">
        <v>133</v>
      </c>
      <c r="C3837" t="s">
        <v>3263</v>
      </c>
      <c r="D3837" t="s">
        <v>7309</v>
      </c>
      <c r="E3837" t="s">
        <v>7310</v>
      </c>
      <c r="F3837" t="s">
        <v>9501</v>
      </c>
      <c r="G3837" t="s">
        <v>3890</v>
      </c>
      <c r="H3837" t="s">
        <v>4476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</row>
    <row r="3838" spans="2:30" x14ac:dyDescent="0.25">
      <c r="B3838" t="s">
        <v>133</v>
      </c>
      <c r="C3838" t="s">
        <v>3263</v>
      </c>
      <c r="D3838" t="s">
        <v>7312</v>
      </c>
      <c r="E3838" t="s">
        <v>7313</v>
      </c>
      <c r="F3838" t="s">
        <v>9502</v>
      </c>
      <c r="G3838" t="s">
        <v>3890</v>
      </c>
      <c r="H3838" t="s">
        <v>7078</v>
      </c>
      <c r="J3838">
        <v>1</v>
      </c>
      <c r="K3838">
        <v>6.7626534951170533E-2</v>
      </c>
      <c r="L3838">
        <v>5.8294065004879381E-2</v>
      </c>
      <c r="M3838">
        <v>0.11484730008447896</v>
      </c>
      <c r="N3838">
        <v>0.11227433382692197</v>
      </c>
      <c r="O3838">
        <v>0.11426727401333855</v>
      </c>
      <c r="P3838">
        <v>0.11550867484635895</v>
      </c>
      <c r="Q3838">
        <v>0.11549724374230612</v>
      </c>
      <c r="R3838">
        <v>0.11513366452476173</v>
      </c>
      <c r="S3838">
        <v>0.11478296064603342</v>
      </c>
      <c r="T3838">
        <v>0.11452816874018873</v>
      </c>
      <c r="U3838">
        <v>0.11426763611918908</v>
      </c>
      <c r="V3838">
        <v>0.11401383828958669</v>
      </c>
      <c r="W3838">
        <v>0.11374522936406331</v>
      </c>
      <c r="X3838">
        <v>0.11347019925934979</v>
      </c>
      <c r="Y3838">
        <v>0.1131803404297604</v>
      </c>
      <c r="Z3838">
        <v>0.11288116246095818</v>
      </c>
      <c r="AA3838">
        <v>0.1125687652940196</v>
      </c>
      <c r="AB3838">
        <v>0.11224144752555358</v>
      </c>
      <c r="AC3838">
        <v>0.11189851830031852</v>
      </c>
      <c r="AD3838">
        <v>0.11151715215312023</v>
      </c>
    </row>
    <row r="3839" spans="2:30" x14ac:dyDescent="0.25">
      <c r="B3839" t="s">
        <v>133</v>
      </c>
      <c r="C3839" t="s">
        <v>3263</v>
      </c>
      <c r="D3839" t="s">
        <v>7315</v>
      </c>
      <c r="E3839" t="s">
        <v>7316</v>
      </c>
      <c r="F3839" t="s">
        <v>9503</v>
      </c>
      <c r="G3839" t="s">
        <v>3890</v>
      </c>
      <c r="H3839" t="s">
        <v>7082</v>
      </c>
      <c r="J3839">
        <v>1</v>
      </c>
      <c r="K3839">
        <v>68.708736277</v>
      </c>
      <c r="L3839">
        <v>66.76799770747526</v>
      </c>
      <c r="M3839">
        <v>79.394826027249366</v>
      </c>
      <c r="N3839">
        <v>87.03373454001256</v>
      </c>
      <c r="O3839">
        <v>91.604417560870047</v>
      </c>
      <c r="P3839">
        <v>93.025919588011135</v>
      </c>
      <c r="Q3839">
        <v>95.552063206023107</v>
      </c>
      <c r="R3839">
        <v>98.882857495096403</v>
      </c>
      <c r="S3839">
        <v>102.27455392305374</v>
      </c>
      <c r="T3839">
        <v>105.68916210313284</v>
      </c>
      <c r="U3839">
        <v>109.07109978052702</v>
      </c>
      <c r="V3839">
        <v>112.50825565469347</v>
      </c>
      <c r="W3839">
        <v>115.98849193902825</v>
      </c>
      <c r="X3839">
        <v>119.53311359629578</v>
      </c>
      <c r="Y3839">
        <v>123.13454432304113</v>
      </c>
      <c r="Z3839">
        <v>126.8026773496772</v>
      </c>
      <c r="AA3839">
        <v>130.53281991083355</v>
      </c>
      <c r="AB3839">
        <v>134.33070418585973</v>
      </c>
      <c r="AC3839">
        <v>138.20010865873985</v>
      </c>
      <c r="AD3839">
        <v>142.14395365527432</v>
      </c>
    </row>
    <row r="3840" spans="2:30" x14ac:dyDescent="0.25">
      <c r="B3840" t="s">
        <v>133</v>
      </c>
      <c r="C3840" t="s">
        <v>3263</v>
      </c>
      <c r="D3840" t="s">
        <v>7318</v>
      </c>
      <c r="E3840" t="s">
        <v>7319</v>
      </c>
      <c r="F3840" t="s">
        <v>9504</v>
      </c>
      <c r="G3840" t="s">
        <v>3890</v>
      </c>
      <c r="H3840" t="s">
        <v>7086</v>
      </c>
      <c r="J3840">
        <v>1</v>
      </c>
      <c r="K3840">
        <v>0</v>
      </c>
      <c r="L3840">
        <v>0</v>
      </c>
      <c r="M3840">
        <v>4.3781221912755166</v>
      </c>
      <c r="N3840">
        <v>4.7993596515776975</v>
      </c>
      <c r="O3840">
        <v>5.0514038938062065</v>
      </c>
      <c r="P3840">
        <v>5.1297907343773232</v>
      </c>
      <c r="Q3840">
        <v>5.2690915677662815</v>
      </c>
      <c r="R3840">
        <v>5.4527637932909094</v>
      </c>
      <c r="S3840">
        <v>5.6397943863450903</v>
      </c>
      <c r="T3840">
        <v>5.8280884175277308</v>
      </c>
      <c r="U3840">
        <v>6.0145808772483234</v>
      </c>
      <c r="V3840">
        <v>6.2041182710628311</v>
      </c>
      <c r="W3840">
        <v>6.3960312768561662</v>
      </c>
      <c r="X3840">
        <v>6.5914947284925809</v>
      </c>
      <c r="Y3840">
        <v>6.7900908407845035</v>
      </c>
      <c r="Z3840">
        <v>6.9923651627781584</v>
      </c>
      <c r="AA3840">
        <v>7.1980589181623555</v>
      </c>
      <c r="AB3840">
        <v>7.4074882003511169</v>
      </c>
      <c r="AC3840">
        <v>7.6208613688233662</v>
      </c>
      <c r="AD3840">
        <v>7.8383394610651997</v>
      </c>
    </row>
    <row r="3841" spans="2:30" x14ac:dyDescent="0.25">
      <c r="B3841" t="s">
        <v>133</v>
      </c>
      <c r="C3841" t="s">
        <v>3263</v>
      </c>
      <c r="D3841" t="s">
        <v>7321</v>
      </c>
      <c r="E3841" t="s">
        <v>7322</v>
      </c>
      <c r="F3841" t="s">
        <v>9505</v>
      </c>
      <c r="G3841" t="s">
        <v>3890</v>
      </c>
      <c r="H3841" t="s">
        <v>7090</v>
      </c>
      <c r="J3841">
        <v>1</v>
      </c>
      <c r="K3841">
        <v>0.42863155785289786</v>
      </c>
      <c r="L3841">
        <v>0.39323252995311531</v>
      </c>
      <c r="M3841">
        <v>1.1197889450762379</v>
      </c>
      <c r="N3841">
        <v>1.200027753713045</v>
      </c>
      <c r="O3841">
        <v>1.2854685890495015</v>
      </c>
      <c r="P3841">
        <v>1.319598331330277</v>
      </c>
      <c r="Q3841">
        <v>1.3552982375316496</v>
      </c>
      <c r="R3841">
        <v>1.3981266700812593</v>
      </c>
      <c r="S3841">
        <v>1.4416777664260272</v>
      </c>
      <c r="T3841">
        <v>1.4865035673596028</v>
      </c>
      <c r="U3841">
        <v>1.5305803015067934</v>
      </c>
      <c r="V3841">
        <v>1.5753067800912963</v>
      </c>
      <c r="W3841">
        <v>1.6202098830592295</v>
      </c>
      <c r="X3841">
        <v>1.6656863776321973</v>
      </c>
      <c r="Y3841">
        <v>1.7114889037897638</v>
      </c>
      <c r="Z3841">
        <v>1.7578146553816423</v>
      </c>
      <c r="AA3841">
        <v>1.8045162907712995</v>
      </c>
      <c r="AB3841">
        <v>1.8516194525374541</v>
      </c>
      <c r="AC3841">
        <v>1.8991352932454755</v>
      </c>
      <c r="AD3841">
        <v>1.9466740763499841</v>
      </c>
    </row>
    <row r="3842" spans="2:30" x14ac:dyDescent="0.25">
      <c r="B3842" t="s">
        <v>133</v>
      </c>
      <c r="C3842" t="s">
        <v>3263</v>
      </c>
      <c r="D3842" t="s">
        <v>7324</v>
      </c>
      <c r="E3842" t="s">
        <v>7325</v>
      </c>
      <c r="F3842" t="s">
        <v>9506</v>
      </c>
      <c r="G3842" t="s">
        <v>3890</v>
      </c>
      <c r="H3842" t="s">
        <v>7212</v>
      </c>
      <c r="J3842">
        <v>1</v>
      </c>
      <c r="K3842">
        <v>6.1889964460773897E-2</v>
      </c>
      <c r="L3842">
        <v>0.85484887846197788</v>
      </c>
      <c r="M3842">
        <v>0.77837412984309851</v>
      </c>
      <c r="N3842">
        <v>0.68377147013993522</v>
      </c>
      <c r="O3842">
        <v>0.71005171916045995</v>
      </c>
      <c r="P3842">
        <v>0.67043581040015743</v>
      </c>
      <c r="Q3842">
        <v>0.65953683215986669</v>
      </c>
      <c r="R3842">
        <v>0.6540428633113976</v>
      </c>
      <c r="S3842">
        <v>0.64923835336346858</v>
      </c>
      <c r="T3842">
        <v>0.64401869609655971</v>
      </c>
      <c r="U3842">
        <v>0.64401869609655971</v>
      </c>
      <c r="V3842">
        <v>0.64401869609655971</v>
      </c>
      <c r="W3842">
        <v>0.64401869609655971</v>
      </c>
      <c r="X3842">
        <v>0.64401869609655971</v>
      </c>
      <c r="Y3842">
        <v>0.64401869609655971</v>
      </c>
      <c r="Z3842">
        <v>0.64401869609655971</v>
      </c>
      <c r="AA3842">
        <v>0.64401869609655971</v>
      </c>
      <c r="AB3842">
        <v>0.64401869609655971</v>
      </c>
      <c r="AC3842">
        <v>0.64401869609655971</v>
      </c>
      <c r="AD3842">
        <v>0.64401869609655971</v>
      </c>
    </row>
    <row r="3843" spans="2:30" x14ac:dyDescent="0.25">
      <c r="B3843" t="s">
        <v>133</v>
      </c>
      <c r="C3843" t="s">
        <v>3263</v>
      </c>
      <c r="D3843" t="s">
        <v>7327</v>
      </c>
      <c r="E3843" t="s">
        <v>7328</v>
      </c>
      <c r="F3843" t="s">
        <v>9507</v>
      </c>
      <c r="G3843" t="s">
        <v>3890</v>
      </c>
      <c r="H3843" t="s">
        <v>5985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</row>
    <row r="3844" spans="2:30" x14ac:dyDescent="0.25">
      <c r="B3844" t="s">
        <v>133</v>
      </c>
      <c r="C3844" t="s">
        <v>3263</v>
      </c>
      <c r="D3844" t="s">
        <v>7330</v>
      </c>
      <c r="E3844" t="s">
        <v>7331</v>
      </c>
      <c r="F3844" t="s">
        <v>9508</v>
      </c>
      <c r="G3844" t="s">
        <v>3890</v>
      </c>
      <c r="H3844" t="s">
        <v>4476</v>
      </c>
      <c r="J3844">
        <v>1</v>
      </c>
      <c r="K3844">
        <v>3.3856610678590225E-3</v>
      </c>
      <c r="L3844">
        <v>0.11967884298467692</v>
      </c>
      <c r="M3844">
        <v>0.1089723781780338</v>
      </c>
      <c r="N3844">
        <v>9.5728005819590942E-2</v>
      </c>
      <c r="O3844">
        <v>9.9407240682464398E-2</v>
      </c>
      <c r="P3844">
        <v>9.3861013456022047E-2</v>
      </c>
      <c r="Q3844">
        <v>9.2335156502381346E-2</v>
      </c>
      <c r="R3844">
        <v>9.1566000863595676E-2</v>
      </c>
      <c r="S3844">
        <v>9.089336947088561E-2</v>
      </c>
      <c r="T3844">
        <v>9.0162617453518362E-2</v>
      </c>
      <c r="U3844">
        <v>9.0162617453518362E-2</v>
      </c>
      <c r="V3844">
        <v>9.0162617453518362E-2</v>
      </c>
      <c r="W3844">
        <v>9.0162617453518362E-2</v>
      </c>
      <c r="X3844">
        <v>9.0162617453518362E-2</v>
      </c>
      <c r="Y3844">
        <v>9.0162617453518362E-2</v>
      </c>
      <c r="Z3844">
        <v>9.0162617453518362E-2</v>
      </c>
      <c r="AA3844">
        <v>9.0162617453518362E-2</v>
      </c>
      <c r="AB3844">
        <v>9.0162617453518362E-2</v>
      </c>
      <c r="AC3844">
        <v>9.0162617453518362E-2</v>
      </c>
      <c r="AD3844">
        <v>9.0162617453518362E-2</v>
      </c>
    </row>
    <row r="3845" spans="2:30" x14ac:dyDescent="0.25">
      <c r="B3845" t="s">
        <v>133</v>
      </c>
      <c r="C3845" t="s">
        <v>3263</v>
      </c>
      <c r="D3845" t="s">
        <v>7333</v>
      </c>
      <c r="E3845" t="s">
        <v>7334</v>
      </c>
      <c r="F3845" t="s">
        <v>9509</v>
      </c>
      <c r="G3845" t="s">
        <v>3890</v>
      </c>
      <c r="H3845" t="s">
        <v>7078</v>
      </c>
      <c r="J3845">
        <v>1</v>
      </c>
      <c r="K3845">
        <v>6.5275625528632919E-2</v>
      </c>
      <c r="L3845">
        <v>0.97452772144665478</v>
      </c>
      <c r="M3845">
        <v>0.88734650802113235</v>
      </c>
      <c r="N3845">
        <v>0.77949947595952618</v>
      </c>
      <c r="O3845">
        <v>0.80945895984292437</v>
      </c>
      <c r="P3845">
        <v>0.76429682385617947</v>
      </c>
      <c r="Q3845">
        <v>0.75187198866224803</v>
      </c>
      <c r="R3845">
        <v>0.74560886417499328</v>
      </c>
      <c r="S3845">
        <v>0.74013172283435424</v>
      </c>
      <c r="T3845">
        <v>0.7341813135500781</v>
      </c>
      <c r="U3845">
        <v>0.7341813135500781</v>
      </c>
      <c r="V3845">
        <v>0.7341813135500781</v>
      </c>
      <c r="W3845">
        <v>0.7341813135500781</v>
      </c>
      <c r="X3845">
        <v>0.7341813135500781</v>
      </c>
      <c r="Y3845">
        <v>0.7341813135500781</v>
      </c>
      <c r="Z3845">
        <v>0.7341813135500781</v>
      </c>
      <c r="AA3845">
        <v>0.7341813135500781</v>
      </c>
      <c r="AB3845">
        <v>0.7341813135500781</v>
      </c>
      <c r="AC3845">
        <v>0.7341813135500781</v>
      </c>
      <c r="AD3845">
        <v>0.7341813135500781</v>
      </c>
    </row>
    <row r="3846" spans="2:30" x14ac:dyDescent="0.25">
      <c r="B3846" t="s">
        <v>133</v>
      </c>
      <c r="C3846" t="s">
        <v>3263</v>
      </c>
      <c r="D3846" t="s">
        <v>7336</v>
      </c>
      <c r="E3846" t="s">
        <v>7337</v>
      </c>
      <c r="F3846" t="s">
        <v>9510</v>
      </c>
      <c r="G3846" t="s">
        <v>3890</v>
      </c>
      <c r="H3846" t="s">
        <v>7160</v>
      </c>
      <c r="J3846">
        <v>1</v>
      </c>
      <c r="K3846">
        <v>6.2734904097379335E-2</v>
      </c>
      <c r="L3846">
        <v>0.41050214342490893</v>
      </c>
      <c r="M3846">
        <v>0.33510384881528493</v>
      </c>
      <c r="N3846">
        <v>0.33510384881528493</v>
      </c>
      <c r="O3846">
        <v>0.33510384881528493</v>
      </c>
      <c r="P3846">
        <v>0.33510384881528493</v>
      </c>
      <c r="Q3846">
        <v>0.33510384881528493</v>
      </c>
      <c r="R3846">
        <v>0.33510384881528493</v>
      </c>
      <c r="S3846">
        <v>0.33510384881528493</v>
      </c>
      <c r="T3846">
        <v>0.33510384881528493</v>
      </c>
      <c r="U3846">
        <v>0.33510384881528493</v>
      </c>
      <c r="V3846">
        <v>0.33510384881528493</v>
      </c>
      <c r="W3846">
        <v>0.33510384881528493</v>
      </c>
      <c r="X3846">
        <v>0.33510384881528493</v>
      </c>
      <c r="Y3846">
        <v>0.33510384881528493</v>
      </c>
      <c r="Z3846">
        <v>0.33510384881528493</v>
      </c>
      <c r="AA3846">
        <v>0.33510384881528493</v>
      </c>
      <c r="AB3846">
        <v>0.33510384881528493</v>
      </c>
      <c r="AC3846">
        <v>0.33510384881528493</v>
      </c>
      <c r="AD3846">
        <v>0.33510384881528493</v>
      </c>
    </row>
    <row r="3847" spans="2:30" x14ac:dyDescent="0.25">
      <c r="B3847" t="s">
        <v>133</v>
      </c>
      <c r="C3847" t="s">
        <v>3263</v>
      </c>
      <c r="D3847" t="s">
        <v>7339</v>
      </c>
      <c r="E3847" t="s">
        <v>7340</v>
      </c>
      <c r="F3847" t="s">
        <v>9511</v>
      </c>
      <c r="G3847" t="s">
        <v>3890</v>
      </c>
      <c r="H3847" t="s">
        <v>7082</v>
      </c>
      <c r="J3847">
        <v>1</v>
      </c>
      <c r="K3847">
        <v>0.51585213900000004</v>
      </c>
      <c r="L3847">
        <v>0.50679482500422857</v>
      </c>
      <c r="M3847">
        <v>0.5885357554420465</v>
      </c>
      <c r="N3847">
        <v>0.6574638290207534</v>
      </c>
      <c r="O3847">
        <v>0.72017712053827676</v>
      </c>
      <c r="P3847">
        <v>0.79324380414094009</v>
      </c>
      <c r="Q3847">
        <v>0.92586003424496721</v>
      </c>
      <c r="R3847">
        <v>1.1564081650009717</v>
      </c>
      <c r="S3847">
        <v>1.5761351555737493</v>
      </c>
      <c r="T3847">
        <v>2.3202273347356104</v>
      </c>
      <c r="U3847">
        <v>3.5738509236463418</v>
      </c>
      <c r="V3847">
        <v>5.5955611837361179</v>
      </c>
      <c r="W3847">
        <v>8.5990149435243612</v>
      </c>
      <c r="X3847">
        <v>12.8647237174815</v>
      </c>
      <c r="Y3847">
        <v>18.604588632212099</v>
      </c>
      <c r="Z3847">
        <v>26.143670993130364</v>
      </c>
      <c r="AA3847">
        <v>35.875917082275002</v>
      </c>
      <c r="AB3847">
        <v>48.269128513404802</v>
      </c>
      <c r="AC3847">
        <v>63.713074868623643</v>
      </c>
      <c r="AD3847">
        <v>81.456431390044202</v>
      </c>
    </row>
    <row r="3848" spans="2:30" x14ac:dyDescent="0.25">
      <c r="B3848" t="s">
        <v>133</v>
      </c>
      <c r="C3848" t="s">
        <v>3263</v>
      </c>
      <c r="D3848" t="s">
        <v>7342</v>
      </c>
      <c r="E3848" t="s">
        <v>7343</v>
      </c>
      <c r="F3848" t="s">
        <v>9512</v>
      </c>
      <c r="G3848" t="s">
        <v>3890</v>
      </c>
      <c r="H3848" t="s">
        <v>7086</v>
      </c>
      <c r="J3848">
        <v>1</v>
      </c>
      <c r="K3848">
        <v>0</v>
      </c>
      <c r="L3848">
        <v>0.22519262582431168</v>
      </c>
      <c r="M3848">
        <v>0.26088040970971249</v>
      </c>
      <c r="N3848">
        <v>0.22923634937166268</v>
      </c>
      <c r="O3848">
        <v>0.27002887761714728</v>
      </c>
      <c r="P3848">
        <v>0.26600000085762782</v>
      </c>
      <c r="Q3848">
        <v>0.30037953306961135</v>
      </c>
      <c r="R3848">
        <v>0.36882368050066794</v>
      </c>
      <c r="S3848">
        <v>0.49511843619713408</v>
      </c>
      <c r="T3848">
        <v>0.71675267276769028</v>
      </c>
      <c r="U3848">
        <v>1.1040156122842524</v>
      </c>
      <c r="V3848">
        <v>1.728551928526872</v>
      </c>
      <c r="W3848">
        <v>2.6563633880482276</v>
      </c>
      <c r="X3848">
        <v>3.9741041625015909</v>
      </c>
      <c r="Y3848">
        <v>5.7472336560507413</v>
      </c>
      <c r="Z3848">
        <v>8.0761681322147592</v>
      </c>
      <c r="AA3848">
        <v>11.08260344654666</v>
      </c>
      <c r="AB3848">
        <v>14.91105046311867</v>
      </c>
      <c r="AC3848">
        <v>19.681914792861299</v>
      </c>
      <c r="AD3848">
        <v>25.163101062933141</v>
      </c>
    </row>
    <row r="3849" spans="2:30" x14ac:dyDescent="0.25">
      <c r="B3849" t="s">
        <v>133</v>
      </c>
      <c r="C3849" t="s">
        <v>3263</v>
      </c>
      <c r="D3849" t="s">
        <v>7345</v>
      </c>
      <c r="E3849" t="s">
        <v>7346</v>
      </c>
      <c r="F3849" t="s">
        <v>9513</v>
      </c>
      <c r="G3849" t="s">
        <v>3890</v>
      </c>
      <c r="H3849" t="s">
        <v>7090</v>
      </c>
      <c r="J3849">
        <v>1</v>
      </c>
      <c r="K3849">
        <v>1.310636584915303E-3</v>
      </c>
      <c r="L3849">
        <v>6.0652618287127875E-2</v>
      </c>
      <c r="M3849">
        <v>6.4134140913325532E-2</v>
      </c>
      <c r="N3849">
        <v>6.2937701250669234E-2</v>
      </c>
      <c r="O3849">
        <v>7.1590820355352677E-2</v>
      </c>
      <c r="P3849">
        <v>7.4454667374378891E-2</v>
      </c>
      <c r="Q3849">
        <v>8.5489431161309193E-2</v>
      </c>
      <c r="R3849">
        <v>0.10588767103514807</v>
      </c>
      <c r="S3849">
        <v>0.14326023503161664</v>
      </c>
      <c r="T3849">
        <v>0.2091977695869634</v>
      </c>
      <c r="U3849">
        <v>0.32222775366462847</v>
      </c>
      <c r="V3849">
        <v>0.50451044244695609</v>
      </c>
      <c r="W3849">
        <v>0.77530969483007506</v>
      </c>
      <c r="X3849">
        <v>1.1599171631844893</v>
      </c>
      <c r="Y3849">
        <v>1.6774384077262166</v>
      </c>
      <c r="Z3849">
        <v>2.3571818065842582</v>
      </c>
      <c r="AA3849">
        <v>3.2346665876833067</v>
      </c>
      <c r="AB3849">
        <v>4.3520709689688335</v>
      </c>
      <c r="AC3849">
        <v>5.7445375961670901</v>
      </c>
      <c r="AD3849">
        <v>7.3443250625493226</v>
      </c>
    </row>
    <row r="3850" spans="2:30" x14ac:dyDescent="0.25">
      <c r="B3850" t="s">
        <v>133</v>
      </c>
      <c r="C3850" t="s">
        <v>3263</v>
      </c>
      <c r="D3850" t="s">
        <v>7348</v>
      </c>
      <c r="E3850" t="s">
        <v>7349</v>
      </c>
      <c r="F3850" t="s">
        <v>9514</v>
      </c>
      <c r="G3850" t="s">
        <v>3890</v>
      </c>
      <c r="H3850" t="s">
        <v>7086</v>
      </c>
      <c r="J3850">
        <v>1</v>
      </c>
      <c r="K3850">
        <v>38.65236853362601</v>
      </c>
      <c r="L3850">
        <v>33.805636575453228</v>
      </c>
      <c r="M3850">
        <v>46.099978575792285</v>
      </c>
      <c r="N3850">
        <v>44.718793110056261</v>
      </c>
      <c r="O3850">
        <v>47.042747668612506</v>
      </c>
      <c r="P3850">
        <v>46.104613073217116</v>
      </c>
      <c r="Q3850">
        <v>47.041445301800941</v>
      </c>
      <c r="R3850">
        <v>48.603608564181741</v>
      </c>
      <c r="S3850">
        <v>50.402958124318872</v>
      </c>
      <c r="T3850">
        <v>52.444816914424159</v>
      </c>
      <c r="U3850">
        <v>55.087355347882706</v>
      </c>
      <c r="V3850">
        <v>58.109603225046982</v>
      </c>
      <c r="W3850">
        <v>61.561287897522391</v>
      </c>
      <c r="X3850">
        <v>65.543253757733552</v>
      </c>
      <c r="Y3850">
        <v>70.114587810061238</v>
      </c>
      <c r="Z3850">
        <v>75.400633512770455</v>
      </c>
      <c r="AA3850">
        <v>81.532309466502454</v>
      </c>
      <c r="AB3850">
        <v>88.671730351793286</v>
      </c>
      <c r="AC3850">
        <v>96.960122643475302</v>
      </c>
      <c r="AD3850">
        <v>106.04272412234911</v>
      </c>
    </row>
    <row r="3851" spans="2:30" x14ac:dyDescent="0.25">
      <c r="B3851" t="s">
        <v>133</v>
      </c>
      <c r="C3851" t="s">
        <v>3263</v>
      </c>
      <c r="D3851" t="s">
        <v>7351</v>
      </c>
      <c r="E3851" t="s">
        <v>7352</v>
      </c>
      <c r="F3851" t="s">
        <v>9515</v>
      </c>
      <c r="G3851" t="s">
        <v>3890</v>
      </c>
      <c r="H3851" t="s">
        <v>7090</v>
      </c>
      <c r="J3851">
        <v>1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  <c r="W3851" t="e">
        <v>#N/A</v>
      </c>
      <c r="X3851" t="e">
        <v>#N/A</v>
      </c>
      <c r="Y3851" t="e">
        <v>#N/A</v>
      </c>
      <c r="Z3851" t="e">
        <v>#N/A</v>
      </c>
      <c r="AA3851" t="e">
        <v>#N/A</v>
      </c>
      <c r="AB3851" t="e">
        <v>#N/A</v>
      </c>
      <c r="AC3851" t="e">
        <v>#N/A</v>
      </c>
      <c r="AD3851" t="e">
        <v>#N/A</v>
      </c>
    </row>
    <row r="3852" spans="2:30" x14ac:dyDescent="0.25">
      <c r="B3852" t="s">
        <v>133</v>
      </c>
      <c r="C3852" t="s">
        <v>3263</v>
      </c>
      <c r="D3852" t="s">
        <v>7348</v>
      </c>
      <c r="E3852" t="s">
        <v>7354</v>
      </c>
      <c r="F3852" t="s">
        <v>9516</v>
      </c>
      <c r="G3852" t="s">
        <v>3890</v>
      </c>
      <c r="H3852" t="s">
        <v>7086</v>
      </c>
      <c r="J3852">
        <v>1</v>
      </c>
      <c r="K3852">
        <v>7.5366475799184818E-2</v>
      </c>
      <c r="L3852">
        <v>6.1805180284320277E-2</v>
      </c>
      <c r="M3852">
        <v>8.122792209540465E-2</v>
      </c>
      <c r="N3852">
        <v>7.6948440538852261E-2</v>
      </c>
      <c r="O3852">
        <v>7.7541393329836825E-2</v>
      </c>
      <c r="P3852">
        <v>7.2904128756297343E-2</v>
      </c>
      <c r="Q3852">
        <v>7.0958765800450394E-2</v>
      </c>
      <c r="R3852">
        <v>6.9469807630689343E-2</v>
      </c>
      <c r="S3852">
        <v>6.8463334033280573E-2</v>
      </c>
      <c r="T3852">
        <v>6.7946924659750926E-2</v>
      </c>
      <c r="U3852">
        <v>6.8109007654107892E-2</v>
      </c>
      <c r="V3852">
        <v>6.8597175725227943E-2</v>
      </c>
      <c r="W3852">
        <v>6.9421201718517886E-2</v>
      </c>
      <c r="X3852">
        <v>7.0641360333673228E-2</v>
      </c>
      <c r="Y3852">
        <v>7.2261454904571643E-2</v>
      </c>
      <c r="Z3852">
        <v>7.4346634849882062E-2</v>
      </c>
      <c r="AA3852">
        <v>7.6952888802981206E-2</v>
      </c>
      <c r="AB3852">
        <v>8.0151231518333102E-2</v>
      </c>
      <c r="AC3852">
        <v>8.3978688413020378E-2</v>
      </c>
      <c r="AD3852">
        <v>8.8049910195196451E-2</v>
      </c>
    </row>
    <row r="3853" spans="2:30" x14ac:dyDescent="0.25">
      <c r="B3853" t="s">
        <v>133</v>
      </c>
      <c r="C3853" t="s">
        <v>3263</v>
      </c>
      <c r="D3853" t="s">
        <v>7351</v>
      </c>
      <c r="E3853" t="s">
        <v>7356</v>
      </c>
      <c r="F3853" t="s">
        <v>9517</v>
      </c>
      <c r="G3853" t="s">
        <v>3890</v>
      </c>
      <c r="H3853" t="s">
        <v>7090</v>
      </c>
      <c r="J3853">
        <v>1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  <c r="W3853" t="e">
        <v>#N/A</v>
      </c>
      <c r="X3853" t="e">
        <v>#N/A</v>
      </c>
      <c r="Y3853" t="e">
        <v>#N/A</v>
      </c>
      <c r="Z3853" t="e">
        <v>#N/A</v>
      </c>
      <c r="AA3853" t="e">
        <v>#N/A</v>
      </c>
      <c r="AB3853" t="e">
        <v>#N/A</v>
      </c>
      <c r="AC3853" t="e">
        <v>#N/A</v>
      </c>
      <c r="AD3853" t="e">
        <v>#N/A</v>
      </c>
    </row>
    <row r="3854" spans="2:30" x14ac:dyDescent="0.25">
      <c r="B3854" t="s">
        <v>133</v>
      </c>
      <c r="C3854" t="s">
        <v>3265</v>
      </c>
      <c r="D3854" t="s">
        <v>3887</v>
      </c>
      <c r="E3854" t="s">
        <v>3888</v>
      </c>
      <c r="F3854" t="s">
        <v>9518</v>
      </c>
      <c r="G3854" t="s">
        <v>3890</v>
      </c>
      <c r="H3854" t="s">
        <v>3891</v>
      </c>
      <c r="I3854" t="s">
        <v>3892</v>
      </c>
      <c r="J3854">
        <v>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</row>
    <row r="3855" spans="2:30" x14ac:dyDescent="0.25">
      <c r="B3855" t="s">
        <v>133</v>
      </c>
      <c r="C3855" t="s">
        <v>3265</v>
      </c>
      <c r="D3855" t="s">
        <v>3364</v>
      </c>
      <c r="E3855" t="s">
        <v>1403</v>
      </c>
      <c r="F3855" t="s">
        <v>9519</v>
      </c>
      <c r="G3855" t="s">
        <v>3890</v>
      </c>
      <c r="H3855" t="s">
        <v>1397</v>
      </c>
      <c r="I3855" t="s">
        <v>3894</v>
      </c>
      <c r="J3855">
        <v>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2:30" x14ac:dyDescent="0.25">
      <c r="B3856" t="s">
        <v>133</v>
      </c>
      <c r="C3856" t="s">
        <v>3265</v>
      </c>
      <c r="D3856" t="s">
        <v>3369</v>
      </c>
      <c r="E3856" t="s">
        <v>3370</v>
      </c>
      <c r="F3856" t="s">
        <v>9520</v>
      </c>
      <c r="G3856" t="s">
        <v>3890</v>
      </c>
      <c r="H3856" t="s">
        <v>3896</v>
      </c>
      <c r="I3856" t="s">
        <v>3894</v>
      </c>
      <c r="J3856">
        <v>2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</row>
    <row r="3857" spans="2:30" x14ac:dyDescent="0.25">
      <c r="B3857" t="s">
        <v>133</v>
      </c>
      <c r="C3857" t="s">
        <v>3265</v>
      </c>
      <c r="D3857" t="s">
        <v>3897</v>
      </c>
      <c r="E3857" t="s">
        <v>1404</v>
      </c>
      <c r="F3857" t="s">
        <v>9521</v>
      </c>
      <c r="G3857" t="s">
        <v>3890</v>
      </c>
      <c r="H3857" t="s">
        <v>1401</v>
      </c>
      <c r="I3857" t="s">
        <v>3894</v>
      </c>
      <c r="J3857">
        <v>2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</row>
    <row r="3858" spans="2:30" x14ac:dyDescent="0.25">
      <c r="B3858" t="s">
        <v>133</v>
      </c>
      <c r="C3858" t="s">
        <v>3265</v>
      </c>
      <c r="D3858" t="s">
        <v>3899</v>
      </c>
      <c r="E3858" t="s">
        <v>3900</v>
      </c>
      <c r="F3858" t="s">
        <v>9522</v>
      </c>
      <c r="G3858" t="s">
        <v>3890</v>
      </c>
      <c r="H3858" t="s">
        <v>3891</v>
      </c>
      <c r="I3858" t="s">
        <v>3892</v>
      </c>
      <c r="J3858">
        <v>2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</row>
    <row r="3859" spans="2:30" x14ac:dyDescent="0.25">
      <c r="B3859" t="s">
        <v>133</v>
      </c>
      <c r="C3859" t="s">
        <v>3265</v>
      </c>
      <c r="D3859" t="s">
        <v>3902</v>
      </c>
      <c r="E3859" t="s">
        <v>3903</v>
      </c>
      <c r="F3859" t="s">
        <v>9523</v>
      </c>
      <c r="G3859" t="s">
        <v>3890</v>
      </c>
      <c r="H3859" t="s">
        <v>3891</v>
      </c>
      <c r="I3859" t="s">
        <v>3892</v>
      </c>
      <c r="J3859">
        <v>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</row>
    <row r="3860" spans="2:30" x14ac:dyDescent="0.25">
      <c r="B3860" t="s">
        <v>133</v>
      </c>
      <c r="C3860" t="s">
        <v>3265</v>
      </c>
      <c r="D3860" t="s">
        <v>3905</v>
      </c>
      <c r="E3860" t="s">
        <v>3906</v>
      </c>
      <c r="F3860" t="s">
        <v>9524</v>
      </c>
      <c r="G3860" t="s">
        <v>3890</v>
      </c>
      <c r="H3860" t="s">
        <v>3891</v>
      </c>
      <c r="I3860" t="s">
        <v>3892</v>
      </c>
      <c r="J3860">
        <v>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</row>
    <row r="3861" spans="2:30" x14ac:dyDescent="0.25">
      <c r="B3861" t="s">
        <v>133</v>
      </c>
      <c r="C3861" t="s">
        <v>3265</v>
      </c>
      <c r="D3861" t="s">
        <v>3908</v>
      </c>
      <c r="E3861" t="s">
        <v>3909</v>
      </c>
      <c r="F3861" t="s">
        <v>9525</v>
      </c>
      <c r="G3861" t="s">
        <v>3890</v>
      </c>
      <c r="H3861" t="s">
        <v>3891</v>
      </c>
      <c r="I3861" t="s">
        <v>3892</v>
      </c>
      <c r="J3861">
        <v>2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</row>
    <row r="3862" spans="2:30" x14ac:dyDescent="0.25">
      <c r="B3862" t="s">
        <v>133</v>
      </c>
      <c r="C3862" t="s">
        <v>3265</v>
      </c>
      <c r="D3862" t="s">
        <v>3911</v>
      </c>
      <c r="E3862" t="s">
        <v>3912</v>
      </c>
      <c r="F3862" t="s">
        <v>9526</v>
      </c>
      <c r="G3862" t="s">
        <v>3890</v>
      </c>
      <c r="H3862" t="s">
        <v>3891</v>
      </c>
      <c r="I3862" t="s">
        <v>3892</v>
      </c>
      <c r="J3862">
        <v>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</row>
    <row r="3863" spans="2:30" x14ac:dyDescent="0.25">
      <c r="B3863" t="s">
        <v>133</v>
      </c>
      <c r="C3863" t="s">
        <v>3265</v>
      </c>
      <c r="D3863" t="s">
        <v>3914</v>
      </c>
      <c r="E3863" t="s">
        <v>3915</v>
      </c>
      <c r="F3863" t="s">
        <v>9527</v>
      </c>
      <c r="G3863" t="s">
        <v>3890</v>
      </c>
      <c r="H3863" t="s">
        <v>3917</v>
      </c>
      <c r="I3863" t="s">
        <v>3892</v>
      </c>
      <c r="J3863">
        <v>2</v>
      </c>
      <c r="K3863">
        <v>6.651E-2</v>
      </c>
      <c r="L3863">
        <v>3.7600000000000001E-2</v>
      </c>
      <c r="M3863">
        <v>2.3990000000000001E-2</v>
      </c>
      <c r="N3863">
        <v>4.3920000000000001E-2</v>
      </c>
      <c r="O3863">
        <v>4.24E-2</v>
      </c>
      <c r="P3863">
        <v>4.829E-2</v>
      </c>
      <c r="Q3863">
        <v>5.5350000000000003E-2</v>
      </c>
      <c r="R3863">
        <v>5.2269999999999997E-2</v>
      </c>
      <c r="S3863">
        <v>4.8419999999999998E-2</v>
      </c>
      <c r="T3863">
        <v>4.7890000000000002E-2</v>
      </c>
      <c r="U3863">
        <v>4.7359999999999999E-2</v>
      </c>
      <c r="V3863">
        <v>4.6820000000000001E-2</v>
      </c>
      <c r="W3863">
        <v>4.6289999999999998E-2</v>
      </c>
      <c r="X3863">
        <v>4.5760000000000002E-2</v>
      </c>
      <c r="Y3863">
        <v>4.5229999999999999E-2</v>
      </c>
      <c r="Z3863">
        <v>4.4699999999999997E-2</v>
      </c>
      <c r="AA3863">
        <v>4.4170000000000001E-2</v>
      </c>
      <c r="AB3863">
        <v>4.3639999999999998E-2</v>
      </c>
      <c r="AC3863">
        <v>4.3099999999999999E-2</v>
      </c>
      <c r="AD3863">
        <v>4.2569999999999997E-2</v>
      </c>
    </row>
    <row r="3864" spans="2:30" x14ac:dyDescent="0.25">
      <c r="B3864" t="s">
        <v>133</v>
      </c>
      <c r="C3864" t="s">
        <v>3265</v>
      </c>
      <c r="D3864" t="s">
        <v>3918</v>
      </c>
      <c r="E3864" t="s">
        <v>3919</v>
      </c>
      <c r="F3864" t="s">
        <v>9528</v>
      </c>
      <c r="G3864" t="s">
        <v>3890</v>
      </c>
      <c r="H3864" t="s">
        <v>3917</v>
      </c>
      <c r="I3864" t="s">
        <v>3892</v>
      </c>
      <c r="J3864">
        <v>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-1E-4</v>
      </c>
      <c r="R3864">
        <v>-4.0999999999999999E-4</v>
      </c>
      <c r="S3864">
        <v>-9.5E-4</v>
      </c>
      <c r="T3864">
        <v>-1.6199999999999999E-3</v>
      </c>
      <c r="U3864">
        <v>-2.3800000000000002E-3</v>
      </c>
      <c r="V3864">
        <v>-3.14E-3</v>
      </c>
      <c r="W3864">
        <v>-3.8899999999999998E-3</v>
      </c>
      <c r="X3864">
        <v>-4.5999999999999999E-3</v>
      </c>
      <c r="Y3864">
        <v>-4.7699999999999999E-3</v>
      </c>
      <c r="Z3864">
        <v>-4.5199999999999997E-3</v>
      </c>
      <c r="AA3864">
        <v>-4.2300000000000003E-3</v>
      </c>
      <c r="AB3864">
        <v>-3.8800000000000002E-3</v>
      </c>
      <c r="AC3864">
        <v>-3.4499999999999999E-3</v>
      </c>
      <c r="AD3864">
        <v>-3.0400000000000002E-3</v>
      </c>
    </row>
    <row r="3865" spans="2:30" x14ac:dyDescent="0.25">
      <c r="B3865" t="s">
        <v>133</v>
      </c>
      <c r="C3865" t="s">
        <v>3265</v>
      </c>
      <c r="D3865" t="s">
        <v>3921</v>
      </c>
      <c r="E3865" t="s">
        <v>3922</v>
      </c>
      <c r="F3865" t="s">
        <v>9529</v>
      </c>
      <c r="G3865" t="s">
        <v>3890</v>
      </c>
      <c r="H3865" t="s">
        <v>3917</v>
      </c>
      <c r="I3865" t="s">
        <v>3892</v>
      </c>
      <c r="J3865">
        <v>2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2.0000000000000002E-5</v>
      </c>
      <c r="R3865">
        <v>8.0000000000000007E-5</v>
      </c>
      <c r="S3865">
        <v>1.6000000000000001E-4</v>
      </c>
      <c r="T3865">
        <v>2.5999999999999998E-4</v>
      </c>
      <c r="U3865">
        <v>3.6999999999999999E-4</v>
      </c>
      <c r="V3865">
        <v>4.8000000000000001E-4</v>
      </c>
      <c r="W3865">
        <v>5.9000000000000003E-4</v>
      </c>
      <c r="X3865">
        <v>7.1000000000000002E-4</v>
      </c>
      <c r="Y3865">
        <v>7.2000000000000005E-4</v>
      </c>
      <c r="Z3865">
        <v>7.1000000000000002E-4</v>
      </c>
      <c r="AA3865">
        <v>6.9999999999999999E-4</v>
      </c>
      <c r="AB3865">
        <v>6.9999999999999999E-4</v>
      </c>
      <c r="AC3865">
        <v>6.8000000000000005E-4</v>
      </c>
      <c r="AD3865">
        <v>6.6E-4</v>
      </c>
    </row>
    <row r="3866" spans="2:30" x14ac:dyDescent="0.25">
      <c r="B3866" t="s">
        <v>133</v>
      </c>
      <c r="C3866" t="s">
        <v>3265</v>
      </c>
      <c r="D3866" t="s">
        <v>3924</v>
      </c>
      <c r="E3866" t="s">
        <v>3925</v>
      </c>
      <c r="F3866" t="s">
        <v>9530</v>
      </c>
      <c r="G3866" t="s">
        <v>3890</v>
      </c>
      <c r="H3866" t="s">
        <v>3917</v>
      </c>
      <c r="I3866" t="s">
        <v>3892</v>
      </c>
      <c r="J3866">
        <v>2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8.0000000000000007E-5</v>
      </c>
      <c r="R3866">
        <v>3.2000000000000003E-4</v>
      </c>
      <c r="S3866">
        <v>6.8999999999999997E-4</v>
      </c>
      <c r="T3866">
        <v>1.14E-3</v>
      </c>
      <c r="U3866">
        <v>1.6299999999999999E-3</v>
      </c>
      <c r="V3866">
        <v>2.15E-3</v>
      </c>
      <c r="W3866">
        <v>2.7200000000000002E-3</v>
      </c>
      <c r="X3866">
        <v>3.3400000000000001E-3</v>
      </c>
      <c r="Y3866">
        <v>3.6099999999999999E-3</v>
      </c>
      <c r="Z3866">
        <v>3.81E-3</v>
      </c>
      <c r="AA3866">
        <v>4.1200000000000004E-3</v>
      </c>
      <c r="AB3866">
        <v>4.5199999999999997E-3</v>
      </c>
      <c r="AC3866">
        <v>4.8700000000000002E-3</v>
      </c>
      <c r="AD3866">
        <v>5.2100000000000002E-3</v>
      </c>
    </row>
    <row r="3867" spans="2:30" x14ac:dyDescent="0.25">
      <c r="B3867" t="s">
        <v>133</v>
      </c>
      <c r="C3867" t="s">
        <v>3265</v>
      </c>
      <c r="D3867" t="s">
        <v>3927</v>
      </c>
      <c r="E3867" t="s">
        <v>3928</v>
      </c>
      <c r="F3867" t="s">
        <v>9531</v>
      </c>
      <c r="G3867" t="s">
        <v>3890</v>
      </c>
      <c r="H3867" t="s">
        <v>3917</v>
      </c>
      <c r="I3867" t="s">
        <v>3892</v>
      </c>
      <c r="J3867">
        <v>2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</row>
    <row r="3868" spans="2:30" x14ac:dyDescent="0.25">
      <c r="B3868" t="s">
        <v>133</v>
      </c>
      <c r="C3868" t="s">
        <v>3265</v>
      </c>
      <c r="D3868" t="s">
        <v>3930</v>
      </c>
      <c r="E3868" t="s">
        <v>3931</v>
      </c>
      <c r="F3868" t="s">
        <v>9532</v>
      </c>
      <c r="G3868" t="s">
        <v>3890</v>
      </c>
      <c r="H3868" t="s">
        <v>3917</v>
      </c>
      <c r="I3868" t="s">
        <v>3892</v>
      </c>
      <c r="J3868">
        <v>2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1.0000000000000001E-5</v>
      </c>
      <c r="R3868">
        <v>4.0000000000000003E-5</v>
      </c>
      <c r="S3868">
        <v>9.0000000000000006E-5</v>
      </c>
      <c r="T3868">
        <v>1.7000000000000001E-4</v>
      </c>
      <c r="U3868">
        <v>2.5999999999999998E-4</v>
      </c>
      <c r="V3868">
        <v>3.6000000000000002E-4</v>
      </c>
      <c r="W3868">
        <v>4.6999999999999999E-4</v>
      </c>
      <c r="X3868">
        <v>5.6999999999999998E-4</v>
      </c>
      <c r="Y3868">
        <v>6.4000000000000005E-4</v>
      </c>
      <c r="Z3868">
        <v>6.7000000000000002E-4</v>
      </c>
      <c r="AA3868">
        <v>6.7000000000000002E-4</v>
      </c>
      <c r="AB3868">
        <v>6.7000000000000002E-4</v>
      </c>
      <c r="AC3868">
        <v>6.6E-4</v>
      </c>
      <c r="AD3868">
        <v>6.4999999999999997E-4</v>
      </c>
    </row>
    <row r="3869" spans="2:30" x14ac:dyDescent="0.25">
      <c r="B3869" t="s">
        <v>133</v>
      </c>
      <c r="C3869" t="s">
        <v>3265</v>
      </c>
      <c r="D3869" t="s">
        <v>3933</v>
      </c>
      <c r="E3869" t="s">
        <v>3934</v>
      </c>
      <c r="F3869" t="s">
        <v>9533</v>
      </c>
      <c r="G3869" t="s">
        <v>3890</v>
      </c>
      <c r="H3869" t="s">
        <v>3917</v>
      </c>
      <c r="I3869" t="s">
        <v>3892</v>
      </c>
      <c r="J3869">
        <v>2</v>
      </c>
      <c r="K3869">
        <v>6.651E-2</v>
      </c>
      <c r="L3869">
        <v>3.7600000000000001E-2</v>
      </c>
      <c r="M3869">
        <v>2.3990000000000001E-2</v>
      </c>
      <c r="N3869">
        <v>4.3920000000000001E-2</v>
      </c>
      <c r="O3869">
        <v>4.24E-2</v>
      </c>
      <c r="P3869">
        <v>4.829E-2</v>
      </c>
      <c r="Q3869">
        <v>5.5359999999999999E-2</v>
      </c>
      <c r="R3869">
        <v>5.2299999999999992E-2</v>
      </c>
      <c r="S3869">
        <v>4.8410000000000002E-2</v>
      </c>
      <c r="T3869">
        <v>4.7840000000000008E-2</v>
      </c>
      <c r="U3869">
        <v>4.7240000000000004E-2</v>
      </c>
      <c r="V3869">
        <v>4.6670000000000003E-2</v>
      </c>
      <c r="W3869">
        <v>4.6179999999999999E-2</v>
      </c>
      <c r="X3869">
        <v>4.5780000000000008E-2</v>
      </c>
      <c r="Y3869">
        <v>4.5429999999999998E-2</v>
      </c>
      <c r="Z3869">
        <v>4.5369999999999994E-2</v>
      </c>
      <c r="AA3869">
        <v>4.5429999999999998E-2</v>
      </c>
      <c r="AB3869">
        <v>4.5649999999999989E-2</v>
      </c>
      <c r="AC3869">
        <v>4.5859999999999998E-2</v>
      </c>
      <c r="AD3869">
        <v>4.6049999999999994E-2</v>
      </c>
    </row>
    <row r="3870" spans="2:30" x14ac:dyDescent="0.25">
      <c r="B3870" t="s">
        <v>133</v>
      </c>
      <c r="C3870" t="s">
        <v>3265</v>
      </c>
      <c r="D3870" t="s">
        <v>3936</v>
      </c>
      <c r="E3870" t="s">
        <v>3437</v>
      </c>
      <c r="F3870" t="s">
        <v>9534</v>
      </c>
      <c r="G3870" t="s">
        <v>3890</v>
      </c>
      <c r="H3870" t="s">
        <v>2308</v>
      </c>
      <c r="I3870" t="s">
        <v>3938</v>
      </c>
      <c r="J3870">
        <v>1</v>
      </c>
      <c r="K3870">
        <v>-31.97</v>
      </c>
      <c r="L3870">
        <v>-26.56</v>
      </c>
      <c r="M3870">
        <v>-38.700000000000003</v>
      </c>
      <c r="N3870">
        <v>-37.520000000000003</v>
      </c>
      <c r="O3870">
        <v>-39.33</v>
      </c>
      <c r="P3870">
        <v>-38.21</v>
      </c>
      <c r="Q3870">
        <v>-38.51</v>
      </c>
      <c r="R3870">
        <v>-39.22</v>
      </c>
      <c r="S3870">
        <v>-39.93</v>
      </c>
      <c r="T3870">
        <v>-40.51</v>
      </c>
      <c r="U3870">
        <v>-41.25</v>
      </c>
      <c r="V3870">
        <v>-41.92</v>
      </c>
      <c r="W3870">
        <v>-42.48</v>
      </c>
      <c r="X3870">
        <v>-42.89</v>
      </c>
      <c r="Y3870">
        <v>-43.07</v>
      </c>
      <c r="Z3870">
        <v>-43.04</v>
      </c>
      <c r="AA3870">
        <v>-42.79</v>
      </c>
      <c r="AB3870">
        <v>-42.29</v>
      </c>
      <c r="AC3870">
        <v>-41.94</v>
      </c>
      <c r="AD3870">
        <v>-43.65</v>
      </c>
    </row>
    <row r="3871" spans="2:30" x14ac:dyDescent="0.25">
      <c r="B3871" t="s">
        <v>133</v>
      </c>
      <c r="C3871" t="s">
        <v>3265</v>
      </c>
      <c r="D3871" t="s">
        <v>3939</v>
      </c>
      <c r="E3871" t="s">
        <v>3443</v>
      </c>
      <c r="F3871" t="s">
        <v>9535</v>
      </c>
      <c r="G3871" t="s">
        <v>3890</v>
      </c>
      <c r="H3871" t="s">
        <v>2308</v>
      </c>
      <c r="I3871" t="s">
        <v>3938</v>
      </c>
      <c r="J3871">
        <v>2</v>
      </c>
      <c r="K3871">
        <v>-31.97</v>
      </c>
      <c r="L3871">
        <v>-26.56</v>
      </c>
      <c r="M3871">
        <v>-38.700000000000003</v>
      </c>
      <c r="N3871">
        <v>-37.520000000000003</v>
      </c>
      <c r="O3871">
        <v>-39.33</v>
      </c>
      <c r="P3871">
        <v>-38.21</v>
      </c>
      <c r="Q3871">
        <v>-38.33</v>
      </c>
      <c r="R3871">
        <v>-38.5</v>
      </c>
      <c r="S3871">
        <v>-38.31</v>
      </c>
      <c r="T3871">
        <v>-37.729999999999997</v>
      </c>
      <c r="U3871">
        <v>-37.1</v>
      </c>
      <c r="V3871">
        <v>-36.22</v>
      </c>
      <c r="W3871">
        <v>-35.07</v>
      </c>
      <c r="X3871">
        <v>-33.619999999999997</v>
      </c>
      <c r="Y3871">
        <v>-33.14</v>
      </c>
      <c r="Z3871">
        <v>-32.799999999999997</v>
      </c>
      <c r="AA3871">
        <v>-32.130000000000003</v>
      </c>
      <c r="AB3871">
        <v>-31.27</v>
      </c>
      <c r="AC3871">
        <v>-30.51</v>
      </c>
      <c r="AD3871">
        <v>-31.89</v>
      </c>
    </row>
    <row r="3872" spans="2:30" x14ac:dyDescent="0.25">
      <c r="B3872" t="s">
        <v>133</v>
      </c>
      <c r="C3872" t="s">
        <v>3265</v>
      </c>
      <c r="D3872" t="s">
        <v>3941</v>
      </c>
      <c r="E3872" t="s">
        <v>3942</v>
      </c>
      <c r="F3872" t="s">
        <v>9536</v>
      </c>
      <c r="G3872" t="s">
        <v>3890</v>
      </c>
      <c r="H3872" t="s">
        <v>2308</v>
      </c>
      <c r="I3872" t="s">
        <v>3892</v>
      </c>
      <c r="J3872">
        <v>1</v>
      </c>
      <c r="K3872">
        <v>-5.8450000000000002E-2</v>
      </c>
      <c r="L3872">
        <v>-4.6809999999999997E-2</v>
      </c>
      <c r="M3872">
        <v>-6.6600000000000006E-2</v>
      </c>
      <c r="N3872">
        <v>-6.1839999999999999E-2</v>
      </c>
      <c r="O3872">
        <v>-6.2199999999999998E-2</v>
      </c>
      <c r="P3872">
        <v>-5.7630000000000001E-2</v>
      </c>
      <c r="Q3872">
        <v>-5.5039999999999999E-2</v>
      </c>
      <c r="R3872">
        <v>-5.3280000000000001E-2</v>
      </c>
      <c r="S3872">
        <v>-5.1729999999999998E-2</v>
      </c>
      <c r="T3872">
        <v>-5.0090000000000003E-2</v>
      </c>
      <c r="U3872">
        <v>-4.8689999999999997E-2</v>
      </c>
      <c r="V3872">
        <v>-4.727E-2</v>
      </c>
      <c r="W3872">
        <v>-4.5780000000000001E-2</v>
      </c>
      <c r="X3872">
        <v>-4.4209999999999999E-2</v>
      </c>
      <c r="Y3872">
        <v>-4.2459999999999998E-2</v>
      </c>
      <c r="Z3872">
        <v>-4.0620000000000003E-2</v>
      </c>
      <c r="AA3872">
        <v>-3.8679999999999999E-2</v>
      </c>
      <c r="AB3872">
        <v>-3.6630000000000003E-2</v>
      </c>
      <c r="AC3872">
        <v>-3.4819999999999997E-2</v>
      </c>
      <c r="AD3872">
        <v>-3.4759999999999999E-2</v>
      </c>
    </row>
    <row r="3873" spans="2:30" x14ac:dyDescent="0.25">
      <c r="B3873" t="s">
        <v>133</v>
      </c>
      <c r="C3873" t="s">
        <v>3265</v>
      </c>
      <c r="D3873" t="s">
        <v>3944</v>
      </c>
      <c r="E3873" t="s">
        <v>3945</v>
      </c>
      <c r="F3873" t="s">
        <v>9537</v>
      </c>
      <c r="G3873" t="s">
        <v>3890</v>
      </c>
      <c r="H3873" t="s">
        <v>2308</v>
      </c>
      <c r="I3873" t="s">
        <v>3892</v>
      </c>
      <c r="J3873">
        <v>2</v>
      </c>
      <c r="K3873">
        <v>-5.8450000000000002E-2</v>
      </c>
      <c r="L3873">
        <v>-4.6809999999999997E-2</v>
      </c>
      <c r="M3873">
        <v>-6.6600000000000006E-2</v>
      </c>
      <c r="N3873">
        <v>-6.1839999999999999E-2</v>
      </c>
      <c r="O3873">
        <v>-6.2199999999999998E-2</v>
      </c>
      <c r="P3873">
        <v>-5.7630000000000001E-2</v>
      </c>
      <c r="Q3873">
        <v>-5.4789999999999998E-2</v>
      </c>
      <c r="R3873">
        <v>-5.2290000000000003E-2</v>
      </c>
      <c r="S3873">
        <v>-4.9630000000000001E-2</v>
      </c>
      <c r="T3873">
        <v>-4.6649999999999997E-2</v>
      </c>
      <c r="U3873">
        <v>-4.3790000000000003E-2</v>
      </c>
      <c r="V3873">
        <v>-4.0840000000000001E-2</v>
      </c>
      <c r="W3873">
        <v>-3.78E-2</v>
      </c>
      <c r="X3873">
        <v>-3.465E-2</v>
      </c>
      <c r="Y3873">
        <v>-3.2680000000000001E-2</v>
      </c>
      <c r="Z3873">
        <v>-3.0960000000000001E-2</v>
      </c>
      <c r="AA3873">
        <v>-2.904E-2</v>
      </c>
      <c r="AB3873">
        <v>-2.708E-2</v>
      </c>
      <c r="AC3873">
        <v>-2.5329999999999998E-2</v>
      </c>
      <c r="AD3873">
        <v>-2.5399999999999999E-2</v>
      </c>
    </row>
    <row r="3874" spans="2:30" x14ac:dyDescent="0.25">
      <c r="B3874" t="s">
        <v>133</v>
      </c>
      <c r="C3874" t="s">
        <v>3265</v>
      </c>
      <c r="D3874" t="s">
        <v>3947</v>
      </c>
      <c r="E3874" t="s">
        <v>3948</v>
      </c>
      <c r="F3874" t="s">
        <v>9538</v>
      </c>
      <c r="J3874">
        <v>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1.6151817351157949E-5</v>
      </c>
      <c r="R3874">
        <v>7.5998805099973532E-5</v>
      </c>
      <c r="S3874">
        <v>1.7646473539726509E-4</v>
      </c>
      <c r="T3874">
        <v>2.8316328827045212E-4</v>
      </c>
      <c r="U3874">
        <v>3.8986043351855321E-4</v>
      </c>
      <c r="V3874">
        <v>4.9266478630542732E-4</v>
      </c>
      <c r="W3874">
        <v>5.9414004722682656E-4</v>
      </c>
      <c r="X3874">
        <v>6.9305938050765598E-4</v>
      </c>
      <c r="Y3874">
        <v>8.0120316821422066E-4</v>
      </c>
      <c r="Z3874">
        <v>7.7551817901954506E-4</v>
      </c>
      <c r="AA3874">
        <v>8.3345602754076459E-4</v>
      </c>
      <c r="AB3874">
        <v>8.4945014278808156E-4</v>
      </c>
      <c r="AC3874">
        <v>8.4289398965984447E-4</v>
      </c>
      <c r="AD3874">
        <v>7.6117168562565146E-4</v>
      </c>
    </row>
    <row r="3875" spans="2:30" x14ac:dyDescent="0.25">
      <c r="B3875" t="s">
        <v>133</v>
      </c>
      <c r="C3875" t="s">
        <v>3265</v>
      </c>
      <c r="D3875" t="s">
        <v>3950</v>
      </c>
      <c r="E3875" t="s">
        <v>3951</v>
      </c>
      <c r="F3875" t="s">
        <v>9539</v>
      </c>
      <c r="J3875">
        <v>2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</row>
    <row r="3876" spans="2:30" x14ac:dyDescent="0.25">
      <c r="B3876" t="s">
        <v>133</v>
      </c>
      <c r="C3876" t="s">
        <v>3265</v>
      </c>
      <c r="D3876" t="s">
        <v>3953</v>
      </c>
      <c r="E3876" t="s">
        <v>3954</v>
      </c>
      <c r="F3876" t="s">
        <v>9540</v>
      </c>
      <c r="J3876">
        <v>2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</row>
    <row r="3877" spans="2:30" x14ac:dyDescent="0.25">
      <c r="B3877" t="s">
        <v>133</v>
      </c>
      <c r="C3877" t="s">
        <v>3265</v>
      </c>
      <c r="D3877" t="s">
        <v>3956</v>
      </c>
      <c r="E3877" t="s">
        <v>3957</v>
      </c>
      <c r="F3877" t="s">
        <v>9541</v>
      </c>
      <c r="J3877">
        <v>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</row>
    <row r="3878" spans="2:30" x14ac:dyDescent="0.25">
      <c r="B3878" t="s">
        <v>133</v>
      </c>
      <c r="C3878" t="s">
        <v>3265</v>
      </c>
      <c r="D3878" t="s">
        <v>3959</v>
      </c>
      <c r="E3878" t="s">
        <v>3960</v>
      </c>
      <c r="F3878" t="s">
        <v>9542</v>
      </c>
      <c r="J3878">
        <v>2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</row>
    <row r="3879" spans="2:30" x14ac:dyDescent="0.25">
      <c r="B3879" t="s">
        <v>133</v>
      </c>
      <c r="C3879" t="s">
        <v>3265</v>
      </c>
      <c r="D3879" t="s">
        <v>3962</v>
      </c>
      <c r="E3879" t="s">
        <v>3963</v>
      </c>
      <c r="F3879" t="s">
        <v>9543</v>
      </c>
      <c r="J3879">
        <v>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</row>
    <row r="3880" spans="2:30" x14ac:dyDescent="0.25">
      <c r="B3880" t="s">
        <v>133</v>
      </c>
      <c r="C3880" t="s">
        <v>3265</v>
      </c>
      <c r="D3880" t="s">
        <v>3965</v>
      </c>
      <c r="E3880" t="s">
        <v>3966</v>
      </c>
      <c r="F3880" t="s">
        <v>9544</v>
      </c>
      <c r="G3880" t="s">
        <v>3890</v>
      </c>
      <c r="H3880" t="s">
        <v>3968</v>
      </c>
      <c r="I3880" t="s">
        <v>3969</v>
      </c>
      <c r="J3880">
        <v>1</v>
      </c>
      <c r="K3880">
        <v>6.3</v>
      </c>
      <c r="L3880">
        <v>6.34</v>
      </c>
      <c r="M3880">
        <v>6.37</v>
      </c>
      <c r="N3880">
        <v>6.41</v>
      </c>
      <c r="O3880">
        <v>6.45</v>
      </c>
      <c r="P3880">
        <v>6.5</v>
      </c>
      <c r="Q3880">
        <v>6.55</v>
      </c>
      <c r="R3880">
        <v>6.6</v>
      </c>
      <c r="S3880">
        <v>6.65</v>
      </c>
      <c r="T3880">
        <v>6.7</v>
      </c>
      <c r="U3880">
        <v>6.74</v>
      </c>
      <c r="V3880">
        <v>6.79</v>
      </c>
      <c r="W3880">
        <v>6.83</v>
      </c>
      <c r="X3880">
        <v>6.88</v>
      </c>
      <c r="Y3880">
        <v>6.92</v>
      </c>
      <c r="Z3880">
        <v>6.97</v>
      </c>
      <c r="AA3880">
        <v>7.01</v>
      </c>
      <c r="AB3880">
        <v>7.05</v>
      </c>
      <c r="AC3880">
        <v>7.09</v>
      </c>
      <c r="AD3880">
        <v>7.14</v>
      </c>
    </row>
    <row r="3881" spans="2:30" x14ac:dyDescent="0.25">
      <c r="B3881" t="s">
        <v>133</v>
      </c>
      <c r="C3881" t="s">
        <v>3265</v>
      </c>
      <c r="D3881" t="s">
        <v>3970</v>
      </c>
      <c r="E3881" t="s">
        <v>3971</v>
      </c>
      <c r="F3881" t="s">
        <v>9545</v>
      </c>
      <c r="G3881" t="s">
        <v>3890</v>
      </c>
      <c r="H3881" t="s">
        <v>3917</v>
      </c>
      <c r="I3881" t="s">
        <v>3938</v>
      </c>
      <c r="J3881">
        <v>1</v>
      </c>
      <c r="K3881">
        <v>546.97091999999998</v>
      </c>
      <c r="L3881">
        <v>567.53857000000005</v>
      </c>
      <c r="M3881">
        <v>581.15269000000001</v>
      </c>
      <c r="N3881">
        <v>606.67916000000002</v>
      </c>
      <c r="O3881">
        <v>632.40057999999999</v>
      </c>
      <c r="P3881">
        <v>662.94057999999995</v>
      </c>
      <c r="Q3881">
        <v>699.63643999999999</v>
      </c>
      <c r="R3881">
        <v>736.20367999999996</v>
      </c>
      <c r="S3881">
        <v>771.84974999999997</v>
      </c>
      <c r="T3881">
        <v>808.8116</v>
      </c>
      <c r="U3881">
        <v>847.11364000000003</v>
      </c>
      <c r="V3881">
        <v>886.77935000000002</v>
      </c>
      <c r="W3881">
        <v>927.83114</v>
      </c>
      <c r="X3881">
        <v>970.29029000000003</v>
      </c>
      <c r="Y3881">
        <v>1014.17682</v>
      </c>
      <c r="Z3881">
        <v>1059.5094099999999</v>
      </c>
      <c r="AA3881">
        <v>1106.30528</v>
      </c>
      <c r="AB3881">
        <v>1154.5800999999999</v>
      </c>
      <c r="AC3881">
        <v>1204.3479</v>
      </c>
      <c r="AD3881">
        <v>1255.6209100000001</v>
      </c>
    </row>
    <row r="3882" spans="2:30" x14ac:dyDescent="0.25">
      <c r="B3882" t="s">
        <v>133</v>
      </c>
      <c r="C3882" t="s">
        <v>3265</v>
      </c>
      <c r="D3882" t="s">
        <v>3973</v>
      </c>
      <c r="E3882" t="s">
        <v>3974</v>
      </c>
      <c r="F3882" t="s">
        <v>9546</v>
      </c>
      <c r="G3882" t="s">
        <v>3890</v>
      </c>
      <c r="H3882" t="s">
        <v>3917</v>
      </c>
      <c r="I3882" t="s">
        <v>3938</v>
      </c>
      <c r="J3882">
        <v>2</v>
      </c>
      <c r="K3882">
        <v>546.97091999999998</v>
      </c>
      <c r="L3882">
        <v>567.53857000000005</v>
      </c>
      <c r="M3882">
        <v>581.15269000000001</v>
      </c>
      <c r="N3882">
        <v>606.67916000000002</v>
      </c>
      <c r="O3882">
        <v>632.40057999999999</v>
      </c>
      <c r="P3882">
        <v>662.94057999999995</v>
      </c>
      <c r="Q3882">
        <v>699.63643999999999</v>
      </c>
      <c r="R3882">
        <v>736.21213</v>
      </c>
      <c r="S3882">
        <v>771.86216000000002</v>
      </c>
      <c r="T3882">
        <v>808.80785000000003</v>
      </c>
      <c r="U3882">
        <v>847.07046000000003</v>
      </c>
      <c r="V3882">
        <v>886.68253000000004</v>
      </c>
      <c r="W3882">
        <v>927.70295999999996</v>
      </c>
      <c r="X3882">
        <v>970.19082000000003</v>
      </c>
      <c r="Y3882">
        <v>1014.19652</v>
      </c>
      <c r="Z3882">
        <v>1059.71739</v>
      </c>
      <c r="AA3882">
        <v>1107.0139899999999</v>
      </c>
      <c r="AB3882">
        <v>1155.97039</v>
      </c>
      <c r="AC3882">
        <v>1206.6648600000001</v>
      </c>
      <c r="AD3882">
        <v>1258.9440400000001</v>
      </c>
    </row>
    <row r="3883" spans="2:30" x14ac:dyDescent="0.25">
      <c r="B3883" t="s">
        <v>133</v>
      </c>
      <c r="C3883" t="s">
        <v>3265</v>
      </c>
      <c r="D3883" t="s">
        <v>3976</v>
      </c>
      <c r="E3883" t="s">
        <v>3977</v>
      </c>
      <c r="F3883" t="s">
        <v>9547</v>
      </c>
      <c r="G3883" t="s">
        <v>3890</v>
      </c>
      <c r="H3883" t="s">
        <v>3979</v>
      </c>
      <c r="I3883" t="s">
        <v>3980</v>
      </c>
      <c r="J3883">
        <v>1</v>
      </c>
      <c r="K3883">
        <v>103.6</v>
      </c>
      <c r="L3883">
        <v>105.2</v>
      </c>
      <c r="M3883">
        <v>106.6</v>
      </c>
      <c r="N3883">
        <v>107.9</v>
      </c>
      <c r="O3883">
        <v>110.05800000000001</v>
      </c>
      <c r="P3883">
        <v>112.25915999999999</v>
      </c>
      <c r="Q3883">
        <v>114.50434300000001</v>
      </c>
      <c r="R3883">
        <v>116.79443000000001</v>
      </c>
      <c r="S3883">
        <v>120.29826300000001</v>
      </c>
      <c r="T3883">
        <v>125.110193</v>
      </c>
      <c r="U3883">
        <v>130.11460017919998</v>
      </c>
      <c r="V3883">
        <v>135.31918362393597</v>
      </c>
      <c r="W3883">
        <v>140.73195038396412</v>
      </c>
      <c r="X3883">
        <v>146.36122779099622</v>
      </c>
      <c r="Y3883">
        <v>152.21567626997654</v>
      </c>
      <c r="Z3883">
        <v>158.3043026628097</v>
      </c>
      <c r="AA3883">
        <v>164.63647408503755</v>
      </c>
      <c r="AB3883">
        <v>171.22193233678314</v>
      </c>
      <c r="AC3883">
        <v>178.07080889013233</v>
      </c>
      <c r="AD3883">
        <v>185.19364047601059</v>
      </c>
    </row>
    <row r="3884" spans="2:30" x14ac:dyDescent="0.25">
      <c r="B3884" t="s">
        <v>133</v>
      </c>
      <c r="C3884" t="s">
        <v>3265</v>
      </c>
      <c r="D3884" t="s">
        <v>3981</v>
      </c>
      <c r="E3884" t="s">
        <v>3982</v>
      </c>
      <c r="F3884" t="s">
        <v>9548</v>
      </c>
      <c r="G3884" t="s">
        <v>3890</v>
      </c>
      <c r="H3884" t="s">
        <v>3984</v>
      </c>
      <c r="I3884" t="s">
        <v>3985</v>
      </c>
      <c r="J3884">
        <v>1</v>
      </c>
      <c r="K3884">
        <v>400.91199999999998</v>
      </c>
      <c r="L3884">
        <v>412.09300000000002</v>
      </c>
      <c r="M3884">
        <v>450.91199999999998</v>
      </c>
      <c r="N3884">
        <v>467.50299999999999</v>
      </c>
      <c r="O3884">
        <v>473.61099999999999</v>
      </c>
      <c r="P3884">
        <v>484.72199999999998</v>
      </c>
      <c r="Q3884">
        <v>501.07100000000003</v>
      </c>
      <c r="R3884">
        <v>518.10699999999997</v>
      </c>
      <c r="S3884">
        <v>535.59100000000001</v>
      </c>
      <c r="T3884">
        <v>555.01099999999997</v>
      </c>
      <c r="U3884">
        <v>576.96699999999998</v>
      </c>
      <c r="V3884">
        <v>601.255</v>
      </c>
      <c r="W3884">
        <v>626.79999999999995</v>
      </c>
      <c r="X3884">
        <v>653.71699999999998</v>
      </c>
      <c r="Y3884">
        <v>681.98</v>
      </c>
      <c r="Z3884">
        <v>711.798</v>
      </c>
      <c r="AA3884">
        <v>743.27499999999998</v>
      </c>
      <c r="AB3884">
        <v>776.57600000000002</v>
      </c>
      <c r="AC3884">
        <v>811.89599999999996</v>
      </c>
      <c r="AD3884">
        <v>848.12900000000002</v>
      </c>
    </row>
    <row r="3885" spans="2:30" x14ac:dyDescent="0.25">
      <c r="B3885" t="s">
        <v>133</v>
      </c>
      <c r="C3885" t="s">
        <v>3265</v>
      </c>
      <c r="D3885" t="s">
        <v>3387</v>
      </c>
      <c r="E3885" t="s">
        <v>3388</v>
      </c>
      <c r="F3885" t="s">
        <v>9549</v>
      </c>
      <c r="G3885" t="s">
        <v>3890</v>
      </c>
      <c r="H3885" t="s">
        <v>3984</v>
      </c>
      <c r="I3885" t="s">
        <v>3985</v>
      </c>
      <c r="J3885">
        <v>1</v>
      </c>
      <c r="K3885">
        <v>400.91199999999998</v>
      </c>
      <c r="L3885">
        <v>412.09300000000002</v>
      </c>
      <c r="M3885">
        <v>450.91199999999998</v>
      </c>
      <c r="N3885">
        <v>467.50299999999999</v>
      </c>
      <c r="O3885">
        <v>473.61099999999999</v>
      </c>
      <c r="P3885">
        <v>484.72199999999998</v>
      </c>
      <c r="Q3885">
        <v>501.07100000000003</v>
      </c>
      <c r="R3885">
        <v>518.10699999999997</v>
      </c>
      <c r="S3885">
        <v>535.59100000000001</v>
      </c>
      <c r="T3885">
        <v>555.01099999999997</v>
      </c>
      <c r="U3885">
        <v>576.96699999999998</v>
      </c>
      <c r="V3885">
        <v>601.255</v>
      </c>
      <c r="W3885">
        <v>626.79999999999995</v>
      </c>
      <c r="X3885">
        <v>653.71699999999998</v>
      </c>
      <c r="Y3885">
        <v>681.98</v>
      </c>
      <c r="Z3885">
        <v>711.798</v>
      </c>
      <c r="AA3885">
        <v>743.27499999999998</v>
      </c>
      <c r="AB3885">
        <v>776.57600000000002</v>
      </c>
      <c r="AC3885">
        <v>811.89599999999996</v>
      </c>
      <c r="AD3885">
        <v>848.12900000000002</v>
      </c>
    </row>
    <row r="3886" spans="2:30" x14ac:dyDescent="0.25">
      <c r="B3886" t="s">
        <v>133</v>
      </c>
      <c r="C3886" t="s">
        <v>3265</v>
      </c>
      <c r="D3886" t="s">
        <v>3987</v>
      </c>
      <c r="E3886" t="s">
        <v>3988</v>
      </c>
      <c r="F3886" t="s">
        <v>9550</v>
      </c>
      <c r="G3886" t="s">
        <v>3890</v>
      </c>
      <c r="H3886" t="s">
        <v>3984</v>
      </c>
      <c r="I3886" t="s">
        <v>3985</v>
      </c>
      <c r="J3886">
        <v>1</v>
      </c>
      <c r="K3886">
        <v>213.93899999999999</v>
      </c>
      <c r="L3886">
        <v>210.12100000000001</v>
      </c>
      <c r="M3886">
        <v>236.53700000000001</v>
      </c>
      <c r="N3886">
        <v>245.52099999999999</v>
      </c>
      <c r="O3886">
        <v>247.47900000000001</v>
      </c>
      <c r="P3886">
        <v>253.80500000000001</v>
      </c>
      <c r="Q3886">
        <v>264.036</v>
      </c>
      <c r="R3886">
        <v>274.93700000000001</v>
      </c>
      <c r="S3886">
        <v>286.39699999999999</v>
      </c>
      <c r="T3886">
        <v>299.19799999999998</v>
      </c>
      <c r="U3886">
        <v>312.86599999999999</v>
      </c>
      <c r="V3886">
        <v>327.58199999999999</v>
      </c>
      <c r="W3886">
        <v>343.245</v>
      </c>
      <c r="X3886">
        <v>359.96100000000001</v>
      </c>
      <c r="Y3886">
        <v>377.69499999999999</v>
      </c>
      <c r="Z3886">
        <v>396.64400000000001</v>
      </c>
      <c r="AA3886">
        <v>416.90300000000002</v>
      </c>
      <c r="AB3886">
        <v>438.625</v>
      </c>
      <c r="AC3886">
        <v>461.99299999999999</v>
      </c>
      <c r="AD3886">
        <v>485.89</v>
      </c>
    </row>
    <row r="3887" spans="2:30" x14ac:dyDescent="0.25">
      <c r="B3887" t="s">
        <v>133</v>
      </c>
      <c r="C3887" t="s">
        <v>3265</v>
      </c>
      <c r="D3887" t="s">
        <v>3375</v>
      </c>
      <c r="E3887" t="s">
        <v>3376</v>
      </c>
      <c r="F3887" t="s">
        <v>9551</v>
      </c>
      <c r="G3887" t="s">
        <v>3890</v>
      </c>
      <c r="H3887" t="s">
        <v>3984</v>
      </c>
      <c r="I3887" t="s">
        <v>3985</v>
      </c>
      <c r="J3887">
        <v>1</v>
      </c>
      <c r="K3887">
        <v>52.2</v>
      </c>
      <c r="L3887">
        <v>56.902999999999999</v>
      </c>
      <c r="M3887">
        <v>67.058999999999997</v>
      </c>
      <c r="N3887">
        <v>72.5</v>
      </c>
      <c r="O3887">
        <v>74.569000000000003</v>
      </c>
      <c r="P3887">
        <v>76.989999999999995</v>
      </c>
      <c r="Q3887">
        <v>79.929000000000002</v>
      </c>
      <c r="R3887">
        <v>82.77</v>
      </c>
      <c r="S3887">
        <v>85.453999999999994</v>
      </c>
      <c r="T3887">
        <v>88.177000000000007</v>
      </c>
      <c r="U3887">
        <v>90.929000000000002</v>
      </c>
      <c r="V3887">
        <v>93.73</v>
      </c>
      <c r="W3887">
        <v>96.58</v>
      </c>
      <c r="X3887">
        <v>99.477999999999994</v>
      </c>
      <c r="Y3887">
        <v>102.42400000000001</v>
      </c>
      <c r="Z3887">
        <v>105.41800000000001</v>
      </c>
      <c r="AA3887">
        <v>108.459</v>
      </c>
      <c r="AB3887">
        <v>111.547</v>
      </c>
      <c r="AC3887">
        <v>114.681</v>
      </c>
      <c r="AD3887">
        <v>117.86</v>
      </c>
    </row>
    <row r="3888" spans="2:30" x14ac:dyDescent="0.25">
      <c r="B3888" t="s">
        <v>133</v>
      </c>
      <c r="C3888" t="s">
        <v>3265</v>
      </c>
      <c r="D3888" t="s">
        <v>3991</v>
      </c>
      <c r="E3888" t="s">
        <v>3992</v>
      </c>
      <c r="F3888" t="s">
        <v>9552</v>
      </c>
      <c r="G3888" t="s">
        <v>3890</v>
      </c>
      <c r="H3888" t="s">
        <v>3984</v>
      </c>
      <c r="I3888" t="s">
        <v>3985</v>
      </c>
      <c r="J3888">
        <v>1</v>
      </c>
      <c r="K3888">
        <v>41.563000000000002</v>
      </c>
      <c r="L3888">
        <v>43.505000000000003</v>
      </c>
      <c r="M3888">
        <v>44.234000000000002</v>
      </c>
      <c r="N3888">
        <v>44.884999999999998</v>
      </c>
      <c r="O3888">
        <v>45.613999999999997</v>
      </c>
      <c r="P3888">
        <v>46.396000000000001</v>
      </c>
      <c r="Q3888">
        <v>47.423999999999999</v>
      </c>
      <c r="R3888">
        <v>48.524000000000001</v>
      </c>
      <c r="S3888">
        <v>49.628</v>
      </c>
      <c r="T3888">
        <v>50.838000000000001</v>
      </c>
      <c r="U3888">
        <v>52.454999999999998</v>
      </c>
      <c r="V3888">
        <v>54.396999999999998</v>
      </c>
      <c r="W3888">
        <v>56.406999999999996</v>
      </c>
      <c r="X3888">
        <v>58.485999999999997</v>
      </c>
      <c r="Y3888">
        <v>60.637999999999998</v>
      </c>
      <c r="Z3888">
        <v>62.863999999999997</v>
      </c>
      <c r="AA3888">
        <v>65.165999999999997</v>
      </c>
      <c r="AB3888">
        <v>67.548000000000002</v>
      </c>
      <c r="AC3888">
        <v>70.012</v>
      </c>
      <c r="AD3888">
        <v>72.56</v>
      </c>
    </row>
    <row r="3889" spans="2:30" x14ac:dyDescent="0.25">
      <c r="B3889" t="s">
        <v>133</v>
      </c>
      <c r="C3889" t="s">
        <v>3265</v>
      </c>
      <c r="D3889" t="s">
        <v>3994</v>
      </c>
      <c r="E3889" t="s">
        <v>3995</v>
      </c>
      <c r="F3889" t="s">
        <v>9553</v>
      </c>
      <c r="G3889" t="s">
        <v>3890</v>
      </c>
      <c r="H3889" t="s">
        <v>3984</v>
      </c>
      <c r="I3889" t="s">
        <v>3985</v>
      </c>
      <c r="J3889">
        <v>1</v>
      </c>
      <c r="K3889">
        <v>93.209000000000003</v>
      </c>
      <c r="L3889">
        <v>101.56399999999999</v>
      </c>
      <c r="M3889">
        <v>103.083</v>
      </c>
      <c r="N3889">
        <v>104.59699999999999</v>
      </c>
      <c r="O3889">
        <v>105.94799999999999</v>
      </c>
      <c r="P3889">
        <v>107.53100000000001</v>
      </c>
      <c r="Q3889">
        <v>109.682</v>
      </c>
      <c r="R3889">
        <v>111.875</v>
      </c>
      <c r="S3889">
        <v>114.113</v>
      </c>
      <c r="T3889">
        <v>116.798</v>
      </c>
      <c r="U3889">
        <v>120.718</v>
      </c>
      <c r="V3889">
        <v>125.54600000000001</v>
      </c>
      <c r="W3889">
        <v>130.56800000000001</v>
      </c>
      <c r="X3889">
        <v>135.791</v>
      </c>
      <c r="Y3889">
        <v>141.22300000000001</v>
      </c>
      <c r="Z3889">
        <v>146.87200000000001</v>
      </c>
      <c r="AA3889">
        <v>152.74600000000001</v>
      </c>
      <c r="AB3889">
        <v>158.85599999999999</v>
      </c>
      <c r="AC3889">
        <v>165.21</v>
      </c>
      <c r="AD3889">
        <v>171.81899999999999</v>
      </c>
    </row>
    <row r="3890" spans="2:30" x14ac:dyDescent="0.25">
      <c r="B3890" t="s">
        <v>133</v>
      </c>
      <c r="C3890" t="s">
        <v>3265</v>
      </c>
      <c r="D3890" t="s">
        <v>3997</v>
      </c>
      <c r="E3890" t="s">
        <v>3998</v>
      </c>
      <c r="F3890" t="s">
        <v>9554</v>
      </c>
      <c r="G3890" t="s">
        <v>3890</v>
      </c>
      <c r="H3890" t="s">
        <v>3984</v>
      </c>
      <c r="I3890" t="s">
        <v>3985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</row>
    <row r="3891" spans="2:30" x14ac:dyDescent="0.25">
      <c r="B3891" t="s">
        <v>133</v>
      </c>
      <c r="C3891" t="s">
        <v>3265</v>
      </c>
      <c r="D3891" t="s">
        <v>4000</v>
      </c>
      <c r="E3891" t="s">
        <v>3341</v>
      </c>
      <c r="F3891" t="s">
        <v>9555</v>
      </c>
      <c r="G3891" t="s">
        <v>3890</v>
      </c>
      <c r="H3891" t="s">
        <v>3984</v>
      </c>
      <c r="I3891" t="s">
        <v>4002</v>
      </c>
      <c r="J3891">
        <v>1</v>
      </c>
      <c r="K3891">
        <v>307.637</v>
      </c>
      <c r="L3891">
        <v>315.613</v>
      </c>
      <c r="M3891">
        <v>350.59300000000002</v>
      </c>
      <c r="N3891">
        <v>364.71100000000001</v>
      </c>
      <c r="O3891">
        <v>369.13900000000001</v>
      </c>
      <c r="P3891">
        <v>378.11399999999998</v>
      </c>
      <c r="Q3891">
        <v>391.91199999999998</v>
      </c>
      <c r="R3891">
        <v>406.33199999999999</v>
      </c>
      <c r="S3891">
        <v>421.214</v>
      </c>
      <c r="T3891">
        <v>437.48700000000002</v>
      </c>
      <c r="U3891">
        <v>455.42500000000001</v>
      </c>
      <c r="V3891">
        <v>475.274</v>
      </c>
      <c r="W3891">
        <v>496.22399999999999</v>
      </c>
      <c r="X3891">
        <v>518.38400000000001</v>
      </c>
      <c r="Y3891">
        <v>541.72500000000002</v>
      </c>
      <c r="Z3891">
        <v>566.44899999999996</v>
      </c>
      <c r="AA3891">
        <v>592.65300000000002</v>
      </c>
      <c r="AB3891">
        <v>620.49599999999998</v>
      </c>
      <c r="AC3891">
        <v>650.16499999999996</v>
      </c>
      <c r="AD3891">
        <v>680.55499999999995</v>
      </c>
    </row>
    <row r="3892" spans="2:30" x14ac:dyDescent="0.25">
      <c r="B3892" t="s">
        <v>133</v>
      </c>
      <c r="C3892" t="s">
        <v>3265</v>
      </c>
      <c r="D3892" t="s">
        <v>3292</v>
      </c>
      <c r="E3892" t="s">
        <v>3293</v>
      </c>
      <c r="F3892" t="s">
        <v>9556</v>
      </c>
      <c r="G3892" t="s">
        <v>3890</v>
      </c>
      <c r="H3892" t="s">
        <v>3984</v>
      </c>
      <c r="I3892" t="s">
        <v>4002</v>
      </c>
      <c r="J3892">
        <v>1</v>
      </c>
      <c r="K3892">
        <v>210.916</v>
      </c>
      <c r="L3892">
        <v>207.059</v>
      </c>
      <c r="M3892">
        <v>233.304</v>
      </c>
      <c r="N3892">
        <v>242.23699999999999</v>
      </c>
      <c r="O3892">
        <v>244.184</v>
      </c>
      <c r="P3892">
        <v>250.47300000000001</v>
      </c>
      <c r="Q3892">
        <v>260.64400000000001</v>
      </c>
      <c r="R3892">
        <v>271.48099999999999</v>
      </c>
      <c r="S3892">
        <v>282.875</v>
      </c>
      <c r="T3892">
        <v>295.60199999999998</v>
      </c>
      <c r="U3892">
        <v>309.20600000000002</v>
      </c>
      <c r="V3892">
        <v>323.851</v>
      </c>
      <c r="W3892">
        <v>339.43900000000002</v>
      </c>
      <c r="X3892">
        <v>356.07299999999998</v>
      </c>
      <c r="Y3892">
        <v>373.71800000000002</v>
      </c>
      <c r="Z3892">
        <v>392.57400000000001</v>
      </c>
      <c r="AA3892">
        <v>412.73099999999999</v>
      </c>
      <c r="AB3892">
        <v>434.34199999999998</v>
      </c>
      <c r="AC3892">
        <v>457.59</v>
      </c>
      <c r="AD3892">
        <v>481.36500000000001</v>
      </c>
    </row>
    <row r="3893" spans="2:30" x14ac:dyDescent="0.25">
      <c r="B3893" t="s">
        <v>133</v>
      </c>
      <c r="C3893" t="s">
        <v>3265</v>
      </c>
      <c r="D3893" t="s">
        <v>4004</v>
      </c>
      <c r="E3893" t="s">
        <v>4005</v>
      </c>
      <c r="F3893" t="s">
        <v>9557</v>
      </c>
      <c r="G3893" t="s">
        <v>3890</v>
      </c>
      <c r="H3893" t="s">
        <v>3984</v>
      </c>
      <c r="I3893" t="s">
        <v>4002</v>
      </c>
      <c r="J3893">
        <v>1</v>
      </c>
      <c r="K3893">
        <v>6.7770000000000001</v>
      </c>
      <c r="L3893">
        <v>6.3419999999999996</v>
      </c>
      <c r="M3893">
        <v>7.54</v>
      </c>
      <c r="N3893">
        <v>8.1080000000000005</v>
      </c>
      <c r="O3893">
        <v>8.2379999999999995</v>
      </c>
      <c r="P3893">
        <v>8.3670000000000009</v>
      </c>
      <c r="Q3893">
        <v>8.5820000000000007</v>
      </c>
      <c r="R3893">
        <v>8.7880000000000003</v>
      </c>
      <c r="S3893">
        <v>8.9830000000000005</v>
      </c>
      <c r="T3893">
        <v>9.1769999999999996</v>
      </c>
      <c r="U3893">
        <v>9.3510000000000009</v>
      </c>
      <c r="V3893">
        <v>9.5250000000000004</v>
      </c>
      <c r="W3893">
        <v>9.6999999999999993</v>
      </c>
      <c r="X3893">
        <v>9.875</v>
      </c>
      <c r="Y3893">
        <v>10.050000000000001</v>
      </c>
      <c r="Z3893">
        <v>10.225</v>
      </c>
      <c r="AA3893">
        <v>10.401</v>
      </c>
      <c r="AB3893">
        <v>10.576000000000001</v>
      </c>
      <c r="AC3893">
        <v>10.752000000000001</v>
      </c>
      <c r="AD3893">
        <v>10.928000000000001</v>
      </c>
    </row>
    <row r="3894" spans="2:30" x14ac:dyDescent="0.25">
      <c r="B3894" t="s">
        <v>133</v>
      </c>
      <c r="C3894" t="s">
        <v>3265</v>
      </c>
      <c r="D3894" t="s">
        <v>4007</v>
      </c>
      <c r="E3894" t="s">
        <v>4008</v>
      </c>
      <c r="F3894" t="s">
        <v>9558</v>
      </c>
      <c r="G3894" t="s">
        <v>3890</v>
      </c>
      <c r="H3894" t="s">
        <v>3984</v>
      </c>
      <c r="I3894" t="s">
        <v>4002</v>
      </c>
      <c r="J3894">
        <v>1</v>
      </c>
      <c r="K3894">
        <v>98.35</v>
      </c>
      <c r="L3894">
        <v>91.558999999999997</v>
      </c>
      <c r="M3894">
        <v>108.024</v>
      </c>
      <c r="N3894">
        <v>110.48099999999999</v>
      </c>
      <c r="O3894">
        <v>109.17400000000001</v>
      </c>
      <c r="P3894">
        <v>109.46899999999999</v>
      </c>
      <c r="Q3894">
        <v>112.876</v>
      </c>
      <c r="R3894">
        <v>116.58799999999999</v>
      </c>
      <c r="S3894">
        <v>119.929</v>
      </c>
      <c r="T3894">
        <v>123.387</v>
      </c>
      <c r="U3894">
        <v>127.05</v>
      </c>
      <c r="V3894">
        <v>131.11000000000001</v>
      </c>
      <c r="W3894">
        <v>135.55600000000001</v>
      </c>
      <c r="X3894">
        <v>140.501</v>
      </c>
      <c r="Y3894">
        <v>145.959</v>
      </c>
      <c r="Z3894">
        <v>152.059</v>
      </c>
      <c r="AA3894">
        <v>158.898</v>
      </c>
      <c r="AB3894">
        <v>166.62200000000001</v>
      </c>
      <c r="AC3894">
        <v>175.4</v>
      </c>
      <c r="AD3894">
        <v>184.23599999999999</v>
      </c>
    </row>
    <row r="3895" spans="2:30" x14ac:dyDescent="0.25">
      <c r="B3895" t="s">
        <v>133</v>
      </c>
      <c r="C3895" t="s">
        <v>3265</v>
      </c>
      <c r="D3895" t="s">
        <v>4010</v>
      </c>
      <c r="E3895" t="s">
        <v>4011</v>
      </c>
      <c r="F3895" t="s">
        <v>9559</v>
      </c>
      <c r="G3895" t="s">
        <v>3890</v>
      </c>
      <c r="H3895" t="s">
        <v>3984</v>
      </c>
      <c r="I3895" t="s">
        <v>4002</v>
      </c>
      <c r="J3895">
        <v>1</v>
      </c>
      <c r="K3895">
        <v>24.14</v>
      </c>
      <c r="L3895">
        <v>23.172000000000001</v>
      </c>
      <c r="M3895">
        <v>24.541</v>
      </c>
      <c r="N3895">
        <v>31.263999999999999</v>
      </c>
      <c r="O3895">
        <v>31.341999999999999</v>
      </c>
      <c r="P3895">
        <v>31.471</v>
      </c>
      <c r="Q3895">
        <v>31.669</v>
      </c>
      <c r="R3895">
        <v>31.875</v>
      </c>
      <c r="S3895">
        <v>32.07</v>
      </c>
      <c r="T3895">
        <v>32.284999999999997</v>
      </c>
      <c r="U3895">
        <v>32.523000000000003</v>
      </c>
      <c r="V3895">
        <v>32.783999999999999</v>
      </c>
      <c r="W3895">
        <v>33.07</v>
      </c>
      <c r="X3895">
        <v>33.381999999999998</v>
      </c>
      <c r="Y3895">
        <v>33.722000000000001</v>
      </c>
      <c r="Z3895">
        <v>34.088999999999999</v>
      </c>
      <c r="AA3895">
        <v>34.485999999999997</v>
      </c>
      <c r="AB3895">
        <v>34.914000000000001</v>
      </c>
      <c r="AC3895">
        <v>35.372999999999998</v>
      </c>
      <c r="AD3895">
        <v>35.866</v>
      </c>
    </row>
    <row r="3896" spans="2:30" x14ac:dyDescent="0.25">
      <c r="B3896" t="s">
        <v>133</v>
      </c>
      <c r="C3896" t="s">
        <v>3265</v>
      </c>
      <c r="D3896" t="s">
        <v>4013</v>
      </c>
      <c r="E3896" t="s">
        <v>4014</v>
      </c>
      <c r="F3896" t="s">
        <v>9560</v>
      </c>
      <c r="G3896" t="s">
        <v>3890</v>
      </c>
      <c r="H3896" t="s">
        <v>3984</v>
      </c>
      <c r="I3896" t="s">
        <v>4002</v>
      </c>
      <c r="J3896">
        <v>1</v>
      </c>
      <c r="K3896">
        <v>20.114000000000001</v>
      </c>
      <c r="L3896">
        <v>19.417999999999999</v>
      </c>
      <c r="M3896">
        <v>19.018999999999998</v>
      </c>
      <c r="N3896">
        <v>18.347000000000001</v>
      </c>
      <c r="O3896">
        <v>18.707999999999998</v>
      </c>
      <c r="P3896">
        <v>20.507000000000001</v>
      </c>
      <c r="Q3896">
        <v>22.451000000000001</v>
      </c>
      <c r="R3896">
        <v>24.555</v>
      </c>
      <c r="S3896">
        <v>27.065000000000001</v>
      </c>
      <c r="T3896">
        <v>30.032</v>
      </c>
      <c r="U3896">
        <v>33.237000000000002</v>
      </c>
      <c r="V3896">
        <v>36.664000000000001</v>
      </c>
      <c r="W3896">
        <v>40.293999999999997</v>
      </c>
      <c r="X3896">
        <v>44.106999999999999</v>
      </c>
      <c r="Y3896">
        <v>48.079000000000001</v>
      </c>
      <c r="Z3896">
        <v>52.244</v>
      </c>
      <c r="AA3896">
        <v>56.597000000000001</v>
      </c>
      <c r="AB3896">
        <v>61.13</v>
      </c>
      <c r="AC3896">
        <v>65.838999999999999</v>
      </c>
      <c r="AD3896">
        <v>70.632999999999996</v>
      </c>
    </row>
    <row r="3897" spans="2:30" x14ac:dyDescent="0.25">
      <c r="B3897" t="s">
        <v>133</v>
      </c>
      <c r="C3897" t="s">
        <v>3265</v>
      </c>
      <c r="D3897" t="s">
        <v>4016</v>
      </c>
      <c r="E3897" t="s">
        <v>4017</v>
      </c>
      <c r="F3897" t="s">
        <v>9561</v>
      </c>
      <c r="G3897" t="s">
        <v>3890</v>
      </c>
      <c r="H3897" t="s">
        <v>3984</v>
      </c>
      <c r="I3897" t="s">
        <v>4002</v>
      </c>
      <c r="J3897">
        <v>1</v>
      </c>
      <c r="K3897">
        <v>44.502000000000002</v>
      </c>
      <c r="L3897">
        <v>47.332999999999998</v>
      </c>
      <c r="M3897">
        <v>51.197000000000003</v>
      </c>
      <c r="N3897">
        <v>50.457000000000001</v>
      </c>
      <c r="O3897">
        <v>52.56</v>
      </c>
      <c r="P3897">
        <v>55.807000000000002</v>
      </c>
      <c r="Q3897">
        <v>59.393999999999998</v>
      </c>
      <c r="R3897">
        <v>63.215000000000003</v>
      </c>
      <c r="S3897">
        <v>67.629000000000005</v>
      </c>
      <c r="T3897">
        <v>72.774000000000001</v>
      </c>
      <c r="U3897">
        <v>78.337999999999994</v>
      </c>
      <c r="V3897">
        <v>84.293000000000006</v>
      </c>
      <c r="W3897">
        <v>90.563000000000002</v>
      </c>
      <c r="X3897">
        <v>97.16</v>
      </c>
      <c r="Y3897">
        <v>104.06</v>
      </c>
      <c r="Z3897">
        <v>111.29600000000001</v>
      </c>
      <c r="AA3897">
        <v>118.867</v>
      </c>
      <c r="AB3897">
        <v>126.78700000000001</v>
      </c>
      <c r="AC3897">
        <v>135.071</v>
      </c>
      <c r="AD3897">
        <v>143.696</v>
      </c>
    </row>
    <row r="3898" spans="2:30" x14ac:dyDescent="0.25">
      <c r="B3898" t="s">
        <v>133</v>
      </c>
      <c r="C3898" t="s">
        <v>3265</v>
      </c>
      <c r="D3898" t="s">
        <v>4019</v>
      </c>
      <c r="E3898" t="s">
        <v>4020</v>
      </c>
      <c r="F3898" t="s">
        <v>9562</v>
      </c>
      <c r="G3898" t="s">
        <v>3890</v>
      </c>
      <c r="H3898" t="s">
        <v>3984</v>
      </c>
      <c r="I3898" t="s">
        <v>4002</v>
      </c>
      <c r="J3898">
        <v>1</v>
      </c>
      <c r="K3898">
        <v>15.176</v>
      </c>
      <c r="L3898">
        <v>17.062999999999999</v>
      </c>
      <c r="M3898">
        <v>20.57</v>
      </c>
      <c r="N3898">
        <v>21.077999999999999</v>
      </c>
      <c r="O3898">
        <v>21.573</v>
      </c>
      <c r="P3898">
        <v>22.155999999999999</v>
      </c>
      <c r="Q3898">
        <v>22.846</v>
      </c>
      <c r="R3898">
        <v>23.507000000000001</v>
      </c>
      <c r="S3898">
        <v>24.126000000000001</v>
      </c>
      <c r="T3898">
        <v>24.75</v>
      </c>
      <c r="U3898">
        <v>25.381</v>
      </c>
      <c r="V3898">
        <v>26.02</v>
      </c>
      <c r="W3898">
        <v>26.666</v>
      </c>
      <c r="X3898">
        <v>27.32</v>
      </c>
      <c r="Y3898">
        <v>27.98</v>
      </c>
      <c r="Z3898">
        <v>28.646999999999998</v>
      </c>
      <c r="AA3898">
        <v>29.321000000000002</v>
      </c>
      <c r="AB3898">
        <v>30.001000000000001</v>
      </c>
      <c r="AC3898">
        <v>30.687999999999999</v>
      </c>
      <c r="AD3898">
        <v>31.381</v>
      </c>
    </row>
    <row r="3899" spans="2:30" x14ac:dyDescent="0.25">
      <c r="B3899" t="s">
        <v>133</v>
      </c>
      <c r="C3899" t="s">
        <v>3265</v>
      </c>
      <c r="D3899" t="s">
        <v>4022</v>
      </c>
      <c r="E3899" t="s">
        <v>4023</v>
      </c>
      <c r="F3899" t="s">
        <v>9563</v>
      </c>
      <c r="G3899" t="s">
        <v>3890</v>
      </c>
      <c r="H3899" t="s">
        <v>3984</v>
      </c>
      <c r="I3899" t="s">
        <v>4002</v>
      </c>
      <c r="J3899">
        <v>1</v>
      </c>
      <c r="K3899">
        <v>1.855</v>
      </c>
      <c r="L3899">
        <v>2.1720000000000002</v>
      </c>
      <c r="M3899">
        <v>2.4140000000000001</v>
      </c>
      <c r="N3899">
        <v>2.5019999999999998</v>
      </c>
      <c r="O3899">
        <v>2.59</v>
      </c>
      <c r="P3899">
        <v>2.6960000000000002</v>
      </c>
      <c r="Q3899">
        <v>2.8250000000000002</v>
      </c>
      <c r="R3899">
        <v>2.9510000000000001</v>
      </c>
      <c r="S3899">
        <v>3.0720000000000001</v>
      </c>
      <c r="T3899">
        <v>3.1970000000000001</v>
      </c>
      <c r="U3899">
        <v>3.3250000000000002</v>
      </c>
      <c r="V3899">
        <v>3.456</v>
      </c>
      <c r="W3899">
        <v>3.59</v>
      </c>
      <c r="X3899">
        <v>3.7280000000000002</v>
      </c>
      <c r="Y3899">
        <v>3.8690000000000002</v>
      </c>
      <c r="Z3899">
        <v>4.0140000000000002</v>
      </c>
      <c r="AA3899">
        <v>4.1619999999999999</v>
      </c>
      <c r="AB3899">
        <v>4.3129999999999997</v>
      </c>
      <c r="AC3899">
        <v>4.4669999999999996</v>
      </c>
      <c r="AD3899">
        <v>4.625</v>
      </c>
    </row>
    <row r="3900" spans="2:30" x14ac:dyDescent="0.25">
      <c r="B3900" t="s">
        <v>133</v>
      </c>
      <c r="C3900" t="s">
        <v>3265</v>
      </c>
      <c r="D3900" t="s">
        <v>3316</v>
      </c>
      <c r="E3900" t="s">
        <v>3317</v>
      </c>
      <c r="F3900" t="s">
        <v>9564</v>
      </c>
      <c r="G3900" t="s">
        <v>3890</v>
      </c>
      <c r="H3900" t="s">
        <v>3984</v>
      </c>
      <c r="I3900" t="s">
        <v>4002</v>
      </c>
      <c r="J3900">
        <v>1</v>
      </c>
      <c r="K3900">
        <v>82.215000000000003</v>
      </c>
      <c r="L3900">
        <v>78.516000000000005</v>
      </c>
      <c r="M3900">
        <v>90.733999999999995</v>
      </c>
      <c r="N3900">
        <v>95.161000000000001</v>
      </c>
      <c r="O3900">
        <v>92.507000000000005</v>
      </c>
      <c r="P3900">
        <v>91.156999999999996</v>
      </c>
      <c r="Q3900">
        <v>92.647999999999996</v>
      </c>
      <c r="R3900">
        <v>94.504000000000005</v>
      </c>
      <c r="S3900">
        <v>96.061000000000007</v>
      </c>
      <c r="T3900">
        <v>97.694000000000003</v>
      </c>
      <c r="U3900">
        <v>99.498999999999995</v>
      </c>
      <c r="V3900">
        <v>101.67</v>
      </c>
      <c r="W3900">
        <v>104.2</v>
      </c>
      <c r="X3900">
        <v>107.203</v>
      </c>
      <c r="Y3900">
        <v>110.696</v>
      </c>
      <c r="Z3900">
        <v>114.806</v>
      </c>
      <c r="AA3900">
        <v>119.633</v>
      </c>
      <c r="AB3900">
        <v>125.325</v>
      </c>
      <c r="AC3900">
        <v>132.05199999999999</v>
      </c>
      <c r="AD3900">
        <v>138.82499999999999</v>
      </c>
    </row>
    <row r="3901" spans="2:30" x14ac:dyDescent="0.25">
      <c r="B3901" t="s">
        <v>133</v>
      </c>
      <c r="C3901" t="s">
        <v>3265</v>
      </c>
      <c r="D3901" t="s">
        <v>3352</v>
      </c>
      <c r="E3901" t="s">
        <v>3353</v>
      </c>
      <c r="F3901" t="s">
        <v>9565</v>
      </c>
      <c r="G3901" t="s">
        <v>3890</v>
      </c>
      <c r="H3901" t="s">
        <v>3984</v>
      </c>
      <c r="I3901" t="s">
        <v>4002</v>
      </c>
      <c r="J3901">
        <v>1</v>
      </c>
      <c r="K3901">
        <v>52.970999999999997</v>
      </c>
      <c r="L3901">
        <v>52.003</v>
      </c>
      <c r="M3901">
        <v>51.097000000000001</v>
      </c>
      <c r="N3901">
        <v>49.530999999999999</v>
      </c>
      <c r="O3901">
        <v>51.664000000000001</v>
      </c>
      <c r="P3901">
        <v>56.411999999999999</v>
      </c>
      <c r="Q3901">
        <v>61.591999999999999</v>
      </c>
      <c r="R3901">
        <v>67.200999999999993</v>
      </c>
      <c r="S3901">
        <v>73.864999999999995</v>
      </c>
      <c r="T3901">
        <v>81.745000000000005</v>
      </c>
      <c r="U3901">
        <v>90.299000000000007</v>
      </c>
      <c r="V3901">
        <v>99.477999999999994</v>
      </c>
      <c r="W3901">
        <v>109.19</v>
      </c>
      <c r="X3901">
        <v>119.42400000000001</v>
      </c>
      <c r="Y3901">
        <v>130.13200000000001</v>
      </c>
      <c r="Z3901">
        <v>141.38200000000001</v>
      </c>
      <c r="AA3901">
        <v>153.16800000000001</v>
      </c>
      <c r="AB3901">
        <v>165.495</v>
      </c>
      <c r="AC3901">
        <v>178.376</v>
      </c>
      <c r="AD3901">
        <v>191.69200000000001</v>
      </c>
    </row>
    <row r="3902" spans="2:30" x14ac:dyDescent="0.25">
      <c r="B3902" t="s">
        <v>133</v>
      </c>
      <c r="C3902" t="s">
        <v>3265</v>
      </c>
      <c r="D3902" t="s">
        <v>3328</v>
      </c>
      <c r="E3902" t="s">
        <v>3329</v>
      </c>
      <c r="F3902" t="s">
        <v>9566</v>
      </c>
      <c r="G3902" t="s">
        <v>3890</v>
      </c>
      <c r="H3902" t="s">
        <v>3984</v>
      </c>
      <c r="I3902" t="s">
        <v>4002</v>
      </c>
      <c r="J3902">
        <v>1</v>
      </c>
      <c r="K3902">
        <v>15.803000000000001</v>
      </c>
      <c r="L3902">
        <v>17.407</v>
      </c>
      <c r="M3902">
        <v>21.786000000000001</v>
      </c>
      <c r="N3902">
        <v>22.128</v>
      </c>
      <c r="O3902">
        <v>22.457000000000001</v>
      </c>
      <c r="P3902">
        <v>22.846</v>
      </c>
      <c r="Q3902">
        <v>23.306999999999999</v>
      </c>
      <c r="R3902">
        <v>23.741</v>
      </c>
      <c r="S3902">
        <v>24.14</v>
      </c>
      <c r="T3902">
        <v>24.538</v>
      </c>
      <c r="U3902">
        <v>24.936</v>
      </c>
      <c r="V3902">
        <v>25.335000000000001</v>
      </c>
      <c r="W3902">
        <v>25.734000000000002</v>
      </c>
      <c r="X3902">
        <v>26.132999999999999</v>
      </c>
      <c r="Y3902">
        <v>26.533000000000001</v>
      </c>
      <c r="Z3902">
        <v>26.931999999999999</v>
      </c>
      <c r="AA3902">
        <v>27.331</v>
      </c>
      <c r="AB3902">
        <v>27.731000000000002</v>
      </c>
      <c r="AC3902">
        <v>28.129000000000001</v>
      </c>
      <c r="AD3902">
        <v>28.527999999999999</v>
      </c>
    </row>
    <row r="3903" spans="2:30" x14ac:dyDescent="0.25">
      <c r="B3903" t="s">
        <v>133</v>
      </c>
      <c r="C3903" t="s">
        <v>3265</v>
      </c>
      <c r="D3903" t="s">
        <v>3304</v>
      </c>
      <c r="E3903" t="s">
        <v>3305</v>
      </c>
      <c r="F3903" t="s">
        <v>9567</v>
      </c>
      <c r="G3903" t="s">
        <v>3890</v>
      </c>
      <c r="H3903" t="s">
        <v>3984</v>
      </c>
      <c r="I3903" t="s">
        <v>4002</v>
      </c>
      <c r="J3903">
        <v>1</v>
      </c>
      <c r="K3903">
        <v>59.633000000000003</v>
      </c>
      <c r="L3903">
        <v>58.865000000000002</v>
      </c>
      <c r="M3903">
        <v>69.37</v>
      </c>
      <c r="N3903">
        <v>74.998999999999995</v>
      </c>
      <c r="O3903">
        <v>77.138999999999996</v>
      </c>
      <c r="P3903">
        <v>79.643000000000001</v>
      </c>
      <c r="Q3903">
        <v>82.683999999999997</v>
      </c>
      <c r="R3903">
        <v>85.623000000000005</v>
      </c>
      <c r="S3903">
        <v>88.399000000000001</v>
      </c>
      <c r="T3903">
        <v>91.215999999999994</v>
      </c>
      <c r="U3903">
        <v>94.063000000000002</v>
      </c>
      <c r="V3903">
        <v>96.96</v>
      </c>
      <c r="W3903">
        <v>99.908000000000001</v>
      </c>
      <c r="X3903">
        <v>102.907</v>
      </c>
      <c r="Y3903">
        <v>105.95399999999999</v>
      </c>
      <c r="Z3903">
        <v>109.051</v>
      </c>
      <c r="AA3903">
        <v>112.197</v>
      </c>
      <c r="AB3903">
        <v>115.39100000000001</v>
      </c>
      <c r="AC3903">
        <v>118.633</v>
      </c>
      <c r="AD3903">
        <v>121.922</v>
      </c>
    </row>
    <row r="3904" spans="2:30" x14ac:dyDescent="0.25">
      <c r="B3904" t="s">
        <v>133</v>
      </c>
      <c r="C3904" t="s">
        <v>3265</v>
      </c>
      <c r="D3904" t="s">
        <v>4029</v>
      </c>
      <c r="E3904" t="s">
        <v>4030</v>
      </c>
      <c r="F3904" t="s">
        <v>9568</v>
      </c>
      <c r="G3904" t="s">
        <v>3890</v>
      </c>
      <c r="H3904" t="s">
        <v>3984</v>
      </c>
      <c r="I3904" t="s">
        <v>4002</v>
      </c>
      <c r="J3904">
        <v>1</v>
      </c>
      <c r="K3904">
        <v>0.29399999999999998</v>
      </c>
      <c r="L3904">
        <v>0.26800000000000002</v>
      </c>
      <c r="M3904">
        <v>0.317</v>
      </c>
      <c r="N3904">
        <v>0.41699999999999998</v>
      </c>
      <c r="O3904">
        <v>0.41599999999999998</v>
      </c>
      <c r="P3904">
        <v>0.41499999999999998</v>
      </c>
      <c r="Q3904">
        <v>0.41399999999999998</v>
      </c>
      <c r="R3904">
        <v>0.41199999999999998</v>
      </c>
      <c r="S3904">
        <v>0.41099999999999998</v>
      </c>
      <c r="T3904">
        <v>0.41</v>
      </c>
      <c r="U3904">
        <v>0.40899999999999997</v>
      </c>
      <c r="V3904">
        <v>0.40799999999999997</v>
      </c>
      <c r="W3904">
        <v>0.40600000000000003</v>
      </c>
      <c r="X3904">
        <v>0.40500000000000003</v>
      </c>
      <c r="Y3904">
        <v>0.40400000000000003</v>
      </c>
      <c r="Z3904">
        <v>0.40300000000000002</v>
      </c>
      <c r="AA3904">
        <v>0.40100000000000002</v>
      </c>
      <c r="AB3904">
        <v>0.4</v>
      </c>
      <c r="AC3904">
        <v>0.39900000000000002</v>
      </c>
      <c r="AD3904">
        <v>0.39800000000000002</v>
      </c>
    </row>
    <row r="3905" spans="2:30" x14ac:dyDescent="0.25">
      <c r="B3905" t="s">
        <v>133</v>
      </c>
      <c r="C3905" t="s">
        <v>3265</v>
      </c>
      <c r="D3905" t="s">
        <v>4032</v>
      </c>
      <c r="E3905" t="s">
        <v>4033</v>
      </c>
      <c r="F3905" t="s">
        <v>9569</v>
      </c>
      <c r="G3905" t="s">
        <v>3890</v>
      </c>
      <c r="H3905" t="s">
        <v>3984</v>
      </c>
      <c r="I3905" t="s">
        <v>3985</v>
      </c>
      <c r="J3905">
        <v>2</v>
      </c>
      <c r="K3905">
        <v>400.91199999999998</v>
      </c>
      <c r="L3905">
        <v>412.09300000000002</v>
      </c>
      <c r="M3905">
        <v>450.91199999999998</v>
      </c>
      <c r="N3905">
        <v>467.50299999999999</v>
      </c>
      <c r="O3905">
        <v>473.61099999999999</v>
      </c>
      <c r="P3905">
        <v>484.72199999999998</v>
      </c>
      <c r="Q3905">
        <v>500.358</v>
      </c>
      <c r="R3905">
        <v>516.50599999999997</v>
      </c>
      <c r="S3905">
        <v>532.72500000000002</v>
      </c>
      <c r="T3905">
        <v>550.70000000000005</v>
      </c>
      <c r="U3905">
        <v>571.10400000000004</v>
      </c>
      <c r="V3905">
        <v>593.79</v>
      </c>
      <c r="W3905">
        <v>617.68700000000001</v>
      </c>
      <c r="X3905">
        <v>642.94799999999998</v>
      </c>
      <c r="Y3905">
        <v>668.89800000000002</v>
      </c>
      <c r="Z3905">
        <v>698.43399999999997</v>
      </c>
      <c r="AA3905">
        <v>728.75</v>
      </c>
      <c r="AB3905">
        <v>761.48199999999997</v>
      </c>
      <c r="AC3905">
        <v>796.45799999999997</v>
      </c>
      <c r="AD3905">
        <v>833.33399999999995</v>
      </c>
    </row>
    <row r="3906" spans="2:30" x14ac:dyDescent="0.25">
      <c r="B3906" t="s">
        <v>133</v>
      </c>
      <c r="C3906" t="s">
        <v>3265</v>
      </c>
      <c r="D3906" t="s">
        <v>3393</v>
      </c>
      <c r="E3906" t="s">
        <v>3394</v>
      </c>
      <c r="F3906" t="s">
        <v>9570</v>
      </c>
      <c r="G3906" t="s">
        <v>3890</v>
      </c>
      <c r="H3906" t="s">
        <v>3984</v>
      </c>
      <c r="I3906" t="s">
        <v>3985</v>
      </c>
      <c r="J3906">
        <v>2</v>
      </c>
      <c r="K3906">
        <v>400.91199999999998</v>
      </c>
      <c r="L3906">
        <v>412.09300000000002</v>
      </c>
      <c r="M3906">
        <v>450.91199999999998</v>
      </c>
      <c r="N3906">
        <v>467.50299999999999</v>
      </c>
      <c r="O3906">
        <v>473.61099999999999</v>
      </c>
      <c r="P3906">
        <v>484.72199999999998</v>
      </c>
      <c r="Q3906">
        <v>500.358</v>
      </c>
      <c r="R3906">
        <v>516.50599999999997</v>
      </c>
      <c r="S3906">
        <v>532.72500000000002</v>
      </c>
      <c r="T3906">
        <v>550.70000000000005</v>
      </c>
      <c r="U3906">
        <v>571.10400000000004</v>
      </c>
      <c r="V3906">
        <v>593.79</v>
      </c>
      <c r="W3906">
        <v>617.68700000000001</v>
      </c>
      <c r="X3906">
        <v>642.94799999999998</v>
      </c>
      <c r="Y3906">
        <v>668.89800000000002</v>
      </c>
      <c r="Z3906">
        <v>698.43399999999997</v>
      </c>
      <c r="AA3906">
        <v>728.75</v>
      </c>
      <c r="AB3906">
        <v>761.48199999999997</v>
      </c>
      <c r="AC3906">
        <v>796.45799999999997</v>
      </c>
      <c r="AD3906">
        <v>833.33399999999995</v>
      </c>
    </row>
    <row r="3907" spans="2:30" x14ac:dyDescent="0.25">
      <c r="B3907" t="s">
        <v>133</v>
      </c>
      <c r="C3907" t="s">
        <v>3265</v>
      </c>
      <c r="D3907" t="s">
        <v>4036</v>
      </c>
      <c r="E3907" t="s">
        <v>4037</v>
      </c>
      <c r="F3907" t="s">
        <v>9571</v>
      </c>
      <c r="G3907" t="s">
        <v>3890</v>
      </c>
      <c r="H3907" t="s">
        <v>3984</v>
      </c>
      <c r="I3907" t="s">
        <v>3985</v>
      </c>
      <c r="J3907">
        <v>2</v>
      </c>
      <c r="K3907">
        <v>213.93899999999999</v>
      </c>
      <c r="L3907">
        <v>210.12100000000001</v>
      </c>
      <c r="M3907">
        <v>236.53700000000001</v>
      </c>
      <c r="N3907">
        <v>245.52099999999999</v>
      </c>
      <c r="O3907">
        <v>247.47900000000001</v>
      </c>
      <c r="P3907">
        <v>253.80500000000001</v>
      </c>
      <c r="Q3907">
        <v>263.67200000000003</v>
      </c>
      <c r="R3907">
        <v>273.87799999999999</v>
      </c>
      <c r="S3907">
        <v>284.15899999999999</v>
      </c>
      <c r="T3907">
        <v>295.52300000000002</v>
      </c>
      <c r="U3907">
        <v>307.57799999999997</v>
      </c>
      <c r="V3907">
        <v>320.57299999999998</v>
      </c>
      <c r="W3907">
        <v>334.40899999999999</v>
      </c>
      <c r="X3907">
        <v>349.221</v>
      </c>
      <c r="Y3907">
        <v>364.64100000000002</v>
      </c>
      <c r="Z3907">
        <v>383.29300000000001</v>
      </c>
      <c r="AA3907">
        <v>402.33699999999999</v>
      </c>
      <c r="AB3907">
        <v>423.38600000000002</v>
      </c>
      <c r="AC3907">
        <v>446.23899999999998</v>
      </c>
      <c r="AD3907">
        <v>470.53300000000002</v>
      </c>
    </row>
    <row r="3908" spans="2:30" x14ac:dyDescent="0.25">
      <c r="B3908" t="s">
        <v>133</v>
      </c>
      <c r="C3908" t="s">
        <v>3265</v>
      </c>
      <c r="D3908" t="s">
        <v>3381</v>
      </c>
      <c r="E3908" t="s">
        <v>3382</v>
      </c>
      <c r="F3908" t="s">
        <v>9572</v>
      </c>
      <c r="G3908" t="s">
        <v>3890</v>
      </c>
      <c r="H3908" t="s">
        <v>3984</v>
      </c>
      <c r="I3908" t="s">
        <v>3985</v>
      </c>
      <c r="J3908">
        <v>2</v>
      </c>
      <c r="K3908">
        <v>52.2</v>
      </c>
      <c r="L3908">
        <v>56.902999999999999</v>
      </c>
      <c r="M3908">
        <v>67.058999999999997</v>
      </c>
      <c r="N3908">
        <v>72.5</v>
      </c>
      <c r="O3908">
        <v>74.569000000000003</v>
      </c>
      <c r="P3908">
        <v>76.989999999999995</v>
      </c>
      <c r="Q3908">
        <v>79.58</v>
      </c>
      <c r="R3908">
        <v>82.227999999999994</v>
      </c>
      <c r="S3908">
        <v>84.825000000000003</v>
      </c>
      <c r="T3908">
        <v>87.540999999999997</v>
      </c>
      <c r="U3908">
        <v>90.353999999999999</v>
      </c>
      <c r="V3908">
        <v>93.274000000000001</v>
      </c>
      <c r="W3908">
        <v>96.304000000000002</v>
      </c>
      <c r="X3908">
        <v>99.450999999999993</v>
      </c>
      <c r="Y3908">
        <v>102.398</v>
      </c>
      <c r="Z3908">
        <v>105.40600000000001</v>
      </c>
      <c r="AA3908">
        <v>108.498</v>
      </c>
      <c r="AB3908">
        <v>111.685</v>
      </c>
      <c r="AC3908">
        <v>114.98399999999999</v>
      </c>
      <c r="AD3908">
        <v>118.401</v>
      </c>
    </row>
    <row r="3909" spans="2:30" x14ac:dyDescent="0.25">
      <c r="B3909" t="s">
        <v>133</v>
      </c>
      <c r="C3909" t="s">
        <v>3265</v>
      </c>
      <c r="D3909" t="s">
        <v>4040</v>
      </c>
      <c r="E3909" t="s">
        <v>4041</v>
      </c>
      <c r="F3909" t="s">
        <v>9573</v>
      </c>
      <c r="G3909" t="s">
        <v>3890</v>
      </c>
      <c r="H3909" t="s">
        <v>3984</v>
      </c>
      <c r="I3909" t="s">
        <v>3985</v>
      </c>
      <c r="J3909">
        <v>2</v>
      </c>
      <c r="K3909">
        <v>41.563000000000002</v>
      </c>
      <c r="L3909">
        <v>43.505000000000003</v>
      </c>
      <c r="M3909">
        <v>44.234000000000002</v>
      </c>
      <c r="N3909">
        <v>44.884999999999998</v>
      </c>
      <c r="O3909">
        <v>45.613999999999997</v>
      </c>
      <c r="P3909">
        <v>46.396000000000001</v>
      </c>
      <c r="Q3909">
        <v>47.423999999999999</v>
      </c>
      <c r="R3909">
        <v>48.524000000000001</v>
      </c>
      <c r="S3909">
        <v>49.628</v>
      </c>
      <c r="T3909">
        <v>50.838000000000001</v>
      </c>
      <c r="U3909">
        <v>52.454999999999998</v>
      </c>
      <c r="V3909">
        <v>54.396000000000001</v>
      </c>
      <c r="W3909">
        <v>56.405999999999999</v>
      </c>
      <c r="X3909">
        <v>58.484999999999999</v>
      </c>
      <c r="Y3909">
        <v>60.637</v>
      </c>
      <c r="Z3909">
        <v>62.863999999999997</v>
      </c>
      <c r="AA3909">
        <v>65.168000000000006</v>
      </c>
      <c r="AB3909">
        <v>67.555000000000007</v>
      </c>
      <c r="AC3909">
        <v>70.024000000000001</v>
      </c>
      <c r="AD3909">
        <v>72.58</v>
      </c>
    </row>
    <row r="3910" spans="2:30" x14ac:dyDescent="0.25">
      <c r="B3910" t="s">
        <v>133</v>
      </c>
      <c r="C3910" t="s">
        <v>3265</v>
      </c>
      <c r="D3910" t="s">
        <v>4043</v>
      </c>
      <c r="E3910" t="s">
        <v>4044</v>
      </c>
      <c r="F3910" t="s">
        <v>9574</v>
      </c>
      <c r="G3910" t="s">
        <v>3890</v>
      </c>
      <c r="H3910" t="s">
        <v>3984</v>
      </c>
      <c r="I3910" t="s">
        <v>3985</v>
      </c>
      <c r="J3910">
        <v>2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</row>
    <row r="3911" spans="2:30" x14ac:dyDescent="0.25">
      <c r="B3911" t="s">
        <v>133</v>
      </c>
      <c r="C3911" t="s">
        <v>3265</v>
      </c>
      <c r="D3911" t="s">
        <v>4046</v>
      </c>
      <c r="E3911" t="s">
        <v>4047</v>
      </c>
      <c r="F3911" t="s">
        <v>9575</v>
      </c>
      <c r="G3911" t="s">
        <v>3890</v>
      </c>
      <c r="H3911" t="s">
        <v>3984</v>
      </c>
      <c r="I3911" t="s">
        <v>3985</v>
      </c>
      <c r="J3911">
        <v>2</v>
      </c>
      <c r="K3911">
        <v>93.209000000000003</v>
      </c>
      <c r="L3911">
        <v>101.56399999999999</v>
      </c>
      <c r="M3911">
        <v>103.083</v>
      </c>
      <c r="N3911">
        <v>104.59699999999999</v>
      </c>
      <c r="O3911">
        <v>105.94799999999999</v>
      </c>
      <c r="P3911">
        <v>107.53100000000001</v>
      </c>
      <c r="Q3911">
        <v>109.682</v>
      </c>
      <c r="R3911">
        <v>111.875</v>
      </c>
      <c r="S3911">
        <v>114.113</v>
      </c>
      <c r="T3911">
        <v>116.798</v>
      </c>
      <c r="U3911">
        <v>120.718</v>
      </c>
      <c r="V3911">
        <v>125.54600000000001</v>
      </c>
      <c r="W3911">
        <v>130.56800000000001</v>
      </c>
      <c r="X3911">
        <v>135.791</v>
      </c>
      <c r="Y3911">
        <v>141.22300000000001</v>
      </c>
      <c r="Z3911">
        <v>146.87200000000001</v>
      </c>
      <c r="AA3911">
        <v>152.74600000000001</v>
      </c>
      <c r="AB3911">
        <v>158.85599999999999</v>
      </c>
      <c r="AC3911">
        <v>165.21</v>
      </c>
      <c r="AD3911">
        <v>171.81899999999999</v>
      </c>
    </row>
    <row r="3912" spans="2:30" x14ac:dyDescent="0.25">
      <c r="B3912" t="s">
        <v>133</v>
      </c>
      <c r="C3912" t="s">
        <v>3265</v>
      </c>
      <c r="D3912" t="s">
        <v>4049</v>
      </c>
      <c r="E3912" t="s">
        <v>3347</v>
      </c>
      <c r="F3912" t="s">
        <v>9576</v>
      </c>
      <c r="G3912" t="s">
        <v>3890</v>
      </c>
      <c r="H3912" t="s">
        <v>3984</v>
      </c>
      <c r="I3912" t="s">
        <v>4002</v>
      </c>
      <c r="J3912">
        <v>2</v>
      </c>
      <c r="K3912">
        <v>307.637</v>
      </c>
      <c r="L3912">
        <v>315.613</v>
      </c>
      <c r="M3912">
        <v>350.59300000000002</v>
      </c>
      <c r="N3912">
        <v>364.71100000000001</v>
      </c>
      <c r="O3912">
        <v>369.13900000000001</v>
      </c>
      <c r="P3912">
        <v>378.11399999999998</v>
      </c>
      <c r="Q3912">
        <v>391.28300000000002</v>
      </c>
      <c r="R3912">
        <v>404.86399999999998</v>
      </c>
      <c r="S3912">
        <v>418.50900000000001</v>
      </c>
      <c r="T3912">
        <v>433.34800000000001</v>
      </c>
      <c r="U3912">
        <v>449.72899999999998</v>
      </c>
      <c r="V3912">
        <v>467.959</v>
      </c>
      <c r="W3912">
        <v>487.23</v>
      </c>
      <c r="X3912">
        <v>507.68900000000002</v>
      </c>
      <c r="Y3912">
        <v>528.73</v>
      </c>
      <c r="Z3912">
        <v>553.16999999999996</v>
      </c>
      <c r="AA3912">
        <v>578.20699999999999</v>
      </c>
      <c r="AB3912">
        <v>605.45699999999999</v>
      </c>
      <c r="AC3912">
        <v>634.74199999999996</v>
      </c>
      <c r="AD3912">
        <v>665.70899999999995</v>
      </c>
    </row>
    <row r="3913" spans="2:30" x14ac:dyDescent="0.25">
      <c r="B3913" t="s">
        <v>133</v>
      </c>
      <c r="C3913" t="s">
        <v>3265</v>
      </c>
      <c r="D3913" t="s">
        <v>3298</v>
      </c>
      <c r="E3913" t="s">
        <v>3299</v>
      </c>
      <c r="F3913" t="s">
        <v>9577</v>
      </c>
      <c r="G3913" t="s">
        <v>3890</v>
      </c>
      <c r="H3913" t="s">
        <v>3984</v>
      </c>
      <c r="I3913" t="s">
        <v>4002</v>
      </c>
      <c r="J3913">
        <v>2</v>
      </c>
      <c r="K3913">
        <v>210.916</v>
      </c>
      <c r="L3913">
        <v>207.059</v>
      </c>
      <c r="M3913">
        <v>233.304</v>
      </c>
      <c r="N3913">
        <v>242.23699999999999</v>
      </c>
      <c r="O3913">
        <v>244.184</v>
      </c>
      <c r="P3913">
        <v>250.47300000000001</v>
      </c>
      <c r="Q3913">
        <v>260.28300000000002</v>
      </c>
      <c r="R3913">
        <v>270.42899999999997</v>
      </c>
      <c r="S3913">
        <v>280.65100000000001</v>
      </c>
      <c r="T3913">
        <v>291.95</v>
      </c>
      <c r="U3913">
        <v>303.95</v>
      </c>
      <c r="V3913">
        <v>316.88499999999999</v>
      </c>
      <c r="W3913">
        <v>330.65600000000001</v>
      </c>
      <c r="X3913">
        <v>345.399</v>
      </c>
      <c r="Y3913">
        <v>360.74400000000003</v>
      </c>
      <c r="Z3913">
        <v>379.30500000000001</v>
      </c>
      <c r="AA3913">
        <v>398.255</v>
      </c>
      <c r="AB3913">
        <v>419.19799999999998</v>
      </c>
      <c r="AC3913">
        <v>441.93400000000003</v>
      </c>
      <c r="AD3913">
        <v>466.10300000000001</v>
      </c>
    </row>
    <row r="3914" spans="2:30" x14ac:dyDescent="0.25">
      <c r="B3914" t="s">
        <v>133</v>
      </c>
      <c r="C3914" t="s">
        <v>3265</v>
      </c>
      <c r="D3914" t="s">
        <v>4052</v>
      </c>
      <c r="E3914" t="s">
        <v>4053</v>
      </c>
      <c r="F3914" t="s">
        <v>9578</v>
      </c>
      <c r="G3914" t="s">
        <v>3890</v>
      </c>
      <c r="H3914" t="s">
        <v>3984</v>
      </c>
      <c r="I3914" t="s">
        <v>4002</v>
      </c>
      <c r="J3914">
        <v>2</v>
      </c>
      <c r="K3914">
        <v>6.7770000000000001</v>
      </c>
      <c r="L3914">
        <v>6.3419999999999996</v>
      </c>
      <c r="M3914">
        <v>7.54</v>
      </c>
      <c r="N3914">
        <v>8.1080000000000005</v>
      </c>
      <c r="O3914">
        <v>8.2379999999999995</v>
      </c>
      <c r="P3914">
        <v>8.3670000000000009</v>
      </c>
      <c r="Q3914">
        <v>8.3670000000000009</v>
      </c>
      <c r="R3914">
        <v>8.4570000000000007</v>
      </c>
      <c r="S3914">
        <v>8.6010000000000009</v>
      </c>
      <c r="T3914">
        <v>8.7940000000000005</v>
      </c>
      <c r="U3914">
        <v>9.0090000000000003</v>
      </c>
      <c r="V3914">
        <v>9.26</v>
      </c>
      <c r="W3914">
        <v>9.5470000000000006</v>
      </c>
      <c r="X3914">
        <v>9.8729999999999993</v>
      </c>
      <c r="Y3914">
        <v>10.048</v>
      </c>
      <c r="Z3914">
        <v>10.224</v>
      </c>
      <c r="AA3914">
        <v>10.403</v>
      </c>
      <c r="AB3914">
        <v>10.585000000000001</v>
      </c>
      <c r="AC3914">
        <v>10.77</v>
      </c>
      <c r="AD3914">
        <v>10.96</v>
      </c>
    </row>
    <row r="3915" spans="2:30" x14ac:dyDescent="0.25">
      <c r="B3915" t="s">
        <v>133</v>
      </c>
      <c r="C3915" t="s">
        <v>3265</v>
      </c>
      <c r="D3915" t="s">
        <v>4055</v>
      </c>
      <c r="E3915" t="s">
        <v>4056</v>
      </c>
      <c r="F3915" t="s">
        <v>9579</v>
      </c>
      <c r="G3915" t="s">
        <v>3890</v>
      </c>
      <c r="H3915" t="s">
        <v>3984</v>
      </c>
      <c r="I3915" t="s">
        <v>4002</v>
      </c>
      <c r="J3915">
        <v>2</v>
      </c>
      <c r="K3915">
        <v>98.35</v>
      </c>
      <c r="L3915">
        <v>91.558999999999997</v>
      </c>
      <c r="M3915">
        <v>108.024</v>
      </c>
      <c r="N3915">
        <v>110.48099999999999</v>
      </c>
      <c r="O3915">
        <v>109.17400000000001</v>
      </c>
      <c r="P3915">
        <v>109.46899999999999</v>
      </c>
      <c r="Q3915">
        <v>112.73</v>
      </c>
      <c r="R3915">
        <v>115.875</v>
      </c>
      <c r="S3915">
        <v>118.108</v>
      </c>
      <c r="T3915">
        <v>120.15300000000001</v>
      </c>
      <c r="U3915">
        <v>122.181</v>
      </c>
      <c r="V3915">
        <v>124.449</v>
      </c>
      <c r="W3915">
        <v>126.93300000000001</v>
      </c>
      <c r="X3915">
        <v>129.76</v>
      </c>
      <c r="Y3915">
        <v>132.773</v>
      </c>
      <c r="Z3915">
        <v>138.39099999999999</v>
      </c>
      <c r="AA3915">
        <v>143.72900000000001</v>
      </c>
      <c r="AB3915">
        <v>150.429</v>
      </c>
      <c r="AC3915">
        <v>158.256</v>
      </c>
      <c r="AD3915">
        <v>166.97300000000001</v>
      </c>
    </row>
    <row r="3916" spans="2:30" x14ac:dyDescent="0.25">
      <c r="B3916" t="s">
        <v>133</v>
      </c>
      <c r="C3916" t="s">
        <v>3265</v>
      </c>
      <c r="D3916" t="s">
        <v>4058</v>
      </c>
      <c r="E3916" t="s">
        <v>4059</v>
      </c>
      <c r="F3916" t="s">
        <v>9580</v>
      </c>
      <c r="G3916" t="s">
        <v>3890</v>
      </c>
      <c r="H3916" t="s">
        <v>3984</v>
      </c>
      <c r="I3916" t="s">
        <v>4002</v>
      </c>
      <c r="J3916">
        <v>2</v>
      </c>
      <c r="K3916">
        <v>24.14</v>
      </c>
      <c r="L3916">
        <v>23.172000000000001</v>
      </c>
      <c r="M3916">
        <v>24.541</v>
      </c>
      <c r="N3916">
        <v>31.263999999999999</v>
      </c>
      <c r="O3916">
        <v>31.341999999999999</v>
      </c>
      <c r="P3916">
        <v>31.471</v>
      </c>
      <c r="Q3916">
        <v>31.669</v>
      </c>
      <c r="R3916">
        <v>31.867000000000001</v>
      </c>
      <c r="S3916">
        <v>32.048000000000002</v>
      </c>
      <c r="T3916">
        <v>32.249000000000002</v>
      </c>
      <c r="U3916">
        <v>32.476999999999997</v>
      </c>
      <c r="V3916">
        <v>32.737000000000002</v>
      </c>
      <c r="W3916">
        <v>33.040999999999997</v>
      </c>
      <c r="X3916">
        <v>33.399000000000001</v>
      </c>
      <c r="Y3916">
        <v>33.828000000000003</v>
      </c>
      <c r="Z3916">
        <v>34.293999999999997</v>
      </c>
      <c r="AA3916">
        <v>34.860999999999997</v>
      </c>
      <c r="AB3916">
        <v>35.479999999999997</v>
      </c>
      <c r="AC3916">
        <v>36.17</v>
      </c>
      <c r="AD3916">
        <v>36.920999999999999</v>
      </c>
    </row>
    <row r="3917" spans="2:30" x14ac:dyDescent="0.25">
      <c r="B3917" t="s">
        <v>133</v>
      </c>
      <c r="C3917" t="s">
        <v>3265</v>
      </c>
      <c r="D3917" t="s">
        <v>4061</v>
      </c>
      <c r="E3917" t="s">
        <v>4062</v>
      </c>
      <c r="F3917" t="s">
        <v>9581</v>
      </c>
      <c r="G3917" t="s">
        <v>3890</v>
      </c>
      <c r="H3917" t="s">
        <v>3984</v>
      </c>
      <c r="I3917" t="s">
        <v>4002</v>
      </c>
      <c r="J3917">
        <v>2</v>
      </c>
      <c r="K3917">
        <v>20.114000000000001</v>
      </c>
      <c r="L3917">
        <v>19.417999999999999</v>
      </c>
      <c r="M3917">
        <v>19.018999999999998</v>
      </c>
      <c r="N3917">
        <v>18.347000000000001</v>
      </c>
      <c r="O3917">
        <v>18.707999999999998</v>
      </c>
      <c r="P3917">
        <v>20.507000000000001</v>
      </c>
      <c r="Q3917">
        <v>22.451000000000001</v>
      </c>
      <c r="R3917">
        <v>24.555</v>
      </c>
      <c r="S3917">
        <v>27.065000000000001</v>
      </c>
      <c r="T3917">
        <v>30.032</v>
      </c>
      <c r="U3917">
        <v>33.238999999999997</v>
      </c>
      <c r="V3917">
        <v>36.667999999999999</v>
      </c>
      <c r="W3917">
        <v>40.304000000000002</v>
      </c>
      <c r="X3917">
        <v>44.128</v>
      </c>
      <c r="Y3917">
        <v>48.115000000000002</v>
      </c>
      <c r="Z3917">
        <v>52.302999999999997</v>
      </c>
      <c r="AA3917">
        <v>56.682000000000002</v>
      </c>
      <c r="AB3917">
        <v>61.246000000000002</v>
      </c>
      <c r="AC3917">
        <v>65.989999999999995</v>
      </c>
      <c r="AD3917">
        <v>70.820999999999998</v>
      </c>
    </row>
    <row r="3918" spans="2:30" x14ac:dyDescent="0.25">
      <c r="B3918" t="s">
        <v>133</v>
      </c>
      <c r="C3918" t="s">
        <v>3265</v>
      </c>
      <c r="D3918" t="s">
        <v>4064</v>
      </c>
      <c r="E3918" t="s">
        <v>4065</v>
      </c>
      <c r="F3918" t="s">
        <v>9582</v>
      </c>
      <c r="G3918" t="s">
        <v>3890</v>
      </c>
      <c r="H3918" t="s">
        <v>3984</v>
      </c>
      <c r="I3918" t="s">
        <v>4002</v>
      </c>
      <c r="J3918">
        <v>2</v>
      </c>
      <c r="K3918">
        <v>44.502000000000002</v>
      </c>
      <c r="L3918">
        <v>47.332999999999998</v>
      </c>
      <c r="M3918">
        <v>51.197000000000003</v>
      </c>
      <c r="N3918">
        <v>50.457000000000001</v>
      </c>
      <c r="O3918">
        <v>52.56</v>
      </c>
      <c r="P3918">
        <v>55.807000000000002</v>
      </c>
      <c r="Q3918">
        <v>59.393999999999998</v>
      </c>
      <c r="R3918">
        <v>63.215000000000003</v>
      </c>
      <c r="S3918">
        <v>67.629000000000005</v>
      </c>
      <c r="T3918">
        <v>72.775000000000006</v>
      </c>
      <c r="U3918">
        <v>78.34</v>
      </c>
      <c r="V3918">
        <v>84.298000000000002</v>
      </c>
      <c r="W3918">
        <v>90.578999999999994</v>
      </c>
      <c r="X3918">
        <v>97.198999999999998</v>
      </c>
      <c r="Y3918">
        <v>104.139</v>
      </c>
      <c r="Z3918">
        <v>111.435</v>
      </c>
      <c r="AA3918">
        <v>119.087</v>
      </c>
      <c r="AB3918">
        <v>127.10599999999999</v>
      </c>
      <c r="AC3918">
        <v>135.51</v>
      </c>
      <c r="AD3918">
        <v>144.274</v>
      </c>
    </row>
    <row r="3919" spans="2:30" x14ac:dyDescent="0.25">
      <c r="B3919" t="s">
        <v>133</v>
      </c>
      <c r="C3919" t="s">
        <v>3265</v>
      </c>
      <c r="D3919" t="s">
        <v>4067</v>
      </c>
      <c r="E3919" t="s">
        <v>4068</v>
      </c>
      <c r="F3919" t="s">
        <v>9583</v>
      </c>
      <c r="G3919" t="s">
        <v>3890</v>
      </c>
      <c r="H3919" t="s">
        <v>3984</v>
      </c>
      <c r="I3919" t="s">
        <v>4002</v>
      </c>
      <c r="J3919">
        <v>2</v>
      </c>
      <c r="K3919">
        <v>15.176</v>
      </c>
      <c r="L3919">
        <v>17.062999999999999</v>
      </c>
      <c r="M3919">
        <v>20.57</v>
      </c>
      <c r="N3919">
        <v>21.077999999999999</v>
      </c>
      <c r="O3919">
        <v>21.573</v>
      </c>
      <c r="P3919">
        <v>22.155999999999999</v>
      </c>
      <c r="Q3919">
        <v>22.846</v>
      </c>
      <c r="R3919">
        <v>23.507000000000001</v>
      </c>
      <c r="S3919">
        <v>24.126000000000001</v>
      </c>
      <c r="T3919">
        <v>24.75</v>
      </c>
      <c r="U3919">
        <v>25.381</v>
      </c>
      <c r="V3919">
        <v>26.018000000000001</v>
      </c>
      <c r="W3919">
        <v>26.661999999999999</v>
      </c>
      <c r="X3919">
        <v>27.312999999999999</v>
      </c>
      <c r="Y3919">
        <v>27.974</v>
      </c>
      <c r="Z3919">
        <v>28.643999999999998</v>
      </c>
      <c r="AA3919">
        <v>29.329000000000001</v>
      </c>
      <c r="AB3919">
        <v>30.032</v>
      </c>
      <c r="AC3919">
        <v>30.754999999999999</v>
      </c>
      <c r="AD3919">
        <v>31.5</v>
      </c>
    </row>
    <row r="3920" spans="2:30" x14ac:dyDescent="0.25">
      <c r="B3920" t="s">
        <v>133</v>
      </c>
      <c r="C3920" t="s">
        <v>3265</v>
      </c>
      <c r="D3920" t="s">
        <v>4070</v>
      </c>
      <c r="E3920" t="s">
        <v>4071</v>
      </c>
      <c r="F3920" t="s">
        <v>9584</v>
      </c>
      <c r="G3920" t="s">
        <v>3890</v>
      </c>
      <c r="H3920" t="s">
        <v>3984</v>
      </c>
      <c r="I3920" t="s">
        <v>4002</v>
      </c>
      <c r="J3920">
        <v>2</v>
      </c>
      <c r="K3920">
        <v>1.855</v>
      </c>
      <c r="L3920">
        <v>2.1720000000000002</v>
      </c>
      <c r="M3920">
        <v>2.4140000000000001</v>
      </c>
      <c r="N3920">
        <v>2.5019999999999998</v>
      </c>
      <c r="O3920">
        <v>2.59</v>
      </c>
      <c r="P3920">
        <v>2.6960000000000002</v>
      </c>
      <c r="Q3920">
        <v>2.8250000000000002</v>
      </c>
      <c r="R3920">
        <v>2.9510000000000001</v>
      </c>
      <c r="S3920">
        <v>3.073</v>
      </c>
      <c r="T3920">
        <v>3.1970000000000001</v>
      </c>
      <c r="U3920">
        <v>3.3250000000000002</v>
      </c>
      <c r="V3920">
        <v>3.4550000000000001</v>
      </c>
      <c r="W3920">
        <v>3.589</v>
      </c>
      <c r="X3920">
        <v>3.7269999999999999</v>
      </c>
      <c r="Y3920">
        <v>3.8679999999999999</v>
      </c>
      <c r="Z3920">
        <v>4.0129999999999999</v>
      </c>
      <c r="AA3920">
        <v>4.1639999999999997</v>
      </c>
      <c r="AB3920">
        <v>4.32</v>
      </c>
      <c r="AC3920">
        <v>4.4829999999999997</v>
      </c>
      <c r="AD3920">
        <v>4.6529999999999996</v>
      </c>
    </row>
    <row r="3921" spans="2:30" x14ac:dyDescent="0.25">
      <c r="B3921" t="s">
        <v>133</v>
      </c>
      <c r="C3921" t="s">
        <v>3265</v>
      </c>
      <c r="D3921" t="s">
        <v>3322</v>
      </c>
      <c r="E3921" t="s">
        <v>3323</v>
      </c>
      <c r="F3921" t="s">
        <v>9585</v>
      </c>
      <c r="G3921" t="s">
        <v>3890</v>
      </c>
      <c r="H3921" t="s">
        <v>3984</v>
      </c>
      <c r="I3921" t="s">
        <v>4002</v>
      </c>
      <c r="J3921">
        <v>2</v>
      </c>
      <c r="K3921">
        <v>82.215000000000003</v>
      </c>
      <c r="L3921">
        <v>78.516000000000005</v>
      </c>
      <c r="M3921">
        <v>90.733999999999995</v>
      </c>
      <c r="N3921">
        <v>95.161000000000001</v>
      </c>
      <c r="O3921">
        <v>92.507000000000005</v>
      </c>
      <c r="P3921">
        <v>91.156999999999996</v>
      </c>
      <c r="Q3921">
        <v>92.647999999999996</v>
      </c>
      <c r="R3921">
        <v>94.013000000000005</v>
      </c>
      <c r="S3921">
        <v>94.486999999999995</v>
      </c>
      <c r="T3921">
        <v>94.697999999999993</v>
      </c>
      <c r="U3921">
        <v>94.835999999999999</v>
      </c>
      <c r="V3921">
        <v>95.165999999999997</v>
      </c>
      <c r="W3921">
        <v>95.676000000000002</v>
      </c>
      <c r="X3921">
        <v>96.498000000000005</v>
      </c>
      <c r="Y3921">
        <v>97.632999999999996</v>
      </c>
      <c r="Z3921">
        <v>101.349</v>
      </c>
      <c r="AA3921">
        <v>104.807</v>
      </c>
      <c r="AB3921">
        <v>109.592</v>
      </c>
      <c r="AC3921">
        <v>115.47499999999999</v>
      </c>
      <c r="AD3921">
        <v>122.212</v>
      </c>
    </row>
    <row r="3922" spans="2:30" x14ac:dyDescent="0.25">
      <c r="B3922" t="s">
        <v>133</v>
      </c>
      <c r="C3922" t="s">
        <v>3265</v>
      </c>
      <c r="D3922" t="s">
        <v>3358</v>
      </c>
      <c r="E3922" t="s">
        <v>3359</v>
      </c>
      <c r="F3922" t="s">
        <v>9586</v>
      </c>
      <c r="G3922" t="s">
        <v>3890</v>
      </c>
      <c r="H3922" t="s">
        <v>3984</v>
      </c>
      <c r="I3922" t="s">
        <v>4002</v>
      </c>
      <c r="J3922">
        <v>2</v>
      </c>
      <c r="K3922">
        <v>52.970999999999997</v>
      </c>
      <c r="L3922">
        <v>52.003</v>
      </c>
      <c r="M3922">
        <v>51.097000000000001</v>
      </c>
      <c r="N3922">
        <v>49.530999999999999</v>
      </c>
      <c r="O3922">
        <v>51.664000000000001</v>
      </c>
      <c r="P3922">
        <v>56.411999999999999</v>
      </c>
      <c r="Q3922">
        <v>61.591999999999999</v>
      </c>
      <c r="R3922">
        <v>67.201999999999998</v>
      </c>
      <c r="S3922">
        <v>73.864999999999995</v>
      </c>
      <c r="T3922">
        <v>81.745999999999995</v>
      </c>
      <c r="U3922">
        <v>90.302000000000007</v>
      </c>
      <c r="V3922">
        <v>99.489000000000004</v>
      </c>
      <c r="W3922">
        <v>109.22</v>
      </c>
      <c r="X3922">
        <v>119.489</v>
      </c>
      <c r="Y3922">
        <v>130.25200000000001</v>
      </c>
      <c r="Z3922">
        <v>141.58500000000001</v>
      </c>
      <c r="AA3922">
        <v>153.47300000000001</v>
      </c>
      <c r="AB3922">
        <v>165.922</v>
      </c>
      <c r="AC3922">
        <v>178.94</v>
      </c>
      <c r="AD3922">
        <v>192.40799999999999</v>
      </c>
    </row>
    <row r="3923" spans="2:30" x14ac:dyDescent="0.25">
      <c r="B3923" t="s">
        <v>133</v>
      </c>
      <c r="C3923" t="s">
        <v>3265</v>
      </c>
      <c r="D3923" t="s">
        <v>3334</v>
      </c>
      <c r="E3923" t="s">
        <v>3335</v>
      </c>
      <c r="F3923" t="s">
        <v>9587</v>
      </c>
      <c r="G3923" t="s">
        <v>3890</v>
      </c>
      <c r="H3923" t="s">
        <v>3984</v>
      </c>
      <c r="I3923" t="s">
        <v>4002</v>
      </c>
      <c r="J3923">
        <v>2</v>
      </c>
      <c r="K3923">
        <v>15.803000000000001</v>
      </c>
      <c r="L3923">
        <v>17.407</v>
      </c>
      <c r="M3923">
        <v>21.786000000000001</v>
      </c>
      <c r="N3923">
        <v>22.128</v>
      </c>
      <c r="O3923">
        <v>22.457000000000001</v>
      </c>
      <c r="P3923">
        <v>22.846</v>
      </c>
      <c r="Q3923">
        <v>23.306999999999999</v>
      </c>
      <c r="R3923">
        <v>23.741</v>
      </c>
      <c r="S3923">
        <v>24.14</v>
      </c>
      <c r="T3923">
        <v>24.538</v>
      </c>
      <c r="U3923">
        <v>24.936</v>
      </c>
      <c r="V3923">
        <v>25.332999999999998</v>
      </c>
      <c r="W3923">
        <v>25.731000000000002</v>
      </c>
      <c r="X3923">
        <v>26.129000000000001</v>
      </c>
      <c r="Y3923">
        <v>26.529</v>
      </c>
      <c r="Z3923">
        <v>26.93</v>
      </c>
      <c r="AA3923">
        <v>27.337</v>
      </c>
      <c r="AB3923">
        <v>27.75</v>
      </c>
      <c r="AC3923">
        <v>28.172000000000001</v>
      </c>
      <c r="AD3923">
        <v>28.603000000000002</v>
      </c>
    </row>
    <row r="3924" spans="2:30" x14ac:dyDescent="0.25">
      <c r="B3924" t="s">
        <v>133</v>
      </c>
      <c r="C3924" t="s">
        <v>3265</v>
      </c>
      <c r="D3924" t="s">
        <v>3310</v>
      </c>
      <c r="E3924" t="s">
        <v>3311</v>
      </c>
      <c r="F3924" t="s">
        <v>9588</v>
      </c>
      <c r="G3924" t="s">
        <v>3890</v>
      </c>
      <c r="H3924" t="s">
        <v>3984</v>
      </c>
      <c r="I3924" t="s">
        <v>4002</v>
      </c>
      <c r="J3924">
        <v>2</v>
      </c>
      <c r="K3924">
        <v>59.633000000000003</v>
      </c>
      <c r="L3924">
        <v>58.865000000000002</v>
      </c>
      <c r="M3924">
        <v>69.37</v>
      </c>
      <c r="N3924">
        <v>74.998999999999995</v>
      </c>
      <c r="O3924">
        <v>77.138999999999996</v>
      </c>
      <c r="P3924">
        <v>79.643000000000001</v>
      </c>
      <c r="Q3924">
        <v>82.322000000000003</v>
      </c>
      <c r="R3924">
        <v>85.061999999999998</v>
      </c>
      <c r="S3924">
        <v>87.748000000000005</v>
      </c>
      <c r="T3924">
        <v>90.558000000000007</v>
      </c>
      <c r="U3924">
        <v>93.468000000000004</v>
      </c>
      <c r="V3924">
        <v>96.489000000000004</v>
      </c>
      <c r="W3924">
        <v>99.623000000000005</v>
      </c>
      <c r="X3924">
        <v>102.878</v>
      </c>
      <c r="Y3924">
        <v>105.92700000000001</v>
      </c>
      <c r="Z3924">
        <v>109.039</v>
      </c>
      <c r="AA3924">
        <v>112.23699999999999</v>
      </c>
      <c r="AB3924">
        <v>115.53400000000001</v>
      </c>
      <c r="AC3924">
        <v>118.947</v>
      </c>
      <c r="AD3924">
        <v>122.482</v>
      </c>
    </row>
    <row r="3925" spans="2:30" x14ac:dyDescent="0.25">
      <c r="B3925" t="s">
        <v>133</v>
      </c>
      <c r="C3925" t="s">
        <v>3265</v>
      </c>
      <c r="D3925" t="s">
        <v>4077</v>
      </c>
      <c r="E3925" t="s">
        <v>4078</v>
      </c>
      <c r="F3925" t="s">
        <v>9589</v>
      </c>
      <c r="G3925" t="s">
        <v>3890</v>
      </c>
      <c r="H3925" t="s">
        <v>3984</v>
      </c>
      <c r="I3925" t="s">
        <v>4002</v>
      </c>
      <c r="J3925">
        <v>2</v>
      </c>
      <c r="K3925">
        <v>0.29399999999999998</v>
      </c>
      <c r="L3925">
        <v>0.26800000000000002</v>
      </c>
      <c r="M3925">
        <v>0.317</v>
      </c>
      <c r="N3925">
        <v>0.41699999999999998</v>
      </c>
      <c r="O3925">
        <v>0.41599999999999998</v>
      </c>
      <c r="P3925">
        <v>0.41499999999999998</v>
      </c>
      <c r="Q3925">
        <v>0.41399999999999998</v>
      </c>
      <c r="R3925">
        <v>0.41199999999999998</v>
      </c>
      <c r="S3925">
        <v>0.41099999999999998</v>
      </c>
      <c r="T3925">
        <v>0.41</v>
      </c>
      <c r="U3925">
        <v>0.40899999999999997</v>
      </c>
      <c r="V3925">
        <v>0.40799999999999997</v>
      </c>
      <c r="W3925">
        <v>0.40600000000000003</v>
      </c>
      <c r="X3925">
        <v>0.40500000000000003</v>
      </c>
      <c r="Y3925">
        <v>0.40400000000000003</v>
      </c>
      <c r="Z3925">
        <v>0.40300000000000002</v>
      </c>
      <c r="AA3925">
        <v>0.40100000000000002</v>
      </c>
      <c r="AB3925">
        <v>0.4</v>
      </c>
      <c r="AC3925">
        <v>0.39900000000000002</v>
      </c>
      <c r="AD3925">
        <v>0.39800000000000002</v>
      </c>
    </row>
    <row r="3926" spans="2:30" x14ac:dyDescent="0.25">
      <c r="B3926" t="s">
        <v>133</v>
      </c>
      <c r="C3926" t="s">
        <v>3265</v>
      </c>
      <c r="D3926" t="s">
        <v>4080</v>
      </c>
      <c r="E3926" t="s">
        <v>4081</v>
      </c>
      <c r="F3926" t="s">
        <v>9590</v>
      </c>
      <c r="G3926" t="s">
        <v>3890</v>
      </c>
      <c r="H3926" t="s">
        <v>4083</v>
      </c>
      <c r="I3926" t="s">
        <v>4002</v>
      </c>
      <c r="J3926" t="s">
        <v>4084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-2E-3</v>
      </c>
      <c r="R3926">
        <v>-4.0000000000000001E-3</v>
      </c>
      <c r="S3926">
        <v>-6.0000000000000001E-3</v>
      </c>
      <c r="T3926">
        <v>-8.9999999999999993E-3</v>
      </c>
      <c r="U3926">
        <v>-1.2999999999999999E-2</v>
      </c>
      <c r="V3926">
        <v>-1.4999999999999999E-2</v>
      </c>
      <c r="W3926">
        <v>-1.7999999999999999E-2</v>
      </c>
      <c r="X3926">
        <v>-2.1000000000000001E-2</v>
      </c>
      <c r="Y3926">
        <v>-2.4E-2</v>
      </c>
      <c r="Z3926">
        <v>-2.3E-2</v>
      </c>
      <c r="AA3926">
        <v>-2.4E-2</v>
      </c>
      <c r="AB3926">
        <v>-2.4E-2</v>
      </c>
      <c r="AC3926">
        <v>-2.4E-2</v>
      </c>
      <c r="AD3926">
        <v>-2.1999999999999999E-2</v>
      </c>
    </row>
    <row r="3927" spans="2:30" x14ac:dyDescent="0.25">
      <c r="B3927" t="s">
        <v>133</v>
      </c>
      <c r="C3927" t="s">
        <v>3265</v>
      </c>
      <c r="D3927" t="s">
        <v>4085</v>
      </c>
      <c r="E3927" t="s">
        <v>4086</v>
      </c>
      <c r="F3927" t="s">
        <v>9591</v>
      </c>
      <c r="G3927" t="s">
        <v>3890</v>
      </c>
      <c r="H3927" t="s">
        <v>3984</v>
      </c>
      <c r="I3927" t="s">
        <v>3985</v>
      </c>
      <c r="J3927">
        <v>1</v>
      </c>
      <c r="K3927">
        <v>400.91199999999998</v>
      </c>
      <c r="L3927">
        <v>412.09300000000002</v>
      </c>
      <c r="M3927">
        <v>450.91199999999998</v>
      </c>
      <c r="N3927">
        <v>467.50299999999999</v>
      </c>
      <c r="O3927">
        <v>473.61099999999999</v>
      </c>
      <c r="P3927">
        <v>484.72199999999998</v>
      </c>
      <c r="Q3927">
        <v>501.07100000000003</v>
      </c>
      <c r="R3927">
        <v>518.10699999999997</v>
      </c>
      <c r="S3927">
        <v>535.59100000000001</v>
      </c>
      <c r="T3927">
        <v>555.01099999999997</v>
      </c>
      <c r="U3927">
        <v>576.96699999999998</v>
      </c>
      <c r="V3927">
        <v>601.255</v>
      </c>
      <c r="W3927">
        <v>626.79999999999995</v>
      </c>
      <c r="X3927">
        <v>653.71699999999998</v>
      </c>
      <c r="Y3927">
        <v>681.98</v>
      </c>
      <c r="Z3927">
        <v>711.798</v>
      </c>
      <c r="AA3927">
        <v>743.27499999999998</v>
      </c>
      <c r="AB3927">
        <v>776.57600000000002</v>
      </c>
      <c r="AC3927">
        <v>811.89599999999996</v>
      </c>
      <c r="AD3927">
        <v>848.12900000000002</v>
      </c>
    </row>
    <row r="3928" spans="2:30" x14ac:dyDescent="0.25">
      <c r="B3928" t="s">
        <v>133</v>
      </c>
      <c r="C3928" t="s">
        <v>3265</v>
      </c>
      <c r="D3928" t="s">
        <v>3340</v>
      </c>
      <c r="E3928" t="s">
        <v>3341</v>
      </c>
      <c r="F3928" t="s">
        <v>9555</v>
      </c>
      <c r="G3928" t="s">
        <v>3890</v>
      </c>
      <c r="H3928" t="s">
        <v>3984</v>
      </c>
      <c r="I3928" t="s">
        <v>4002</v>
      </c>
      <c r="J3928">
        <v>1</v>
      </c>
      <c r="K3928">
        <v>307.637</v>
      </c>
      <c r="L3928">
        <v>315.613</v>
      </c>
      <c r="M3928">
        <v>350.59300000000002</v>
      </c>
      <c r="N3928">
        <v>364.71100000000001</v>
      </c>
      <c r="O3928">
        <v>369.13900000000001</v>
      </c>
      <c r="P3928">
        <v>378.11399999999998</v>
      </c>
      <c r="Q3928">
        <v>391.91199999999998</v>
      </c>
      <c r="R3928">
        <v>406.33199999999999</v>
      </c>
      <c r="S3928">
        <v>421.214</v>
      </c>
      <c r="T3928">
        <v>437.48700000000002</v>
      </c>
      <c r="U3928">
        <v>455.42500000000001</v>
      </c>
      <c r="V3928">
        <v>475.274</v>
      </c>
      <c r="W3928">
        <v>496.22399999999999</v>
      </c>
      <c r="X3928">
        <v>518.38400000000001</v>
      </c>
      <c r="Y3928">
        <v>541.72500000000002</v>
      </c>
      <c r="Z3928">
        <v>566.44899999999996</v>
      </c>
      <c r="AA3928">
        <v>592.65300000000002</v>
      </c>
      <c r="AB3928">
        <v>620.49599999999998</v>
      </c>
      <c r="AC3928">
        <v>650.16499999999996</v>
      </c>
      <c r="AD3928">
        <v>680.55499999999995</v>
      </c>
    </row>
    <row r="3929" spans="2:30" x14ac:dyDescent="0.25">
      <c r="B3929" t="s">
        <v>133</v>
      </c>
      <c r="C3929" t="s">
        <v>3265</v>
      </c>
      <c r="D3929" t="s">
        <v>4088</v>
      </c>
      <c r="E3929" t="s">
        <v>4089</v>
      </c>
      <c r="F3929" t="s">
        <v>9592</v>
      </c>
      <c r="G3929" t="s">
        <v>3890</v>
      </c>
      <c r="H3929" t="s">
        <v>3984</v>
      </c>
      <c r="I3929" t="s">
        <v>3985</v>
      </c>
      <c r="J3929">
        <v>1</v>
      </c>
      <c r="K3929">
        <v>53.088000000000001</v>
      </c>
      <c r="L3929">
        <v>55.677999999999997</v>
      </c>
      <c r="M3929">
        <v>56.591999999999999</v>
      </c>
      <c r="N3929">
        <v>57.34</v>
      </c>
      <c r="O3929">
        <v>58.082999999999998</v>
      </c>
      <c r="P3929">
        <v>59.234000000000002</v>
      </c>
      <c r="Q3929">
        <v>60.427999999999997</v>
      </c>
      <c r="R3929">
        <v>61.667000000000002</v>
      </c>
      <c r="S3929">
        <v>62.921999999999997</v>
      </c>
      <c r="T3929">
        <v>64.748000000000005</v>
      </c>
      <c r="U3929">
        <v>67.185000000000002</v>
      </c>
      <c r="V3929">
        <v>69.716999999999999</v>
      </c>
      <c r="W3929">
        <v>72.346999999999994</v>
      </c>
      <c r="X3929">
        <v>75.078000000000003</v>
      </c>
      <c r="Y3929">
        <v>77.915000000000006</v>
      </c>
      <c r="Z3929">
        <v>80.858999999999995</v>
      </c>
      <c r="AA3929">
        <v>83.917000000000002</v>
      </c>
      <c r="AB3929">
        <v>87.093000000000004</v>
      </c>
      <c r="AC3929">
        <v>90.39</v>
      </c>
      <c r="AD3929">
        <v>93.814999999999998</v>
      </c>
    </row>
    <row r="3930" spans="2:30" x14ac:dyDescent="0.25">
      <c r="B3930" t="s">
        <v>133</v>
      </c>
      <c r="C3930" t="s">
        <v>3265</v>
      </c>
      <c r="D3930" t="s">
        <v>4091</v>
      </c>
      <c r="E3930" t="s">
        <v>4092</v>
      </c>
      <c r="F3930" t="s">
        <v>9593</v>
      </c>
      <c r="G3930" t="s">
        <v>3890</v>
      </c>
      <c r="H3930" t="s">
        <v>3984</v>
      </c>
      <c r="I3930" t="s">
        <v>3985</v>
      </c>
      <c r="J3930">
        <v>1</v>
      </c>
      <c r="K3930">
        <v>28.488</v>
      </c>
      <c r="L3930">
        <v>28.577000000000002</v>
      </c>
      <c r="M3930">
        <v>29.32</v>
      </c>
      <c r="N3930">
        <v>29.875</v>
      </c>
      <c r="O3930">
        <v>30.367999999999999</v>
      </c>
      <c r="P3930">
        <v>30.834</v>
      </c>
      <c r="Q3930">
        <v>31.558</v>
      </c>
      <c r="R3930">
        <v>32.325000000000003</v>
      </c>
      <c r="S3930">
        <v>33.095999999999997</v>
      </c>
      <c r="T3930">
        <v>33.832000000000001</v>
      </c>
      <c r="U3930">
        <v>34.822000000000003</v>
      </c>
      <c r="V3930">
        <v>36.127000000000002</v>
      </c>
      <c r="W3930">
        <v>37.479999999999997</v>
      </c>
      <c r="X3930">
        <v>38.883000000000003</v>
      </c>
      <c r="Y3930">
        <v>40.335999999999999</v>
      </c>
      <c r="Z3930">
        <v>41.841999999999999</v>
      </c>
      <c r="AA3930">
        <v>43.404000000000003</v>
      </c>
      <c r="AB3930">
        <v>45.023000000000003</v>
      </c>
      <c r="AC3930">
        <v>46.703000000000003</v>
      </c>
      <c r="AD3930">
        <v>48.438000000000002</v>
      </c>
    </row>
    <row r="3931" spans="2:30" x14ac:dyDescent="0.25">
      <c r="B3931" t="s">
        <v>133</v>
      </c>
      <c r="C3931" t="s">
        <v>3265</v>
      </c>
      <c r="D3931" t="s">
        <v>4094</v>
      </c>
      <c r="E3931" t="s">
        <v>4095</v>
      </c>
      <c r="F3931" t="s">
        <v>9594</v>
      </c>
      <c r="G3931" t="s">
        <v>3890</v>
      </c>
      <c r="H3931" t="s">
        <v>3984</v>
      </c>
      <c r="I3931" t="s">
        <v>3985</v>
      </c>
      <c r="J3931">
        <v>1</v>
      </c>
      <c r="K3931">
        <v>11.699</v>
      </c>
      <c r="L3931">
        <v>12.225</v>
      </c>
      <c r="M3931">
        <v>14.407</v>
      </c>
      <c r="N3931">
        <v>15.576000000000001</v>
      </c>
      <c r="O3931">
        <v>16.02</v>
      </c>
      <c r="P3931">
        <v>16.54</v>
      </c>
      <c r="Q3931">
        <v>17.172000000000001</v>
      </c>
      <c r="R3931">
        <v>17.782</v>
      </c>
      <c r="S3931">
        <v>18.359000000000002</v>
      </c>
      <c r="T3931">
        <v>18.943999999999999</v>
      </c>
      <c r="U3931">
        <v>19.535</v>
      </c>
      <c r="V3931">
        <v>20.137</v>
      </c>
      <c r="W3931">
        <v>20.748999999999999</v>
      </c>
      <c r="X3931">
        <v>21.372</v>
      </c>
      <c r="Y3931">
        <v>22.004999999999999</v>
      </c>
      <c r="Z3931">
        <v>22.648</v>
      </c>
      <c r="AA3931">
        <v>23.300999999999998</v>
      </c>
      <c r="AB3931">
        <v>23.965</v>
      </c>
      <c r="AC3931">
        <v>24.638000000000002</v>
      </c>
      <c r="AD3931">
        <v>25.321000000000002</v>
      </c>
    </row>
    <row r="3932" spans="2:30" x14ac:dyDescent="0.25">
      <c r="B3932" t="s">
        <v>133</v>
      </c>
      <c r="C3932" t="s">
        <v>3265</v>
      </c>
      <c r="D3932" t="s">
        <v>4097</v>
      </c>
      <c r="E3932" t="s">
        <v>4098</v>
      </c>
      <c r="F3932" t="s">
        <v>9595</v>
      </c>
      <c r="G3932" t="s">
        <v>3890</v>
      </c>
      <c r="H3932" t="s">
        <v>3984</v>
      </c>
      <c r="I3932" t="s">
        <v>3985</v>
      </c>
      <c r="J3932">
        <v>2</v>
      </c>
      <c r="K3932">
        <v>400.91199999999998</v>
      </c>
      <c r="L3932">
        <v>412.09300000000002</v>
      </c>
      <c r="M3932">
        <v>450.91199999999998</v>
      </c>
      <c r="N3932">
        <v>467.50299999999999</v>
      </c>
      <c r="O3932">
        <v>473.61099999999999</v>
      </c>
      <c r="P3932">
        <v>484.72199999999998</v>
      </c>
      <c r="Q3932">
        <v>500.358</v>
      </c>
      <c r="R3932">
        <v>516.50599999999997</v>
      </c>
      <c r="S3932">
        <v>532.72500000000002</v>
      </c>
      <c r="T3932">
        <v>550.70000000000005</v>
      </c>
      <c r="U3932">
        <v>571.10400000000004</v>
      </c>
      <c r="V3932">
        <v>593.79</v>
      </c>
      <c r="W3932">
        <v>617.68700000000001</v>
      </c>
      <c r="X3932">
        <v>642.94799999999998</v>
      </c>
      <c r="Y3932">
        <v>668.89800000000002</v>
      </c>
      <c r="Z3932">
        <v>698.43399999999997</v>
      </c>
      <c r="AA3932">
        <v>728.75</v>
      </c>
      <c r="AB3932">
        <v>761.48199999999997</v>
      </c>
      <c r="AC3932">
        <v>796.45799999999997</v>
      </c>
      <c r="AD3932">
        <v>833.33399999999995</v>
      </c>
    </row>
    <row r="3933" spans="2:30" x14ac:dyDescent="0.25">
      <c r="B3933" t="s">
        <v>133</v>
      </c>
      <c r="C3933" t="s">
        <v>3265</v>
      </c>
      <c r="D3933" t="s">
        <v>3346</v>
      </c>
      <c r="E3933" t="s">
        <v>3347</v>
      </c>
      <c r="F3933" t="s">
        <v>9576</v>
      </c>
      <c r="G3933" t="s">
        <v>3890</v>
      </c>
      <c r="H3933" t="s">
        <v>3984</v>
      </c>
      <c r="I3933" t="s">
        <v>4002</v>
      </c>
      <c r="J3933">
        <v>2</v>
      </c>
      <c r="K3933">
        <v>307.637</v>
      </c>
      <c r="L3933">
        <v>315.613</v>
      </c>
      <c r="M3933">
        <v>350.59300000000002</v>
      </c>
      <c r="N3933">
        <v>364.71100000000001</v>
      </c>
      <c r="O3933">
        <v>369.13900000000001</v>
      </c>
      <c r="P3933">
        <v>378.11399999999998</v>
      </c>
      <c r="Q3933">
        <v>391.28300000000002</v>
      </c>
      <c r="R3933">
        <v>404.86399999999998</v>
      </c>
      <c r="S3933">
        <v>418.50900000000001</v>
      </c>
      <c r="T3933">
        <v>433.34800000000001</v>
      </c>
      <c r="U3933">
        <v>449.72899999999998</v>
      </c>
      <c r="V3933">
        <v>467.959</v>
      </c>
      <c r="W3933">
        <v>487.23</v>
      </c>
      <c r="X3933">
        <v>507.68900000000002</v>
      </c>
      <c r="Y3933">
        <v>528.73</v>
      </c>
      <c r="Z3933">
        <v>553.16999999999996</v>
      </c>
      <c r="AA3933">
        <v>578.20699999999999</v>
      </c>
      <c r="AB3933">
        <v>605.45699999999999</v>
      </c>
      <c r="AC3933">
        <v>634.74199999999996</v>
      </c>
      <c r="AD3933">
        <v>665.70899999999995</v>
      </c>
    </row>
    <row r="3934" spans="2:30" x14ac:dyDescent="0.25">
      <c r="B3934" t="s">
        <v>133</v>
      </c>
      <c r="C3934" t="s">
        <v>3265</v>
      </c>
      <c r="D3934" t="s">
        <v>4100</v>
      </c>
      <c r="E3934" t="s">
        <v>4101</v>
      </c>
      <c r="F3934" t="s">
        <v>9596</v>
      </c>
      <c r="G3934" t="s">
        <v>3890</v>
      </c>
      <c r="H3934" t="s">
        <v>3984</v>
      </c>
      <c r="I3934" t="s">
        <v>3985</v>
      </c>
      <c r="J3934">
        <v>2</v>
      </c>
      <c r="K3934">
        <v>53.088000000000001</v>
      </c>
      <c r="L3934">
        <v>55.677999999999997</v>
      </c>
      <c r="M3934">
        <v>56.591999999999999</v>
      </c>
      <c r="N3934">
        <v>57.34</v>
      </c>
      <c r="O3934">
        <v>58.082999999999998</v>
      </c>
      <c r="P3934">
        <v>59.234000000000002</v>
      </c>
      <c r="Q3934">
        <v>60.427</v>
      </c>
      <c r="R3934">
        <v>61.664999999999999</v>
      </c>
      <c r="S3934">
        <v>62.918999999999997</v>
      </c>
      <c r="T3934">
        <v>64.744</v>
      </c>
      <c r="U3934">
        <v>67.180000000000007</v>
      </c>
      <c r="V3934">
        <v>69.710999999999999</v>
      </c>
      <c r="W3934">
        <v>72.34</v>
      </c>
      <c r="X3934">
        <v>75.069999999999993</v>
      </c>
      <c r="Y3934">
        <v>77.905000000000001</v>
      </c>
      <c r="Z3934">
        <v>80.849999999999994</v>
      </c>
      <c r="AA3934">
        <v>83.908000000000001</v>
      </c>
      <c r="AB3934">
        <v>87.084999999999994</v>
      </c>
      <c r="AC3934">
        <v>90.385000000000005</v>
      </c>
      <c r="AD3934">
        <v>93.813000000000002</v>
      </c>
    </row>
    <row r="3935" spans="2:30" x14ac:dyDescent="0.25">
      <c r="B3935" t="s">
        <v>133</v>
      </c>
      <c r="C3935" t="s">
        <v>3265</v>
      </c>
      <c r="D3935" t="s">
        <v>4103</v>
      </c>
      <c r="E3935" t="s">
        <v>4104</v>
      </c>
      <c r="F3935" t="s">
        <v>9597</v>
      </c>
      <c r="G3935" t="s">
        <v>3890</v>
      </c>
      <c r="H3935" t="s">
        <v>3984</v>
      </c>
      <c r="I3935" t="s">
        <v>3985</v>
      </c>
      <c r="J3935">
        <v>2</v>
      </c>
      <c r="K3935">
        <v>28.488</v>
      </c>
      <c r="L3935">
        <v>28.577000000000002</v>
      </c>
      <c r="M3935">
        <v>29.32</v>
      </c>
      <c r="N3935">
        <v>29.875</v>
      </c>
      <c r="O3935">
        <v>30.367999999999999</v>
      </c>
      <c r="P3935">
        <v>30.834</v>
      </c>
      <c r="Q3935">
        <v>31.550999999999998</v>
      </c>
      <c r="R3935">
        <v>32.311</v>
      </c>
      <c r="S3935">
        <v>33.073</v>
      </c>
      <c r="T3935">
        <v>33.802</v>
      </c>
      <c r="U3935">
        <v>34.783999999999999</v>
      </c>
      <c r="V3935">
        <v>36.081000000000003</v>
      </c>
      <c r="W3935">
        <v>37.427</v>
      </c>
      <c r="X3935">
        <v>38.823</v>
      </c>
      <c r="Y3935">
        <v>40.262999999999998</v>
      </c>
      <c r="Z3935">
        <v>41.768999999999998</v>
      </c>
      <c r="AA3935">
        <v>43.326000000000001</v>
      </c>
      <c r="AB3935">
        <v>44.945999999999998</v>
      </c>
      <c r="AC3935">
        <v>46.628999999999998</v>
      </c>
      <c r="AD3935">
        <v>48.375</v>
      </c>
    </row>
    <row r="3936" spans="2:30" x14ac:dyDescent="0.25">
      <c r="B3936" t="s">
        <v>133</v>
      </c>
      <c r="C3936" t="s">
        <v>3265</v>
      </c>
      <c r="D3936" t="s">
        <v>4106</v>
      </c>
      <c r="E3936" t="s">
        <v>4107</v>
      </c>
      <c r="F3936" t="s">
        <v>9598</v>
      </c>
      <c r="G3936" t="s">
        <v>3890</v>
      </c>
      <c r="H3936" t="s">
        <v>3984</v>
      </c>
      <c r="I3936" t="s">
        <v>3985</v>
      </c>
      <c r="J3936">
        <v>2</v>
      </c>
      <c r="K3936">
        <v>11.699</v>
      </c>
      <c r="L3936">
        <v>12.225</v>
      </c>
      <c r="M3936">
        <v>14.407</v>
      </c>
      <c r="N3936">
        <v>15.576000000000001</v>
      </c>
      <c r="O3936">
        <v>16.02</v>
      </c>
      <c r="P3936">
        <v>16.54</v>
      </c>
      <c r="Q3936">
        <v>17.097000000000001</v>
      </c>
      <c r="R3936">
        <v>17.666</v>
      </c>
      <c r="S3936">
        <v>18.224</v>
      </c>
      <c r="T3936">
        <v>18.806999999999999</v>
      </c>
      <c r="U3936">
        <v>19.411000000000001</v>
      </c>
      <c r="V3936">
        <v>20.039000000000001</v>
      </c>
      <c r="W3936">
        <v>20.69</v>
      </c>
      <c r="X3936">
        <v>21.366</v>
      </c>
      <c r="Y3936">
        <v>21.998999999999999</v>
      </c>
      <c r="Z3936">
        <v>22.645</v>
      </c>
      <c r="AA3936">
        <v>23.309000000000001</v>
      </c>
      <c r="AB3936">
        <v>23.994</v>
      </c>
      <c r="AC3936">
        <v>24.702999999999999</v>
      </c>
      <c r="AD3936">
        <v>25.437000000000001</v>
      </c>
    </row>
    <row r="3937" spans="2:30" x14ac:dyDescent="0.25">
      <c r="B3937" t="s">
        <v>133</v>
      </c>
      <c r="C3937" t="s">
        <v>3265</v>
      </c>
      <c r="D3937" t="s">
        <v>4109</v>
      </c>
      <c r="E3937" t="s">
        <v>4110</v>
      </c>
      <c r="F3937" t="s">
        <v>9599</v>
      </c>
      <c r="G3937" t="s">
        <v>3890</v>
      </c>
      <c r="H3937" t="s">
        <v>3984</v>
      </c>
      <c r="I3937" t="s">
        <v>3985</v>
      </c>
      <c r="J3937">
        <v>1</v>
      </c>
      <c r="K3937">
        <v>53.088000000000001</v>
      </c>
      <c r="L3937">
        <v>55.677999999999997</v>
      </c>
      <c r="M3937">
        <v>56.591999999999999</v>
      </c>
      <c r="N3937">
        <v>57.34</v>
      </c>
      <c r="O3937">
        <v>58.082999999999998</v>
      </c>
      <c r="P3937">
        <v>59.234000000000002</v>
      </c>
      <c r="Q3937">
        <v>60.427999999999997</v>
      </c>
      <c r="R3937">
        <v>61.667000000000002</v>
      </c>
      <c r="S3937">
        <v>62.921999999999997</v>
      </c>
      <c r="T3937">
        <v>64.748000000000005</v>
      </c>
      <c r="U3937">
        <v>67.185000000000002</v>
      </c>
      <c r="V3937">
        <v>69.716999999999999</v>
      </c>
      <c r="W3937">
        <v>72.346999999999994</v>
      </c>
      <c r="X3937">
        <v>75.078000000000003</v>
      </c>
      <c r="Y3937">
        <v>77.915000000000006</v>
      </c>
      <c r="Z3937">
        <v>80.858999999999995</v>
      </c>
      <c r="AA3937">
        <v>83.917000000000002</v>
      </c>
      <c r="AB3937">
        <v>87.093000000000004</v>
      </c>
      <c r="AC3937">
        <v>90.39</v>
      </c>
      <c r="AD3937">
        <v>93.814999999999998</v>
      </c>
    </row>
    <row r="3938" spans="2:30" x14ac:dyDescent="0.25">
      <c r="B3938" t="s">
        <v>133</v>
      </c>
      <c r="C3938" t="s">
        <v>3265</v>
      </c>
      <c r="D3938" t="s">
        <v>4112</v>
      </c>
      <c r="E3938" t="s">
        <v>4113</v>
      </c>
      <c r="F3938" t="s">
        <v>9600</v>
      </c>
      <c r="G3938" t="s">
        <v>3890</v>
      </c>
      <c r="H3938" t="s">
        <v>3984</v>
      </c>
      <c r="I3938" t="s">
        <v>3985</v>
      </c>
      <c r="J3938">
        <v>1</v>
      </c>
      <c r="K3938">
        <v>53.088000000000001</v>
      </c>
      <c r="L3938">
        <v>55.677999999999997</v>
      </c>
      <c r="M3938">
        <v>56.591999999999999</v>
      </c>
      <c r="N3938">
        <v>57.34</v>
      </c>
      <c r="O3938">
        <v>58.082999999999998</v>
      </c>
      <c r="P3938">
        <v>59.234000000000002</v>
      </c>
      <c r="Q3938">
        <v>60.427999999999997</v>
      </c>
      <c r="R3938">
        <v>61.667000000000002</v>
      </c>
      <c r="S3938">
        <v>62.921999999999997</v>
      </c>
      <c r="T3938">
        <v>64.748000000000005</v>
      </c>
      <c r="U3938">
        <v>67.185000000000002</v>
      </c>
      <c r="V3938">
        <v>69.716999999999999</v>
      </c>
      <c r="W3938">
        <v>72.346999999999994</v>
      </c>
      <c r="X3938">
        <v>75.078000000000003</v>
      </c>
      <c r="Y3938">
        <v>77.915000000000006</v>
      </c>
      <c r="Z3938">
        <v>80.858999999999995</v>
      </c>
      <c r="AA3938">
        <v>83.917000000000002</v>
      </c>
      <c r="AB3938">
        <v>87.093000000000004</v>
      </c>
      <c r="AC3938">
        <v>90.39</v>
      </c>
      <c r="AD3938">
        <v>93.814999999999998</v>
      </c>
    </row>
    <row r="3939" spans="2:30" x14ac:dyDescent="0.25">
      <c r="B3939" t="s">
        <v>133</v>
      </c>
      <c r="C3939" t="s">
        <v>3265</v>
      </c>
      <c r="D3939" t="s">
        <v>4115</v>
      </c>
      <c r="E3939" t="s">
        <v>4116</v>
      </c>
      <c r="F3939" t="s">
        <v>9601</v>
      </c>
      <c r="G3939" t="s">
        <v>3890</v>
      </c>
      <c r="H3939" t="s">
        <v>3984</v>
      </c>
      <c r="I3939" t="s">
        <v>3985</v>
      </c>
      <c r="J3939">
        <v>1</v>
      </c>
      <c r="K3939">
        <v>1.9179999999999999</v>
      </c>
      <c r="L3939">
        <v>1.9239999999999999</v>
      </c>
      <c r="M3939">
        <v>1.95</v>
      </c>
      <c r="N3939">
        <v>1.9530000000000001</v>
      </c>
      <c r="O3939">
        <v>1.9530000000000001</v>
      </c>
      <c r="P3939">
        <v>1.9550000000000001</v>
      </c>
      <c r="Q3939">
        <v>1.9590000000000001</v>
      </c>
      <c r="R3939">
        <v>1.9630000000000001</v>
      </c>
      <c r="S3939">
        <v>1.9670000000000001</v>
      </c>
      <c r="T3939">
        <v>1.9710000000000001</v>
      </c>
      <c r="U3939">
        <v>1.96</v>
      </c>
      <c r="V3939">
        <v>1.95</v>
      </c>
      <c r="W3939">
        <v>1.9410000000000001</v>
      </c>
      <c r="X3939">
        <v>1.931</v>
      </c>
      <c r="Y3939">
        <v>1.9219999999999999</v>
      </c>
      <c r="Z3939">
        <v>1.913</v>
      </c>
      <c r="AA3939">
        <v>1.903</v>
      </c>
      <c r="AB3939">
        <v>1.895</v>
      </c>
      <c r="AC3939">
        <v>1.887</v>
      </c>
      <c r="AD3939">
        <v>1.879</v>
      </c>
    </row>
    <row r="3940" spans="2:30" x14ac:dyDescent="0.25">
      <c r="B3940" t="s">
        <v>133</v>
      </c>
      <c r="C3940" t="s">
        <v>3265</v>
      </c>
      <c r="D3940" t="s">
        <v>4118</v>
      </c>
      <c r="E3940" t="s">
        <v>4119</v>
      </c>
      <c r="F3940" t="s">
        <v>9602</v>
      </c>
      <c r="G3940" t="s">
        <v>3890</v>
      </c>
      <c r="H3940" t="s">
        <v>3984</v>
      </c>
      <c r="I3940" t="s">
        <v>3985</v>
      </c>
      <c r="J3940">
        <v>1</v>
      </c>
      <c r="K3940">
        <v>0.16600000000000001</v>
      </c>
      <c r="L3940">
        <v>0.16600000000000001</v>
      </c>
      <c r="M3940">
        <v>0.19500000000000001</v>
      </c>
      <c r="N3940">
        <v>0.21099999999999999</v>
      </c>
      <c r="O3940">
        <v>0.217</v>
      </c>
      <c r="P3940">
        <v>0.224</v>
      </c>
      <c r="Q3940">
        <v>0.23300000000000001</v>
      </c>
      <c r="R3940">
        <v>0.24099999999999999</v>
      </c>
      <c r="S3940">
        <v>0.249</v>
      </c>
      <c r="T3940">
        <v>0.25700000000000001</v>
      </c>
      <c r="U3940">
        <v>0.26500000000000001</v>
      </c>
      <c r="V3940">
        <v>0.27300000000000002</v>
      </c>
      <c r="W3940">
        <v>0.28199999999999997</v>
      </c>
      <c r="X3940">
        <v>0.28999999999999998</v>
      </c>
      <c r="Y3940">
        <v>0.29899999999999999</v>
      </c>
      <c r="Z3940">
        <v>0.307</v>
      </c>
      <c r="AA3940">
        <v>0.316</v>
      </c>
      <c r="AB3940">
        <v>0.32500000000000001</v>
      </c>
      <c r="AC3940">
        <v>0.33400000000000002</v>
      </c>
      <c r="AD3940">
        <v>0.34399999999999997</v>
      </c>
    </row>
    <row r="3941" spans="2:30" x14ac:dyDescent="0.25">
      <c r="B3941" t="s">
        <v>133</v>
      </c>
      <c r="C3941" t="s">
        <v>3265</v>
      </c>
      <c r="D3941" t="s">
        <v>4121</v>
      </c>
      <c r="E3941" t="s">
        <v>4122</v>
      </c>
      <c r="F3941" t="s">
        <v>9603</v>
      </c>
      <c r="G3941" t="s">
        <v>3890</v>
      </c>
      <c r="H3941" t="s">
        <v>3984</v>
      </c>
      <c r="I3941" t="s">
        <v>3985</v>
      </c>
      <c r="J3941">
        <v>1</v>
      </c>
      <c r="K3941">
        <v>15.788</v>
      </c>
      <c r="L3941">
        <v>17.709</v>
      </c>
      <c r="M3941">
        <v>18.013999999999999</v>
      </c>
      <c r="N3941">
        <v>18.257999999999999</v>
      </c>
      <c r="O3941">
        <v>18.544</v>
      </c>
      <c r="P3941">
        <v>18.939</v>
      </c>
      <c r="Q3941">
        <v>19.359000000000002</v>
      </c>
      <c r="R3941">
        <v>19.808</v>
      </c>
      <c r="S3941">
        <v>20.257999999999999</v>
      </c>
      <c r="T3941">
        <v>20.86</v>
      </c>
      <c r="U3941">
        <v>21.634</v>
      </c>
      <c r="V3941">
        <v>22.434999999999999</v>
      </c>
      <c r="W3941">
        <v>23.263999999999999</v>
      </c>
      <c r="X3941">
        <v>24.122</v>
      </c>
      <c r="Y3941">
        <v>25.009</v>
      </c>
      <c r="Z3941">
        <v>25.927</v>
      </c>
      <c r="AA3941">
        <v>26.876999999999999</v>
      </c>
      <c r="AB3941">
        <v>27.859000000000002</v>
      </c>
      <c r="AC3941">
        <v>28.875</v>
      </c>
      <c r="AD3941">
        <v>29.925999999999998</v>
      </c>
    </row>
    <row r="3942" spans="2:30" x14ac:dyDescent="0.25">
      <c r="B3942" t="s">
        <v>133</v>
      </c>
      <c r="C3942" t="s">
        <v>3265</v>
      </c>
      <c r="D3942" t="s">
        <v>4124</v>
      </c>
      <c r="E3942" t="s">
        <v>4125</v>
      </c>
      <c r="F3942" t="s">
        <v>9604</v>
      </c>
      <c r="G3942" t="s">
        <v>3890</v>
      </c>
      <c r="H3942" t="s">
        <v>3984</v>
      </c>
      <c r="I3942" t="s">
        <v>3985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</row>
    <row r="3943" spans="2:30" x14ac:dyDescent="0.25">
      <c r="B3943" t="s">
        <v>133</v>
      </c>
      <c r="C3943" t="s">
        <v>3265</v>
      </c>
      <c r="D3943" t="s">
        <v>4127</v>
      </c>
      <c r="E3943" t="s">
        <v>4128</v>
      </c>
      <c r="F3943" t="s">
        <v>9605</v>
      </c>
      <c r="G3943" t="s">
        <v>3890</v>
      </c>
      <c r="H3943" t="s">
        <v>3984</v>
      </c>
      <c r="I3943" t="s">
        <v>3985</v>
      </c>
      <c r="J3943">
        <v>1</v>
      </c>
      <c r="K3943">
        <v>35.125999999999998</v>
      </c>
      <c r="L3943">
        <v>35.771999999999998</v>
      </c>
      <c r="M3943">
        <v>36.325000000000003</v>
      </c>
      <c r="N3943">
        <v>36.808</v>
      </c>
      <c r="O3943">
        <v>37.256999999999998</v>
      </c>
      <c r="P3943">
        <v>38.002000000000002</v>
      </c>
      <c r="Q3943">
        <v>38.762</v>
      </c>
      <c r="R3943">
        <v>39.537999999999997</v>
      </c>
      <c r="S3943">
        <v>40.328000000000003</v>
      </c>
      <c r="T3943">
        <v>41.537999999999997</v>
      </c>
      <c r="U3943">
        <v>43.2</v>
      </c>
      <c r="V3943">
        <v>44.927999999999997</v>
      </c>
      <c r="W3943">
        <v>46.725000000000001</v>
      </c>
      <c r="X3943">
        <v>48.594000000000001</v>
      </c>
      <c r="Y3943">
        <v>50.536999999999999</v>
      </c>
      <c r="Z3943">
        <v>52.558999999999997</v>
      </c>
      <c r="AA3943">
        <v>54.661000000000001</v>
      </c>
      <c r="AB3943">
        <v>56.847999999999999</v>
      </c>
      <c r="AC3943">
        <v>59.122</v>
      </c>
      <c r="AD3943">
        <v>61.487000000000002</v>
      </c>
    </row>
    <row r="3944" spans="2:30" x14ac:dyDescent="0.25">
      <c r="B3944" t="s">
        <v>133</v>
      </c>
      <c r="C3944" t="s">
        <v>3265</v>
      </c>
      <c r="D3944" t="s">
        <v>4130</v>
      </c>
      <c r="E3944" t="s">
        <v>4131</v>
      </c>
      <c r="F3944" t="s">
        <v>9606</v>
      </c>
      <c r="G3944" t="s">
        <v>3890</v>
      </c>
      <c r="H3944" t="s">
        <v>3984</v>
      </c>
      <c r="I3944" t="s">
        <v>3985</v>
      </c>
      <c r="J3944">
        <v>1</v>
      </c>
      <c r="K3944">
        <v>8.8999999999999996E-2</v>
      </c>
      <c r="L3944">
        <v>0.107</v>
      </c>
      <c r="M3944">
        <v>0.108</v>
      </c>
      <c r="N3944">
        <v>0.11</v>
      </c>
      <c r="O3944">
        <v>0.112</v>
      </c>
      <c r="P3944">
        <v>0.113</v>
      </c>
      <c r="Q3944">
        <v>0.115</v>
      </c>
      <c r="R3944">
        <v>0.11700000000000001</v>
      </c>
      <c r="S3944">
        <v>0.12</v>
      </c>
      <c r="T3944">
        <v>0.122</v>
      </c>
      <c r="U3944">
        <v>0.126</v>
      </c>
      <c r="V3944">
        <v>0.13100000000000001</v>
      </c>
      <c r="W3944">
        <v>0.13600000000000001</v>
      </c>
      <c r="X3944">
        <v>0.14199999999999999</v>
      </c>
      <c r="Y3944">
        <v>0.14699999999999999</v>
      </c>
      <c r="Z3944">
        <v>0.153</v>
      </c>
      <c r="AA3944">
        <v>0.159</v>
      </c>
      <c r="AB3944">
        <v>0.16600000000000001</v>
      </c>
      <c r="AC3944">
        <v>0.17199999999999999</v>
      </c>
      <c r="AD3944">
        <v>0.17899999999999999</v>
      </c>
    </row>
    <row r="3945" spans="2:30" x14ac:dyDescent="0.25">
      <c r="B3945" t="s">
        <v>133</v>
      </c>
      <c r="C3945" t="s">
        <v>3265</v>
      </c>
      <c r="D3945" t="s">
        <v>4133</v>
      </c>
      <c r="E3945" t="s">
        <v>4134</v>
      </c>
      <c r="F3945" t="s">
        <v>9607</v>
      </c>
      <c r="G3945" t="s">
        <v>3890</v>
      </c>
      <c r="H3945" t="s">
        <v>3984</v>
      </c>
      <c r="I3945" t="s">
        <v>3985</v>
      </c>
      <c r="J3945">
        <v>1</v>
      </c>
      <c r="K3945">
        <v>20.780999999999999</v>
      </c>
      <c r="L3945">
        <v>20.295000000000002</v>
      </c>
      <c r="M3945">
        <v>22.867999999999999</v>
      </c>
      <c r="N3945">
        <v>23.742999999999999</v>
      </c>
      <c r="O3945">
        <v>23.934000000000001</v>
      </c>
      <c r="P3945">
        <v>24.55</v>
      </c>
      <c r="Q3945">
        <v>25.547000000000001</v>
      </c>
      <c r="R3945">
        <v>26.609000000000002</v>
      </c>
      <c r="S3945">
        <v>27.725999999999999</v>
      </c>
      <c r="T3945">
        <v>28.974</v>
      </c>
      <c r="U3945">
        <v>30.306999999999999</v>
      </c>
      <c r="V3945">
        <v>31.742999999999999</v>
      </c>
      <c r="W3945">
        <v>33.270000000000003</v>
      </c>
      <c r="X3945">
        <v>34.901000000000003</v>
      </c>
      <c r="Y3945">
        <v>36.630000000000003</v>
      </c>
      <c r="Z3945">
        <v>38.478000000000002</v>
      </c>
      <c r="AA3945">
        <v>40.454000000000001</v>
      </c>
      <c r="AB3945">
        <v>42.572000000000003</v>
      </c>
      <c r="AC3945">
        <v>44.850999999999999</v>
      </c>
      <c r="AD3945">
        <v>47.180999999999997</v>
      </c>
    </row>
    <row r="3946" spans="2:30" x14ac:dyDescent="0.25">
      <c r="B3946" t="s">
        <v>133</v>
      </c>
      <c r="C3946" t="s">
        <v>3265</v>
      </c>
      <c r="D3946" t="s">
        <v>4136</v>
      </c>
      <c r="E3946" t="s">
        <v>4137</v>
      </c>
      <c r="F3946" t="s">
        <v>9608</v>
      </c>
      <c r="G3946" t="s">
        <v>3890</v>
      </c>
      <c r="H3946" t="s">
        <v>3984</v>
      </c>
      <c r="I3946" t="s">
        <v>3985</v>
      </c>
      <c r="J3946">
        <v>2</v>
      </c>
      <c r="K3946">
        <v>53.088000000000001</v>
      </c>
      <c r="L3946">
        <v>55.677999999999997</v>
      </c>
      <c r="M3946">
        <v>56.591999999999999</v>
      </c>
      <c r="N3946">
        <v>57.34</v>
      </c>
      <c r="O3946">
        <v>58.082999999999998</v>
      </c>
      <c r="P3946">
        <v>59.234000000000002</v>
      </c>
      <c r="Q3946">
        <v>60.427</v>
      </c>
      <c r="R3946">
        <v>61.664999999999999</v>
      </c>
      <c r="S3946">
        <v>62.918999999999997</v>
      </c>
      <c r="T3946">
        <v>64.744</v>
      </c>
      <c r="U3946">
        <v>67.180000000000007</v>
      </c>
      <c r="V3946">
        <v>69.710999999999999</v>
      </c>
      <c r="W3946">
        <v>72.34</v>
      </c>
      <c r="X3946">
        <v>75.069999999999993</v>
      </c>
      <c r="Y3946">
        <v>77.905000000000001</v>
      </c>
      <c r="Z3946">
        <v>80.849999999999994</v>
      </c>
      <c r="AA3946">
        <v>83.908000000000001</v>
      </c>
      <c r="AB3946">
        <v>87.084999999999994</v>
      </c>
      <c r="AC3946">
        <v>90.385000000000005</v>
      </c>
      <c r="AD3946">
        <v>93.813000000000002</v>
      </c>
    </row>
    <row r="3947" spans="2:30" x14ac:dyDescent="0.25">
      <c r="B3947" t="s">
        <v>133</v>
      </c>
      <c r="C3947" t="s">
        <v>3265</v>
      </c>
      <c r="D3947" t="s">
        <v>4139</v>
      </c>
      <c r="E3947" t="s">
        <v>4140</v>
      </c>
      <c r="F3947" t="s">
        <v>9609</v>
      </c>
      <c r="G3947" t="s">
        <v>3890</v>
      </c>
      <c r="H3947" t="s">
        <v>3984</v>
      </c>
      <c r="I3947" t="s">
        <v>3985</v>
      </c>
      <c r="J3947">
        <v>2</v>
      </c>
      <c r="K3947">
        <v>53.088000000000001</v>
      </c>
      <c r="L3947">
        <v>55.677999999999997</v>
      </c>
      <c r="M3947">
        <v>56.591999999999999</v>
      </c>
      <c r="N3947">
        <v>57.34</v>
      </c>
      <c r="O3947">
        <v>58.082999999999998</v>
      </c>
      <c r="P3947">
        <v>59.234000000000002</v>
      </c>
      <c r="Q3947">
        <v>60.427</v>
      </c>
      <c r="R3947">
        <v>61.664999999999999</v>
      </c>
      <c r="S3947">
        <v>62.918999999999997</v>
      </c>
      <c r="T3947">
        <v>64.744</v>
      </c>
      <c r="U3947">
        <v>67.180000000000007</v>
      </c>
      <c r="V3947">
        <v>69.710999999999999</v>
      </c>
      <c r="W3947">
        <v>72.34</v>
      </c>
      <c r="X3947">
        <v>75.069999999999993</v>
      </c>
      <c r="Y3947">
        <v>77.905000000000001</v>
      </c>
      <c r="Z3947">
        <v>80.849999999999994</v>
      </c>
      <c r="AA3947">
        <v>83.908000000000001</v>
      </c>
      <c r="AB3947">
        <v>87.084999999999994</v>
      </c>
      <c r="AC3947">
        <v>90.385000000000005</v>
      </c>
      <c r="AD3947">
        <v>93.813000000000002</v>
      </c>
    </row>
    <row r="3948" spans="2:30" x14ac:dyDescent="0.25">
      <c r="B3948" t="s">
        <v>133</v>
      </c>
      <c r="C3948" t="s">
        <v>3265</v>
      </c>
      <c r="D3948" t="s">
        <v>4142</v>
      </c>
      <c r="E3948" t="s">
        <v>4143</v>
      </c>
      <c r="F3948" t="s">
        <v>9610</v>
      </c>
      <c r="G3948" t="s">
        <v>3890</v>
      </c>
      <c r="H3948" t="s">
        <v>3984</v>
      </c>
      <c r="I3948" t="s">
        <v>3985</v>
      </c>
      <c r="J3948">
        <v>2</v>
      </c>
      <c r="K3948">
        <v>1.9179999999999999</v>
      </c>
      <c r="L3948">
        <v>1.9239999999999999</v>
      </c>
      <c r="M3948">
        <v>1.95</v>
      </c>
      <c r="N3948">
        <v>1.9530000000000001</v>
      </c>
      <c r="O3948">
        <v>1.9530000000000001</v>
      </c>
      <c r="P3948">
        <v>1.9550000000000001</v>
      </c>
      <c r="Q3948">
        <v>1.9590000000000001</v>
      </c>
      <c r="R3948">
        <v>1.9630000000000001</v>
      </c>
      <c r="S3948">
        <v>1.966</v>
      </c>
      <c r="T3948">
        <v>1.968</v>
      </c>
      <c r="U3948">
        <v>1.9570000000000001</v>
      </c>
      <c r="V3948">
        <v>1.946</v>
      </c>
      <c r="W3948">
        <v>1.9350000000000001</v>
      </c>
      <c r="X3948">
        <v>1.9239999999999999</v>
      </c>
      <c r="Y3948">
        <v>1.913</v>
      </c>
      <c r="Z3948">
        <v>1.903</v>
      </c>
      <c r="AA3948">
        <v>1.893</v>
      </c>
      <c r="AB3948">
        <v>1.8839999999999999</v>
      </c>
      <c r="AC3948">
        <v>1.8759999999999999</v>
      </c>
      <c r="AD3948">
        <v>1.8680000000000001</v>
      </c>
    </row>
    <row r="3949" spans="2:30" x14ac:dyDescent="0.25">
      <c r="B3949" t="s">
        <v>133</v>
      </c>
      <c r="C3949" t="s">
        <v>3265</v>
      </c>
      <c r="D3949" t="s">
        <v>4145</v>
      </c>
      <c r="E3949" t="s">
        <v>4146</v>
      </c>
      <c r="F3949" t="s">
        <v>9611</v>
      </c>
      <c r="G3949" t="s">
        <v>3890</v>
      </c>
      <c r="H3949" t="s">
        <v>3984</v>
      </c>
      <c r="I3949" t="s">
        <v>3985</v>
      </c>
      <c r="J3949">
        <v>2</v>
      </c>
      <c r="K3949">
        <v>0.16600000000000001</v>
      </c>
      <c r="L3949">
        <v>0.16600000000000001</v>
      </c>
      <c r="M3949">
        <v>0.19500000000000001</v>
      </c>
      <c r="N3949">
        <v>0.21099999999999999</v>
      </c>
      <c r="O3949">
        <v>0.217</v>
      </c>
      <c r="P3949">
        <v>0.224</v>
      </c>
      <c r="Q3949">
        <v>0.23200000000000001</v>
      </c>
      <c r="R3949">
        <v>0.24</v>
      </c>
      <c r="S3949">
        <v>0.247</v>
      </c>
      <c r="T3949">
        <v>0.255</v>
      </c>
      <c r="U3949">
        <v>0.26300000000000001</v>
      </c>
      <c r="V3949">
        <v>0.27200000000000002</v>
      </c>
      <c r="W3949">
        <v>0.28100000000000003</v>
      </c>
      <c r="X3949">
        <v>0.28999999999999998</v>
      </c>
      <c r="Y3949">
        <v>0.29899999999999999</v>
      </c>
      <c r="Z3949">
        <v>0.307</v>
      </c>
      <c r="AA3949">
        <v>0.316</v>
      </c>
      <c r="AB3949">
        <v>0.32600000000000001</v>
      </c>
      <c r="AC3949">
        <v>0.33500000000000002</v>
      </c>
      <c r="AD3949">
        <v>0.34499999999999997</v>
      </c>
    </row>
    <row r="3950" spans="2:30" x14ac:dyDescent="0.25">
      <c r="B3950" t="s">
        <v>133</v>
      </c>
      <c r="C3950" t="s">
        <v>3265</v>
      </c>
      <c r="D3950" t="s">
        <v>4121</v>
      </c>
      <c r="E3950" t="s">
        <v>4148</v>
      </c>
      <c r="F3950" t="s">
        <v>9612</v>
      </c>
      <c r="G3950" t="s">
        <v>3890</v>
      </c>
      <c r="H3950" t="s">
        <v>3984</v>
      </c>
      <c r="I3950" t="s">
        <v>3985</v>
      </c>
      <c r="J3950">
        <v>2</v>
      </c>
      <c r="K3950">
        <v>15.788</v>
      </c>
      <c r="L3950">
        <v>17.709</v>
      </c>
      <c r="M3950">
        <v>18.013999999999999</v>
      </c>
      <c r="N3950">
        <v>18.257999999999999</v>
      </c>
      <c r="O3950">
        <v>18.544</v>
      </c>
      <c r="P3950">
        <v>18.939</v>
      </c>
      <c r="Q3950">
        <v>19.359000000000002</v>
      </c>
      <c r="R3950">
        <v>19.808</v>
      </c>
      <c r="S3950">
        <v>20.259</v>
      </c>
      <c r="T3950">
        <v>20.86</v>
      </c>
      <c r="U3950">
        <v>21.634</v>
      </c>
      <c r="V3950">
        <v>22.434999999999999</v>
      </c>
      <c r="W3950">
        <v>23.263999999999999</v>
      </c>
      <c r="X3950">
        <v>24.120999999999999</v>
      </c>
      <c r="Y3950">
        <v>25.009</v>
      </c>
      <c r="Z3950">
        <v>25.927</v>
      </c>
      <c r="AA3950">
        <v>26.876999999999999</v>
      </c>
      <c r="AB3950">
        <v>27.861999999999998</v>
      </c>
      <c r="AC3950">
        <v>28.88</v>
      </c>
      <c r="AD3950">
        <v>29.934999999999999</v>
      </c>
    </row>
    <row r="3951" spans="2:30" x14ac:dyDescent="0.25">
      <c r="B3951" t="s">
        <v>133</v>
      </c>
      <c r="C3951" t="s">
        <v>3265</v>
      </c>
      <c r="D3951" t="s">
        <v>4150</v>
      </c>
      <c r="E3951" t="s">
        <v>4151</v>
      </c>
      <c r="F3951" t="s">
        <v>9613</v>
      </c>
      <c r="G3951" t="s">
        <v>3890</v>
      </c>
      <c r="H3951" t="s">
        <v>3984</v>
      </c>
      <c r="I3951" t="s">
        <v>3985</v>
      </c>
      <c r="J3951">
        <v>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</row>
    <row r="3952" spans="2:30" x14ac:dyDescent="0.25">
      <c r="B3952" t="s">
        <v>133</v>
      </c>
      <c r="C3952" t="s">
        <v>3265</v>
      </c>
      <c r="D3952" t="s">
        <v>4153</v>
      </c>
      <c r="E3952" t="s">
        <v>4154</v>
      </c>
      <c r="F3952" t="s">
        <v>9614</v>
      </c>
      <c r="G3952" t="s">
        <v>3890</v>
      </c>
      <c r="H3952" t="s">
        <v>3984</v>
      </c>
      <c r="I3952" t="s">
        <v>3985</v>
      </c>
      <c r="J3952">
        <v>2</v>
      </c>
      <c r="K3952">
        <v>35.125999999999998</v>
      </c>
      <c r="L3952">
        <v>35.771999999999998</v>
      </c>
      <c r="M3952">
        <v>36.325000000000003</v>
      </c>
      <c r="N3952">
        <v>36.808</v>
      </c>
      <c r="O3952">
        <v>37.256999999999998</v>
      </c>
      <c r="P3952">
        <v>38.002000000000002</v>
      </c>
      <c r="Q3952">
        <v>38.762</v>
      </c>
      <c r="R3952">
        <v>39.537999999999997</v>
      </c>
      <c r="S3952">
        <v>40.328000000000003</v>
      </c>
      <c r="T3952">
        <v>41.537999999999997</v>
      </c>
      <c r="U3952">
        <v>43.2</v>
      </c>
      <c r="V3952">
        <v>44.927999999999997</v>
      </c>
      <c r="W3952">
        <v>46.725000000000001</v>
      </c>
      <c r="X3952">
        <v>48.594000000000001</v>
      </c>
      <c r="Y3952">
        <v>50.536999999999999</v>
      </c>
      <c r="Z3952">
        <v>52.558999999999997</v>
      </c>
      <c r="AA3952">
        <v>54.661000000000001</v>
      </c>
      <c r="AB3952">
        <v>56.847999999999999</v>
      </c>
      <c r="AC3952">
        <v>59.122</v>
      </c>
      <c r="AD3952">
        <v>61.487000000000002</v>
      </c>
    </row>
    <row r="3953" spans="2:30" x14ac:dyDescent="0.25">
      <c r="B3953" t="s">
        <v>133</v>
      </c>
      <c r="C3953" t="s">
        <v>3265</v>
      </c>
      <c r="D3953" t="s">
        <v>4156</v>
      </c>
      <c r="E3953" t="s">
        <v>4157</v>
      </c>
      <c r="F3953" t="s">
        <v>9615</v>
      </c>
      <c r="G3953" t="s">
        <v>3890</v>
      </c>
      <c r="H3953" t="s">
        <v>3984</v>
      </c>
      <c r="I3953" t="s">
        <v>3985</v>
      </c>
      <c r="J3953">
        <v>2</v>
      </c>
      <c r="K3953">
        <v>8.8999999999999996E-2</v>
      </c>
      <c r="L3953">
        <v>0.107</v>
      </c>
      <c r="M3953">
        <v>0.108</v>
      </c>
      <c r="N3953">
        <v>0.11</v>
      </c>
      <c r="O3953">
        <v>0.112</v>
      </c>
      <c r="P3953">
        <v>0.113</v>
      </c>
      <c r="Q3953">
        <v>0.115</v>
      </c>
      <c r="R3953">
        <v>0.11700000000000001</v>
      </c>
      <c r="S3953">
        <v>0.12</v>
      </c>
      <c r="T3953">
        <v>0.122</v>
      </c>
      <c r="U3953">
        <v>0.126</v>
      </c>
      <c r="V3953">
        <v>0.13100000000000001</v>
      </c>
      <c r="W3953">
        <v>0.13600000000000001</v>
      </c>
      <c r="X3953">
        <v>0.14199999999999999</v>
      </c>
      <c r="Y3953">
        <v>0.14699999999999999</v>
      </c>
      <c r="Z3953">
        <v>0.153</v>
      </c>
      <c r="AA3953">
        <v>0.159</v>
      </c>
      <c r="AB3953">
        <v>0.16600000000000001</v>
      </c>
      <c r="AC3953">
        <v>0.17199999999999999</v>
      </c>
      <c r="AD3953">
        <v>0.17899999999999999</v>
      </c>
    </row>
    <row r="3954" spans="2:30" x14ac:dyDescent="0.25">
      <c r="B3954" t="s">
        <v>133</v>
      </c>
      <c r="C3954" t="s">
        <v>3265</v>
      </c>
      <c r="D3954" t="s">
        <v>4159</v>
      </c>
      <c r="E3954" t="s">
        <v>4160</v>
      </c>
      <c r="F3954" t="s">
        <v>9616</v>
      </c>
      <c r="G3954" t="s">
        <v>3890</v>
      </c>
      <c r="H3954" t="s">
        <v>3984</v>
      </c>
      <c r="I3954" t="s">
        <v>3985</v>
      </c>
      <c r="J3954">
        <v>2</v>
      </c>
      <c r="K3954">
        <v>20.780999999999999</v>
      </c>
      <c r="L3954">
        <v>20.295000000000002</v>
      </c>
      <c r="M3954">
        <v>22.867999999999999</v>
      </c>
      <c r="N3954">
        <v>23.742999999999999</v>
      </c>
      <c r="O3954">
        <v>23.934000000000001</v>
      </c>
      <c r="P3954">
        <v>24.55</v>
      </c>
      <c r="Q3954">
        <v>25.547000000000001</v>
      </c>
      <c r="R3954">
        <v>26.609000000000002</v>
      </c>
      <c r="S3954">
        <v>27.725999999999999</v>
      </c>
      <c r="T3954">
        <v>28.974</v>
      </c>
      <c r="U3954">
        <v>30.306999999999999</v>
      </c>
      <c r="V3954">
        <v>31.742999999999999</v>
      </c>
      <c r="W3954">
        <v>33.270000000000003</v>
      </c>
      <c r="X3954">
        <v>34.901000000000003</v>
      </c>
      <c r="Y3954">
        <v>36.630000000000003</v>
      </c>
      <c r="Z3954">
        <v>38.478000000000002</v>
      </c>
      <c r="AA3954">
        <v>40.454000000000001</v>
      </c>
      <c r="AB3954">
        <v>42.572000000000003</v>
      </c>
      <c r="AC3954">
        <v>44.850999999999999</v>
      </c>
      <c r="AD3954">
        <v>47.180999999999997</v>
      </c>
    </row>
    <row r="3955" spans="2:30" x14ac:dyDescent="0.25">
      <c r="B3955" t="s">
        <v>133</v>
      </c>
      <c r="C3955" t="s">
        <v>3265</v>
      </c>
      <c r="D3955" t="s">
        <v>4162</v>
      </c>
      <c r="E3955" t="s">
        <v>4163</v>
      </c>
      <c r="F3955" t="s">
        <v>9617</v>
      </c>
      <c r="G3955" t="s">
        <v>3890</v>
      </c>
      <c r="H3955" t="s">
        <v>3984</v>
      </c>
      <c r="I3955" t="s">
        <v>4165</v>
      </c>
      <c r="J3955">
        <v>1</v>
      </c>
      <c r="K3955">
        <v>100</v>
      </c>
      <c r="L3955">
        <v>102.78899</v>
      </c>
      <c r="M3955">
        <v>112.47172999999999</v>
      </c>
      <c r="N3955">
        <v>116.60999</v>
      </c>
      <c r="O3955">
        <v>118.13351</v>
      </c>
      <c r="P3955">
        <v>120.90488999999999</v>
      </c>
      <c r="Q3955">
        <v>124.9828</v>
      </c>
      <c r="R3955">
        <v>129.23204999999999</v>
      </c>
      <c r="S3955">
        <v>133.59329</v>
      </c>
      <c r="T3955">
        <v>138.43711999999999</v>
      </c>
      <c r="U3955">
        <v>143.91369</v>
      </c>
      <c r="V3955">
        <v>149.97197</v>
      </c>
      <c r="W3955">
        <v>156.34362999999999</v>
      </c>
      <c r="X3955">
        <v>163.05747</v>
      </c>
      <c r="Y3955">
        <v>170.10718</v>
      </c>
      <c r="Z3955">
        <v>177.54472000000001</v>
      </c>
      <c r="AA3955">
        <v>185.39619999999999</v>
      </c>
      <c r="AB3955">
        <v>193.70254</v>
      </c>
      <c r="AC3955">
        <v>202.51229000000001</v>
      </c>
      <c r="AD3955">
        <v>211.55004</v>
      </c>
    </row>
    <row r="3956" spans="2:30" x14ac:dyDescent="0.25">
      <c r="B3956" t="s">
        <v>133</v>
      </c>
      <c r="C3956" t="s">
        <v>3265</v>
      </c>
      <c r="D3956" t="s">
        <v>4166</v>
      </c>
      <c r="E3956" t="s">
        <v>4167</v>
      </c>
      <c r="F3956" t="s">
        <v>9618</v>
      </c>
      <c r="G3956" t="s">
        <v>3890</v>
      </c>
      <c r="H3956" t="s">
        <v>3984</v>
      </c>
      <c r="I3956" t="s">
        <v>4165</v>
      </c>
      <c r="J3956">
        <v>2</v>
      </c>
      <c r="K3956">
        <v>100</v>
      </c>
      <c r="L3956">
        <v>102.78899</v>
      </c>
      <c r="M3956">
        <v>112.47172999999999</v>
      </c>
      <c r="N3956">
        <v>116.60999</v>
      </c>
      <c r="O3956">
        <v>118.13351</v>
      </c>
      <c r="P3956">
        <v>120.90488999999999</v>
      </c>
      <c r="Q3956">
        <v>124.80499</v>
      </c>
      <c r="R3956">
        <v>128.83276000000001</v>
      </c>
      <c r="S3956">
        <v>132.87834000000001</v>
      </c>
      <c r="T3956">
        <v>137.36197999999999</v>
      </c>
      <c r="U3956">
        <v>142.45133000000001</v>
      </c>
      <c r="V3956">
        <v>148.10999000000001</v>
      </c>
      <c r="W3956">
        <v>154.07056</v>
      </c>
      <c r="X3956">
        <v>160.37138999999999</v>
      </c>
      <c r="Y3956">
        <v>166.84415000000001</v>
      </c>
      <c r="Z3956">
        <v>174.21152000000001</v>
      </c>
      <c r="AA3956">
        <v>181.77304000000001</v>
      </c>
      <c r="AB3956">
        <v>189.93758</v>
      </c>
      <c r="AC3956">
        <v>198.66173000000001</v>
      </c>
      <c r="AD3956">
        <v>207.85977</v>
      </c>
    </row>
    <row r="3957" spans="2:30" x14ac:dyDescent="0.25">
      <c r="B3957" t="s">
        <v>133</v>
      </c>
      <c r="C3957" t="s">
        <v>3265</v>
      </c>
      <c r="D3957" t="s">
        <v>4169</v>
      </c>
      <c r="E3957" t="s">
        <v>4170</v>
      </c>
      <c r="F3957" t="s">
        <v>9619</v>
      </c>
      <c r="G3957" t="s">
        <v>3890</v>
      </c>
      <c r="H3957" t="s">
        <v>4172</v>
      </c>
      <c r="I3957" t="s">
        <v>3892</v>
      </c>
      <c r="J3957">
        <v>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-1E-3</v>
      </c>
      <c r="R3957">
        <v>-3.0000000000000001E-3</v>
      </c>
      <c r="S3957">
        <v>-5.0000000000000001E-3</v>
      </c>
      <c r="T3957">
        <v>-8.0000000000000002E-3</v>
      </c>
      <c r="U3957">
        <v>-0.01</v>
      </c>
      <c r="V3957">
        <v>-1.2E-2</v>
      </c>
      <c r="W3957">
        <v>-1.4999999999999999E-2</v>
      </c>
      <c r="X3957">
        <v>-1.6E-2</v>
      </c>
      <c r="Y3957">
        <v>-1.9E-2</v>
      </c>
      <c r="Z3957">
        <v>-1.9E-2</v>
      </c>
      <c r="AA3957">
        <v>-0.02</v>
      </c>
      <c r="AB3957">
        <v>-1.9E-2</v>
      </c>
      <c r="AC3957">
        <v>-1.9E-2</v>
      </c>
      <c r="AD3957">
        <v>-1.7000000000000001E-2</v>
      </c>
    </row>
    <row r="3958" spans="2:30" x14ac:dyDescent="0.25">
      <c r="B3958" t="s">
        <v>133</v>
      </c>
      <c r="C3958" t="s">
        <v>3265</v>
      </c>
      <c r="D3958" t="s">
        <v>4173</v>
      </c>
      <c r="E3958" t="s">
        <v>4174</v>
      </c>
      <c r="F3958" t="s">
        <v>9620</v>
      </c>
      <c r="G3958" t="s">
        <v>3890</v>
      </c>
      <c r="H3958" t="s">
        <v>4176</v>
      </c>
      <c r="I3958" t="s">
        <v>2538</v>
      </c>
      <c r="J3958">
        <v>1</v>
      </c>
      <c r="K3958" t="s">
        <v>475</v>
      </c>
    </row>
    <row r="3959" spans="2:30" x14ac:dyDescent="0.25">
      <c r="B3959" t="s">
        <v>133</v>
      </c>
      <c r="D3959" t="s">
        <v>477</v>
      </c>
      <c r="E3959" t="s">
        <v>4177</v>
      </c>
      <c r="F3959" t="s">
        <v>9621</v>
      </c>
      <c r="G3959" t="s">
        <v>3890</v>
      </c>
      <c r="H3959" t="s">
        <v>4179</v>
      </c>
      <c r="I3959" t="s">
        <v>2538</v>
      </c>
      <c r="J3959">
        <v>1</v>
      </c>
      <c r="K3959">
        <v>1</v>
      </c>
    </row>
    <row r="3960" spans="2:30" x14ac:dyDescent="0.25">
      <c r="B3960" t="s">
        <v>133</v>
      </c>
      <c r="C3960" t="s">
        <v>3265</v>
      </c>
      <c r="D3960" t="s">
        <v>4180</v>
      </c>
      <c r="E3960" t="s">
        <v>4181</v>
      </c>
      <c r="F3960" t="s">
        <v>9622</v>
      </c>
      <c r="G3960" t="s">
        <v>3890</v>
      </c>
      <c r="H3960" t="s">
        <v>4183</v>
      </c>
      <c r="I3960" t="s">
        <v>2538</v>
      </c>
      <c r="J3960">
        <v>1</v>
      </c>
      <c r="K3960" t="e">
        <v>#VALUE!</v>
      </c>
    </row>
    <row r="3961" spans="2:30" x14ac:dyDescent="0.25">
      <c r="B3961" t="s">
        <v>133</v>
      </c>
      <c r="C3961" t="s">
        <v>3265</v>
      </c>
      <c r="D3961" t="s">
        <v>4184</v>
      </c>
      <c r="E3961" t="s">
        <v>4185</v>
      </c>
      <c r="F3961" t="s">
        <v>9623</v>
      </c>
      <c r="G3961" t="s">
        <v>3890</v>
      </c>
      <c r="H3961" t="s">
        <v>4187</v>
      </c>
      <c r="I3961" t="s">
        <v>2538</v>
      </c>
      <c r="J3961">
        <v>1</v>
      </c>
      <c r="K3961" t="e">
        <v>#VALUE!</v>
      </c>
    </row>
    <row r="3962" spans="2:30" x14ac:dyDescent="0.25">
      <c r="B3962" t="s">
        <v>133</v>
      </c>
      <c r="C3962" t="s">
        <v>3265</v>
      </c>
      <c r="D3962" t="s">
        <v>4188</v>
      </c>
      <c r="E3962" t="s">
        <v>4189</v>
      </c>
      <c r="F3962" t="s">
        <v>9624</v>
      </c>
      <c r="G3962" t="s">
        <v>3890</v>
      </c>
      <c r="H3962" t="s">
        <v>4191</v>
      </c>
      <c r="I3962" t="s">
        <v>4165</v>
      </c>
      <c r="J3962">
        <v>1</v>
      </c>
      <c r="K3962" t="e">
        <v>#VALUE!</v>
      </c>
      <c r="L3962" t="e">
        <v>#VALUE!</v>
      </c>
      <c r="M3962" t="e">
        <v>#VALUE!</v>
      </c>
      <c r="N3962" t="e">
        <v>#VALUE!</v>
      </c>
      <c r="O3962" t="e">
        <v>#VALUE!</v>
      </c>
      <c r="P3962" t="e">
        <v>#VALUE!</v>
      </c>
      <c r="Q3962" t="e">
        <v>#VALUE!</v>
      </c>
      <c r="R3962" t="e">
        <v>#VALUE!</v>
      </c>
      <c r="S3962" t="e">
        <v>#VALUE!</v>
      </c>
      <c r="T3962" t="e">
        <v>#VALUE!</v>
      </c>
      <c r="U3962" t="e">
        <v>#VALUE!</v>
      </c>
      <c r="V3962" t="e">
        <v>#VALUE!</v>
      </c>
      <c r="W3962" t="e">
        <v>#VALUE!</v>
      </c>
      <c r="X3962" t="e">
        <v>#VALUE!</v>
      </c>
      <c r="Y3962" t="e">
        <v>#VALUE!</v>
      </c>
      <c r="Z3962" t="e">
        <v>#VALUE!</v>
      </c>
      <c r="AA3962" t="e">
        <v>#VALUE!</v>
      </c>
      <c r="AB3962" t="e">
        <v>#VALUE!</v>
      </c>
      <c r="AC3962" t="e">
        <v>#VALUE!</v>
      </c>
      <c r="AD3962" t="e">
        <v>#VALUE!</v>
      </c>
    </row>
    <row r="3963" spans="2:30" x14ac:dyDescent="0.25">
      <c r="B3963" t="s">
        <v>133</v>
      </c>
      <c r="C3963" t="s">
        <v>3265</v>
      </c>
      <c r="D3963" t="s">
        <v>4192</v>
      </c>
      <c r="E3963" t="s">
        <v>4193</v>
      </c>
      <c r="F3963" t="s">
        <v>9625</v>
      </c>
      <c r="G3963" t="s">
        <v>3890</v>
      </c>
      <c r="H3963" t="s">
        <v>4195</v>
      </c>
      <c r="I3963" t="s">
        <v>4165</v>
      </c>
      <c r="J3963">
        <v>1</v>
      </c>
      <c r="K3963" t="s">
        <v>138</v>
      </c>
      <c r="L3963" t="s">
        <v>138</v>
      </c>
      <c r="M3963" t="s">
        <v>138</v>
      </c>
      <c r="N3963" t="s">
        <v>138</v>
      </c>
      <c r="O3963" t="s">
        <v>138</v>
      </c>
      <c r="P3963" t="s">
        <v>138</v>
      </c>
      <c r="Q3963" t="s">
        <v>138</v>
      </c>
      <c r="R3963" t="s">
        <v>138</v>
      </c>
      <c r="S3963" t="s">
        <v>138</v>
      </c>
      <c r="T3963" t="s">
        <v>138</v>
      </c>
      <c r="U3963" t="s">
        <v>138</v>
      </c>
      <c r="V3963" t="s">
        <v>138</v>
      </c>
      <c r="W3963" t="s">
        <v>138</v>
      </c>
      <c r="X3963" t="s">
        <v>138</v>
      </c>
      <c r="Y3963" t="s">
        <v>138</v>
      </c>
      <c r="Z3963" t="s">
        <v>138</v>
      </c>
      <c r="AA3963" t="s">
        <v>138</v>
      </c>
      <c r="AB3963" t="s">
        <v>138</v>
      </c>
      <c r="AC3963" t="s">
        <v>138</v>
      </c>
      <c r="AD3963" t="s">
        <v>138</v>
      </c>
    </row>
    <row r="3964" spans="2:30" x14ac:dyDescent="0.25">
      <c r="B3964" t="s">
        <v>133</v>
      </c>
      <c r="C3964" t="s">
        <v>3265</v>
      </c>
      <c r="D3964" t="s">
        <v>4196</v>
      </c>
      <c r="E3964" t="s">
        <v>4197</v>
      </c>
      <c r="F3964" t="s">
        <v>9626</v>
      </c>
      <c r="G3964" t="s">
        <v>3890</v>
      </c>
      <c r="H3964" t="s">
        <v>4199</v>
      </c>
      <c r="I3964" t="s">
        <v>4200</v>
      </c>
      <c r="J3964">
        <v>1</v>
      </c>
      <c r="K3964" t="e">
        <v>#VALUE!</v>
      </c>
      <c r="L3964" t="e">
        <v>#VALUE!</v>
      </c>
      <c r="M3964" t="e">
        <v>#VALUE!</v>
      </c>
      <c r="N3964" t="e">
        <v>#VALUE!</v>
      </c>
      <c r="O3964" t="e">
        <v>#VALUE!</v>
      </c>
      <c r="P3964" t="e">
        <v>#VALUE!</v>
      </c>
      <c r="Q3964" t="e">
        <v>#VALUE!</v>
      </c>
      <c r="R3964" t="e">
        <v>#VALUE!</v>
      </c>
      <c r="S3964" t="e">
        <v>#VALUE!</v>
      </c>
      <c r="T3964" t="e">
        <v>#VALUE!</v>
      </c>
      <c r="U3964" t="e">
        <v>#VALUE!</v>
      </c>
      <c r="V3964" t="e">
        <v>#VALUE!</v>
      </c>
      <c r="W3964" t="e">
        <v>#VALUE!</v>
      </c>
      <c r="X3964" t="e">
        <v>#VALUE!</v>
      </c>
      <c r="Y3964" t="e">
        <v>#VALUE!</v>
      </c>
      <c r="Z3964" t="e">
        <v>#VALUE!</v>
      </c>
      <c r="AA3964" t="e">
        <v>#VALUE!</v>
      </c>
      <c r="AB3964" t="e">
        <v>#VALUE!</v>
      </c>
      <c r="AC3964" t="e">
        <v>#VALUE!</v>
      </c>
      <c r="AD3964" t="e">
        <v>#VALUE!</v>
      </c>
    </row>
    <row r="3965" spans="2:30" x14ac:dyDescent="0.25">
      <c r="B3965" t="s">
        <v>133</v>
      </c>
      <c r="C3965" t="s">
        <v>3265</v>
      </c>
      <c r="D3965" t="s">
        <v>4201</v>
      </c>
      <c r="E3965" t="s">
        <v>4202</v>
      </c>
      <c r="F3965" t="s">
        <v>9627</v>
      </c>
      <c r="G3965" t="s">
        <v>3890</v>
      </c>
      <c r="H3965" t="s">
        <v>4204</v>
      </c>
      <c r="I3965" t="s">
        <v>4200</v>
      </c>
      <c r="J3965">
        <v>1</v>
      </c>
      <c r="K3965" t="s">
        <v>138</v>
      </c>
      <c r="L3965" t="s">
        <v>138</v>
      </c>
      <c r="M3965" t="s">
        <v>138</v>
      </c>
      <c r="N3965" t="s">
        <v>138</v>
      </c>
      <c r="O3965" t="s">
        <v>138</v>
      </c>
      <c r="P3965" t="s">
        <v>138</v>
      </c>
      <c r="Q3965" t="s">
        <v>138</v>
      </c>
      <c r="R3965" t="s">
        <v>138</v>
      </c>
      <c r="S3965" t="s">
        <v>138</v>
      </c>
      <c r="T3965" t="s">
        <v>138</v>
      </c>
      <c r="U3965" t="s">
        <v>138</v>
      </c>
      <c r="V3965" t="s">
        <v>138</v>
      </c>
      <c r="W3965" t="s">
        <v>138</v>
      </c>
      <c r="X3965" t="s">
        <v>138</v>
      </c>
      <c r="Y3965" t="s">
        <v>138</v>
      </c>
      <c r="Z3965" t="s">
        <v>138</v>
      </c>
      <c r="AA3965" t="s">
        <v>138</v>
      </c>
      <c r="AB3965" t="s">
        <v>138</v>
      </c>
      <c r="AC3965" t="s">
        <v>138</v>
      </c>
      <c r="AD3965" t="s">
        <v>138</v>
      </c>
    </row>
    <row r="3966" spans="2:30" x14ac:dyDescent="0.25">
      <c r="B3966" t="s">
        <v>133</v>
      </c>
      <c r="C3966" t="s">
        <v>3265</v>
      </c>
      <c r="D3966" t="s">
        <v>4205</v>
      </c>
      <c r="E3966" t="s">
        <v>4206</v>
      </c>
      <c r="F3966" t="s">
        <v>9628</v>
      </c>
      <c r="G3966" t="s">
        <v>3890</v>
      </c>
      <c r="H3966" t="s">
        <v>4208</v>
      </c>
      <c r="I3966" t="s">
        <v>4209</v>
      </c>
      <c r="J3966">
        <v>1</v>
      </c>
      <c r="K3966" t="e">
        <v>#VALUE!</v>
      </c>
    </row>
    <row r="3967" spans="2:30" x14ac:dyDescent="0.25">
      <c r="B3967" t="s">
        <v>133</v>
      </c>
      <c r="C3967" t="s">
        <v>3265</v>
      </c>
      <c r="D3967" t="s">
        <v>4210</v>
      </c>
      <c r="E3967" t="s">
        <v>4211</v>
      </c>
      <c r="F3967" t="s">
        <v>9629</v>
      </c>
      <c r="G3967" t="s">
        <v>3890</v>
      </c>
      <c r="H3967" t="s">
        <v>4213</v>
      </c>
      <c r="I3967" t="s">
        <v>4209</v>
      </c>
      <c r="J3967">
        <v>1</v>
      </c>
      <c r="K3967" t="e">
        <v>#VALUE!</v>
      </c>
    </row>
    <row r="3968" spans="2:30" x14ac:dyDescent="0.25">
      <c r="B3968" t="s">
        <v>133</v>
      </c>
      <c r="C3968" t="s">
        <v>3265</v>
      </c>
      <c r="D3968" t="s">
        <v>4214</v>
      </c>
      <c r="E3968" t="s">
        <v>4215</v>
      </c>
      <c r="F3968" t="s">
        <v>9630</v>
      </c>
      <c r="G3968" t="s">
        <v>3890</v>
      </c>
      <c r="H3968" t="s">
        <v>4217</v>
      </c>
      <c r="I3968" t="s">
        <v>4209</v>
      </c>
      <c r="J3968">
        <v>1</v>
      </c>
      <c r="K3968" t="e">
        <v>#VALUE!</v>
      </c>
    </row>
    <row r="3969" spans="2:15" x14ac:dyDescent="0.25">
      <c r="B3969" t="s">
        <v>133</v>
      </c>
      <c r="C3969" t="s">
        <v>3265</v>
      </c>
      <c r="D3969" t="s">
        <v>4218</v>
      </c>
      <c r="E3969" t="s">
        <v>4219</v>
      </c>
      <c r="F3969" t="s">
        <v>9631</v>
      </c>
      <c r="G3969" t="s">
        <v>3890</v>
      </c>
      <c r="K3969">
        <v>377.96</v>
      </c>
      <c r="L3969">
        <v>205.55</v>
      </c>
      <c r="M3969">
        <v>583.5</v>
      </c>
      <c r="N3969">
        <v>0.03</v>
      </c>
    </row>
    <row r="3970" spans="2:15" x14ac:dyDescent="0.25">
      <c r="B3970" t="s">
        <v>133</v>
      </c>
      <c r="C3970" t="s">
        <v>3265</v>
      </c>
      <c r="D3970" t="s">
        <v>4221</v>
      </c>
      <c r="E3970" t="s">
        <v>4222</v>
      </c>
      <c r="F3970" t="s">
        <v>9632</v>
      </c>
      <c r="G3970" t="s">
        <v>3890</v>
      </c>
      <c r="K3970">
        <v>635.9</v>
      </c>
      <c r="L3970">
        <v>492.6</v>
      </c>
      <c r="M3970">
        <v>1128.51</v>
      </c>
      <c r="N3970">
        <v>0.01</v>
      </c>
    </row>
    <row r="3971" spans="2:15" x14ac:dyDescent="0.25">
      <c r="B3971" t="s">
        <v>133</v>
      </c>
      <c r="C3971" t="s">
        <v>3265</v>
      </c>
      <c r="D3971" t="s">
        <v>4224</v>
      </c>
      <c r="E3971" t="s">
        <v>4225</v>
      </c>
      <c r="F3971" t="s">
        <v>9633</v>
      </c>
      <c r="G3971" t="s">
        <v>3890</v>
      </c>
      <c r="K3971">
        <v>0</v>
      </c>
      <c r="L3971">
        <v>54.95</v>
      </c>
      <c r="M3971">
        <v>54.95</v>
      </c>
      <c r="N3971">
        <v>0.03</v>
      </c>
    </row>
    <row r="3972" spans="2:15" x14ac:dyDescent="0.25">
      <c r="B3972" t="s">
        <v>133</v>
      </c>
      <c r="C3972" t="s">
        <v>3265</v>
      </c>
      <c r="D3972" t="s">
        <v>4227</v>
      </c>
      <c r="E3972" t="s">
        <v>4228</v>
      </c>
      <c r="F3972" t="s">
        <v>9634</v>
      </c>
      <c r="G3972" t="s">
        <v>3890</v>
      </c>
      <c r="K3972">
        <v>159.22</v>
      </c>
      <c r="L3972">
        <v>26.04</v>
      </c>
      <c r="M3972">
        <v>185.25</v>
      </c>
      <c r="N3972">
        <v>0.12</v>
      </c>
    </row>
    <row r="3973" spans="2:15" x14ac:dyDescent="0.25">
      <c r="B3973" t="s">
        <v>133</v>
      </c>
      <c r="C3973" t="s">
        <v>3265</v>
      </c>
      <c r="D3973" t="s">
        <v>4230</v>
      </c>
      <c r="E3973" t="s">
        <v>4231</v>
      </c>
      <c r="F3973" t="s">
        <v>9635</v>
      </c>
      <c r="G3973" t="s">
        <v>3890</v>
      </c>
      <c r="K3973">
        <v>0</v>
      </c>
      <c r="L3973">
        <v>2.34</v>
      </c>
      <c r="M3973">
        <v>2.34</v>
      </c>
      <c r="N3973">
        <v>0.01</v>
      </c>
    </row>
    <row r="3974" spans="2:15" x14ac:dyDescent="0.25">
      <c r="B3974" t="s">
        <v>133</v>
      </c>
      <c r="C3974" t="s">
        <v>3265</v>
      </c>
      <c r="D3974" t="s">
        <v>4233</v>
      </c>
      <c r="E3974" t="s">
        <v>4234</v>
      </c>
      <c r="F3974" t="s">
        <v>9636</v>
      </c>
      <c r="G3974" t="s">
        <v>3890</v>
      </c>
      <c r="K3974">
        <v>9.7799999999999994</v>
      </c>
      <c r="L3974">
        <v>21.23</v>
      </c>
      <c r="M3974">
        <v>31.01</v>
      </c>
      <c r="N3974">
        <v>0.26</v>
      </c>
    </row>
    <row r="3975" spans="2:15" x14ac:dyDescent="0.25">
      <c r="B3975" t="s">
        <v>133</v>
      </c>
      <c r="C3975" t="s">
        <v>3265</v>
      </c>
      <c r="D3975" t="s">
        <v>4236</v>
      </c>
      <c r="E3975" t="s">
        <v>4237</v>
      </c>
      <c r="F3975" t="s">
        <v>9637</v>
      </c>
      <c r="G3975" t="s">
        <v>3890</v>
      </c>
      <c r="K3975">
        <v>0</v>
      </c>
      <c r="L3975">
        <v>46.09</v>
      </c>
      <c r="M3975">
        <v>46.09</v>
      </c>
      <c r="N3975">
        <v>0.36</v>
      </c>
    </row>
    <row r="3976" spans="2:15" x14ac:dyDescent="0.25">
      <c r="B3976" t="s">
        <v>133</v>
      </c>
      <c r="C3976" t="s">
        <v>3265</v>
      </c>
      <c r="D3976" t="s">
        <v>4239</v>
      </c>
      <c r="E3976" t="s">
        <v>4240</v>
      </c>
      <c r="F3976" t="s">
        <v>9638</v>
      </c>
      <c r="G3976" t="s">
        <v>3890</v>
      </c>
      <c r="K3976">
        <v>0</v>
      </c>
      <c r="L3976">
        <v>48.78</v>
      </c>
      <c r="M3976">
        <v>48.78</v>
      </c>
      <c r="N3976">
        <v>0.05</v>
      </c>
    </row>
    <row r="3977" spans="2:15" x14ac:dyDescent="0.25">
      <c r="B3977" t="s">
        <v>133</v>
      </c>
      <c r="C3977" t="s">
        <v>3265</v>
      </c>
      <c r="D3977" t="s">
        <v>4242</v>
      </c>
      <c r="E3977" t="s">
        <v>4243</v>
      </c>
      <c r="F3977" t="s">
        <v>9639</v>
      </c>
      <c r="G3977" t="s">
        <v>3890</v>
      </c>
      <c r="K3977">
        <v>0</v>
      </c>
      <c r="L3977">
        <v>0</v>
      </c>
      <c r="M3977">
        <v>0</v>
      </c>
      <c r="N3977">
        <v>0.06</v>
      </c>
    </row>
    <row r="3978" spans="2:15" x14ac:dyDescent="0.25">
      <c r="B3978" t="s">
        <v>133</v>
      </c>
      <c r="C3978" t="s">
        <v>3265</v>
      </c>
      <c r="D3978" t="s">
        <v>4245</v>
      </c>
      <c r="E3978" t="s">
        <v>4246</v>
      </c>
      <c r="F3978" t="s">
        <v>9640</v>
      </c>
      <c r="G3978" t="s">
        <v>3890</v>
      </c>
      <c r="K3978">
        <v>7.0000000000000007E-2</v>
      </c>
      <c r="L3978">
        <v>0.41</v>
      </c>
      <c r="M3978">
        <v>820.06</v>
      </c>
      <c r="N3978">
        <v>7.0000000000000007E-2</v>
      </c>
      <c r="O3978">
        <v>0.41</v>
      </c>
    </row>
    <row r="3979" spans="2:15" x14ac:dyDescent="0.25">
      <c r="B3979" t="s">
        <v>133</v>
      </c>
      <c r="C3979" t="s">
        <v>3265</v>
      </c>
      <c r="D3979" t="s">
        <v>4248</v>
      </c>
      <c r="E3979" t="s">
        <v>4234</v>
      </c>
      <c r="F3979" t="s">
        <v>9636</v>
      </c>
      <c r="G3979" t="s">
        <v>3890</v>
      </c>
      <c r="K3979">
        <v>0.26</v>
      </c>
      <c r="L3979">
        <v>0</v>
      </c>
      <c r="M3979">
        <v>31.01</v>
      </c>
      <c r="N3979">
        <v>0.33</v>
      </c>
      <c r="O3979">
        <v>0.41</v>
      </c>
    </row>
    <row r="3980" spans="2:15" x14ac:dyDescent="0.25">
      <c r="B3980" t="s">
        <v>133</v>
      </c>
      <c r="C3980" t="s">
        <v>3265</v>
      </c>
      <c r="D3980" t="s">
        <v>4249</v>
      </c>
      <c r="E3980" t="s">
        <v>4225</v>
      </c>
      <c r="F3980" t="s">
        <v>9633</v>
      </c>
      <c r="G3980" t="s">
        <v>3890</v>
      </c>
      <c r="K3980">
        <v>0.03</v>
      </c>
      <c r="L3980">
        <v>0</v>
      </c>
      <c r="M3980">
        <v>54.95</v>
      </c>
      <c r="N3980">
        <v>0.36</v>
      </c>
      <c r="O3980">
        <v>0.41</v>
      </c>
    </row>
    <row r="3981" spans="2:15" x14ac:dyDescent="0.25">
      <c r="B3981" t="s">
        <v>133</v>
      </c>
      <c r="C3981" t="s">
        <v>3265</v>
      </c>
      <c r="D3981" t="s">
        <v>4250</v>
      </c>
      <c r="E3981" t="s">
        <v>4228</v>
      </c>
      <c r="F3981" t="s">
        <v>9634</v>
      </c>
      <c r="G3981" t="s">
        <v>3890</v>
      </c>
      <c r="K3981">
        <v>0.12</v>
      </c>
      <c r="L3981">
        <v>0.32</v>
      </c>
      <c r="M3981">
        <v>185.25</v>
      </c>
      <c r="N3981">
        <v>0.48</v>
      </c>
      <c r="O3981">
        <v>0.73</v>
      </c>
    </row>
    <row r="3982" spans="2:15" x14ac:dyDescent="0.25">
      <c r="B3982" t="s">
        <v>133</v>
      </c>
      <c r="C3982" t="s">
        <v>3265</v>
      </c>
      <c r="D3982" t="s">
        <v>4251</v>
      </c>
      <c r="E3982" t="s">
        <v>4219</v>
      </c>
      <c r="F3982" t="s">
        <v>9631</v>
      </c>
      <c r="G3982" t="s">
        <v>3890</v>
      </c>
      <c r="K3982">
        <v>0.03</v>
      </c>
      <c r="L3982">
        <v>0.16</v>
      </c>
      <c r="M3982">
        <v>583.5</v>
      </c>
      <c r="N3982">
        <v>0.51</v>
      </c>
      <c r="O3982">
        <v>0.89</v>
      </c>
    </row>
    <row r="3983" spans="2:15" x14ac:dyDescent="0.25">
      <c r="B3983" t="s">
        <v>133</v>
      </c>
      <c r="C3983" t="s">
        <v>3265</v>
      </c>
      <c r="D3983" t="s">
        <v>4252</v>
      </c>
      <c r="E3983" t="s">
        <v>4222</v>
      </c>
      <c r="F3983" t="s">
        <v>9632</v>
      </c>
      <c r="G3983" t="s">
        <v>3890</v>
      </c>
      <c r="K3983">
        <v>0.01</v>
      </c>
      <c r="L3983">
        <v>7.0000000000000007E-2</v>
      </c>
      <c r="M3983">
        <v>1128.51</v>
      </c>
      <c r="N3983">
        <v>0.52</v>
      </c>
      <c r="O3983">
        <v>0.96</v>
      </c>
    </row>
    <row r="3984" spans="2:15" x14ac:dyDescent="0.25">
      <c r="B3984" t="s">
        <v>133</v>
      </c>
      <c r="C3984" t="s">
        <v>3265</v>
      </c>
      <c r="D3984" t="s">
        <v>4253</v>
      </c>
      <c r="E3984" t="s">
        <v>4254</v>
      </c>
      <c r="F3984" t="s">
        <v>9641</v>
      </c>
      <c r="G3984" t="s">
        <v>3890</v>
      </c>
      <c r="K3984">
        <v>0.06</v>
      </c>
      <c r="L3984">
        <v>0</v>
      </c>
      <c r="M3984">
        <v>0</v>
      </c>
      <c r="N3984">
        <v>0.58000000000000007</v>
      </c>
      <c r="O3984">
        <v>0.96</v>
      </c>
    </row>
    <row r="3985" spans="2:30" x14ac:dyDescent="0.25">
      <c r="B3985" t="s">
        <v>133</v>
      </c>
      <c r="C3985" t="s">
        <v>3265</v>
      </c>
      <c r="D3985" t="s">
        <v>4256</v>
      </c>
      <c r="E3985" t="s">
        <v>4240</v>
      </c>
      <c r="F3985" t="s">
        <v>9638</v>
      </c>
      <c r="G3985" t="s">
        <v>3890</v>
      </c>
      <c r="K3985">
        <v>0.05</v>
      </c>
      <c r="L3985">
        <v>48.78</v>
      </c>
      <c r="M3985">
        <v>48.78</v>
      </c>
      <c r="N3985">
        <v>0.63000000000000012</v>
      </c>
      <c r="O3985">
        <v>49.74</v>
      </c>
    </row>
    <row r="3986" spans="2:30" x14ac:dyDescent="0.25">
      <c r="B3986" t="s">
        <v>133</v>
      </c>
      <c r="C3986" t="s">
        <v>3265</v>
      </c>
      <c r="D3986" t="s">
        <v>4257</v>
      </c>
      <c r="E3986" t="s">
        <v>4231</v>
      </c>
      <c r="F3986" t="s">
        <v>9635</v>
      </c>
      <c r="G3986" t="s">
        <v>3890</v>
      </c>
      <c r="K3986">
        <v>0.01</v>
      </c>
      <c r="L3986">
        <v>0</v>
      </c>
      <c r="M3986">
        <v>2.34</v>
      </c>
      <c r="N3986">
        <v>0.64000000000000012</v>
      </c>
      <c r="O3986">
        <v>49.74</v>
      </c>
    </row>
    <row r="3987" spans="2:30" x14ac:dyDescent="0.25">
      <c r="B3987" t="s">
        <v>133</v>
      </c>
      <c r="C3987" t="s">
        <v>3265</v>
      </c>
      <c r="D3987" t="s">
        <v>4258</v>
      </c>
      <c r="E3987" t="s">
        <v>4237</v>
      </c>
      <c r="F3987" t="s">
        <v>9637</v>
      </c>
      <c r="G3987" t="s">
        <v>3890</v>
      </c>
      <c r="K3987">
        <v>0.36</v>
      </c>
      <c r="L3987">
        <v>0.04</v>
      </c>
      <c r="M3987">
        <v>46.09</v>
      </c>
      <c r="N3987">
        <v>1</v>
      </c>
      <c r="O3987">
        <v>49.78</v>
      </c>
    </row>
    <row r="3988" spans="2:30" x14ac:dyDescent="0.25">
      <c r="B3988" t="s">
        <v>133</v>
      </c>
      <c r="C3988" t="s">
        <v>3265</v>
      </c>
      <c r="D3988" t="s">
        <v>4259</v>
      </c>
      <c r="E3988" t="s">
        <v>4260</v>
      </c>
      <c r="F3988" t="s">
        <v>9642</v>
      </c>
      <c r="G3988" t="s">
        <v>3890</v>
      </c>
      <c r="H3988" t="s">
        <v>4262</v>
      </c>
      <c r="I3988" t="s">
        <v>4263</v>
      </c>
      <c r="J3988">
        <v>1</v>
      </c>
      <c r="K3988">
        <v>6.3E-2</v>
      </c>
      <c r="L3988">
        <v>5.8000000000000003E-2</v>
      </c>
      <c r="M3988">
        <v>4.9000000000000002E-2</v>
      </c>
      <c r="N3988">
        <v>4.7E-2</v>
      </c>
      <c r="O3988">
        <v>4.9000000000000002E-2</v>
      </c>
      <c r="P3988">
        <v>0.05</v>
      </c>
      <c r="Q3988">
        <v>0.05</v>
      </c>
      <c r="R3988">
        <v>0.05</v>
      </c>
      <c r="S3988">
        <v>4.9000000000000002E-2</v>
      </c>
      <c r="T3988">
        <v>4.9000000000000002E-2</v>
      </c>
      <c r="U3988">
        <v>4.9000000000000002E-2</v>
      </c>
      <c r="V3988">
        <v>4.9000000000000002E-2</v>
      </c>
      <c r="W3988">
        <v>4.8000000000000001E-2</v>
      </c>
      <c r="X3988">
        <v>4.8000000000000001E-2</v>
      </c>
      <c r="Y3988">
        <v>4.8000000000000001E-2</v>
      </c>
      <c r="Z3988">
        <v>4.7E-2</v>
      </c>
      <c r="AA3988">
        <v>4.7E-2</v>
      </c>
      <c r="AB3988">
        <v>4.7E-2</v>
      </c>
      <c r="AC3988">
        <v>4.7E-2</v>
      </c>
      <c r="AD3988">
        <v>4.5999999999999999E-2</v>
      </c>
    </row>
    <row r="3989" spans="2:30" x14ac:dyDescent="0.25">
      <c r="B3989" t="s">
        <v>133</v>
      </c>
      <c r="C3989" t="s">
        <v>3265</v>
      </c>
      <c r="D3989" t="s">
        <v>4264</v>
      </c>
      <c r="E3989" t="s">
        <v>4265</v>
      </c>
      <c r="F3989" t="s">
        <v>9643</v>
      </c>
      <c r="G3989" t="s">
        <v>3890</v>
      </c>
      <c r="H3989" t="s">
        <v>4262</v>
      </c>
      <c r="I3989" t="s">
        <v>4267</v>
      </c>
      <c r="J3989">
        <v>1</v>
      </c>
      <c r="K3989">
        <v>11.478</v>
      </c>
      <c r="L3989">
        <v>8.8379999999999992</v>
      </c>
      <c r="M3989">
        <v>7.7530000000000001</v>
      </c>
      <c r="N3989">
        <v>7.06</v>
      </c>
      <c r="O3989">
        <v>7.0789999999999997</v>
      </c>
      <c r="P3989">
        <v>7.133</v>
      </c>
      <c r="Q3989">
        <v>7.1070000000000002</v>
      </c>
      <c r="R3989">
        <v>7.0789999999999997</v>
      </c>
      <c r="S3989">
        <v>7.05</v>
      </c>
      <c r="T3989">
        <v>7.0209999999999999</v>
      </c>
      <c r="U3989">
        <v>7.0209999999999999</v>
      </c>
      <c r="V3989">
        <v>7.0209999999999999</v>
      </c>
      <c r="W3989">
        <v>7.0209999999999999</v>
      </c>
      <c r="X3989">
        <v>7.02</v>
      </c>
      <c r="Y3989">
        <v>7.02</v>
      </c>
      <c r="Z3989">
        <v>7.02</v>
      </c>
      <c r="AA3989">
        <v>7.02</v>
      </c>
      <c r="AB3989">
        <v>7.02</v>
      </c>
      <c r="AC3989">
        <v>7.02</v>
      </c>
      <c r="AD3989">
        <v>7.02</v>
      </c>
    </row>
    <row r="3990" spans="2:30" x14ac:dyDescent="0.25">
      <c r="B3990" t="s">
        <v>133</v>
      </c>
      <c r="C3990" t="s">
        <v>3265</v>
      </c>
      <c r="D3990" t="s">
        <v>4268</v>
      </c>
      <c r="E3990" t="s">
        <v>4269</v>
      </c>
      <c r="F3990" t="s">
        <v>9644</v>
      </c>
      <c r="G3990" t="s">
        <v>3890</v>
      </c>
      <c r="H3990" t="s">
        <v>4262</v>
      </c>
      <c r="I3990" t="s">
        <v>4267</v>
      </c>
      <c r="J3990">
        <v>1</v>
      </c>
      <c r="K3990">
        <v>3.5339999999999998</v>
      </c>
      <c r="L3990">
        <v>3.22</v>
      </c>
      <c r="M3990">
        <v>3.181</v>
      </c>
      <c r="N3990">
        <v>3.19</v>
      </c>
      <c r="O3990">
        <v>3.2170000000000001</v>
      </c>
      <c r="P3990">
        <v>3.2410000000000001</v>
      </c>
      <c r="Q3990">
        <v>3.2530000000000001</v>
      </c>
      <c r="R3990">
        <v>3.2610000000000001</v>
      </c>
      <c r="S3990">
        <v>3.27</v>
      </c>
      <c r="T3990">
        <v>3.2789999999999999</v>
      </c>
      <c r="U3990">
        <v>3.2869999999999999</v>
      </c>
      <c r="V3990">
        <v>3.2930000000000001</v>
      </c>
      <c r="W3990">
        <v>3.2970000000000002</v>
      </c>
      <c r="X3990">
        <v>3.2989999999999999</v>
      </c>
      <c r="Y3990">
        <v>3.3</v>
      </c>
      <c r="Z3990">
        <v>3.298</v>
      </c>
      <c r="AA3990">
        <v>3.294</v>
      </c>
      <c r="AB3990">
        <v>3.2869999999999999</v>
      </c>
      <c r="AC3990">
        <v>3.278</v>
      </c>
      <c r="AD3990">
        <v>3.2690000000000001</v>
      </c>
    </row>
    <row r="3991" spans="2:30" x14ac:dyDescent="0.25">
      <c r="B3991" t="s">
        <v>133</v>
      </c>
      <c r="C3991" t="s">
        <v>3265</v>
      </c>
      <c r="D3991" t="s">
        <v>4271</v>
      </c>
      <c r="E3991" t="s">
        <v>4272</v>
      </c>
      <c r="F3991" t="s">
        <v>9645</v>
      </c>
      <c r="G3991" t="s">
        <v>3890</v>
      </c>
      <c r="H3991" t="s">
        <v>4262</v>
      </c>
      <c r="I3991" t="s">
        <v>4274</v>
      </c>
      <c r="J3991">
        <v>1</v>
      </c>
      <c r="K3991">
        <v>33.051000000000002</v>
      </c>
      <c r="L3991">
        <v>26.300999999999998</v>
      </c>
      <c r="M3991">
        <v>23.175999999999998</v>
      </c>
      <c r="N3991">
        <v>15</v>
      </c>
      <c r="O3991">
        <v>15</v>
      </c>
      <c r="P3991">
        <v>15</v>
      </c>
      <c r="Q3991">
        <v>15</v>
      </c>
      <c r="R3991">
        <v>15</v>
      </c>
      <c r="S3991">
        <v>15</v>
      </c>
      <c r="T3991">
        <v>15</v>
      </c>
      <c r="U3991">
        <v>15</v>
      </c>
      <c r="V3991">
        <v>15</v>
      </c>
      <c r="W3991">
        <v>15</v>
      </c>
      <c r="X3991">
        <v>15</v>
      </c>
      <c r="Y3991">
        <v>15</v>
      </c>
      <c r="Z3991">
        <v>15</v>
      </c>
      <c r="AA3991">
        <v>15</v>
      </c>
      <c r="AB3991">
        <v>15</v>
      </c>
      <c r="AC3991">
        <v>15</v>
      </c>
      <c r="AD3991">
        <v>15</v>
      </c>
    </row>
    <row r="3992" spans="2:30" x14ac:dyDescent="0.25">
      <c r="B3992" t="s">
        <v>133</v>
      </c>
      <c r="C3992" t="s">
        <v>3265</v>
      </c>
      <c r="D3992" t="s">
        <v>4275</v>
      </c>
      <c r="E3992" t="s">
        <v>4276</v>
      </c>
      <c r="F3992" t="s">
        <v>9646</v>
      </c>
      <c r="G3992" t="s">
        <v>3890</v>
      </c>
      <c r="H3992" t="s">
        <v>4262</v>
      </c>
      <c r="I3992" t="s">
        <v>4278</v>
      </c>
      <c r="J3992">
        <v>1</v>
      </c>
      <c r="K3992">
        <v>0.6</v>
      </c>
      <c r="L3992">
        <v>0.41099999999999998</v>
      </c>
      <c r="M3992">
        <v>0.33500000000000002</v>
      </c>
      <c r="N3992">
        <v>0.33500000000000002</v>
      </c>
      <c r="O3992">
        <v>0.33500000000000002</v>
      </c>
      <c r="P3992">
        <v>0.33500000000000002</v>
      </c>
      <c r="Q3992">
        <v>0.33500000000000002</v>
      </c>
      <c r="R3992">
        <v>0.33500000000000002</v>
      </c>
      <c r="S3992">
        <v>0.33500000000000002</v>
      </c>
      <c r="T3992">
        <v>0.33500000000000002</v>
      </c>
      <c r="U3992">
        <v>0.33500000000000002</v>
      </c>
      <c r="V3992">
        <v>0.33500000000000002</v>
      </c>
      <c r="W3992">
        <v>0.33500000000000002</v>
      </c>
      <c r="X3992">
        <v>0.33500000000000002</v>
      </c>
      <c r="Y3992">
        <v>0.33500000000000002</v>
      </c>
      <c r="Z3992">
        <v>0.33500000000000002</v>
      </c>
      <c r="AA3992">
        <v>0.33500000000000002</v>
      </c>
      <c r="AB3992">
        <v>0.33500000000000002</v>
      </c>
      <c r="AC3992">
        <v>0.33500000000000002</v>
      </c>
      <c r="AD3992">
        <v>0.33500000000000002</v>
      </c>
    </row>
    <row r="3993" spans="2:30" x14ac:dyDescent="0.25">
      <c r="B3993" t="s">
        <v>133</v>
      </c>
      <c r="C3993" t="s">
        <v>3265</v>
      </c>
      <c r="D3993" t="s">
        <v>4279</v>
      </c>
      <c r="E3993" t="s">
        <v>4280</v>
      </c>
      <c r="F3993" t="s">
        <v>9647</v>
      </c>
      <c r="G3993" t="s">
        <v>3890</v>
      </c>
      <c r="H3993" t="s">
        <v>4262</v>
      </c>
      <c r="I3993" t="s">
        <v>4278</v>
      </c>
      <c r="J3993">
        <v>1</v>
      </c>
      <c r="K3993">
        <v>0.41399999999999998</v>
      </c>
      <c r="L3993">
        <v>0.28100000000000003</v>
      </c>
      <c r="M3993">
        <v>0.249</v>
      </c>
      <c r="N3993">
        <v>0.249</v>
      </c>
      <c r="O3993">
        <v>0.249</v>
      </c>
      <c r="P3993">
        <v>0.249</v>
      </c>
      <c r="Q3993">
        <v>0.249</v>
      </c>
      <c r="R3993">
        <v>0.249</v>
      </c>
      <c r="S3993">
        <v>0.249</v>
      </c>
      <c r="T3993">
        <v>0.249</v>
      </c>
      <c r="U3993">
        <v>0.249</v>
      </c>
      <c r="V3993">
        <v>0.249</v>
      </c>
      <c r="W3993">
        <v>0.249</v>
      </c>
      <c r="X3993">
        <v>0.249</v>
      </c>
      <c r="Y3993">
        <v>0.249</v>
      </c>
      <c r="Z3993">
        <v>0.249</v>
      </c>
      <c r="AA3993">
        <v>0.249</v>
      </c>
      <c r="AB3993">
        <v>0.249</v>
      </c>
      <c r="AC3993">
        <v>0.249</v>
      </c>
      <c r="AD3993">
        <v>0.249</v>
      </c>
    </row>
    <row r="3994" spans="2:30" x14ac:dyDescent="0.25">
      <c r="B3994" t="s">
        <v>133</v>
      </c>
      <c r="C3994" t="s">
        <v>3265</v>
      </c>
      <c r="D3994" t="s">
        <v>4282</v>
      </c>
      <c r="E3994" t="s">
        <v>4283</v>
      </c>
      <c r="F3994" t="s">
        <v>9648</v>
      </c>
      <c r="G3994" t="s">
        <v>3890</v>
      </c>
      <c r="H3994" t="s">
        <v>4262</v>
      </c>
      <c r="I3994" t="s">
        <v>4278</v>
      </c>
      <c r="J3994">
        <v>1</v>
      </c>
      <c r="K3994">
        <v>0.17499999999999999</v>
      </c>
      <c r="L3994">
        <v>0.10199999999999999</v>
      </c>
      <c r="M3994">
        <v>8.7999999999999995E-2</v>
      </c>
      <c r="N3994">
        <v>8.7999999999999995E-2</v>
      </c>
      <c r="O3994">
        <v>8.7999999999999995E-2</v>
      </c>
      <c r="P3994">
        <v>8.7999999999999995E-2</v>
      </c>
      <c r="Q3994">
        <v>8.7999999999999995E-2</v>
      </c>
      <c r="R3994">
        <v>8.7999999999999995E-2</v>
      </c>
      <c r="S3994">
        <v>8.7999999999999995E-2</v>
      </c>
      <c r="T3994">
        <v>8.7999999999999995E-2</v>
      </c>
      <c r="U3994">
        <v>8.7999999999999995E-2</v>
      </c>
      <c r="V3994">
        <v>8.7999999999999995E-2</v>
      </c>
      <c r="W3994">
        <v>8.7999999999999995E-2</v>
      </c>
      <c r="X3994">
        <v>8.7999999999999995E-2</v>
      </c>
      <c r="Y3994">
        <v>8.7999999999999995E-2</v>
      </c>
      <c r="Z3994">
        <v>8.7999999999999995E-2</v>
      </c>
      <c r="AA3994">
        <v>8.7999999999999995E-2</v>
      </c>
      <c r="AB3994">
        <v>8.7999999999999995E-2</v>
      </c>
      <c r="AC3994">
        <v>8.7999999999999995E-2</v>
      </c>
      <c r="AD3994">
        <v>8.7999999999999995E-2</v>
      </c>
    </row>
    <row r="3995" spans="2:30" x14ac:dyDescent="0.25">
      <c r="B3995" t="s">
        <v>133</v>
      </c>
      <c r="C3995" t="s">
        <v>3265</v>
      </c>
      <c r="D3995" t="s">
        <v>4285</v>
      </c>
      <c r="E3995" t="s">
        <v>4286</v>
      </c>
      <c r="F3995" t="s">
        <v>9649</v>
      </c>
      <c r="G3995" t="s">
        <v>3890</v>
      </c>
      <c r="H3995" t="s">
        <v>4262</v>
      </c>
      <c r="I3995" t="s">
        <v>4278</v>
      </c>
      <c r="J3995">
        <v>1</v>
      </c>
      <c r="K3995">
        <v>0.41399999999999998</v>
      </c>
      <c r="L3995">
        <v>0.25900000000000001</v>
      </c>
      <c r="M3995">
        <v>0.24399999999999999</v>
      </c>
      <c r="N3995">
        <v>0.24399999999999999</v>
      </c>
      <c r="O3995">
        <v>0.24399999999999999</v>
      </c>
      <c r="P3995">
        <v>0.24399999999999999</v>
      </c>
      <c r="Q3995">
        <v>0.24399999999999999</v>
      </c>
      <c r="R3995">
        <v>0.24399999999999999</v>
      </c>
      <c r="S3995">
        <v>0.24399999999999999</v>
      </c>
      <c r="T3995">
        <v>0.24399999999999999</v>
      </c>
      <c r="U3995">
        <v>0.24399999999999999</v>
      </c>
      <c r="V3995">
        <v>0.24399999999999999</v>
      </c>
      <c r="W3995">
        <v>0.24399999999999999</v>
      </c>
      <c r="X3995">
        <v>0.24399999999999999</v>
      </c>
      <c r="Y3995">
        <v>0.24399999999999999</v>
      </c>
      <c r="Z3995">
        <v>0.24399999999999999</v>
      </c>
      <c r="AA3995">
        <v>0.24399999999999999</v>
      </c>
      <c r="AB3995">
        <v>0.24399999999999999</v>
      </c>
      <c r="AC3995">
        <v>0.24399999999999999</v>
      </c>
      <c r="AD3995">
        <v>0.24399999999999999</v>
      </c>
    </row>
    <row r="3996" spans="2:30" x14ac:dyDescent="0.25">
      <c r="B3996" t="s">
        <v>133</v>
      </c>
      <c r="C3996" t="s">
        <v>3265</v>
      </c>
      <c r="D3996" t="s">
        <v>4259</v>
      </c>
      <c r="E3996" t="s">
        <v>4288</v>
      </c>
      <c r="F3996" t="s">
        <v>9650</v>
      </c>
      <c r="G3996" t="s">
        <v>3890</v>
      </c>
      <c r="H3996" t="s">
        <v>4262</v>
      </c>
      <c r="I3996" t="s">
        <v>4263</v>
      </c>
      <c r="J3996">
        <v>2</v>
      </c>
      <c r="K3996">
        <v>6.3E-2</v>
      </c>
      <c r="L3996">
        <v>5.8000000000000003E-2</v>
      </c>
      <c r="M3996">
        <v>4.9000000000000002E-2</v>
      </c>
      <c r="N3996">
        <v>4.7E-2</v>
      </c>
      <c r="O3996">
        <v>4.9000000000000002E-2</v>
      </c>
      <c r="P3996">
        <v>0.05</v>
      </c>
      <c r="Q3996">
        <v>0.05</v>
      </c>
      <c r="R3996">
        <v>5.0999999999999997E-2</v>
      </c>
      <c r="S3996">
        <v>5.1999999999999998E-2</v>
      </c>
      <c r="T3996">
        <v>5.2999999999999999E-2</v>
      </c>
      <c r="U3996">
        <v>5.3999999999999999E-2</v>
      </c>
      <c r="V3996">
        <v>5.6000000000000001E-2</v>
      </c>
      <c r="W3996">
        <v>5.8000000000000003E-2</v>
      </c>
      <c r="X3996">
        <v>0.06</v>
      </c>
      <c r="Y3996">
        <v>5.8999999999999997E-2</v>
      </c>
      <c r="Z3996">
        <v>5.8999999999999997E-2</v>
      </c>
      <c r="AA3996">
        <v>5.8999999999999997E-2</v>
      </c>
      <c r="AB3996">
        <v>5.8000000000000003E-2</v>
      </c>
      <c r="AC3996">
        <v>5.8000000000000003E-2</v>
      </c>
      <c r="AD3996">
        <v>4.8000000000000001E-2</v>
      </c>
    </row>
    <row r="3997" spans="2:30" x14ac:dyDescent="0.25">
      <c r="B3997" t="s">
        <v>133</v>
      </c>
      <c r="C3997" t="s">
        <v>3265</v>
      </c>
      <c r="D3997" t="s">
        <v>4264</v>
      </c>
      <c r="E3997" t="s">
        <v>4290</v>
      </c>
      <c r="F3997" t="s">
        <v>9651</v>
      </c>
      <c r="G3997" t="s">
        <v>3890</v>
      </c>
      <c r="H3997" t="s">
        <v>4262</v>
      </c>
      <c r="I3997" t="s">
        <v>4267</v>
      </c>
      <c r="J3997">
        <v>2</v>
      </c>
      <c r="K3997">
        <v>11.478</v>
      </c>
      <c r="L3997">
        <v>8.8379999999999992</v>
      </c>
      <c r="M3997">
        <v>7.7530000000000001</v>
      </c>
      <c r="N3997">
        <v>7.06</v>
      </c>
      <c r="O3997">
        <v>7.0789999999999997</v>
      </c>
      <c r="P3997">
        <v>7.133</v>
      </c>
      <c r="Q3997">
        <v>7.2039999999999997</v>
      </c>
      <c r="R3997">
        <v>7.4260000000000002</v>
      </c>
      <c r="S3997">
        <v>7.758</v>
      </c>
      <c r="T3997">
        <v>8.1760000000000002</v>
      </c>
      <c r="U3997">
        <v>8.6859999999999999</v>
      </c>
      <c r="V3997">
        <v>9.2479999999999993</v>
      </c>
      <c r="W3997">
        <v>9.85</v>
      </c>
      <c r="X3997">
        <v>10.484999999999999</v>
      </c>
      <c r="Y3997">
        <v>10.484999999999999</v>
      </c>
      <c r="Z3997">
        <v>10.484999999999999</v>
      </c>
      <c r="AA3997">
        <v>10.484999999999999</v>
      </c>
      <c r="AB3997">
        <v>10.484999999999999</v>
      </c>
      <c r="AC3997">
        <v>10.484999999999999</v>
      </c>
      <c r="AD3997">
        <v>7.02</v>
      </c>
    </row>
    <row r="3998" spans="2:30" x14ac:dyDescent="0.25">
      <c r="B3998" t="s">
        <v>133</v>
      </c>
      <c r="C3998" t="s">
        <v>3265</v>
      </c>
      <c r="D3998" t="s">
        <v>4268</v>
      </c>
      <c r="E3998" t="s">
        <v>4292</v>
      </c>
      <c r="F3998" t="s">
        <v>9652</v>
      </c>
      <c r="G3998" t="s">
        <v>3890</v>
      </c>
      <c r="H3998" t="s">
        <v>4262</v>
      </c>
      <c r="I3998" t="s">
        <v>4267</v>
      </c>
      <c r="J3998">
        <v>2</v>
      </c>
      <c r="K3998">
        <v>3.5339999999999998</v>
      </c>
      <c r="L3998">
        <v>3.22</v>
      </c>
      <c r="M3998">
        <v>3.181</v>
      </c>
      <c r="N3998">
        <v>3.19</v>
      </c>
      <c r="O3998">
        <v>3.2170000000000001</v>
      </c>
      <c r="P3998">
        <v>3.2410000000000001</v>
      </c>
      <c r="Q3998">
        <v>3.3029999999999999</v>
      </c>
      <c r="R3998">
        <v>3.444</v>
      </c>
      <c r="S3998">
        <v>3.6440000000000001</v>
      </c>
      <c r="T3998">
        <v>3.8889999999999998</v>
      </c>
      <c r="U3998">
        <v>4.1680000000000001</v>
      </c>
      <c r="V3998">
        <v>4.4720000000000004</v>
      </c>
      <c r="W3998">
        <v>4.798</v>
      </c>
      <c r="X3998">
        <v>5.14</v>
      </c>
      <c r="Y3998">
        <v>5.1429999999999998</v>
      </c>
      <c r="Z3998">
        <v>5.1440000000000001</v>
      </c>
      <c r="AA3998">
        <v>5.1429999999999998</v>
      </c>
      <c r="AB3998">
        <v>5.14</v>
      </c>
      <c r="AC3998">
        <v>5.1340000000000003</v>
      </c>
      <c r="AD3998">
        <v>3.2690000000000001</v>
      </c>
    </row>
    <row r="3999" spans="2:30" x14ac:dyDescent="0.25">
      <c r="B3999" t="s">
        <v>133</v>
      </c>
      <c r="C3999" t="s">
        <v>3265</v>
      </c>
      <c r="D3999" t="s">
        <v>4271</v>
      </c>
      <c r="E3999" t="s">
        <v>4294</v>
      </c>
      <c r="F3999" t="s">
        <v>9653</v>
      </c>
      <c r="G3999" t="s">
        <v>3890</v>
      </c>
      <c r="H3999" t="s">
        <v>4262</v>
      </c>
      <c r="I3999" t="s">
        <v>4274</v>
      </c>
      <c r="J3999">
        <v>2</v>
      </c>
      <c r="K3999">
        <v>33.051000000000002</v>
      </c>
      <c r="L3999">
        <v>26.300999999999998</v>
      </c>
      <c r="M3999">
        <v>23.175999999999998</v>
      </c>
      <c r="N3999">
        <v>15</v>
      </c>
      <c r="O3999">
        <v>15</v>
      </c>
      <c r="P3999">
        <v>15</v>
      </c>
      <c r="Q3999">
        <v>15</v>
      </c>
      <c r="R3999">
        <v>15</v>
      </c>
      <c r="S3999">
        <v>15</v>
      </c>
      <c r="T3999">
        <v>15</v>
      </c>
      <c r="U3999">
        <v>15</v>
      </c>
      <c r="V3999">
        <v>15</v>
      </c>
      <c r="W3999">
        <v>15</v>
      </c>
      <c r="X3999">
        <v>15</v>
      </c>
      <c r="Y3999">
        <v>15</v>
      </c>
      <c r="Z3999">
        <v>15</v>
      </c>
      <c r="AA3999">
        <v>15</v>
      </c>
      <c r="AB3999">
        <v>15</v>
      </c>
      <c r="AC3999">
        <v>15</v>
      </c>
      <c r="AD3999">
        <v>15</v>
      </c>
    </row>
    <row r="4000" spans="2:30" x14ac:dyDescent="0.25">
      <c r="B4000" t="s">
        <v>133</v>
      </c>
      <c r="C4000" t="s">
        <v>3265</v>
      </c>
      <c r="D4000" t="s">
        <v>4275</v>
      </c>
      <c r="E4000" t="s">
        <v>4296</v>
      </c>
      <c r="F4000" t="s">
        <v>9654</v>
      </c>
      <c r="G4000" t="s">
        <v>3890</v>
      </c>
      <c r="H4000" t="s">
        <v>4262</v>
      </c>
      <c r="I4000" t="s">
        <v>4278</v>
      </c>
      <c r="J4000">
        <v>2</v>
      </c>
      <c r="K4000">
        <v>0.6</v>
      </c>
      <c r="L4000">
        <v>0.41099999999999998</v>
      </c>
      <c r="M4000">
        <v>0.33500000000000002</v>
      </c>
      <c r="N4000">
        <v>0.33500000000000002</v>
      </c>
      <c r="O4000">
        <v>0.33500000000000002</v>
      </c>
      <c r="P4000">
        <v>0.33500000000000002</v>
      </c>
      <c r="Q4000">
        <v>0.33500000000000002</v>
      </c>
      <c r="R4000">
        <v>0.33500000000000002</v>
      </c>
      <c r="S4000">
        <v>0.33500000000000002</v>
      </c>
      <c r="T4000">
        <v>0.33500000000000002</v>
      </c>
      <c r="U4000">
        <v>0.33500000000000002</v>
      </c>
      <c r="V4000">
        <v>0.33500000000000002</v>
      </c>
      <c r="W4000">
        <v>0.33500000000000002</v>
      </c>
      <c r="X4000">
        <v>0.33500000000000002</v>
      </c>
      <c r="Y4000">
        <v>0.33500000000000002</v>
      </c>
      <c r="Z4000">
        <v>0.33500000000000002</v>
      </c>
      <c r="AA4000">
        <v>0.33500000000000002</v>
      </c>
      <c r="AB4000">
        <v>0.33500000000000002</v>
      </c>
      <c r="AC4000">
        <v>0.33500000000000002</v>
      </c>
      <c r="AD4000">
        <v>0.33500000000000002</v>
      </c>
    </row>
    <row r="4001" spans="2:30" x14ac:dyDescent="0.25">
      <c r="B4001" t="s">
        <v>133</v>
      </c>
      <c r="C4001" t="s">
        <v>3265</v>
      </c>
      <c r="D4001" t="s">
        <v>4279</v>
      </c>
      <c r="E4001" t="s">
        <v>4298</v>
      </c>
      <c r="F4001" t="s">
        <v>9655</v>
      </c>
      <c r="G4001" t="s">
        <v>3890</v>
      </c>
      <c r="H4001" t="s">
        <v>4262</v>
      </c>
      <c r="I4001" t="s">
        <v>4278</v>
      </c>
      <c r="J4001">
        <v>2</v>
      </c>
      <c r="K4001">
        <v>0.41399999999999998</v>
      </c>
      <c r="L4001">
        <v>0.28100000000000003</v>
      </c>
      <c r="M4001">
        <v>0.249</v>
      </c>
      <c r="N4001">
        <v>0.249</v>
      </c>
      <c r="O4001">
        <v>0.249</v>
      </c>
      <c r="P4001">
        <v>0.249</v>
      </c>
      <c r="Q4001">
        <v>0.249</v>
      </c>
      <c r="R4001">
        <v>0.249</v>
      </c>
      <c r="S4001">
        <v>0.249</v>
      </c>
      <c r="T4001">
        <v>0.249</v>
      </c>
      <c r="U4001">
        <v>0.249</v>
      </c>
      <c r="V4001">
        <v>0.249</v>
      </c>
      <c r="W4001">
        <v>0.249</v>
      </c>
      <c r="X4001">
        <v>0.249</v>
      </c>
      <c r="Y4001">
        <v>0.249</v>
      </c>
      <c r="Z4001">
        <v>0.249</v>
      </c>
      <c r="AA4001">
        <v>0.249</v>
      </c>
      <c r="AB4001">
        <v>0.249</v>
      </c>
      <c r="AC4001">
        <v>0.249</v>
      </c>
      <c r="AD4001">
        <v>0.249</v>
      </c>
    </row>
    <row r="4002" spans="2:30" x14ac:dyDescent="0.25">
      <c r="B4002" t="s">
        <v>133</v>
      </c>
      <c r="C4002" t="s">
        <v>3265</v>
      </c>
      <c r="D4002" t="s">
        <v>4282</v>
      </c>
      <c r="E4002" t="s">
        <v>4300</v>
      </c>
      <c r="F4002" t="s">
        <v>9656</v>
      </c>
      <c r="G4002" t="s">
        <v>3890</v>
      </c>
      <c r="H4002" t="s">
        <v>4262</v>
      </c>
      <c r="I4002" t="s">
        <v>4278</v>
      </c>
      <c r="J4002">
        <v>2</v>
      </c>
      <c r="K4002">
        <v>0.17499999999999999</v>
      </c>
      <c r="L4002">
        <v>0.10199999999999999</v>
      </c>
      <c r="M4002">
        <v>8.7999999999999995E-2</v>
      </c>
      <c r="N4002">
        <v>8.7999999999999995E-2</v>
      </c>
      <c r="O4002">
        <v>8.7999999999999995E-2</v>
      </c>
      <c r="P4002">
        <v>8.7999999999999995E-2</v>
      </c>
      <c r="Q4002">
        <v>8.7999999999999995E-2</v>
      </c>
      <c r="R4002">
        <v>8.7999999999999995E-2</v>
      </c>
      <c r="S4002">
        <v>8.7999999999999995E-2</v>
      </c>
      <c r="T4002">
        <v>8.7999999999999995E-2</v>
      </c>
      <c r="U4002">
        <v>8.7999999999999995E-2</v>
      </c>
      <c r="V4002">
        <v>8.7999999999999995E-2</v>
      </c>
      <c r="W4002">
        <v>8.7999999999999995E-2</v>
      </c>
      <c r="X4002">
        <v>8.7999999999999995E-2</v>
      </c>
      <c r="Y4002">
        <v>8.7999999999999995E-2</v>
      </c>
      <c r="Z4002">
        <v>8.7999999999999995E-2</v>
      </c>
      <c r="AA4002">
        <v>8.7999999999999995E-2</v>
      </c>
      <c r="AB4002">
        <v>8.7999999999999995E-2</v>
      </c>
      <c r="AC4002">
        <v>8.7999999999999995E-2</v>
      </c>
      <c r="AD4002">
        <v>8.7999999999999995E-2</v>
      </c>
    </row>
    <row r="4003" spans="2:30" x14ac:dyDescent="0.25">
      <c r="B4003" t="s">
        <v>133</v>
      </c>
      <c r="C4003" t="s">
        <v>3265</v>
      </c>
      <c r="D4003" t="s">
        <v>4285</v>
      </c>
      <c r="E4003" t="s">
        <v>4302</v>
      </c>
      <c r="F4003" t="s">
        <v>9657</v>
      </c>
      <c r="G4003" t="s">
        <v>3890</v>
      </c>
      <c r="H4003" t="s">
        <v>4262</v>
      </c>
      <c r="I4003" t="s">
        <v>4278</v>
      </c>
      <c r="J4003">
        <v>2</v>
      </c>
      <c r="K4003">
        <v>0.41399999999999998</v>
      </c>
      <c r="L4003">
        <v>0.25900000000000001</v>
      </c>
      <c r="M4003">
        <v>0.24399999999999999</v>
      </c>
      <c r="N4003">
        <v>0.24399999999999999</v>
      </c>
      <c r="O4003">
        <v>0.24399999999999999</v>
      </c>
      <c r="P4003">
        <v>0.24399999999999999</v>
      </c>
      <c r="Q4003">
        <v>0.246</v>
      </c>
      <c r="R4003">
        <v>0.253</v>
      </c>
      <c r="S4003">
        <v>0.26200000000000001</v>
      </c>
      <c r="T4003">
        <v>0.27300000000000002</v>
      </c>
      <c r="U4003">
        <v>0.28699999999999998</v>
      </c>
      <c r="V4003">
        <v>0.30099999999999999</v>
      </c>
      <c r="W4003">
        <v>0.316</v>
      </c>
      <c r="X4003">
        <v>0.33300000000000002</v>
      </c>
      <c r="Y4003">
        <v>0.33300000000000002</v>
      </c>
      <c r="Z4003">
        <v>0.33300000000000002</v>
      </c>
      <c r="AA4003">
        <v>0.33300000000000002</v>
      </c>
      <c r="AB4003">
        <v>0.33300000000000002</v>
      </c>
      <c r="AC4003">
        <v>0.33300000000000002</v>
      </c>
      <c r="AD4003">
        <v>0.24399999999999999</v>
      </c>
    </row>
    <row r="4004" spans="2:30" x14ac:dyDescent="0.25">
      <c r="B4004" t="s">
        <v>133</v>
      </c>
      <c r="C4004" t="s">
        <v>3265</v>
      </c>
      <c r="D4004" t="s">
        <v>4304</v>
      </c>
      <c r="E4004" t="s">
        <v>4305</v>
      </c>
      <c r="F4004" t="s">
        <v>9658</v>
      </c>
      <c r="G4004" t="s">
        <v>3890</v>
      </c>
      <c r="H4004" t="s">
        <v>4262</v>
      </c>
      <c r="I4004" t="s">
        <v>3892</v>
      </c>
      <c r="J4004">
        <v>2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7.0000000000000001E-3</v>
      </c>
      <c r="R4004">
        <v>2.4E-2</v>
      </c>
      <c r="S4004">
        <v>4.9000000000000002E-2</v>
      </c>
      <c r="T4004">
        <v>8.1000000000000003E-2</v>
      </c>
      <c r="U4004">
        <v>0.11700000000000001</v>
      </c>
      <c r="V4004">
        <v>0.156</v>
      </c>
      <c r="W4004">
        <v>0.19700000000000001</v>
      </c>
      <c r="X4004">
        <v>0.24</v>
      </c>
      <c r="Y4004">
        <v>0.24199999999999999</v>
      </c>
      <c r="Z4004">
        <v>0.246</v>
      </c>
      <c r="AA4004">
        <v>0.24399999999999999</v>
      </c>
      <c r="AB4004">
        <v>0.246</v>
      </c>
      <c r="AC4004">
        <v>0.247</v>
      </c>
      <c r="AD4004">
        <v>3.3000000000000002E-2</v>
      </c>
    </row>
    <row r="4005" spans="2:30" x14ac:dyDescent="0.25">
      <c r="B4005" t="s">
        <v>133</v>
      </c>
      <c r="C4005" t="s">
        <v>3265</v>
      </c>
      <c r="D4005" t="s">
        <v>4307</v>
      </c>
      <c r="E4005" t="s">
        <v>4308</v>
      </c>
      <c r="F4005" t="s">
        <v>9659</v>
      </c>
      <c r="G4005" t="s">
        <v>3890</v>
      </c>
      <c r="H4005" t="s">
        <v>4262</v>
      </c>
      <c r="I4005" t="s">
        <v>3892</v>
      </c>
      <c r="J4005">
        <v>2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1.4E-2</v>
      </c>
      <c r="R4005">
        <v>4.9000000000000002E-2</v>
      </c>
      <c r="S4005">
        <v>0.10100000000000001</v>
      </c>
      <c r="T4005">
        <v>0.16400000000000001</v>
      </c>
      <c r="U4005">
        <v>0.23699999999999999</v>
      </c>
      <c r="V4005">
        <v>0.317</v>
      </c>
      <c r="W4005">
        <v>0.40300000000000002</v>
      </c>
      <c r="X4005">
        <v>0.49399999999999999</v>
      </c>
      <c r="Y4005">
        <v>0.49399999999999999</v>
      </c>
      <c r="Z4005">
        <v>0.49399999999999999</v>
      </c>
      <c r="AA4005">
        <v>0.49399999999999999</v>
      </c>
      <c r="AB4005">
        <v>0.49399999999999999</v>
      </c>
      <c r="AC4005">
        <v>0.49399999999999999</v>
      </c>
      <c r="AD4005">
        <v>0</v>
      </c>
    </row>
    <row r="4006" spans="2:30" x14ac:dyDescent="0.25">
      <c r="B4006" t="s">
        <v>133</v>
      </c>
      <c r="C4006" t="s">
        <v>3265</v>
      </c>
      <c r="D4006" t="s">
        <v>4310</v>
      </c>
      <c r="E4006" t="s">
        <v>4311</v>
      </c>
      <c r="F4006" t="s">
        <v>9660</v>
      </c>
      <c r="G4006" t="s">
        <v>3890</v>
      </c>
      <c r="H4006" t="s">
        <v>4262</v>
      </c>
      <c r="I4006" t="s">
        <v>3892</v>
      </c>
      <c r="J4006">
        <v>2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1.6E-2</v>
      </c>
      <c r="R4006">
        <v>5.6000000000000001E-2</v>
      </c>
      <c r="S4006">
        <v>0.114</v>
      </c>
      <c r="T4006">
        <v>0.186</v>
      </c>
      <c r="U4006">
        <v>0.26800000000000002</v>
      </c>
      <c r="V4006">
        <v>0.35799999999999998</v>
      </c>
      <c r="W4006">
        <v>0.45500000000000002</v>
      </c>
      <c r="X4006">
        <v>0.55800000000000005</v>
      </c>
      <c r="Y4006">
        <v>0.55900000000000005</v>
      </c>
      <c r="Z4006">
        <v>0.56000000000000005</v>
      </c>
      <c r="AA4006">
        <v>0.56100000000000005</v>
      </c>
      <c r="AB4006">
        <v>0.56399999999999995</v>
      </c>
      <c r="AC4006">
        <v>0.56599999999999995</v>
      </c>
      <c r="AD4006">
        <v>0</v>
      </c>
    </row>
    <row r="4007" spans="2:30" x14ac:dyDescent="0.25">
      <c r="B4007" t="s">
        <v>133</v>
      </c>
      <c r="C4007" t="s">
        <v>3265</v>
      </c>
      <c r="D4007" t="s">
        <v>4313</v>
      </c>
      <c r="E4007" t="s">
        <v>4314</v>
      </c>
      <c r="F4007" t="s">
        <v>9661</v>
      </c>
      <c r="G4007" t="s">
        <v>3890</v>
      </c>
      <c r="H4007" t="s">
        <v>4262</v>
      </c>
      <c r="I4007" t="s">
        <v>3892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</row>
    <row r="4008" spans="2:30" x14ac:dyDescent="0.25">
      <c r="B4008" t="s">
        <v>133</v>
      </c>
      <c r="C4008" t="s">
        <v>3265</v>
      </c>
      <c r="D4008" t="s">
        <v>4316</v>
      </c>
      <c r="E4008" t="s">
        <v>4317</v>
      </c>
      <c r="F4008" t="s">
        <v>9662</v>
      </c>
      <c r="G4008" t="s">
        <v>3890</v>
      </c>
      <c r="H4008" t="s">
        <v>4262</v>
      </c>
      <c r="I4008" t="s">
        <v>3892</v>
      </c>
      <c r="J4008">
        <v>2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</row>
    <row r="4009" spans="2:30" x14ac:dyDescent="0.25">
      <c r="B4009" t="s">
        <v>133</v>
      </c>
      <c r="C4009" t="s">
        <v>3265</v>
      </c>
      <c r="D4009" t="s">
        <v>4319</v>
      </c>
      <c r="E4009" t="s">
        <v>4320</v>
      </c>
      <c r="F4009" t="s">
        <v>9663</v>
      </c>
      <c r="G4009" t="s">
        <v>3890</v>
      </c>
      <c r="H4009" t="s">
        <v>4262</v>
      </c>
      <c r="I4009" t="s">
        <v>3892</v>
      </c>
      <c r="J4009">
        <v>2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</row>
    <row r="4010" spans="2:30" x14ac:dyDescent="0.25">
      <c r="B4010" t="s">
        <v>133</v>
      </c>
      <c r="C4010" t="s">
        <v>3265</v>
      </c>
      <c r="D4010" t="s">
        <v>4322</v>
      </c>
      <c r="E4010" t="s">
        <v>4323</v>
      </c>
      <c r="F4010" t="s">
        <v>9664</v>
      </c>
      <c r="G4010" t="s">
        <v>3890</v>
      </c>
      <c r="H4010" t="s">
        <v>4262</v>
      </c>
      <c r="I4010" t="s">
        <v>3892</v>
      </c>
      <c r="J4010">
        <v>2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</row>
    <row r="4011" spans="2:30" x14ac:dyDescent="0.25">
      <c r="B4011" t="s">
        <v>133</v>
      </c>
      <c r="C4011" t="s">
        <v>3265</v>
      </c>
      <c r="D4011" t="s">
        <v>4325</v>
      </c>
      <c r="E4011" t="s">
        <v>4326</v>
      </c>
      <c r="F4011" t="s">
        <v>9665</v>
      </c>
      <c r="G4011" t="s">
        <v>3890</v>
      </c>
      <c r="H4011" t="s">
        <v>4262</v>
      </c>
      <c r="I4011" t="s">
        <v>3892</v>
      </c>
      <c r="J4011">
        <v>2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0.01</v>
      </c>
      <c r="R4011">
        <v>3.5999999999999997E-2</v>
      </c>
      <c r="S4011">
        <v>7.3999999999999996E-2</v>
      </c>
      <c r="T4011">
        <v>0.121</v>
      </c>
      <c r="U4011">
        <v>0.17499999999999999</v>
      </c>
      <c r="V4011">
        <v>0.23400000000000001</v>
      </c>
      <c r="W4011">
        <v>0.29699999999999999</v>
      </c>
      <c r="X4011">
        <v>0.36399999999999999</v>
      </c>
      <c r="Y4011">
        <v>0.36399999999999999</v>
      </c>
      <c r="Z4011">
        <v>0.36399999999999999</v>
      </c>
      <c r="AA4011">
        <v>0.36399999999999999</v>
      </c>
      <c r="AB4011">
        <v>0.36399999999999999</v>
      </c>
      <c r="AC4011">
        <v>0.36399999999999999</v>
      </c>
      <c r="AD4011">
        <v>0</v>
      </c>
    </row>
    <row r="4012" spans="2:30" x14ac:dyDescent="0.25">
      <c r="B4012" t="s">
        <v>133</v>
      </c>
      <c r="C4012" t="s">
        <v>3265</v>
      </c>
      <c r="D4012" t="s">
        <v>4328</v>
      </c>
      <c r="E4012" t="s">
        <v>4329</v>
      </c>
      <c r="F4012" t="s">
        <v>9666</v>
      </c>
      <c r="G4012" t="s">
        <v>3890</v>
      </c>
      <c r="H4012" t="s">
        <v>4331</v>
      </c>
      <c r="I4012" t="s">
        <v>4332</v>
      </c>
      <c r="J4012">
        <v>2</v>
      </c>
    </row>
    <row r="4013" spans="2:30" x14ac:dyDescent="0.25">
      <c r="B4013" t="s">
        <v>133</v>
      </c>
      <c r="C4013" t="s">
        <v>3265</v>
      </c>
      <c r="D4013" t="s">
        <v>4333</v>
      </c>
      <c r="E4013" t="s">
        <v>4334</v>
      </c>
      <c r="F4013" t="s">
        <v>9667</v>
      </c>
      <c r="G4013" t="s">
        <v>3890</v>
      </c>
      <c r="H4013" t="s">
        <v>4336</v>
      </c>
      <c r="I4013" t="s">
        <v>3894</v>
      </c>
      <c r="J4013">
        <v>2</v>
      </c>
      <c r="K4013" t="e">
        <v>#VALUE!</v>
      </c>
    </row>
    <row r="4014" spans="2:30" x14ac:dyDescent="0.25">
      <c r="B4014" t="s">
        <v>133</v>
      </c>
      <c r="C4014" t="s">
        <v>3265</v>
      </c>
      <c r="D4014" t="s">
        <v>4337</v>
      </c>
      <c r="E4014" t="s">
        <v>4338</v>
      </c>
      <c r="F4014" t="s">
        <v>9668</v>
      </c>
      <c r="G4014" t="s">
        <v>3890</v>
      </c>
      <c r="H4014" t="s">
        <v>4340</v>
      </c>
      <c r="I4014" t="s">
        <v>3894</v>
      </c>
      <c r="J4014">
        <v>1</v>
      </c>
      <c r="K4014">
        <v>-151.58099999999999</v>
      </c>
      <c r="L4014">
        <v>-128.29300000000001</v>
      </c>
      <c r="M4014">
        <v>-165.89</v>
      </c>
      <c r="N4014">
        <v>-154.87700000000001</v>
      </c>
      <c r="O4014">
        <v>-161.08799999999999</v>
      </c>
      <c r="P4014">
        <v>-152.542</v>
      </c>
      <c r="Q4014">
        <v>-147.75299999999999</v>
      </c>
      <c r="R4014">
        <v>-144.48500000000001</v>
      </c>
      <c r="S4014">
        <v>-141.16399999999999</v>
      </c>
      <c r="T4014">
        <v>-137.05199999999999</v>
      </c>
      <c r="U4014">
        <v>-133.40100000000001</v>
      </c>
      <c r="V4014">
        <v>-129.43299999999999</v>
      </c>
      <c r="W4014">
        <v>-125.13500000000001</v>
      </c>
      <c r="X4014">
        <v>-120.459</v>
      </c>
      <c r="Y4014">
        <v>-115.236</v>
      </c>
      <c r="Z4014">
        <v>-109.637</v>
      </c>
      <c r="AA4014">
        <v>-103.67100000000001</v>
      </c>
      <c r="AB4014">
        <v>-97.370999999999995</v>
      </c>
      <c r="AC4014">
        <v>-91.653000000000006</v>
      </c>
      <c r="AD4014">
        <v>-90.673000000000002</v>
      </c>
    </row>
    <row r="4015" spans="2:30" x14ac:dyDescent="0.25">
      <c r="B4015" t="s">
        <v>133</v>
      </c>
      <c r="C4015" t="s">
        <v>3265</v>
      </c>
      <c r="D4015" t="s">
        <v>4337</v>
      </c>
      <c r="E4015" t="s">
        <v>4341</v>
      </c>
      <c r="F4015" t="s">
        <v>9669</v>
      </c>
      <c r="G4015" t="s">
        <v>3890</v>
      </c>
      <c r="H4015" t="s">
        <v>4340</v>
      </c>
      <c r="I4015" t="s">
        <v>3894</v>
      </c>
      <c r="J4015">
        <v>2</v>
      </c>
      <c r="K4015">
        <v>-151.58099999999999</v>
      </c>
      <c r="L4015">
        <v>-128.29300000000001</v>
      </c>
      <c r="M4015">
        <v>-165.89</v>
      </c>
      <c r="N4015">
        <v>-154.87700000000001</v>
      </c>
      <c r="O4015">
        <v>-161.08799999999999</v>
      </c>
      <c r="P4015">
        <v>-152.542</v>
      </c>
      <c r="Q4015">
        <v>-147.267</v>
      </c>
      <c r="R4015">
        <v>-142.34800000000001</v>
      </c>
      <c r="S4015">
        <v>-136.50200000000001</v>
      </c>
      <c r="T4015">
        <v>-129.24799999999999</v>
      </c>
      <c r="U4015">
        <v>-122.057</v>
      </c>
      <c r="V4015">
        <v>-114.29600000000001</v>
      </c>
      <c r="W4015">
        <v>-106.05500000000001</v>
      </c>
      <c r="X4015">
        <v>-97.346999999999994</v>
      </c>
      <c r="Y4015">
        <v>-91.872</v>
      </c>
      <c r="Z4015">
        <v>-86.477999999999994</v>
      </c>
      <c r="AA4015">
        <v>-80.680000000000007</v>
      </c>
      <c r="AB4015">
        <v>-74.587000000000003</v>
      </c>
      <c r="AC4015">
        <v>-69.028999999999996</v>
      </c>
      <c r="AD4015">
        <v>-68.415000000000006</v>
      </c>
    </row>
    <row r="4016" spans="2:30" x14ac:dyDescent="0.25">
      <c r="B4016" t="s">
        <v>133</v>
      </c>
      <c r="C4016" t="s">
        <v>3265</v>
      </c>
      <c r="D4016" t="s">
        <v>4343</v>
      </c>
      <c r="E4016" t="s">
        <v>4344</v>
      </c>
      <c r="F4016" t="s">
        <v>9670</v>
      </c>
      <c r="G4016" t="s">
        <v>3890</v>
      </c>
      <c r="H4016" t="s">
        <v>4262</v>
      </c>
      <c r="I4016" t="s">
        <v>4263</v>
      </c>
      <c r="J4016">
        <v>1</v>
      </c>
      <c r="K4016">
        <v>6.4000000000000001E-2</v>
      </c>
      <c r="L4016">
        <v>6.2E-2</v>
      </c>
      <c r="M4016">
        <v>5.1999999999999998E-2</v>
      </c>
      <c r="N4016">
        <v>4.9000000000000002E-2</v>
      </c>
      <c r="O4016">
        <v>5.0999999999999997E-2</v>
      </c>
      <c r="P4016">
        <v>5.2999999999999999E-2</v>
      </c>
      <c r="Q4016">
        <v>5.2999999999999999E-2</v>
      </c>
      <c r="R4016">
        <v>5.1999999999999998E-2</v>
      </c>
      <c r="S4016">
        <v>5.1999999999999998E-2</v>
      </c>
      <c r="T4016">
        <v>5.1999999999999998E-2</v>
      </c>
      <c r="U4016">
        <v>5.0999999999999997E-2</v>
      </c>
      <c r="V4016">
        <v>5.0999999999999997E-2</v>
      </c>
      <c r="W4016">
        <v>5.0999999999999997E-2</v>
      </c>
      <c r="X4016">
        <v>5.0999999999999997E-2</v>
      </c>
      <c r="Y4016">
        <v>0.05</v>
      </c>
      <c r="Z4016">
        <v>0.05</v>
      </c>
      <c r="AA4016">
        <v>0.05</v>
      </c>
      <c r="AB4016">
        <v>4.9000000000000002E-2</v>
      </c>
      <c r="AC4016">
        <v>4.9000000000000002E-2</v>
      </c>
      <c r="AD4016">
        <v>4.9000000000000002E-2</v>
      </c>
    </row>
    <row r="4017" spans="2:30" x14ac:dyDescent="0.25">
      <c r="B4017" t="s">
        <v>133</v>
      </c>
      <c r="C4017" t="s">
        <v>3265</v>
      </c>
      <c r="D4017" t="s">
        <v>4346</v>
      </c>
      <c r="E4017" t="s">
        <v>4347</v>
      </c>
      <c r="F4017" t="s">
        <v>9671</v>
      </c>
      <c r="G4017" t="s">
        <v>3890</v>
      </c>
      <c r="H4017" t="s">
        <v>4262</v>
      </c>
      <c r="I4017" t="s">
        <v>4263</v>
      </c>
      <c r="J4017">
        <v>1</v>
      </c>
      <c r="K4017">
        <v>6.0999999999999999E-2</v>
      </c>
      <c r="L4017">
        <v>5.1999999999999998E-2</v>
      </c>
      <c r="M4017">
        <v>4.5999999999999999E-2</v>
      </c>
      <c r="N4017">
        <v>4.2999999999999997E-2</v>
      </c>
      <c r="O4017">
        <v>4.4999999999999998E-2</v>
      </c>
      <c r="P4017">
        <v>4.5999999999999999E-2</v>
      </c>
      <c r="Q4017">
        <v>4.5999999999999999E-2</v>
      </c>
      <c r="R4017">
        <v>4.5999999999999999E-2</v>
      </c>
      <c r="S4017">
        <v>4.5999999999999999E-2</v>
      </c>
      <c r="T4017">
        <v>4.4999999999999998E-2</v>
      </c>
      <c r="U4017">
        <v>4.4999999999999998E-2</v>
      </c>
      <c r="V4017">
        <v>4.4999999999999998E-2</v>
      </c>
      <c r="W4017">
        <v>4.4999999999999998E-2</v>
      </c>
      <c r="X4017">
        <v>4.3999999999999997E-2</v>
      </c>
      <c r="Y4017">
        <v>4.3999999999999997E-2</v>
      </c>
      <c r="Z4017">
        <v>4.3999999999999997E-2</v>
      </c>
      <c r="AA4017">
        <v>4.3999999999999997E-2</v>
      </c>
      <c r="AB4017">
        <v>4.2999999999999997E-2</v>
      </c>
      <c r="AC4017">
        <v>4.2999999999999997E-2</v>
      </c>
      <c r="AD4017">
        <v>4.2999999999999997E-2</v>
      </c>
    </row>
    <row r="4018" spans="2:30" x14ac:dyDescent="0.25">
      <c r="B4018" t="s">
        <v>133</v>
      </c>
      <c r="C4018" t="s">
        <v>3265</v>
      </c>
      <c r="D4018" t="s">
        <v>4349</v>
      </c>
      <c r="E4018" t="s">
        <v>4350</v>
      </c>
      <c r="F4018" t="s">
        <v>9672</v>
      </c>
      <c r="G4018" t="s">
        <v>3890</v>
      </c>
      <c r="H4018" t="s">
        <v>4262</v>
      </c>
      <c r="I4018" t="s">
        <v>4267</v>
      </c>
      <c r="J4018">
        <v>1</v>
      </c>
      <c r="K4018">
        <v>11.465999999999999</v>
      </c>
      <c r="L4018">
        <v>8.83</v>
      </c>
      <c r="M4018">
        <v>7.7460000000000004</v>
      </c>
      <c r="N4018">
        <v>7.0540000000000003</v>
      </c>
      <c r="O4018">
        <v>7.0720000000000001</v>
      </c>
      <c r="P4018">
        <v>7.1269999999999998</v>
      </c>
      <c r="Q4018">
        <v>7.101</v>
      </c>
      <c r="R4018">
        <v>7.0730000000000004</v>
      </c>
      <c r="S4018">
        <v>7.0430000000000001</v>
      </c>
      <c r="T4018">
        <v>7.0140000000000002</v>
      </c>
      <c r="U4018">
        <v>7.0140000000000002</v>
      </c>
      <c r="V4018">
        <v>7.0140000000000002</v>
      </c>
      <c r="W4018">
        <v>7.0140000000000002</v>
      </c>
      <c r="X4018">
        <v>7.0140000000000002</v>
      </c>
      <c r="Y4018">
        <v>7.0140000000000002</v>
      </c>
      <c r="Z4018">
        <v>7.0140000000000002</v>
      </c>
      <c r="AA4018">
        <v>7.0140000000000002</v>
      </c>
      <c r="AB4018">
        <v>7.0140000000000002</v>
      </c>
      <c r="AC4018">
        <v>7.0140000000000002</v>
      </c>
      <c r="AD4018">
        <v>7.0140000000000002</v>
      </c>
    </row>
    <row r="4019" spans="2:30" x14ac:dyDescent="0.25">
      <c r="B4019" t="s">
        <v>133</v>
      </c>
      <c r="C4019" t="s">
        <v>3265</v>
      </c>
      <c r="D4019" t="s">
        <v>4352</v>
      </c>
      <c r="E4019" t="s">
        <v>4353</v>
      </c>
      <c r="F4019" t="s">
        <v>9673</v>
      </c>
      <c r="G4019" t="s">
        <v>3890</v>
      </c>
      <c r="H4019" t="s">
        <v>4262</v>
      </c>
      <c r="I4019" t="s">
        <v>4267</v>
      </c>
      <c r="J4019">
        <v>1</v>
      </c>
      <c r="K4019">
        <v>5.3360000000000003</v>
      </c>
      <c r="L4019">
        <v>5.01</v>
      </c>
      <c r="M4019">
        <v>5.0869999999999997</v>
      </c>
      <c r="N4019">
        <v>5.0869999999999997</v>
      </c>
      <c r="O4019">
        <v>5.0869999999999997</v>
      </c>
      <c r="P4019">
        <v>5.0869999999999997</v>
      </c>
      <c r="Q4019">
        <v>5.0869999999999997</v>
      </c>
      <c r="R4019">
        <v>5.0869999999999997</v>
      </c>
      <c r="S4019">
        <v>5.0869999999999997</v>
      </c>
      <c r="T4019">
        <v>5.0869999999999997</v>
      </c>
      <c r="U4019">
        <v>5.0869999999999997</v>
      </c>
      <c r="V4019">
        <v>5.0869999999999997</v>
      </c>
      <c r="W4019">
        <v>5.0869999999999997</v>
      </c>
      <c r="X4019">
        <v>5.0869999999999997</v>
      </c>
      <c r="Y4019">
        <v>5.0869999999999997</v>
      </c>
      <c r="Z4019">
        <v>5.0869999999999997</v>
      </c>
      <c r="AA4019">
        <v>5.0869999999999997</v>
      </c>
      <c r="AB4019">
        <v>5.0869999999999997</v>
      </c>
      <c r="AC4019">
        <v>5.0869999999999997</v>
      </c>
      <c r="AD4019">
        <v>5.0869999999999997</v>
      </c>
    </row>
    <row r="4020" spans="2:30" x14ac:dyDescent="0.25">
      <c r="B4020" t="s">
        <v>133</v>
      </c>
      <c r="C4020" t="s">
        <v>3265</v>
      </c>
      <c r="D4020" t="s">
        <v>4355</v>
      </c>
      <c r="E4020" t="s">
        <v>4356</v>
      </c>
      <c r="F4020" t="s">
        <v>9674</v>
      </c>
      <c r="G4020" t="s">
        <v>3890</v>
      </c>
      <c r="H4020" t="s">
        <v>4262</v>
      </c>
      <c r="I4020" t="s">
        <v>4267</v>
      </c>
      <c r="J4020">
        <v>1</v>
      </c>
      <c r="K4020">
        <v>23.399000000000001</v>
      </c>
      <c r="L4020">
        <v>15.864000000000001</v>
      </c>
      <c r="M4020">
        <v>14.744</v>
      </c>
      <c r="N4020">
        <v>13.651999999999999</v>
      </c>
      <c r="O4020">
        <v>13.680999999999999</v>
      </c>
      <c r="P4020">
        <v>13.768000000000001</v>
      </c>
      <c r="Q4020">
        <v>13.727</v>
      </c>
      <c r="R4020">
        <v>13.683</v>
      </c>
      <c r="S4020">
        <v>13.635999999999999</v>
      </c>
      <c r="T4020">
        <v>13.59</v>
      </c>
      <c r="U4020">
        <v>13.59</v>
      </c>
      <c r="V4020">
        <v>13.59</v>
      </c>
      <c r="W4020">
        <v>13.59</v>
      </c>
      <c r="X4020">
        <v>13.59</v>
      </c>
      <c r="Y4020">
        <v>13.59</v>
      </c>
      <c r="Z4020">
        <v>13.59</v>
      </c>
      <c r="AA4020">
        <v>13.59</v>
      </c>
      <c r="AB4020">
        <v>13.59</v>
      </c>
      <c r="AC4020">
        <v>13.59</v>
      </c>
      <c r="AD4020">
        <v>13.59</v>
      </c>
    </row>
    <row r="4021" spans="2:30" x14ac:dyDescent="0.25">
      <c r="B4021" t="s">
        <v>133</v>
      </c>
      <c r="C4021" t="s">
        <v>3265</v>
      </c>
      <c r="D4021" t="s">
        <v>4358</v>
      </c>
      <c r="E4021" t="s">
        <v>4359</v>
      </c>
      <c r="F4021" t="s">
        <v>9675</v>
      </c>
      <c r="G4021" t="s">
        <v>3890</v>
      </c>
      <c r="H4021" t="s">
        <v>4262</v>
      </c>
      <c r="I4021" t="s">
        <v>4267</v>
      </c>
      <c r="J4021">
        <v>1</v>
      </c>
      <c r="K4021">
        <v>4.6340000000000003</v>
      </c>
      <c r="L4021">
        <v>3.2090000000000001</v>
      </c>
      <c r="M4021">
        <v>2.331</v>
      </c>
      <c r="N4021">
        <v>2.331</v>
      </c>
      <c r="O4021">
        <v>2.331</v>
      </c>
      <c r="P4021">
        <v>2.331</v>
      </c>
      <c r="Q4021">
        <v>2.331</v>
      </c>
      <c r="R4021">
        <v>2.331</v>
      </c>
      <c r="S4021">
        <v>2.331</v>
      </c>
      <c r="T4021">
        <v>2.331</v>
      </c>
      <c r="U4021">
        <v>2.331</v>
      </c>
      <c r="V4021">
        <v>2.331</v>
      </c>
      <c r="W4021">
        <v>2.331</v>
      </c>
      <c r="X4021">
        <v>2.331</v>
      </c>
      <c r="Y4021">
        <v>2.331</v>
      </c>
      <c r="Z4021">
        <v>2.331</v>
      </c>
      <c r="AA4021">
        <v>2.331</v>
      </c>
      <c r="AB4021">
        <v>2.331</v>
      </c>
      <c r="AC4021">
        <v>2.331</v>
      </c>
      <c r="AD4021">
        <v>2.331</v>
      </c>
    </row>
    <row r="4022" spans="2:30" x14ac:dyDescent="0.25">
      <c r="B4022" t="s">
        <v>133</v>
      </c>
      <c r="C4022" t="s">
        <v>3265</v>
      </c>
      <c r="D4022" t="s">
        <v>4361</v>
      </c>
      <c r="E4022" t="s">
        <v>4362</v>
      </c>
      <c r="F4022" t="s">
        <v>9676</v>
      </c>
      <c r="G4022" t="s">
        <v>3890</v>
      </c>
      <c r="H4022" t="s">
        <v>4262</v>
      </c>
      <c r="I4022" t="s">
        <v>4267</v>
      </c>
      <c r="J4022">
        <v>1</v>
      </c>
      <c r="K4022">
        <v>13.301</v>
      </c>
      <c r="L4022">
        <v>6.66</v>
      </c>
      <c r="M4022">
        <v>5.9119999999999999</v>
      </c>
      <c r="N4022">
        <v>5.032</v>
      </c>
      <c r="O4022">
        <v>5.0549999999999997</v>
      </c>
      <c r="P4022">
        <v>5.125</v>
      </c>
      <c r="Q4022">
        <v>5.0919999999999996</v>
      </c>
      <c r="R4022">
        <v>5.056</v>
      </c>
      <c r="S4022">
        <v>5.0179999999999998</v>
      </c>
      <c r="T4022">
        <v>4.9820000000000002</v>
      </c>
      <c r="U4022">
        <v>4.9820000000000002</v>
      </c>
      <c r="V4022">
        <v>4.9820000000000002</v>
      </c>
      <c r="W4022">
        <v>4.9820000000000002</v>
      </c>
      <c r="X4022">
        <v>4.9820000000000002</v>
      </c>
      <c r="Y4022">
        <v>4.9820000000000002</v>
      </c>
      <c r="Z4022">
        <v>4.9820000000000002</v>
      </c>
      <c r="AA4022">
        <v>4.9820000000000002</v>
      </c>
      <c r="AB4022">
        <v>4.9820000000000002</v>
      </c>
      <c r="AC4022">
        <v>4.9820000000000002</v>
      </c>
      <c r="AD4022">
        <v>4.9820000000000002</v>
      </c>
    </row>
    <row r="4023" spans="2:30" x14ac:dyDescent="0.25">
      <c r="B4023" t="s">
        <v>133</v>
      </c>
      <c r="C4023" t="s">
        <v>3265</v>
      </c>
      <c r="D4023" t="s">
        <v>4364</v>
      </c>
      <c r="E4023" t="s">
        <v>4365</v>
      </c>
      <c r="F4023" t="s">
        <v>9677</v>
      </c>
      <c r="G4023" t="s">
        <v>3890</v>
      </c>
      <c r="H4023" t="s">
        <v>4262</v>
      </c>
      <c r="I4023" t="s">
        <v>4267</v>
      </c>
      <c r="J4023">
        <v>1</v>
      </c>
      <c r="K4023">
        <v>2.7839999999999998</v>
      </c>
      <c r="L4023">
        <v>2.6139999999999999</v>
      </c>
      <c r="M4023">
        <v>2.6539999999999999</v>
      </c>
      <c r="N4023">
        <v>2.6539999999999999</v>
      </c>
      <c r="O4023">
        <v>2.6539999999999999</v>
      </c>
      <c r="P4023">
        <v>2.6539999999999999</v>
      </c>
      <c r="Q4023">
        <v>2.6539999999999999</v>
      </c>
      <c r="R4023">
        <v>2.6539999999999999</v>
      </c>
      <c r="S4023">
        <v>2.6539999999999999</v>
      </c>
      <c r="T4023">
        <v>2.6539999999999999</v>
      </c>
      <c r="U4023">
        <v>2.6539999999999999</v>
      </c>
      <c r="V4023">
        <v>2.6539999999999999</v>
      </c>
      <c r="W4023">
        <v>2.6539999999999999</v>
      </c>
      <c r="X4023">
        <v>2.6539999999999999</v>
      </c>
      <c r="Y4023">
        <v>2.6539999999999999</v>
      </c>
      <c r="Z4023">
        <v>2.6539999999999999</v>
      </c>
      <c r="AA4023">
        <v>2.6539999999999999</v>
      </c>
      <c r="AB4023">
        <v>2.6539999999999999</v>
      </c>
      <c r="AC4023">
        <v>2.6539999999999999</v>
      </c>
      <c r="AD4023">
        <v>2.6539999999999999</v>
      </c>
    </row>
    <row r="4024" spans="2:30" x14ac:dyDescent="0.25">
      <c r="B4024" t="s">
        <v>133</v>
      </c>
      <c r="C4024" t="s">
        <v>3265</v>
      </c>
      <c r="D4024" t="s">
        <v>4367</v>
      </c>
      <c r="E4024" t="s">
        <v>4368</v>
      </c>
      <c r="F4024" t="s">
        <v>9678</v>
      </c>
      <c r="G4024" t="s">
        <v>3890</v>
      </c>
      <c r="H4024" t="s">
        <v>4262</v>
      </c>
      <c r="I4024" t="s">
        <v>4263</v>
      </c>
      <c r="J4024">
        <v>2</v>
      </c>
      <c r="K4024">
        <v>6.4000000000000001E-2</v>
      </c>
      <c r="L4024">
        <v>6.2E-2</v>
      </c>
      <c r="M4024">
        <v>5.1999999999999998E-2</v>
      </c>
      <c r="N4024">
        <v>4.9000000000000002E-2</v>
      </c>
      <c r="O4024">
        <v>5.0999999999999997E-2</v>
      </c>
      <c r="P4024">
        <v>5.2999999999999999E-2</v>
      </c>
      <c r="Q4024">
        <v>5.2999999999999999E-2</v>
      </c>
      <c r="R4024">
        <v>5.2999999999999999E-2</v>
      </c>
      <c r="S4024">
        <v>5.3999999999999999E-2</v>
      </c>
      <c r="T4024">
        <v>5.6000000000000001E-2</v>
      </c>
      <c r="U4024">
        <v>5.7000000000000002E-2</v>
      </c>
      <c r="V4024">
        <v>5.8999999999999997E-2</v>
      </c>
      <c r="W4024">
        <v>0.06</v>
      </c>
      <c r="X4024">
        <v>6.2E-2</v>
      </c>
      <c r="Y4024">
        <v>6.2E-2</v>
      </c>
      <c r="Z4024">
        <v>6.2E-2</v>
      </c>
      <c r="AA4024">
        <v>6.0999999999999999E-2</v>
      </c>
      <c r="AB4024">
        <v>6.0999999999999999E-2</v>
      </c>
      <c r="AC4024">
        <v>6.0999999999999999E-2</v>
      </c>
      <c r="AD4024">
        <v>0.05</v>
      </c>
    </row>
    <row r="4025" spans="2:30" x14ac:dyDescent="0.25">
      <c r="B4025" t="s">
        <v>133</v>
      </c>
      <c r="C4025" t="s">
        <v>3265</v>
      </c>
      <c r="D4025" t="s">
        <v>4370</v>
      </c>
      <c r="E4025" t="s">
        <v>4371</v>
      </c>
      <c r="F4025" t="s">
        <v>9679</v>
      </c>
      <c r="G4025" t="s">
        <v>3890</v>
      </c>
      <c r="H4025" t="s">
        <v>4262</v>
      </c>
      <c r="I4025" t="s">
        <v>4263</v>
      </c>
      <c r="J4025">
        <v>2</v>
      </c>
      <c r="K4025">
        <v>6.0999999999999999E-2</v>
      </c>
      <c r="L4025">
        <v>5.1999999999999998E-2</v>
      </c>
      <c r="M4025">
        <v>4.5999999999999999E-2</v>
      </c>
      <c r="N4025">
        <v>4.2999999999999997E-2</v>
      </c>
      <c r="O4025">
        <v>4.4999999999999998E-2</v>
      </c>
      <c r="P4025">
        <v>4.5999999999999999E-2</v>
      </c>
      <c r="Q4025">
        <v>4.5999999999999999E-2</v>
      </c>
      <c r="R4025">
        <v>4.7E-2</v>
      </c>
      <c r="S4025">
        <v>4.8000000000000001E-2</v>
      </c>
      <c r="T4025">
        <v>4.9000000000000002E-2</v>
      </c>
      <c r="U4025">
        <v>5.0999999999999997E-2</v>
      </c>
      <c r="V4025">
        <v>5.1999999999999998E-2</v>
      </c>
      <c r="W4025">
        <v>5.3999999999999999E-2</v>
      </c>
      <c r="X4025">
        <v>5.6000000000000001E-2</v>
      </c>
      <c r="Y4025">
        <v>5.6000000000000001E-2</v>
      </c>
      <c r="Z4025">
        <v>5.5E-2</v>
      </c>
      <c r="AA4025">
        <v>5.5E-2</v>
      </c>
      <c r="AB4025">
        <v>5.5E-2</v>
      </c>
      <c r="AC4025">
        <v>5.3999999999999999E-2</v>
      </c>
      <c r="AD4025">
        <v>4.3999999999999997E-2</v>
      </c>
    </row>
    <row r="4026" spans="2:30" x14ac:dyDescent="0.25">
      <c r="B4026" t="s">
        <v>133</v>
      </c>
      <c r="C4026" t="s">
        <v>3265</v>
      </c>
      <c r="D4026" t="s">
        <v>4373</v>
      </c>
      <c r="E4026" t="s">
        <v>4374</v>
      </c>
      <c r="F4026" t="s">
        <v>9680</v>
      </c>
      <c r="G4026" t="s">
        <v>3890</v>
      </c>
      <c r="H4026" t="s">
        <v>4262</v>
      </c>
      <c r="I4026" t="s">
        <v>4267</v>
      </c>
      <c r="J4026">
        <v>2</v>
      </c>
      <c r="K4026">
        <v>11.465999999999999</v>
      </c>
      <c r="L4026">
        <v>8.83</v>
      </c>
      <c r="M4026">
        <v>7.7460000000000004</v>
      </c>
      <c r="N4026">
        <v>7.0540000000000003</v>
      </c>
      <c r="O4026">
        <v>7.0720000000000001</v>
      </c>
      <c r="P4026">
        <v>7.1269999999999998</v>
      </c>
      <c r="Q4026">
        <v>7.1970000000000001</v>
      </c>
      <c r="R4026">
        <v>7.42</v>
      </c>
      <c r="S4026">
        <v>7.7530000000000001</v>
      </c>
      <c r="T4026">
        <v>8.17</v>
      </c>
      <c r="U4026">
        <v>8.6820000000000004</v>
      </c>
      <c r="V4026">
        <v>9.2439999999999998</v>
      </c>
      <c r="W4026">
        <v>9.8469999999999995</v>
      </c>
      <c r="X4026">
        <v>10.481999999999999</v>
      </c>
      <c r="Y4026">
        <v>10.481999999999999</v>
      </c>
      <c r="Z4026">
        <v>10.481999999999999</v>
      </c>
      <c r="AA4026">
        <v>10.481999999999999</v>
      </c>
      <c r="AB4026">
        <v>10.481999999999999</v>
      </c>
      <c r="AC4026">
        <v>10.481999999999999</v>
      </c>
      <c r="AD4026">
        <v>7.0140000000000002</v>
      </c>
    </row>
    <row r="4027" spans="2:30" x14ac:dyDescent="0.25">
      <c r="B4027" t="s">
        <v>133</v>
      </c>
      <c r="C4027" t="s">
        <v>3265</v>
      </c>
      <c r="D4027" t="s">
        <v>4376</v>
      </c>
      <c r="E4027" t="s">
        <v>4377</v>
      </c>
      <c r="F4027" t="s">
        <v>9681</v>
      </c>
      <c r="G4027" t="s">
        <v>3890</v>
      </c>
      <c r="H4027" t="s">
        <v>4262</v>
      </c>
      <c r="I4027" t="s">
        <v>4267</v>
      </c>
      <c r="J4027">
        <v>2</v>
      </c>
      <c r="K4027">
        <v>5.3360000000000003</v>
      </c>
      <c r="L4027">
        <v>5.01</v>
      </c>
      <c r="M4027">
        <v>5.0869999999999997</v>
      </c>
      <c r="N4027">
        <v>5.0869999999999997</v>
      </c>
      <c r="O4027">
        <v>5.0869999999999997</v>
      </c>
      <c r="P4027">
        <v>5.0869999999999997</v>
      </c>
      <c r="Q4027">
        <v>5.141</v>
      </c>
      <c r="R4027">
        <v>5.2809999999999997</v>
      </c>
      <c r="S4027">
        <v>5.4829999999999997</v>
      </c>
      <c r="T4027">
        <v>5.7320000000000002</v>
      </c>
      <c r="U4027">
        <v>6.0170000000000003</v>
      </c>
      <c r="V4027">
        <v>6.3310000000000004</v>
      </c>
      <c r="W4027">
        <v>6.6669999999999998</v>
      </c>
      <c r="X4027">
        <v>7.0220000000000002</v>
      </c>
      <c r="Y4027">
        <v>7.0220000000000002</v>
      </c>
      <c r="Z4027">
        <v>7.0220000000000002</v>
      </c>
      <c r="AA4027">
        <v>7.0220000000000002</v>
      </c>
      <c r="AB4027">
        <v>7.0220000000000002</v>
      </c>
      <c r="AC4027">
        <v>7.0220000000000002</v>
      </c>
      <c r="AD4027">
        <v>5.0869999999999997</v>
      </c>
    </row>
    <row r="4028" spans="2:30" x14ac:dyDescent="0.25">
      <c r="B4028" t="s">
        <v>133</v>
      </c>
      <c r="C4028" t="s">
        <v>3265</v>
      </c>
      <c r="D4028" t="s">
        <v>4379</v>
      </c>
      <c r="E4028" t="s">
        <v>4380</v>
      </c>
      <c r="F4028" t="s">
        <v>9682</v>
      </c>
      <c r="G4028" t="s">
        <v>3890</v>
      </c>
      <c r="H4028" t="s">
        <v>4262</v>
      </c>
      <c r="I4028" t="s">
        <v>4267</v>
      </c>
      <c r="J4028">
        <v>2</v>
      </c>
      <c r="K4028">
        <v>23.399000000000001</v>
      </c>
      <c r="L4028">
        <v>15.864000000000001</v>
      </c>
      <c r="M4028">
        <v>14.744</v>
      </c>
      <c r="N4028">
        <v>13.651999999999999</v>
      </c>
      <c r="O4028">
        <v>13.680999999999999</v>
      </c>
      <c r="P4028">
        <v>13.768000000000001</v>
      </c>
      <c r="Q4028">
        <v>13.727</v>
      </c>
      <c r="R4028">
        <v>13.683</v>
      </c>
      <c r="S4028">
        <v>13.635999999999999</v>
      </c>
      <c r="T4028">
        <v>13.59</v>
      </c>
      <c r="U4028">
        <v>13.59</v>
      </c>
      <c r="V4028">
        <v>13.59</v>
      </c>
      <c r="W4028">
        <v>13.59</v>
      </c>
      <c r="X4028">
        <v>13.59</v>
      </c>
      <c r="Y4028">
        <v>13.59</v>
      </c>
      <c r="Z4028">
        <v>13.59</v>
      </c>
      <c r="AA4028">
        <v>13.59</v>
      </c>
      <c r="AB4028">
        <v>13.59</v>
      </c>
      <c r="AC4028">
        <v>13.59</v>
      </c>
      <c r="AD4028">
        <v>13.59</v>
      </c>
    </row>
    <row r="4029" spans="2:30" x14ac:dyDescent="0.25">
      <c r="B4029" t="s">
        <v>133</v>
      </c>
      <c r="C4029" t="s">
        <v>3265</v>
      </c>
      <c r="D4029" t="s">
        <v>4382</v>
      </c>
      <c r="E4029" t="s">
        <v>4383</v>
      </c>
      <c r="F4029" t="s">
        <v>9683</v>
      </c>
      <c r="G4029" t="s">
        <v>3890</v>
      </c>
      <c r="H4029" t="s">
        <v>4262</v>
      </c>
      <c r="I4029" t="s">
        <v>4267</v>
      </c>
      <c r="J4029">
        <v>2</v>
      </c>
      <c r="K4029">
        <v>4.6340000000000003</v>
      </c>
      <c r="L4029">
        <v>3.2090000000000001</v>
      </c>
      <c r="M4029">
        <v>2.331</v>
      </c>
      <c r="N4029">
        <v>2.331</v>
      </c>
      <c r="O4029">
        <v>2.331</v>
      </c>
      <c r="P4029">
        <v>2.331</v>
      </c>
      <c r="Q4029">
        <v>2.331</v>
      </c>
      <c r="R4029">
        <v>2.331</v>
      </c>
      <c r="S4029">
        <v>2.331</v>
      </c>
      <c r="T4029">
        <v>2.331</v>
      </c>
      <c r="U4029">
        <v>2.331</v>
      </c>
      <c r="V4029">
        <v>2.331</v>
      </c>
      <c r="W4029">
        <v>2.331</v>
      </c>
      <c r="X4029">
        <v>2.331</v>
      </c>
      <c r="Y4029">
        <v>2.331</v>
      </c>
      <c r="Z4029">
        <v>2.331</v>
      </c>
      <c r="AA4029">
        <v>2.331</v>
      </c>
      <c r="AB4029">
        <v>2.331</v>
      </c>
      <c r="AC4029">
        <v>2.331</v>
      </c>
      <c r="AD4029">
        <v>2.331</v>
      </c>
    </row>
    <row r="4030" spans="2:30" x14ac:dyDescent="0.25">
      <c r="B4030" t="s">
        <v>133</v>
      </c>
      <c r="C4030" t="s">
        <v>3265</v>
      </c>
      <c r="D4030" t="s">
        <v>4385</v>
      </c>
      <c r="E4030" t="s">
        <v>4386</v>
      </c>
      <c r="F4030" t="s">
        <v>9684</v>
      </c>
      <c r="G4030" t="s">
        <v>3890</v>
      </c>
      <c r="H4030" t="s">
        <v>4262</v>
      </c>
      <c r="I4030" t="s">
        <v>4267</v>
      </c>
      <c r="J4030">
        <v>2</v>
      </c>
      <c r="K4030">
        <v>13.301</v>
      </c>
      <c r="L4030">
        <v>6.66</v>
      </c>
      <c r="M4030">
        <v>5.9119999999999999</v>
      </c>
      <c r="N4030">
        <v>5.032</v>
      </c>
      <c r="O4030">
        <v>5.0549999999999997</v>
      </c>
      <c r="P4030">
        <v>5.125</v>
      </c>
      <c r="Q4030">
        <v>5.1820000000000004</v>
      </c>
      <c r="R4030">
        <v>5.383</v>
      </c>
      <c r="S4030">
        <v>5.6870000000000003</v>
      </c>
      <c r="T4030">
        <v>6.0720000000000001</v>
      </c>
      <c r="U4030">
        <v>6.5540000000000003</v>
      </c>
      <c r="V4030">
        <v>7.0839999999999996</v>
      </c>
      <c r="W4030">
        <v>7.6520000000000001</v>
      </c>
      <c r="X4030">
        <v>8.2520000000000007</v>
      </c>
      <c r="Y4030">
        <v>8.2520000000000007</v>
      </c>
      <c r="Z4030">
        <v>8.2520000000000007</v>
      </c>
      <c r="AA4030">
        <v>8.2520000000000007</v>
      </c>
      <c r="AB4030">
        <v>8.2520000000000007</v>
      </c>
      <c r="AC4030">
        <v>8.2520000000000007</v>
      </c>
      <c r="AD4030">
        <v>4.9820000000000002</v>
      </c>
    </row>
    <row r="4031" spans="2:30" x14ac:dyDescent="0.25">
      <c r="B4031" t="s">
        <v>133</v>
      </c>
      <c r="C4031" t="s">
        <v>3265</v>
      </c>
      <c r="D4031" t="s">
        <v>4388</v>
      </c>
      <c r="E4031" t="s">
        <v>4389</v>
      </c>
      <c r="F4031" t="s">
        <v>9685</v>
      </c>
      <c r="G4031" t="s">
        <v>3890</v>
      </c>
      <c r="H4031" t="s">
        <v>4262</v>
      </c>
      <c r="I4031" t="s">
        <v>4267</v>
      </c>
      <c r="J4031">
        <v>2</v>
      </c>
      <c r="K4031">
        <v>2.7839999999999998</v>
      </c>
      <c r="L4031">
        <v>2.6139999999999999</v>
      </c>
      <c r="M4031">
        <v>2.6539999999999999</v>
      </c>
      <c r="N4031">
        <v>2.6539999999999999</v>
      </c>
      <c r="O4031">
        <v>2.6539999999999999</v>
      </c>
      <c r="P4031">
        <v>2.6539999999999999</v>
      </c>
      <c r="Q4031">
        <v>2.7080000000000002</v>
      </c>
      <c r="R4031">
        <v>2.8479999999999999</v>
      </c>
      <c r="S4031">
        <v>3.05</v>
      </c>
      <c r="T4031">
        <v>3.2989999999999999</v>
      </c>
      <c r="U4031">
        <v>3.585</v>
      </c>
      <c r="V4031">
        <v>3.8980000000000001</v>
      </c>
      <c r="W4031">
        <v>4.2350000000000003</v>
      </c>
      <c r="X4031">
        <v>4.5890000000000004</v>
      </c>
      <c r="Y4031">
        <v>4.5890000000000004</v>
      </c>
      <c r="Z4031">
        <v>4.5890000000000004</v>
      </c>
      <c r="AA4031">
        <v>4.5890000000000004</v>
      </c>
      <c r="AB4031">
        <v>4.5890000000000004</v>
      </c>
      <c r="AC4031">
        <v>4.5890000000000004</v>
      </c>
      <c r="AD4031">
        <v>2.6539999999999999</v>
      </c>
    </row>
    <row r="4032" spans="2:30" x14ac:dyDescent="0.25">
      <c r="B4032" t="s">
        <v>133</v>
      </c>
      <c r="C4032" t="s">
        <v>3265</v>
      </c>
      <c r="D4032" t="s">
        <v>4391</v>
      </c>
      <c r="E4032" t="s">
        <v>4392</v>
      </c>
      <c r="F4032" t="s">
        <v>9686</v>
      </c>
      <c r="G4032" t="s">
        <v>3890</v>
      </c>
      <c r="H4032" t="s">
        <v>4394</v>
      </c>
      <c r="I4032" t="s">
        <v>4263</v>
      </c>
      <c r="J4032">
        <v>1</v>
      </c>
      <c r="K4032">
        <v>6.4000000000000001E-2</v>
      </c>
      <c r="L4032">
        <v>6.2E-2</v>
      </c>
      <c r="M4032">
        <v>0.107</v>
      </c>
      <c r="N4032">
        <v>0.105</v>
      </c>
      <c r="O4032">
        <v>0.107</v>
      </c>
      <c r="P4032">
        <v>0.108</v>
      </c>
      <c r="Q4032">
        <v>0.108</v>
      </c>
      <c r="R4032">
        <v>0.107</v>
      </c>
      <c r="S4032">
        <v>0.107</v>
      </c>
      <c r="T4032">
        <v>0.107</v>
      </c>
      <c r="U4032">
        <v>0.107</v>
      </c>
      <c r="V4032">
        <v>0.106</v>
      </c>
      <c r="W4032">
        <v>0.106</v>
      </c>
      <c r="X4032">
        <v>0.106</v>
      </c>
      <c r="Y4032">
        <v>0.106</v>
      </c>
      <c r="Z4032">
        <v>0.105</v>
      </c>
      <c r="AA4032">
        <v>0.105</v>
      </c>
      <c r="AB4032">
        <v>0.105</v>
      </c>
      <c r="AC4032">
        <v>0.104</v>
      </c>
      <c r="AD4032">
        <v>0.104</v>
      </c>
    </row>
    <row r="4033" spans="2:30" x14ac:dyDescent="0.25">
      <c r="B4033" t="s">
        <v>133</v>
      </c>
      <c r="C4033" t="s">
        <v>3265</v>
      </c>
      <c r="D4033" t="s">
        <v>4395</v>
      </c>
      <c r="E4033" t="s">
        <v>4396</v>
      </c>
      <c r="F4033" t="s">
        <v>9687</v>
      </c>
      <c r="G4033" t="s">
        <v>3890</v>
      </c>
      <c r="H4033" t="s">
        <v>4394</v>
      </c>
      <c r="I4033" t="s">
        <v>4263</v>
      </c>
      <c r="J4033">
        <v>1</v>
      </c>
      <c r="K4033">
        <v>5.8999999999999997E-2</v>
      </c>
      <c r="L4033">
        <v>5.0999999999999997E-2</v>
      </c>
      <c r="M4033">
        <v>0.10100000000000001</v>
      </c>
      <c r="N4033">
        <v>9.8000000000000004E-2</v>
      </c>
      <c r="O4033">
        <v>0.1</v>
      </c>
      <c r="P4033">
        <v>0.10100000000000001</v>
      </c>
      <c r="Q4033">
        <v>0.10100000000000001</v>
      </c>
      <c r="R4033">
        <v>0.10100000000000001</v>
      </c>
      <c r="S4033">
        <v>0.10100000000000001</v>
      </c>
      <c r="T4033">
        <v>0.1</v>
      </c>
      <c r="U4033">
        <v>0.1</v>
      </c>
      <c r="V4033">
        <v>0.1</v>
      </c>
      <c r="W4033">
        <v>0.1</v>
      </c>
      <c r="X4033">
        <v>0.1</v>
      </c>
      <c r="Y4033">
        <v>9.9000000000000005E-2</v>
      </c>
      <c r="Z4033">
        <v>9.9000000000000005E-2</v>
      </c>
      <c r="AA4033">
        <v>9.9000000000000005E-2</v>
      </c>
      <c r="AB4033">
        <v>9.8000000000000004E-2</v>
      </c>
      <c r="AC4033">
        <v>9.8000000000000004E-2</v>
      </c>
      <c r="AD4033">
        <v>9.8000000000000004E-2</v>
      </c>
    </row>
    <row r="4034" spans="2:30" x14ac:dyDescent="0.25">
      <c r="B4034" t="s">
        <v>133</v>
      </c>
      <c r="C4034" t="s">
        <v>3265</v>
      </c>
      <c r="D4034" t="s">
        <v>4398</v>
      </c>
      <c r="E4034" t="s">
        <v>4399</v>
      </c>
      <c r="F4034" t="s">
        <v>9688</v>
      </c>
      <c r="G4034" t="s">
        <v>3890</v>
      </c>
      <c r="H4034" t="s">
        <v>4401</v>
      </c>
      <c r="I4034" t="s">
        <v>4267</v>
      </c>
      <c r="J4034">
        <v>1</v>
      </c>
      <c r="K4034">
        <v>11.12</v>
      </c>
      <c r="L4034">
        <v>8.6110000000000007</v>
      </c>
      <c r="M4034">
        <v>7.577</v>
      </c>
      <c r="N4034">
        <v>6.8849999999999998</v>
      </c>
      <c r="O4034">
        <v>6.9039999999999999</v>
      </c>
      <c r="P4034">
        <v>6.9580000000000002</v>
      </c>
      <c r="Q4034">
        <v>6.9320000000000004</v>
      </c>
      <c r="R4034">
        <v>6.9039999999999999</v>
      </c>
      <c r="S4034">
        <v>6.875</v>
      </c>
      <c r="T4034">
        <v>6.8460000000000001</v>
      </c>
      <c r="U4034">
        <v>6.8460000000000001</v>
      </c>
      <c r="V4034">
        <v>6.8460000000000001</v>
      </c>
      <c r="W4034">
        <v>6.8460000000000001</v>
      </c>
      <c r="X4034">
        <v>6.8460000000000001</v>
      </c>
      <c r="Y4034">
        <v>6.8460000000000001</v>
      </c>
      <c r="Z4034">
        <v>6.8460000000000001</v>
      </c>
      <c r="AA4034">
        <v>6.8460000000000001</v>
      </c>
      <c r="AB4034">
        <v>6.8460000000000001</v>
      </c>
      <c r="AC4034">
        <v>6.8460000000000001</v>
      </c>
      <c r="AD4034">
        <v>6.8460000000000001</v>
      </c>
    </row>
    <row r="4035" spans="2:30" x14ac:dyDescent="0.25">
      <c r="B4035" t="s">
        <v>133</v>
      </c>
      <c r="C4035" t="s">
        <v>3265</v>
      </c>
      <c r="D4035" t="s">
        <v>4402</v>
      </c>
      <c r="E4035" t="s">
        <v>4403</v>
      </c>
      <c r="F4035" t="s">
        <v>9689</v>
      </c>
      <c r="G4035" t="s">
        <v>3890</v>
      </c>
      <c r="H4035" t="s">
        <v>4401</v>
      </c>
      <c r="I4035" t="s">
        <v>4267</v>
      </c>
      <c r="J4035">
        <v>1</v>
      </c>
      <c r="K4035">
        <v>12.260999999999999</v>
      </c>
      <c r="L4035">
        <v>10.192</v>
      </c>
      <c r="M4035">
        <v>9.57</v>
      </c>
      <c r="N4035">
        <v>9.64</v>
      </c>
      <c r="O4035">
        <v>9.6809999999999992</v>
      </c>
      <c r="P4035">
        <v>9.5749999999999993</v>
      </c>
      <c r="Q4035">
        <v>9.4489999999999998</v>
      </c>
      <c r="R4035">
        <v>9.4049999999999994</v>
      </c>
      <c r="S4035">
        <v>9.3919999999999995</v>
      </c>
      <c r="T4035">
        <v>9.3849999999999998</v>
      </c>
      <c r="U4035">
        <v>9.3849999999999998</v>
      </c>
      <c r="V4035">
        <v>9.3849999999999998</v>
      </c>
      <c r="W4035">
        <v>9.3849999999999998</v>
      </c>
      <c r="X4035">
        <v>9.3849999999999998</v>
      </c>
      <c r="Y4035">
        <v>9.3849999999999998</v>
      </c>
      <c r="Z4035">
        <v>9.3849999999999998</v>
      </c>
      <c r="AA4035">
        <v>9.3849999999999998</v>
      </c>
      <c r="AB4035">
        <v>9.3849999999999998</v>
      </c>
      <c r="AC4035">
        <v>9.3849999999999998</v>
      </c>
      <c r="AD4035">
        <v>9.3849999999999998</v>
      </c>
    </row>
    <row r="4036" spans="2:30" x14ac:dyDescent="0.25">
      <c r="B4036" t="s">
        <v>133</v>
      </c>
      <c r="C4036" t="s">
        <v>3265</v>
      </c>
      <c r="D4036" t="s">
        <v>4405</v>
      </c>
      <c r="E4036" t="s">
        <v>4406</v>
      </c>
      <c r="F4036" t="s">
        <v>9690</v>
      </c>
      <c r="G4036" t="s">
        <v>3890</v>
      </c>
      <c r="H4036" t="s">
        <v>4401</v>
      </c>
      <c r="I4036" t="s">
        <v>4267</v>
      </c>
      <c r="J4036">
        <v>1</v>
      </c>
      <c r="K4036">
        <v>20.341000000000001</v>
      </c>
      <c r="L4036">
        <v>13.728999999999999</v>
      </c>
      <c r="M4036">
        <v>12.932</v>
      </c>
      <c r="N4036">
        <v>11.975</v>
      </c>
      <c r="O4036">
        <v>12</v>
      </c>
      <c r="P4036">
        <v>12.076000000000001</v>
      </c>
      <c r="Q4036">
        <v>12.04</v>
      </c>
      <c r="R4036">
        <v>12.002000000000001</v>
      </c>
      <c r="S4036">
        <v>11.96</v>
      </c>
      <c r="T4036">
        <v>11.920999999999999</v>
      </c>
      <c r="U4036">
        <v>11.920999999999999</v>
      </c>
      <c r="V4036">
        <v>11.920999999999999</v>
      </c>
      <c r="W4036">
        <v>11.920999999999999</v>
      </c>
      <c r="X4036">
        <v>11.920999999999999</v>
      </c>
      <c r="Y4036">
        <v>11.920999999999999</v>
      </c>
      <c r="Z4036">
        <v>11.920999999999999</v>
      </c>
      <c r="AA4036">
        <v>11.920999999999999</v>
      </c>
      <c r="AB4036">
        <v>11.920999999999999</v>
      </c>
      <c r="AC4036">
        <v>11.920999999999999</v>
      </c>
      <c r="AD4036">
        <v>11.920999999999999</v>
      </c>
    </row>
    <row r="4037" spans="2:30" x14ac:dyDescent="0.25">
      <c r="B4037" t="s">
        <v>133</v>
      </c>
      <c r="C4037" t="s">
        <v>3265</v>
      </c>
      <c r="D4037" t="s">
        <v>4408</v>
      </c>
      <c r="E4037" t="s">
        <v>4409</v>
      </c>
      <c r="F4037" t="s">
        <v>9691</v>
      </c>
      <c r="G4037" t="s">
        <v>3890</v>
      </c>
      <c r="H4037" t="s">
        <v>4401</v>
      </c>
      <c r="I4037" t="s">
        <v>4267</v>
      </c>
      <c r="J4037">
        <v>1</v>
      </c>
      <c r="K4037">
        <v>16.896999999999998</v>
      </c>
      <c r="L4037">
        <v>15.007</v>
      </c>
      <c r="M4037">
        <v>14.387</v>
      </c>
      <c r="N4037">
        <v>14.454000000000001</v>
      </c>
      <c r="O4037">
        <v>14.493</v>
      </c>
      <c r="P4037">
        <v>14.391999999999999</v>
      </c>
      <c r="Q4037">
        <v>14.273</v>
      </c>
      <c r="R4037">
        <v>14.231</v>
      </c>
      <c r="S4037">
        <v>14.218999999999999</v>
      </c>
      <c r="T4037">
        <v>14.212</v>
      </c>
      <c r="U4037">
        <v>14.212</v>
      </c>
      <c r="V4037">
        <v>14.212</v>
      </c>
      <c r="W4037">
        <v>14.212</v>
      </c>
      <c r="X4037">
        <v>14.212</v>
      </c>
      <c r="Y4037">
        <v>14.212</v>
      </c>
      <c r="Z4037">
        <v>14.212</v>
      </c>
      <c r="AA4037">
        <v>14.212</v>
      </c>
      <c r="AB4037">
        <v>14.212</v>
      </c>
      <c r="AC4037">
        <v>14.212</v>
      </c>
      <c r="AD4037">
        <v>14.212</v>
      </c>
    </row>
    <row r="4038" spans="2:30" x14ac:dyDescent="0.25">
      <c r="B4038" t="s">
        <v>133</v>
      </c>
      <c r="C4038" t="s">
        <v>3265</v>
      </c>
      <c r="D4038" t="s">
        <v>4411</v>
      </c>
      <c r="E4038" t="s">
        <v>4412</v>
      </c>
      <c r="F4038" t="s">
        <v>9692</v>
      </c>
      <c r="G4038" t="s">
        <v>3890</v>
      </c>
      <c r="H4038" t="s">
        <v>4401</v>
      </c>
      <c r="I4038" t="s">
        <v>4267</v>
      </c>
      <c r="J4038">
        <v>1</v>
      </c>
      <c r="K4038">
        <v>13.301</v>
      </c>
      <c r="L4038">
        <v>6.66</v>
      </c>
      <c r="M4038">
        <v>5.9119999999999999</v>
      </c>
      <c r="N4038">
        <v>5.032</v>
      </c>
      <c r="O4038">
        <v>5.0549999999999997</v>
      </c>
      <c r="P4038">
        <v>5.125</v>
      </c>
      <c r="Q4038">
        <v>5.0919999999999996</v>
      </c>
      <c r="R4038">
        <v>5.056</v>
      </c>
      <c r="S4038">
        <v>5.0179999999999998</v>
      </c>
      <c r="T4038">
        <v>4.9820000000000002</v>
      </c>
      <c r="U4038">
        <v>4.9820000000000002</v>
      </c>
      <c r="V4038">
        <v>4.9820000000000002</v>
      </c>
      <c r="W4038">
        <v>4.9820000000000002</v>
      </c>
      <c r="X4038">
        <v>4.9820000000000002</v>
      </c>
      <c r="Y4038">
        <v>4.9820000000000002</v>
      </c>
      <c r="Z4038">
        <v>4.9820000000000002</v>
      </c>
      <c r="AA4038">
        <v>4.9820000000000002</v>
      </c>
      <c r="AB4038">
        <v>4.9820000000000002</v>
      </c>
      <c r="AC4038">
        <v>4.9820000000000002</v>
      </c>
      <c r="AD4038">
        <v>4.9820000000000002</v>
      </c>
    </row>
    <row r="4039" spans="2:30" x14ac:dyDescent="0.25">
      <c r="B4039" t="s">
        <v>133</v>
      </c>
      <c r="C4039" t="s">
        <v>3265</v>
      </c>
      <c r="D4039" t="s">
        <v>4414</v>
      </c>
      <c r="E4039" t="s">
        <v>4415</v>
      </c>
      <c r="F4039" t="s">
        <v>9693</v>
      </c>
      <c r="G4039" t="s">
        <v>3890</v>
      </c>
      <c r="H4039" t="s">
        <v>4401</v>
      </c>
      <c r="I4039" t="s">
        <v>4267</v>
      </c>
      <c r="J4039">
        <v>1</v>
      </c>
      <c r="K4039">
        <v>11.488</v>
      </c>
      <c r="L4039">
        <v>9.3889999999999993</v>
      </c>
      <c r="M4039">
        <v>8.7669999999999995</v>
      </c>
      <c r="N4039">
        <v>8.8460000000000001</v>
      </c>
      <c r="O4039">
        <v>8.8919999999999995</v>
      </c>
      <c r="P4039">
        <v>8.7729999999999997</v>
      </c>
      <c r="Q4039">
        <v>8.6319999999999997</v>
      </c>
      <c r="R4039">
        <v>8.5820000000000007</v>
      </c>
      <c r="S4039">
        <v>8.5679999999999996</v>
      </c>
      <c r="T4039">
        <v>8.56</v>
      </c>
      <c r="U4039">
        <v>8.56</v>
      </c>
      <c r="V4039">
        <v>8.56</v>
      </c>
      <c r="W4039">
        <v>8.56</v>
      </c>
      <c r="X4039">
        <v>8.56</v>
      </c>
      <c r="Y4039">
        <v>8.56</v>
      </c>
      <c r="Z4039">
        <v>8.56</v>
      </c>
      <c r="AA4039">
        <v>8.56</v>
      </c>
      <c r="AB4039">
        <v>8.56</v>
      </c>
      <c r="AC4039">
        <v>8.56</v>
      </c>
      <c r="AD4039">
        <v>8.56</v>
      </c>
    </row>
    <row r="4040" spans="2:30" x14ac:dyDescent="0.25">
      <c r="B4040" t="s">
        <v>133</v>
      </c>
      <c r="C4040" t="s">
        <v>3265</v>
      </c>
      <c r="D4040" t="s">
        <v>4417</v>
      </c>
      <c r="E4040" t="s">
        <v>4418</v>
      </c>
      <c r="F4040" t="s">
        <v>9694</v>
      </c>
      <c r="G4040" t="s">
        <v>3890</v>
      </c>
      <c r="H4040" t="s">
        <v>4401</v>
      </c>
      <c r="I4040" t="s">
        <v>4274</v>
      </c>
      <c r="J4040">
        <v>1</v>
      </c>
      <c r="K4040">
        <v>116.498</v>
      </c>
      <c r="L4040">
        <v>95.069000000000003</v>
      </c>
      <c r="M4040">
        <v>91.606999999999999</v>
      </c>
      <c r="N4040">
        <v>78.384</v>
      </c>
      <c r="O4040">
        <v>82.057000000000002</v>
      </c>
      <c r="P4040">
        <v>76.52</v>
      </c>
      <c r="Q4040">
        <v>74.995999999999995</v>
      </c>
      <c r="R4040">
        <v>74.228999999999999</v>
      </c>
      <c r="S4040">
        <v>73.557000000000002</v>
      </c>
      <c r="T4040">
        <v>72.826999999999998</v>
      </c>
      <c r="U4040">
        <v>72.826999999999998</v>
      </c>
      <c r="V4040">
        <v>72.826999999999998</v>
      </c>
      <c r="W4040">
        <v>72.826999999999998</v>
      </c>
      <c r="X4040">
        <v>72.826999999999998</v>
      </c>
      <c r="Y4040">
        <v>72.826999999999998</v>
      </c>
      <c r="Z4040">
        <v>72.826999999999998</v>
      </c>
      <c r="AA4040">
        <v>72.826999999999998</v>
      </c>
      <c r="AB4040">
        <v>72.826999999999998</v>
      </c>
      <c r="AC4040">
        <v>72.826999999999998</v>
      </c>
      <c r="AD4040">
        <v>72.826999999999998</v>
      </c>
    </row>
    <row r="4041" spans="2:30" x14ac:dyDescent="0.25">
      <c r="B4041" t="s">
        <v>133</v>
      </c>
      <c r="C4041" t="s">
        <v>3265</v>
      </c>
      <c r="D4041" t="s">
        <v>4420</v>
      </c>
      <c r="E4041" t="s">
        <v>4421</v>
      </c>
      <c r="F4041" t="s">
        <v>9695</v>
      </c>
      <c r="G4041" t="s">
        <v>3890</v>
      </c>
      <c r="H4041" t="s">
        <v>4401</v>
      </c>
      <c r="I4041" t="s">
        <v>4278</v>
      </c>
      <c r="J4041">
        <v>1</v>
      </c>
      <c r="K4041">
        <v>0.96299999999999997</v>
      </c>
      <c r="L4041">
        <v>0.81799999999999995</v>
      </c>
      <c r="M4041">
        <v>0.76400000000000001</v>
      </c>
      <c r="N4041">
        <v>0.67100000000000004</v>
      </c>
      <c r="O4041">
        <v>0.69699999999999995</v>
      </c>
      <c r="P4041">
        <v>0.65800000000000003</v>
      </c>
      <c r="Q4041">
        <v>0.64700000000000002</v>
      </c>
      <c r="R4041">
        <v>0.64200000000000002</v>
      </c>
      <c r="S4041">
        <v>0.63700000000000001</v>
      </c>
      <c r="T4041">
        <v>0.63200000000000001</v>
      </c>
      <c r="U4041">
        <v>0.63200000000000001</v>
      </c>
      <c r="V4041">
        <v>0.63200000000000001</v>
      </c>
      <c r="W4041">
        <v>0.63200000000000001</v>
      </c>
      <c r="X4041">
        <v>0.63200000000000001</v>
      </c>
      <c r="Y4041">
        <v>0.63200000000000001</v>
      </c>
      <c r="Z4041">
        <v>0.63200000000000001</v>
      </c>
      <c r="AA4041">
        <v>0.63200000000000001</v>
      </c>
      <c r="AB4041">
        <v>0.63200000000000001</v>
      </c>
      <c r="AC4041">
        <v>0.63200000000000001</v>
      </c>
      <c r="AD4041">
        <v>0.63200000000000001</v>
      </c>
    </row>
    <row r="4042" spans="2:30" x14ac:dyDescent="0.25">
      <c r="B4042" t="s">
        <v>133</v>
      </c>
      <c r="C4042" t="s">
        <v>3265</v>
      </c>
      <c r="D4042" t="s">
        <v>4423</v>
      </c>
      <c r="E4042" t="s">
        <v>4424</v>
      </c>
      <c r="F4042" t="s">
        <v>9696</v>
      </c>
      <c r="G4042" t="s">
        <v>3890</v>
      </c>
      <c r="H4042" t="s">
        <v>4401</v>
      </c>
      <c r="I4042" t="s">
        <v>4278</v>
      </c>
      <c r="J4042">
        <v>1</v>
      </c>
      <c r="K4042">
        <v>1.077</v>
      </c>
      <c r="L4042">
        <v>0.85499999999999998</v>
      </c>
      <c r="M4042">
        <v>0.77800000000000002</v>
      </c>
      <c r="N4042">
        <v>0.68400000000000005</v>
      </c>
      <c r="O4042">
        <v>0.71</v>
      </c>
      <c r="P4042">
        <v>0.67</v>
      </c>
      <c r="Q4042">
        <v>0.66</v>
      </c>
      <c r="R4042">
        <v>0.65400000000000003</v>
      </c>
      <c r="S4042">
        <v>0.64900000000000002</v>
      </c>
      <c r="T4042">
        <v>0.64400000000000002</v>
      </c>
      <c r="U4042">
        <v>0.64400000000000002</v>
      </c>
      <c r="V4042">
        <v>0.64400000000000002</v>
      </c>
      <c r="W4042">
        <v>0.64400000000000002</v>
      </c>
      <c r="X4042">
        <v>0.64400000000000002</v>
      </c>
      <c r="Y4042">
        <v>0.64400000000000002</v>
      </c>
      <c r="Z4042">
        <v>0.64400000000000002</v>
      </c>
      <c r="AA4042">
        <v>0.64400000000000002</v>
      </c>
      <c r="AB4042">
        <v>0.64400000000000002</v>
      </c>
      <c r="AC4042">
        <v>0.64400000000000002</v>
      </c>
      <c r="AD4042">
        <v>0.64400000000000002</v>
      </c>
    </row>
    <row r="4043" spans="2:30" x14ac:dyDescent="0.25">
      <c r="B4043" t="s">
        <v>133</v>
      </c>
      <c r="C4043" t="s">
        <v>3265</v>
      </c>
      <c r="D4043" t="s">
        <v>4426</v>
      </c>
      <c r="E4043" t="s">
        <v>4427</v>
      </c>
      <c r="F4043" t="s">
        <v>9697</v>
      </c>
      <c r="G4043" t="s">
        <v>3890</v>
      </c>
      <c r="H4043" t="s">
        <v>4401</v>
      </c>
      <c r="I4043" t="s">
        <v>4278</v>
      </c>
      <c r="J4043">
        <v>1</v>
      </c>
      <c r="K4043">
        <v>0.67100000000000004</v>
      </c>
      <c r="L4043">
        <v>0.57799999999999996</v>
      </c>
      <c r="M4043">
        <v>0.54300000000000004</v>
      </c>
      <c r="N4043">
        <v>0.48199999999999998</v>
      </c>
      <c r="O4043">
        <v>0.499</v>
      </c>
      <c r="P4043">
        <v>0.47399999999999998</v>
      </c>
      <c r="Q4043">
        <v>0.46700000000000003</v>
      </c>
      <c r="R4043">
        <v>0.46300000000000002</v>
      </c>
      <c r="S4043">
        <v>0.46</v>
      </c>
      <c r="T4043">
        <v>0.45700000000000002</v>
      </c>
      <c r="U4043">
        <v>0.45700000000000002</v>
      </c>
      <c r="V4043">
        <v>0.45700000000000002</v>
      </c>
      <c r="W4043">
        <v>0.45700000000000002</v>
      </c>
      <c r="X4043">
        <v>0.45700000000000002</v>
      </c>
      <c r="Y4043">
        <v>0.45700000000000002</v>
      </c>
      <c r="Z4043">
        <v>0.45700000000000002</v>
      </c>
      <c r="AA4043">
        <v>0.45700000000000002</v>
      </c>
      <c r="AB4043">
        <v>0.45700000000000002</v>
      </c>
      <c r="AC4043">
        <v>0.45700000000000002</v>
      </c>
      <c r="AD4043">
        <v>0.45700000000000002</v>
      </c>
    </row>
    <row r="4044" spans="2:30" x14ac:dyDescent="0.25">
      <c r="B4044" t="s">
        <v>133</v>
      </c>
      <c r="C4044" t="s">
        <v>3265</v>
      </c>
      <c r="D4044" t="s">
        <v>4429</v>
      </c>
      <c r="E4044" t="s">
        <v>4430</v>
      </c>
      <c r="F4044" t="s">
        <v>9698</v>
      </c>
      <c r="G4044" t="s">
        <v>3890</v>
      </c>
      <c r="H4044" t="s">
        <v>4401</v>
      </c>
      <c r="I4044" t="s">
        <v>4278</v>
      </c>
      <c r="J4044">
        <v>1</v>
      </c>
      <c r="K4044">
        <v>0.78300000000000003</v>
      </c>
      <c r="L4044">
        <v>0.69899999999999995</v>
      </c>
      <c r="M4044">
        <v>0.69099999999999995</v>
      </c>
      <c r="N4044">
        <v>0.60899999999999999</v>
      </c>
      <c r="O4044">
        <v>0.63200000000000001</v>
      </c>
      <c r="P4044">
        <v>0.59799999999999998</v>
      </c>
      <c r="Q4044">
        <v>0.58799999999999997</v>
      </c>
      <c r="R4044">
        <v>0.58399999999999996</v>
      </c>
      <c r="S4044">
        <v>0.57899999999999996</v>
      </c>
      <c r="T4044">
        <v>0.57499999999999996</v>
      </c>
      <c r="U4044">
        <v>0.57499999999999996</v>
      </c>
      <c r="V4044">
        <v>0.57499999999999996</v>
      </c>
      <c r="W4044">
        <v>0.57499999999999996</v>
      </c>
      <c r="X4044">
        <v>0.57499999999999996</v>
      </c>
      <c r="Y4044">
        <v>0.57499999999999996</v>
      </c>
      <c r="Z4044">
        <v>0.57499999999999996</v>
      </c>
      <c r="AA4044">
        <v>0.57499999999999996</v>
      </c>
      <c r="AB4044">
        <v>0.57499999999999996</v>
      </c>
      <c r="AC4044">
        <v>0.57499999999999996</v>
      </c>
      <c r="AD4044">
        <v>0.57499999999999996</v>
      </c>
    </row>
    <row r="4045" spans="2:30" x14ac:dyDescent="0.25">
      <c r="B4045" t="s">
        <v>133</v>
      </c>
      <c r="C4045" t="s">
        <v>3265</v>
      </c>
      <c r="D4045" t="s">
        <v>4432</v>
      </c>
      <c r="E4045" t="s">
        <v>4433</v>
      </c>
      <c r="F4045" t="s">
        <v>9699</v>
      </c>
      <c r="G4045" t="s">
        <v>3890</v>
      </c>
      <c r="H4045" t="s">
        <v>4435</v>
      </c>
      <c r="I4045" t="s">
        <v>4263</v>
      </c>
      <c r="J4045">
        <v>1</v>
      </c>
      <c r="K4045">
        <v>0</v>
      </c>
      <c r="L4045">
        <v>0</v>
      </c>
      <c r="M4045">
        <v>-5.5E-2</v>
      </c>
      <c r="N4045">
        <v>-5.5E-2</v>
      </c>
      <c r="O4045">
        <v>-5.5E-2</v>
      </c>
      <c r="P4045">
        <v>-5.5E-2</v>
      </c>
      <c r="Q4045">
        <v>-5.5E-2</v>
      </c>
      <c r="R4045">
        <v>-5.5E-2</v>
      </c>
      <c r="S4045">
        <v>-5.5E-2</v>
      </c>
      <c r="T4045">
        <v>-5.5E-2</v>
      </c>
      <c r="U4045">
        <v>-5.5E-2</v>
      </c>
      <c r="V4045">
        <v>-5.5E-2</v>
      </c>
      <c r="W4045">
        <v>-5.5E-2</v>
      </c>
      <c r="X4045">
        <v>-5.5E-2</v>
      </c>
      <c r="Y4045">
        <v>-5.5E-2</v>
      </c>
      <c r="Z4045">
        <v>-5.5E-2</v>
      </c>
      <c r="AA4045">
        <v>-5.5E-2</v>
      </c>
      <c r="AB4045">
        <v>-5.5E-2</v>
      </c>
      <c r="AC4045">
        <v>-5.5E-2</v>
      </c>
      <c r="AD4045">
        <v>-5.5E-2</v>
      </c>
    </row>
    <row r="4046" spans="2:30" x14ac:dyDescent="0.25">
      <c r="B4046" t="s">
        <v>133</v>
      </c>
      <c r="C4046" t="s">
        <v>3265</v>
      </c>
      <c r="D4046" t="s">
        <v>4436</v>
      </c>
      <c r="E4046" t="s">
        <v>4437</v>
      </c>
      <c r="F4046" t="s">
        <v>9700</v>
      </c>
      <c r="G4046" t="s">
        <v>3890</v>
      </c>
      <c r="H4046" t="s">
        <v>4435</v>
      </c>
      <c r="I4046" t="s">
        <v>4263</v>
      </c>
      <c r="J4046">
        <v>1</v>
      </c>
      <c r="K4046">
        <v>2E-3</v>
      </c>
      <c r="L4046">
        <v>1E-3</v>
      </c>
      <c r="M4046">
        <v>-5.5E-2</v>
      </c>
      <c r="N4046">
        <v>-5.5E-2</v>
      </c>
      <c r="O4046">
        <v>-5.5E-2</v>
      </c>
      <c r="P4046">
        <v>-5.5E-2</v>
      </c>
      <c r="Q4046">
        <v>-5.5E-2</v>
      </c>
      <c r="R4046">
        <v>-5.5E-2</v>
      </c>
      <c r="S4046">
        <v>-5.5E-2</v>
      </c>
      <c r="T4046">
        <v>-5.5E-2</v>
      </c>
      <c r="U4046">
        <v>-5.5E-2</v>
      </c>
      <c r="V4046">
        <v>-5.5E-2</v>
      </c>
      <c r="W4046">
        <v>-5.5E-2</v>
      </c>
      <c r="X4046">
        <v>-5.5E-2</v>
      </c>
      <c r="Y4046">
        <v>-5.5E-2</v>
      </c>
      <c r="Z4046">
        <v>-5.5E-2</v>
      </c>
      <c r="AA4046">
        <v>-5.5E-2</v>
      </c>
      <c r="AB4046">
        <v>-5.5E-2</v>
      </c>
      <c r="AC4046">
        <v>-5.5E-2</v>
      </c>
      <c r="AD4046">
        <v>-5.5E-2</v>
      </c>
    </row>
    <row r="4047" spans="2:30" x14ac:dyDescent="0.25">
      <c r="B4047" t="s">
        <v>133</v>
      </c>
      <c r="C4047" t="s">
        <v>3265</v>
      </c>
      <c r="D4047" t="s">
        <v>4439</v>
      </c>
      <c r="E4047" t="s">
        <v>4440</v>
      </c>
      <c r="F4047" t="s">
        <v>9701</v>
      </c>
      <c r="G4047" t="s">
        <v>3890</v>
      </c>
      <c r="H4047" t="s">
        <v>4435</v>
      </c>
      <c r="I4047" t="s">
        <v>4267</v>
      </c>
      <c r="J4047">
        <v>1</v>
      </c>
      <c r="K4047">
        <v>0.34599999999999997</v>
      </c>
      <c r="L4047">
        <v>0.219</v>
      </c>
      <c r="M4047">
        <v>0.16900000000000001</v>
      </c>
      <c r="N4047">
        <v>0.16900000000000001</v>
      </c>
      <c r="O4047">
        <v>0.16900000000000001</v>
      </c>
      <c r="P4047">
        <v>0.16900000000000001</v>
      </c>
      <c r="Q4047">
        <v>0.16900000000000001</v>
      </c>
      <c r="R4047">
        <v>0.16900000000000001</v>
      </c>
      <c r="S4047">
        <v>0.16900000000000001</v>
      </c>
      <c r="T4047">
        <v>0.16900000000000001</v>
      </c>
      <c r="U4047">
        <v>0.16900000000000001</v>
      </c>
      <c r="V4047">
        <v>0.16900000000000001</v>
      </c>
      <c r="W4047">
        <v>0.16900000000000001</v>
      </c>
      <c r="X4047">
        <v>0.16900000000000001</v>
      </c>
      <c r="Y4047">
        <v>0.16900000000000001</v>
      </c>
      <c r="Z4047">
        <v>0.16900000000000001</v>
      </c>
      <c r="AA4047">
        <v>0.16900000000000001</v>
      </c>
      <c r="AB4047">
        <v>0.16900000000000001</v>
      </c>
      <c r="AC4047">
        <v>0.16900000000000001</v>
      </c>
      <c r="AD4047">
        <v>0.16900000000000001</v>
      </c>
    </row>
    <row r="4048" spans="2:30" x14ac:dyDescent="0.25">
      <c r="B4048" t="s">
        <v>133</v>
      </c>
      <c r="C4048" t="s">
        <v>3265</v>
      </c>
      <c r="D4048" t="s">
        <v>4442</v>
      </c>
      <c r="E4048" t="s">
        <v>4443</v>
      </c>
      <c r="F4048" t="s">
        <v>9702</v>
      </c>
      <c r="G4048" t="s">
        <v>3890</v>
      </c>
      <c r="H4048" t="s">
        <v>4435</v>
      </c>
      <c r="I4048" t="s">
        <v>4267</v>
      </c>
      <c r="J4048">
        <v>1</v>
      </c>
      <c r="K4048">
        <v>-6.9240000000000004</v>
      </c>
      <c r="L4048">
        <v>-5.181</v>
      </c>
      <c r="M4048">
        <v>-4.4829999999999997</v>
      </c>
      <c r="N4048">
        <v>-4.5529999999999999</v>
      </c>
      <c r="O4048">
        <v>-4.5940000000000003</v>
      </c>
      <c r="P4048">
        <v>-4.4880000000000004</v>
      </c>
      <c r="Q4048">
        <v>-4.3620000000000001</v>
      </c>
      <c r="R4048">
        <v>-4.3179999999999996</v>
      </c>
      <c r="S4048">
        <v>-4.3049999999999997</v>
      </c>
      <c r="T4048">
        <v>-4.298</v>
      </c>
      <c r="U4048">
        <v>-4.298</v>
      </c>
      <c r="V4048">
        <v>-4.298</v>
      </c>
      <c r="W4048">
        <v>-4.298</v>
      </c>
      <c r="X4048">
        <v>-4.298</v>
      </c>
      <c r="Y4048">
        <v>-4.298</v>
      </c>
      <c r="Z4048">
        <v>-4.298</v>
      </c>
      <c r="AA4048">
        <v>-4.298</v>
      </c>
      <c r="AB4048">
        <v>-4.298</v>
      </c>
      <c r="AC4048">
        <v>-4.298</v>
      </c>
      <c r="AD4048">
        <v>-4.298</v>
      </c>
    </row>
    <row r="4049" spans="2:30" x14ac:dyDescent="0.25">
      <c r="B4049" t="s">
        <v>133</v>
      </c>
      <c r="C4049" t="s">
        <v>3265</v>
      </c>
      <c r="D4049" t="s">
        <v>4445</v>
      </c>
      <c r="E4049" t="s">
        <v>4446</v>
      </c>
      <c r="F4049" t="s">
        <v>9703</v>
      </c>
      <c r="G4049" t="s">
        <v>3890</v>
      </c>
      <c r="H4049" t="s">
        <v>4435</v>
      </c>
      <c r="I4049" t="s">
        <v>4267</v>
      </c>
      <c r="J4049">
        <v>1</v>
      </c>
      <c r="K4049">
        <v>0.184</v>
      </c>
      <c r="L4049">
        <v>0.187</v>
      </c>
      <c r="M4049">
        <v>1E-3</v>
      </c>
      <c r="N4049">
        <v>1E-3</v>
      </c>
      <c r="O4049">
        <v>1E-3</v>
      </c>
      <c r="P4049">
        <v>1E-3</v>
      </c>
      <c r="Q4049">
        <v>1E-3</v>
      </c>
      <c r="R4049">
        <v>1E-3</v>
      </c>
      <c r="S4049">
        <v>1E-3</v>
      </c>
      <c r="T4049">
        <v>1E-3</v>
      </c>
      <c r="U4049">
        <v>1E-3</v>
      </c>
      <c r="V4049">
        <v>1E-3</v>
      </c>
      <c r="W4049">
        <v>1E-3</v>
      </c>
      <c r="X4049">
        <v>1E-3</v>
      </c>
      <c r="Y4049">
        <v>1E-3</v>
      </c>
      <c r="Z4049">
        <v>1E-3</v>
      </c>
      <c r="AA4049">
        <v>1E-3</v>
      </c>
      <c r="AB4049">
        <v>1E-3</v>
      </c>
      <c r="AC4049">
        <v>1E-3</v>
      </c>
      <c r="AD4049">
        <v>1E-3</v>
      </c>
    </row>
    <row r="4050" spans="2:30" x14ac:dyDescent="0.25">
      <c r="B4050" t="s">
        <v>133</v>
      </c>
      <c r="C4050" t="s">
        <v>3265</v>
      </c>
      <c r="D4050" t="s">
        <v>4448</v>
      </c>
      <c r="E4050" t="s">
        <v>4449</v>
      </c>
      <c r="F4050" t="s">
        <v>9704</v>
      </c>
      <c r="G4050" t="s">
        <v>3890</v>
      </c>
      <c r="H4050" t="s">
        <v>4435</v>
      </c>
      <c r="I4050" t="s">
        <v>4267</v>
      </c>
      <c r="J4050">
        <v>1</v>
      </c>
      <c r="K4050">
        <v>-12.263</v>
      </c>
      <c r="L4050">
        <v>-11.798999999999999</v>
      </c>
      <c r="M4050">
        <v>-12.055999999999999</v>
      </c>
      <c r="N4050">
        <v>-12.122999999999999</v>
      </c>
      <c r="O4050">
        <v>-12.162000000000001</v>
      </c>
      <c r="P4050">
        <v>-12.061</v>
      </c>
      <c r="Q4050">
        <v>-11.942</v>
      </c>
      <c r="R4050">
        <v>-11.9</v>
      </c>
      <c r="S4050">
        <v>-11.888</v>
      </c>
      <c r="T4050">
        <v>-11.881</v>
      </c>
      <c r="U4050">
        <v>-11.881</v>
      </c>
      <c r="V4050">
        <v>-11.881</v>
      </c>
      <c r="W4050">
        <v>-11.881</v>
      </c>
      <c r="X4050">
        <v>-11.881</v>
      </c>
      <c r="Y4050">
        <v>-11.881</v>
      </c>
      <c r="Z4050">
        <v>-11.881</v>
      </c>
      <c r="AA4050">
        <v>-11.881</v>
      </c>
      <c r="AB4050">
        <v>-11.881</v>
      </c>
      <c r="AC4050">
        <v>-11.881</v>
      </c>
      <c r="AD4050">
        <v>-11.881</v>
      </c>
    </row>
    <row r="4051" spans="2:30" x14ac:dyDescent="0.25">
      <c r="B4051" t="s">
        <v>133</v>
      </c>
      <c r="C4051" t="s">
        <v>3265</v>
      </c>
      <c r="D4051" t="s">
        <v>4451</v>
      </c>
      <c r="E4051" t="s">
        <v>4452</v>
      </c>
      <c r="F4051" t="s">
        <v>9705</v>
      </c>
      <c r="G4051" t="s">
        <v>3890</v>
      </c>
      <c r="H4051" t="s">
        <v>4435</v>
      </c>
      <c r="I4051" t="s">
        <v>4267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</row>
    <row r="4052" spans="2:30" x14ac:dyDescent="0.25">
      <c r="B4052" t="s">
        <v>133</v>
      </c>
      <c r="C4052" t="s">
        <v>3265</v>
      </c>
      <c r="D4052" t="s">
        <v>4454</v>
      </c>
      <c r="E4052" t="s">
        <v>4455</v>
      </c>
      <c r="F4052" t="s">
        <v>9706</v>
      </c>
      <c r="G4052" t="s">
        <v>3890</v>
      </c>
      <c r="H4052" t="s">
        <v>4435</v>
      </c>
      <c r="I4052" t="s">
        <v>4267</v>
      </c>
      <c r="J4052">
        <v>1</v>
      </c>
      <c r="K4052">
        <v>-8.7029999999999994</v>
      </c>
      <c r="L4052">
        <v>-6.7750000000000004</v>
      </c>
      <c r="M4052">
        <v>-6.1120000000000001</v>
      </c>
      <c r="N4052">
        <v>-6.1909999999999998</v>
      </c>
      <c r="O4052">
        <v>-6.2380000000000004</v>
      </c>
      <c r="P4052">
        <v>-6.1180000000000003</v>
      </c>
      <c r="Q4052">
        <v>-5.9779999999999998</v>
      </c>
      <c r="R4052">
        <v>-5.9279999999999999</v>
      </c>
      <c r="S4052">
        <v>-5.9139999999999997</v>
      </c>
      <c r="T4052">
        <v>-5.9059999999999997</v>
      </c>
      <c r="U4052">
        <v>-5.9059999999999997</v>
      </c>
      <c r="V4052">
        <v>-5.9059999999999997</v>
      </c>
      <c r="W4052">
        <v>-5.9059999999999997</v>
      </c>
      <c r="X4052">
        <v>-5.9059999999999997</v>
      </c>
      <c r="Y4052">
        <v>-5.9059999999999997</v>
      </c>
      <c r="Z4052">
        <v>-5.9059999999999997</v>
      </c>
      <c r="AA4052">
        <v>-5.9059999999999997</v>
      </c>
      <c r="AB4052">
        <v>-5.9059999999999997</v>
      </c>
      <c r="AC4052">
        <v>-5.9059999999999997</v>
      </c>
      <c r="AD4052">
        <v>-5.9059999999999997</v>
      </c>
    </row>
    <row r="4053" spans="2:30" x14ac:dyDescent="0.25">
      <c r="B4053" t="s">
        <v>133</v>
      </c>
      <c r="C4053" t="s">
        <v>3265</v>
      </c>
      <c r="D4053" t="s">
        <v>4457</v>
      </c>
      <c r="E4053" t="s">
        <v>4458</v>
      </c>
      <c r="F4053" t="s">
        <v>9707</v>
      </c>
      <c r="G4053" t="s">
        <v>3890</v>
      </c>
      <c r="H4053" t="s">
        <v>4435</v>
      </c>
      <c r="I4053" t="s">
        <v>4274</v>
      </c>
      <c r="J4053">
        <v>1</v>
      </c>
      <c r="K4053">
        <v>-83.447000000000003</v>
      </c>
      <c r="L4053">
        <v>-68.769000000000005</v>
      </c>
      <c r="M4053">
        <v>-68.430999999999997</v>
      </c>
      <c r="N4053">
        <v>-68.430999999999997</v>
      </c>
      <c r="O4053">
        <v>-68.430999999999997</v>
      </c>
      <c r="P4053">
        <v>-68.430999999999997</v>
      </c>
      <c r="Q4053">
        <v>-68.430999999999997</v>
      </c>
      <c r="R4053">
        <v>-68.430999999999997</v>
      </c>
      <c r="S4053">
        <v>-68.430999999999997</v>
      </c>
      <c r="T4053">
        <v>-68.430999999999997</v>
      </c>
      <c r="U4053">
        <v>-68.430999999999997</v>
      </c>
      <c r="V4053">
        <v>-68.430999999999997</v>
      </c>
      <c r="W4053">
        <v>-68.430999999999997</v>
      </c>
      <c r="X4053">
        <v>-68.430999999999997</v>
      </c>
      <c r="Y4053">
        <v>-68.430999999999997</v>
      </c>
      <c r="Z4053">
        <v>-68.430999999999997</v>
      </c>
      <c r="AA4053">
        <v>-68.430999999999997</v>
      </c>
      <c r="AB4053">
        <v>-68.430999999999997</v>
      </c>
      <c r="AC4053">
        <v>-68.430999999999997</v>
      </c>
      <c r="AD4053">
        <v>-68.430999999999997</v>
      </c>
    </row>
    <row r="4054" spans="2:30" x14ac:dyDescent="0.25">
      <c r="B4054" t="s">
        <v>133</v>
      </c>
      <c r="C4054" t="s">
        <v>3265</v>
      </c>
      <c r="D4054" t="s">
        <v>4460</v>
      </c>
      <c r="E4054" t="s">
        <v>4461</v>
      </c>
      <c r="F4054" t="s">
        <v>9708</v>
      </c>
      <c r="G4054" t="s">
        <v>3890</v>
      </c>
      <c r="H4054" t="s">
        <v>4435</v>
      </c>
      <c r="I4054" t="s">
        <v>4278</v>
      </c>
      <c r="J4054">
        <v>1</v>
      </c>
      <c r="K4054">
        <v>-0.36299999999999999</v>
      </c>
      <c r="L4054">
        <v>-0.40699999999999997</v>
      </c>
      <c r="M4054">
        <v>-0.42799999999999999</v>
      </c>
      <c r="N4054">
        <v>-0.33600000000000002</v>
      </c>
      <c r="O4054">
        <v>-0.36199999999999999</v>
      </c>
      <c r="P4054">
        <v>-0.32300000000000001</v>
      </c>
      <c r="Q4054">
        <v>-0.312</v>
      </c>
      <c r="R4054">
        <v>-0.307</v>
      </c>
      <c r="S4054">
        <v>-0.30199999999999999</v>
      </c>
      <c r="T4054">
        <v>-0.29699999999999999</v>
      </c>
      <c r="U4054">
        <v>-0.29699999999999999</v>
      </c>
      <c r="V4054">
        <v>-0.29699999999999999</v>
      </c>
      <c r="W4054">
        <v>-0.29699999999999999</v>
      </c>
      <c r="X4054">
        <v>-0.29699999999999999</v>
      </c>
      <c r="Y4054">
        <v>-0.29699999999999999</v>
      </c>
      <c r="Z4054">
        <v>-0.29699999999999999</v>
      </c>
      <c r="AA4054">
        <v>-0.29699999999999999</v>
      </c>
      <c r="AB4054">
        <v>-0.29699999999999999</v>
      </c>
      <c r="AC4054">
        <v>-0.29699999999999999</v>
      </c>
      <c r="AD4054">
        <v>-0.29699999999999999</v>
      </c>
    </row>
    <row r="4055" spans="2:30" x14ac:dyDescent="0.25">
      <c r="B4055" t="s">
        <v>133</v>
      </c>
      <c r="C4055" t="s">
        <v>3265</v>
      </c>
      <c r="D4055" t="s">
        <v>4463</v>
      </c>
      <c r="E4055" t="s">
        <v>4464</v>
      </c>
      <c r="F4055" t="s">
        <v>9709</v>
      </c>
      <c r="G4055" t="s">
        <v>3890</v>
      </c>
      <c r="H4055" t="s">
        <v>4435</v>
      </c>
      <c r="I4055" t="s">
        <v>4278</v>
      </c>
      <c r="J4055">
        <v>1</v>
      </c>
      <c r="K4055">
        <v>-0.66300000000000003</v>
      </c>
      <c r="L4055">
        <v>-0.57399999999999995</v>
      </c>
      <c r="M4055">
        <v>-0.52900000000000003</v>
      </c>
      <c r="N4055">
        <v>-0.435</v>
      </c>
      <c r="O4055">
        <v>-0.46100000000000002</v>
      </c>
      <c r="P4055">
        <v>-0.42099999999999999</v>
      </c>
      <c r="Q4055">
        <v>-0.41</v>
      </c>
      <c r="R4055">
        <v>-0.40500000000000003</v>
      </c>
      <c r="S4055">
        <v>-0.4</v>
      </c>
      <c r="T4055">
        <v>-0.39500000000000002</v>
      </c>
      <c r="U4055">
        <v>-0.39500000000000002</v>
      </c>
      <c r="V4055">
        <v>-0.39500000000000002</v>
      </c>
      <c r="W4055">
        <v>-0.39500000000000002</v>
      </c>
      <c r="X4055">
        <v>-0.39500000000000002</v>
      </c>
      <c r="Y4055">
        <v>-0.39500000000000002</v>
      </c>
      <c r="Z4055">
        <v>-0.39500000000000002</v>
      </c>
      <c r="AA4055">
        <v>-0.39500000000000002</v>
      </c>
      <c r="AB4055">
        <v>-0.39500000000000002</v>
      </c>
      <c r="AC4055">
        <v>-0.39500000000000002</v>
      </c>
      <c r="AD4055">
        <v>-0.39500000000000002</v>
      </c>
    </row>
    <row r="4056" spans="2:30" x14ac:dyDescent="0.25">
      <c r="B4056" t="s">
        <v>133</v>
      </c>
      <c r="C4056" t="s">
        <v>3265</v>
      </c>
      <c r="D4056" t="s">
        <v>4466</v>
      </c>
      <c r="E4056" t="s">
        <v>4467</v>
      </c>
      <c r="F4056" t="s">
        <v>9710</v>
      </c>
      <c r="G4056" t="s">
        <v>3890</v>
      </c>
      <c r="H4056" t="s">
        <v>4435</v>
      </c>
      <c r="I4056" t="s">
        <v>4278</v>
      </c>
      <c r="J4056">
        <v>1</v>
      </c>
      <c r="K4056">
        <v>-0.496</v>
      </c>
      <c r="L4056">
        <v>-0.47599999999999998</v>
      </c>
      <c r="M4056">
        <v>-0.45500000000000002</v>
      </c>
      <c r="N4056">
        <v>-0.39400000000000002</v>
      </c>
      <c r="O4056">
        <v>-0.41099999999999998</v>
      </c>
      <c r="P4056">
        <v>-0.38600000000000001</v>
      </c>
      <c r="Q4056">
        <v>-0.379</v>
      </c>
      <c r="R4056">
        <v>-0.375</v>
      </c>
      <c r="S4056">
        <v>-0.372</v>
      </c>
      <c r="T4056">
        <v>-0.36899999999999999</v>
      </c>
      <c r="U4056">
        <v>-0.36899999999999999</v>
      </c>
      <c r="V4056">
        <v>-0.36899999999999999</v>
      </c>
      <c r="W4056">
        <v>-0.36899999999999999</v>
      </c>
      <c r="X4056">
        <v>-0.36899999999999999</v>
      </c>
      <c r="Y4056">
        <v>-0.36899999999999999</v>
      </c>
      <c r="Z4056">
        <v>-0.36899999999999999</v>
      </c>
      <c r="AA4056">
        <v>-0.36899999999999999</v>
      </c>
      <c r="AB4056">
        <v>-0.36899999999999999</v>
      </c>
      <c r="AC4056">
        <v>-0.36899999999999999</v>
      </c>
      <c r="AD4056">
        <v>-0.36899999999999999</v>
      </c>
    </row>
    <row r="4057" spans="2:30" x14ac:dyDescent="0.25">
      <c r="B4057" t="s">
        <v>133</v>
      </c>
      <c r="C4057" t="s">
        <v>3265</v>
      </c>
      <c r="D4057" t="s">
        <v>4469</v>
      </c>
      <c r="E4057" t="s">
        <v>4470</v>
      </c>
      <c r="F4057" t="s">
        <v>9711</v>
      </c>
      <c r="G4057" t="s">
        <v>3890</v>
      </c>
      <c r="H4057" t="s">
        <v>4435</v>
      </c>
      <c r="I4057" t="s">
        <v>4278</v>
      </c>
      <c r="J4057">
        <v>1</v>
      </c>
      <c r="K4057">
        <v>-0.36899999999999999</v>
      </c>
      <c r="L4057">
        <v>-0.44</v>
      </c>
      <c r="M4057">
        <v>-0.44800000000000001</v>
      </c>
      <c r="N4057">
        <v>-0.36499999999999999</v>
      </c>
      <c r="O4057">
        <v>-0.38800000000000001</v>
      </c>
      <c r="P4057">
        <v>-0.35399999999999998</v>
      </c>
      <c r="Q4057">
        <v>-0.34399999999999997</v>
      </c>
      <c r="R4057">
        <v>-0.34</v>
      </c>
      <c r="S4057">
        <v>-0.33600000000000002</v>
      </c>
      <c r="T4057">
        <v>-0.33100000000000002</v>
      </c>
      <c r="U4057">
        <v>-0.33100000000000002</v>
      </c>
      <c r="V4057">
        <v>-0.33100000000000002</v>
      </c>
      <c r="W4057">
        <v>-0.33100000000000002</v>
      </c>
      <c r="X4057">
        <v>-0.33100000000000002</v>
      </c>
      <c r="Y4057">
        <v>-0.33100000000000002</v>
      </c>
      <c r="Z4057">
        <v>-0.33100000000000002</v>
      </c>
      <c r="AA4057">
        <v>-0.33100000000000002</v>
      </c>
      <c r="AB4057">
        <v>-0.33100000000000002</v>
      </c>
      <c r="AC4057">
        <v>-0.33100000000000002</v>
      </c>
      <c r="AD4057">
        <v>-0.33100000000000002</v>
      </c>
    </row>
    <row r="4058" spans="2:30" x14ac:dyDescent="0.25">
      <c r="B4058" t="s">
        <v>133</v>
      </c>
      <c r="C4058" t="s">
        <v>3265</v>
      </c>
      <c r="D4058" t="s">
        <v>4472</v>
      </c>
      <c r="E4058" t="s">
        <v>4473</v>
      </c>
      <c r="F4058" t="s">
        <v>9712</v>
      </c>
      <c r="G4058" t="s">
        <v>4475</v>
      </c>
      <c r="H4058" t="s">
        <v>4476</v>
      </c>
      <c r="I4058" t="s">
        <v>4263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</row>
    <row r="4059" spans="2:30" x14ac:dyDescent="0.25">
      <c r="B4059" t="s">
        <v>133</v>
      </c>
      <c r="C4059" t="s">
        <v>3265</v>
      </c>
      <c r="D4059" t="s">
        <v>4477</v>
      </c>
      <c r="E4059" t="s">
        <v>4478</v>
      </c>
      <c r="F4059" t="s">
        <v>9713</v>
      </c>
      <c r="G4059" t="s">
        <v>3890</v>
      </c>
      <c r="H4059" t="s">
        <v>4476</v>
      </c>
      <c r="I4059" t="s">
        <v>4263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</row>
    <row r="4060" spans="2:30" x14ac:dyDescent="0.25">
      <c r="B4060" t="s">
        <v>133</v>
      </c>
      <c r="C4060" t="s">
        <v>3265</v>
      </c>
      <c r="D4060" t="s">
        <v>4480</v>
      </c>
      <c r="E4060" t="s">
        <v>4481</v>
      </c>
      <c r="F4060" t="s">
        <v>9714</v>
      </c>
      <c r="G4060" t="s">
        <v>3890</v>
      </c>
      <c r="H4060" t="s">
        <v>4476</v>
      </c>
      <c r="I4060" t="s">
        <v>4267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</row>
    <row r="4061" spans="2:30" x14ac:dyDescent="0.25">
      <c r="B4061" t="s">
        <v>133</v>
      </c>
      <c r="C4061" t="s">
        <v>3265</v>
      </c>
      <c r="D4061" t="s">
        <v>4483</v>
      </c>
      <c r="E4061" t="s">
        <v>4484</v>
      </c>
      <c r="F4061" t="s">
        <v>9715</v>
      </c>
      <c r="G4061" t="s">
        <v>3890</v>
      </c>
      <c r="H4061" t="s">
        <v>4476</v>
      </c>
      <c r="I4061" t="s">
        <v>4267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</row>
    <row r="4062" spans="2:30" x14ac:dyDescent="0.25">
      <c r="B4062" t="s">
        <v>133</v>
      </c>
      <c r="C4062" t="s">
        <v>3265</v>
      </c>
      <c r="D4062" t="s">
        <v>4486</v>
      </c>
      <c r="E4062" t="s">
        <v>4487</v>
      </c>
      <c r="F4062" t="s">
        <v>9716</v>
      </c>
      <c r="G4062" t="s">
        <v>3890</v>
      </c>
      <c r="H4062" t="s">
        <v>4476</v>
      </c>
      <c r="I4062" t="s">
        <v>4267</v>
      </c>
      <c r="J4062">
        <v>1</v>
      </c>
      <c r="K4062">
        <v>2.8740000000000001</v>
      </c>
      <c r="L4062">
        <v>1.948</v>
      </c>
      <c r="M4062">
        <v>1.8109999999999999</v>
      </c>
      <c r="N4062">
        <v>1.677</v>
      </c>
      <c r="O4062">
        <v>1.68</v>
      </c>
      <c r="P4062">
        <v>1.6910000000000001</v>
      </c>
      <c r="Q4062">
        <v>1.6859999999999999</v>
      </c>
      <c r="R4062">
        <v>1.68</v>
      </c>
      <c r="S4062">
        <v>1.675</v>
      </c>
      <c r="T4062">
        <v>1.669</v>
      </c>
      <c r="U4062">
        <v>1.669</v>
      </c>
      <c r="V4062">
        <v>1.669</v>
      </c>
      <c r="W4062">
        <v>1.669</v>
      </c>
      <c r="X4062">
        <v>1.669</v>
      </c>
      <c r="Y4062">
        <v>1.669</v>
      </c>
      <c r="Z4062">
        <v>1.669</v>
      </c>
      <c r="AA4062">
        <v>1.669</v>
      </c>
      <c r="AB4062">
        <v>1.669</v>
      </c>
      <c r="AC4062">
        <v>1.669</v>
      </c>
      <c r="AD4062">
        <v>1.669</v>
      </c>
    </row>
    <row r="4063" spans="2:30" x14ac:dyDescent="0.25">
      <c r="B4063" t="s">
        <v>133</v>
      </c>
      <c r="C4063" t="s">
        <v>3265</v>
      </c>
      <c r="D4063" t="s">
        <v>4489</v>
      </c>
      <c r="E4063" t="s">
        <v>4490</v>
      </c>
      <c r="F4063" t="s">
        <v>9717</v>
      </c>
      <c r="G4063" t="s">
        <v>3890</v>
      </c>
      <c r="H4063" t="s">
        <v>4476</v>
      </c>
      <c r="I4063" t="s">
        <v>4267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</row>
    <row r="4064" spans="2:30" x14ac:dyDescent="0.25">
      <c r="B4064" t="s">
        <v>133</v>
      </c>
      <c r="C4064" t="s">
        <v>3265</v>
      </c>
      <c r="D4064" t="s">
        <v>4492</v>
      </c>
      <c r="E4064" t="s">
        <v>4493</v>
      </c>
      <c r="F4064" t="s">
        <v>9718</v>
      </c>
      <c r="G4064" t="s">
        <v>3890</v>
      </c>
      <c r="H4064" t="s">
        <v>4476</v>
      </c>
      <c r="I4064" t="s">
        <v>4267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</row>
    <row r="4065" spans="2:30" x14ac:dyDescent="0.25">
      <c r="B4065" t="s">
        <v>133</v>
      </c>
      <c r="C4065" t="s">
        <v>3265</v>
      </c>
      <c r="D4065" t="s">
        <v>4495</v>
      </c>
      <c r="E4065" t="s">
        <v>4496</v>
      </c>
      <c r="F4065" t="s">
        <v>9719</v>
      </c>
      <c r="G4065" t="s">
        <v>3890</v>
      </c>
      <c r="H4065" t="s">
        <v>4476</v>
      </c>
      <c r="I4065" t="s">
        <v>4267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</row>
    <row r="4066" spans="2:30" x14ac:dyDescent="0.25">
      <c r="B4066" t="s">
        <v>133</v>
      </c>
      <c r="C4066" t="s">
        <v>3265</v>
      </c>
      <c r="D4066" t="s">
        <v>4498</v>
      </c>
      <c r="E4066" t="s">
        <v>4499</v>
      </c>
      <c r="F4066" t="s">
        <v>9720</v>
      </c>
      <c r="G4066" t="s">
        <v>3890</v>
      </c>
      <c r="H4066" t="s">
        <v>4476</v>
      </c>
      <c r="I4066" t="s">
        <v>4274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</row>
    <row r="4067" spans="2:30" x14ac:dyDescent="0.25">
      <c r="B4067" t="s">
        <v>133</v>
      </c>
      <c r="C4067" t="s">
        <v>3265</v>
      </c>
      <c r="D4067" t="s">
        <v>4501</v>
      </c>
      <c r="E4067" t="s">
        <v>4502</v>
      </c>
      <c r="F4067" t="s">
        <v>9721</v>
      </c>
      <c r="G4067" t="s">
        <v>3890</v>
      </c>
      <c r="H4067" t="s">
        <v>4476</v>
      </c>
      <c r="I4067" t="s">
        <v>4278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</row>
    <row r="4068" spans="2:30" x14ac:dyDescent="0.25">
      <c r="B4068" t="s">
        <v>133</v>
      </c>
      <c r="C4068" t="s">
        <v>3265</v>
      </c>
      <c r="D4068" t="s">
        <v>4504</v>
      </c>
      <c r="E4068" t="s">
        <v>4505</v>
      </c>
      <c r="F4068" t="s">
        <v>9722</v>
      </c>
      <c r="G4068" t="s">
        <v>3890</v>
      </c>
      <c r="H4068" t="s">
        <v>4476</v>
      </c>
      <c r="I4068" t="s">
        <v>4278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</row>
    <row r="4069" spans="2:30" x14ac:dyDescent="0.25">
      <c r="B4069" t="s">
        <v>133</v>
      </c>
      <c r="C4069" t="s">
        <v>3265</v>
      </c>
      <c r="D4069" t="s">
        <v>4507</v>
      </c>
      <c r="E4069" t="s">
        <v>4508</v>
      </c>
      <c r="F4069" t="s">
        <v>9723</v>
      </c>
      <c r="G4069" t="s">
        <v>3890</v>
      </c>
      <c r="H4069" t="s">
        <v>4476</v>
      </c>
      <c r="I4069" t="s">
        <v>4278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</row>
    <row r="4070" spans="2:30" x14ac:dyDescent="0.25">
      <c r="B4070" t="s">
        <v>133</v>
      </c>
      <c r="C4070" t="s">
        <v>3265</v>
      </c>
      <c r="D4070" t="s">
        <v>4510</v>
      </c>
      <c r="E4070" t="s">
        <v>4511</v>
      </c>
      <c r="F4070" t="s">
        <v>9724</v>
      </c>
      <c r="G4070" t="s">
        <v>3890</v>
      </c>
      <c r="H4070" t="s">
        <v>4476</v>
      </c>
      <c r="I4070" t="s">
        <v>4278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</row>
    <row r="4071" spans="2:30" x14ac:dyDescent="0.25">
      <c r="B4071" t="s">
        <v>133</v>
      </c>
      <c r="C4071" t="s">
        <v>3265</v>
      </c>
      <c r="D4071" t="s">
        <v>4513</v>
      </c>
      <c r="E4071" t="s">
        <v>4514</v>
      </c>
      <c r="F4071" t="s">
        <v>9725</v>
      </c>
      <c r="G4071" t="s">
        <v>3890</v>
      </c>
      <c r="H4071" t="s">
        <v>4476</v>
      </c>
      <c r="I4071" t="s">
        <v>4263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</row>
    <row r="4072" spans="2:30" x14ac:dyDescent="0.25">
      <c r="B4072" t="s">
        <v>133</v>
      </c>
      <c r="C4072" t="s">
        <v>3265</v>
      </c>
      <c r="D4072" t="s">
        <v>4516</v>
      </c>
      <c r="E4072" t="s">
        <v>4517</v>
      </c>
      <c r="F4072" t="s">
        <v>9726</v>
      </c>
      <c r="G4072" t="s">
        <v>3890</v>
      </c>
      <c r="H4072" t="s">
        <v>4476</v>
      </c>
      <c r="I4072" t="s">
        <v>4263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</row>
    <row r="4073" spans="2:30" x14ac:dyDescent="0.25">
      <c r="B4073" t="s">
        <v>133</v>
      </c>
      <c r="C4073" t="s">
        <v>3265</v>
      </c>
      <c r="D4073" t="s">
        <v>4519</v>
      </c>
      <c r="E4073" t="s">
        <v>4520</v>
      </c>
      <c r="F4073" t="s">
        <v>9727</v>
      </c>
      <c r="G4073" t="s">
        <v>3890</v>
      </c>
      <c r="H4073" t="s">
        <v>4476</v>
      </c>
      <c r="I4073" t="s">
        <v>4267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</row>
    <row r="4074" spans="2:30" x14ac:dyDescent="0.25">
      <c r="B4074" t="s">
        <v>133</v>
      </c>
      <c r="C4074" t="s">
        <v>3265</v>
      </c>
      <c r="D4074" t="s">
        <v>4522</v>
      </c>
      <c r="E4074" t="s">
        <v>4523</v>
      </c>
      <c r="F4074" t="s">
        <v>9728</v>
      </c>
      <c r="G4074" t="s">
        <v>3890</v>
      </c>
      <c r="H4074" t="s">
        <v>4476</v>
      </c>
      <c r="I4074" t="s">
        <v>4267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</row>
    <row r="4075" spans="2:30" x14ac:dyDescent="0.25">
      <c r="B4075" t="s">
        <v>133</v>
      </c>
      <c r="C4075" t="s">
        <v>3265</v>
      </c>
      <c r="D4075" t="s">
        <v>4525</v>
      </c>
      <c r="E4075" t="s">
        <v>4526</v>
      </c>
      <c r="F4075" t="s">
        <v>9729</v>
      </c>
      <c r="G4075" t="s">
        <v>3890</v>
      </c>
      <c r="H4075" t="s">
        <v>4476</v>
      </c>
      <c r="I4075" t="s">
        <v>4267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</row>
    <row r="4076" spans="2:30" x14ac:dyDescent="0.25">
      <c r="B4076" t="s">
        <v>133</v>
      </c>
      <c r="C4076" t="s">
        <v>3265</v>
      </c>
      <c r="D4076" t="s">
        <v>4528</v>
      </c>
      <c r="E4076" t="s">
        <v>4529</v>
      </c>
      <c r="F4076" t="s">
        <v>9730</v>
      </c>
      <c r="G4076" t="s">
        <v>3890</v>
      </c>
      <c r="H4076" t="s">
        <v>4476</v>
      </c>
      <c r="I4076" t="s">
        <v>4267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</row>
    <row r="4077" spans="2:30" x14ac:dyDescent="0.25">
      <c r="B4077" t="s">
        <v>133</v>
      </c>
      <c r="C4077" t="s">
        <v>3265</v>
      </c>
      <c r="D4077" t="s">
        <v>4531</v>
      </c>
      <c r="E4077" t="s">
        <v>4532</v>
      </c>
      <c r="F4077" t="s">
        <v>9731</v>
      </c>
      <c r="G4077" t="s">
        <v>3890</v>
      </c>
      <c r="H4077" t="s">
        <v>4476</v>
      </c>
      <c r="I4077" t="s">
        <v>4267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</row>
    <row r="4078" spans="2:30" x14ac:dyDescent="0.25">
      <c r="B4078" t="s">
        <v>133</v>
      </c>
      <c r="C4078" t="s">
        <v>3265</v>
      </c>
      <c r="D4078" t="s">
        <v>4534</v>
      </c>
      <c r="E4078" t="s">
        <v>4535</v>
      </c>
      <c r="F4078" t="s">
        <v>9732</v>
      </c>
      <c r="G4078" t="s">
        <v>3890</v>
      </c>
      <c r="H4078" t="s">
        <v>4476</v>
      </c>
      <c r="I4078" t="s">
        <v>4267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</row>
    <row r="4079" spans="2:30" x14ac:dyDescent="0.25">
      <c r="B4079" t="s">
        <v>133</v>
      </c>
      <c r="C4079" t="s">
        <v>3265</v>
      </c>
      <c r="D4079" t="s">
        <v>4537</v>
      </c>
      <c r="E4079" t="s">
        <v>4538</v>
      </c>
      <c r="F4079" t="s">
        <v>9733</v>
      </c>
      <c r="G4079" t="s">
        <v>3890</v>
      </c>
      <c r="H4079" t="s">
        <v>4476</v>
      </c>
      <c r="I4079" t="s">
        <v>4274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</row>
    <row r="4080" spans="2:30" x14ac:dyDescent="0.25">
      <c r="B4080" t="s">
        <v>133</v>
      </c>
      <c r="C4080" t="s">
        <v>3265</v>
      </c>
      <c r="D4080" t="s">
        <v>4540</v>
      </c>
      <c r="E4080" t="s">
        <v>4541</v>
      </c>
      <c r="F4080" t="s">
        <v>9734</v>
      </c>
      <c r="G4080" t="s">
        <v>3890</v>
      </c>
      <c r="H4080" t="s">
        <v>4476</v>
      </c>
      <c r="I4080" t="s">
        <v>4278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</row>
    <row r="4081" spans="2:30" x14ac:dyDescent="0.25">
      <c r="B4081" t="s">
        <v>133</v>
      </c>
      <c r="C4081" t="s">
        <v>3265</v>
      </c>
      <c r="D4081" t="s">
        <v>4543</v>
      </c>
      <c r="E4081" t="s">
        <v>4544</v>
      </c>
      <c r="F4081" t="s">
        <v>9735</v>
      </c>
      <c r="G4081" t="s">
        <v>3890</v>
      </c>
      <c r="H4081" t="s">
        <v>4476</v>
      </c>
      <c r="I4081" t="s">
        <v>4278</v>
      </c>
      <c r="J4081">
        <v>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</row>
    <row r="4082" spans="2:30" x14ac:dyDescent="0.25">
      <c r="B4082" t="s">
        <v>133</v>
      </c>
      <c r="C4082" t="s">
        <v>3265</v>
      </c>
      <c r="D4082" t="s">
        <v>4546</v>
      </c>
      <c r="E4082" t="s">
        <v>4547</v>
      </c>
      <c r="F4082" t="s">
        <v>9736</v>
      </c>
      <c r="G4082" t="s">
        <v>3890</v>
      </c>
      <c r="H4082" t="s">
        <v>4476</v>
      </c>
      <c r="I4082" t="s">
        <v>4278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</row>
    <row r="4083" spans="2:30" x14ac:dyDescent="0.25">
      <c r="B4083" t="s">
        <v>133</v>
      </c>
      <c r="C4083" t="s">
        <v>3265</v>
      </c>
      <c r="D4083" t="s">
        <v>4549</v>
      </c>
      <c r="E4083" t="s">
        <v>4550</v>
      </c>
      <c r="F4083" t="s">
        <v>9737</v>
      </c>
      <c r="G4083" t="s">
        <v>3890</v>
      </c>
      <c r="H4083" t="s">
        <v>4476</v>
      </c>
      <c r="I4083" t="s">
        <v>4278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</row>
    <row r="4084" spans="2:30" x14ac:dyDescent="0.25">
      <c r="B4084" t="s">
        <v>133</v>
      </c>
      <c r="C4084" t="s">
        <v>3265</v>
      </c>
      <c r="D4084" t="s">
        <v>4552</v>
      </c>
      <c r="E4084" t="s">
        <v>4553</v>
      </c>
      <c r="F4084" t="s">
        <v>9738</v>
      </c>
      <c r="G4084" t="s">
        <v>3890</v>
      </c>
      <c r="H4084" t="s">
        <v>4555</v>
      </c>
      <c r="I4084" t="s">
        <v>4263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</row>
    <row r="4085" spans="2:30" x14ac:dyDescent="0.25">
      <c r="B4085" t="s">
        <v>133</v>
      </c>
      <c r="C4085" t="s">
        <v>3265</v>
      </c>
      <c r="D4085" t="s">
        <v>4556</v>
      </c>
      <c r="E4085" t="s">
        <v>4557</v>
      </c>
      <c r="F4085" t="s">
        <v>9739</v>
      </c>
      <c r="G4085" t="s">
        <v>3890</v>
      </c>
      <c r="H4085" t="s">
        <v>4555</v>
      </c>
      <c r="I4085" t="s">
        <v>4263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</row>
    <row r="4086" spans="2:30" x14ac:dyDescent="0.25">
      <c r="B4086" t="s">
        <v>133</v>
      </c>
      <c r="C4086" t="s">
        <v>3265</v>
      </c>
      <c r="D4086" t="s">
        <v>4559</v>
      </c>
      <c r="E4086" t="s">
        <v>4560</v>
      </c>
      <c r="F4086" t="s">
        <v>9740</v>
      </c>
      <c r="G4086" t="s">
        <v>3890</v>
      </c>
      <c r="H4086" t="s">
        <v>4555</v>
      </c>
      <c r="I4086" t="s">
        <v>4267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</row>
    <row r="4087" spans="2:30" x14ac:dyDescent="0.25">
      <c r="B4087" t="s">
        <v>133</v>
      </c>
      <c r="C4087" t="s">
        <v>3265</v>
      </c>
      <c r="D4087" t="s">
        <v>4562</v>
      </c>
      <c r="E4087" t="s">
        <v>4563</v>
      </c>
      <c r="F4087" t="s">
        <v>9741</v>
      </c>
      <c r="G4087" t="s">
        <v>3890</v>
      </c>
      <c r="H4087" t="s">
        <v>4555</v>
      </c>
      <c r="I4087" t="s">
        <v>4267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</row>
    <row r="4088" spans="2:30" x14ac:dyDescent="0.25">
      <c r="B4088" t="s">
        <v>133</v>
      </c>
      <c r="C4088" t="s">
        <v>3265</v>
      </c>
      <c r="D4088" t="s">
        <v>4565</v>
      </c>
      <c r="E4088" t="s">
        <v>4566</v>
      </c>
      <c r="F4088" t="s">
        <v>9742</v>
      </c>
      <c r="G4088" t="s">
        <v>3890</v>
      </c>
      <c r="H4088" t="s">
        <v>4555</v>
      </c>
      <c r="I4088" t="s">
        <v>4267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</row>
    <row r="4089" spans="2:30" x14ac:dyDescent="0.25">
      <c r="B4089" t="s">
        <v>133</v>
      </c>
      <c r="C4089" t="s">
        <v>3265</v>
      </c>
      <c r="D4089" t="s">
        <v>4568</v>
      </c>
      <c r="E4089" t="s">
        <v>4569</v>
      </c>
      <c r="F4089" t="s">
        <v>9743</v>
      </c>
      <c r="G4089" t="s">
        <v>3890</v>
      </c>
      <c r="H4089" t="s">
        <v>4555</v>
      </c>
      <c r="I4089" t="s">
        <v>4267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</row>
    <row r="4090" spans="2:30" x14ac:dyDescent="0.25">
      <c r="B4090" t="s">
        <v>133</v>
      </c>
      <c r="C4090" t="s">
        <v>3265</v>
      </c>
      <c r="D4090" t="s">
        <v>4571</v>
      </c>
      <c r="E4090" t="s">
        <v>4572</v>
      </c>
      <c r="F4090" t="s">
        <v>9744</v>
      </c>
      <c r="G4090" t="s">
        <v>3890</v>
      </c>
      <c r="H4090" t="s">
        <v>4555</v>
      </c>
      <c r="I4090" t="s">
        <v>4267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</row>
    <row r="4091" spans="2:30" x14ac:dyDescent="0.25">
      <c r="B4091" t="s">
        <v>133</v>
      </c>
      <c r="C4091" t="s">
        <v>3265</v>
      </c>
      <c r="D4091" t="s">
        <v>4574</v>
      </c>
      <c r="E4091" t="s">
        <v>4575</v>
      </c>
      <c r="F4091" t="s">
        <v>9745</v>
      </c>
      <c r="G4091" t="s">
        <v>3890</v>
      </c>
      <c r="H4091" t="s">
        <v>4555</v>
      </c>
      <c r="I4091" t="s">
        <v>4267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</row>
    <row r="4092" spans="2:30" x14ac:dyDescent="0.25">
      <c r="B4092" t="s">
        <v>133</v>
      </c>
      <c r="C4092" t="s">
        <v>3265</v>
      </c>
      <c r="D4092" t="s">
        <v>4577</v>
      </c>
      <c r="E4092" t="s">
        <v>4578</v>
      </c>
      <c r="F4092" t="s">
        <v>9746</v>
      </c>
      <c r="G4092" t="s">
        <v>3890</v>
      </c>
      <c r="H4092" t="s">
        <v>4555</v>
      </c>
      <c r="I4092" t="s">
        <v>4274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</row>
    <row r="4093" spans="2:30" x14ac:dyDescent="0.25">
      <c r="B4093" t="s">
        <v>133</v>
      </c>
      <c r="C4093" t="s">
        <v>3265</v>
      </c>
      <c r="D4093" t="s">
        <v>4580</v>
      </c>
      <c r="E4093" t="s">
        <v>4581</v>
      </c>
      <c r="F4093" t="s">
        <v>9747</v>
      </c>
      <c r="G4093" t="s">
        <v>3890</v>
      </c>
      <c r="H4093" t="s">
        <v>4555</v>
      </c>
      <c r="I4093" t="s">
        <v>4278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</row>
    <row r="4094" spans="2:30" x14ac:dyDescent="0.25">
      <c r="B4094" t="s">
        <v>133</v>
      </c>
      <c r="C4094" t="s">
        <v>3265</v>
      </c>
      <c r="D4094" t="s">
        <v>4583</v>
      </c>
      <c r="E4094" t="s">
        <v>4584</v>
      </c>
      <c r="F4094" t="s">
        <v>9748</v>
      </c>
      <c r="G4094" t="s">
        <v>3890</v>
      </c>
      <c r="H4094" t="s">
        <v>4555</v>
      </c>
      <c r="I4094" t="s">
        <v>4278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</row>
    <row r="4095" spans="2:30" x14ac:dyDescent="0.25">
      <c r="B4095" t="s">
        <v>133</v>
      </c>
      <c r="C4095" t="s">
        <v>3265</v>
      </c>
      <c r="D4095" t="s">
        <v>4586</v>
      </c>
      <c r="E4095" t="s">
        <v>4587</v>
      </c>
      <c r="F4095" t="s">
        <v>9749</v>
      </c>
      <c r="G4095" t="s">
        <v>3890</v>
      </c>
      <c r="H4095" t="s">
        <v>4555</v>
      </c>
      <c r="I4095" t="s">
        <v>4278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</row>
    <row r="4096" spans="2:30" x14ac:dyDescent="0.25">
      <c r="B4096" t="s">
        <v>133</v>
      </c>
      <c r="C4096" t="s">
        <v>3265</v>
      </c>
      <c r="D4096" t="s">
        <v>4589</v>
      </c>
      <c r="E4096" t="s">
        <v>4590</v>
      </c>
      <c r="F4096" t="s">
        <v>9750</v>
      </c>
      <c r="G4096" t="s">
        <v>3890</v>
      </c>
      <c r="H4096" t="s">
        <v>4555</v>
      </c>
      <c r="I4096" t="s">
        <v>4278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</row>
    <row r="4097" spans="2:30" x14ac:dyDescent="0.25">
      <c r="B4097" t="s">
        <v>133</v>
      </c>
      <c r="C4097" t="s">
        <v>3265</v>
      </c>
      <c r="D4097" t="s">
        <v>4592</v>
      </c>
      <c r="E4097" t="s">
        <v>4593</v>
      </c>
      <c r="F4097" t="s">
        <v>9751</v>
      </c>
      <c r="G4097" t="s">
        <v>3890</v>
      </c>
      <c r="H4097" t="s">
        <v>4595</v>
      </c>
      <c r="I4097" t="s">
        <v>4596</v>
      </c>
      <c r="J4097">
        <v>1</v>
      </c>
      <c r="K4097">
        <v>3.4550000000000001</v>
      </c>
      <c r="L4097">
        <v>2.194</v>
      </c>
      <c r="M4097">
        <v>1.6850000000000001</v>
      </c>
      <c r="N4097">
        <v>1.6850000000000001</v>
      </c>
      <c r="O4097">
        <v>1.6850000000000001</v>
      </c>
      <c r="P4097">
        <v>1.6850000000000001</v>
      </c>
      <c r="Q4097">
        <v>1.6850000000000001</v>
      </c>
      <c r="R4097">
        <v>1.6850000000000001</v>
      </c>
      <c r="S4097">
        <v>1.6850000000000001</v>
      </c>
      <c r="T4097">
        <v>1.6850000000000001</v>
      </c>
      <c r="U4097">
        <v>1.6850000000000001</v>
      </c>
      <c r="V4097">
        <v>1.6850000000000001</v>
      </c>
      <c r="W4097">
        <v>1.6850000000000001</v>
      </c>
      <c r="X4097">
        <v>1.6850000000000001</v>
      </c>
      <c r="Y4097">
        <v>1.6850000000000001</v>
      </c>
      <c r="Z4097">
        <v>1.6850000000000001</v>
      </c>
      <c r="AA4097">
        <v>1.6850000000000001</v>
      </c>
      <c r="AB4097">
        <v>1.6850000000000001</v>
      </c>
      <c r="AC4097">
        <v>1.6850000000000001</v>
      </c>
      <c r="AD4097">
        <v>1.6850000000000001</v>
      </c>
    </row>
    <row r="4098" spans="2:30" x14ac:dyDescent="0.25">
      <c r="B4098" t="s">
        <v>133</v>
      </c>
      <c r="C4098" t="s">
        <v>3265</v>
      </c>
      <c r="D4098" t="s">
        <v>4597</v>
      </c>
      <c r="E4098" t="s">
        <v>4598</v>
      </c>
      <c r="F4098" t="s">
        <v>9752</v>
      </c>
      <c r="G4098" t="s">
        <v>3890</v>
      </c>
      <c r="H4098" t="s">
        <v>4595</v>
      </c>
      <c r="I4098" t="s">
        <v>4596</v>
      </c>
      <c r="J4098">
        <v>1</v>
      </c>
      <c r="K4098">
        <v>-152.46100000000001</v>
      </c>
      <c r="L4098">
        <v>-120.94499999999999</v>
      </c>
      <c r="M4098">
        <v>-111.26300000000001</v>
      </c>
      <c r="N4098">
        <v>-112.407</v>
      </c>
      <c r="O4098">
        <v>-113.029</v>
      </c>
      <c r="P4098">
        <v>-110.715</v>
      </c>
      <c r="Q4098">
        <v>-107.973</v>
      </c>
      <c r="R4098">
        <v>-106.822</v>
      </c>
      <c r="S4098">
        <v>-106.319</v>
      </c>
      <c r="T4098">
        <v>-105.929</v>
      </c>
      <c r="U4098">
        <v>-105.684</v>
      </c>
      <c r="V4098">
        <v>-105.44499999999999</v>
      </c>
      <c r="W4098">
        <v>-105.214</v>
      </c>
      <c r="X4098">
        <v>-104.99299999999999</v>
      </c>
      <c r="Y4098">
        <v>-104.78400000000001</v>
      </c>
      <c r="Z4098">
        <v>-104.587</v>
      </c>
      <c r="AA4098">
        <v>-104.405</v>
      </c>
      <c r="AB4098">
        <v>-104.241</v>
      </c>
      <c r="AC4098">
        <v>-104.095</v>
      </c>
      <c r="AD4098">
        <v>-103.959</v>
      </c>
    </row>
    <row r="4099" spans="2:30" x14ac:dyDescent="0.25">
      <c r="B4099" t="s">
        <v>133</v>
      </c>
      <c r="C4099" t="s">
        <v>3265</v>
      </c>
      <c r="D4099" t="s">
        <v>4600</v>
      </c>
      <c r="E4099" t="s">
        <v>4601</v>
      </c>
      <c r="F4099" t="s">
        <v>9753</v>
      </c>
      <c r="G4099" t="s">
        <v>3890</v>
      </c>
      <c r="H4099" t="s">
        <v>4595</v>
      </c>
      <c r="I4099" t="s">
        <v>4596</v>
      </c>
      <c r="J4099">
        <v>1</v>
      </c>
      <c r="K4099">
        <v>-214.952</v>
      </c>
      <c r="L4099">
        <v>-225.435</v>
      </c>
      <c r="M4099">
        <v>-231.316</v>
      </c>
      <c r="N4099">
        <v>-185.77</v>
      </c>
      <c r="O4099">
        <v>-198.422</v>
      </c>
      <c r="P4099">
        <v>-179.35</v>
      </c>
      <c r="Q4099">
        <v>-174.102</v>
      </c>
      <c r="R4099">
        <v>-171.45699999999999</v>
      </c>
      <c r="S4099">
        <v>-169.14400000000001</v>
      </c>
      <c r="T4099">
        <v>-166.631</v>
      </c>
      <c r="U4099">
        <v>-166.631</v>
      </c>
      <c r="V4099">
        <v>-166.631</v>
      </c>
      <c r="W4099">
        <v>-166.631</v>
      </c>
      <c r="X4099">
        <v>-166.631</v>
      </c>
      <c r="Y4099">
        <v>-166.631</v>
      </c>
      <c r="Z4099">
        <v>-166.631</v>
      </c>
      <c r="AA4099">
        <v>-166.631</v>
      </c>
      <c r="AB4099">
        <v>-166.631</v>
      </c>
      <c r="AC4099">
        <v>-166.631</v>
      </c>
      <c r="AD4099">
        <v>-166.631</v>
      </c>
    </row>
    <row r="4100" spans="2:30" x14ac:dyDescent="0.25">
      <c r="B4100" t="s">
        <v>133</v>
      </c>
      <c r="C4100" t="s">
        <v>3265</v>
      </c>
      <c r="D4100" t="s">
        <v>4603</v>
      </c>
      <c r="E4100" t="s">
        <v>4604</v>
      </c>
      <c r="F4100" t="s">
        <v>9754</v>
      </c>
      <c r="G4100" t="s">
        <v>3890</v>
      </c>
      <c r="H4100" t="s">
        <v>4595</v>
      </c>
      <c r="I4100" t="s">
        <v>4596</v>
      </c>
      <c r="J4100">
        <v>1</v>
      </c>
      <c r="K4100">
        <v>-252.76300000000001</v>
      </c>
      <c r="L4100">
        <v>-218.88200000000001</v>
      </c>
      <c r="M4100">
        <v>-201.67699999999999</v>
      </c>
      <c r="N4100">
        <v>-165.696</v>
      </c>
      <c r="O4100">
        <v>-175.69200000000001</v>
      </c>
      <c r="P4100">
        <v>-160.624</v>
      </c>
      <c r="Q4100">
        <v>-156.47900000000001</v>
      </c>
      <c r="R4100">
        <v>-154.38900000000001</v>
      </c>
      <c r="S4100">
        <v>-152.56200000000001</v>
      </c>
      <c r="T4100">
        <v>-150.577</v>
      </c>
      <c r="U4100">
        <v>-150.577</v>
      </c>
      <c r="V4100">
        <v>-150.577</v>
      </c>
      <c r="W4100">
        <v>-150.577</v>
      </c>
      <c r="X4100">
        <v>-150.577</v>
      </c>
      <c r="Y4100">
        <v>-150.577</v>
      </c>
      <c r="Z4100">
        <v>-150.577</v>
      </c>
      <c r="AA4100">
        <v>-150.577</v>
      </c>
      <c r="AB4100">
        <v>-150.577</v>
      </c>
      <c r="AC4100">
        <v>-150.577</v>
      </c>
      <c r="AD4100">
        <v>-150.577</v>
      </c>
    </row>
    <row r="4101" spans="2:30" x14ac:dyDescent="0.25">
      <c r="B4101" t="s">
        <v>133</v>
      </c>
      <c r="C4101" t="s">
        <v>3265</v>
      </c>
      <c r="D4101" t="s">
        <v>4606</v>
      </c>
      <c r="E4101" t="s">
        <v>4607</v>
      </c>
      <c r="F4101" t="s">
        <v>9755</v>
      </c>
      <c r="G4101" t="s">
        <v>3890</v>
      </c>
      <c r="H4101" t="s">
        <v>4595</v>
      </c>
      <c r="I4101" t="s">
        <v>4596</v>
      </c>
      <c r="J4101">
        <v>1</v>
      </c>
      <c r="K4101">
        <v>-333.09699999999998</v>
      </c>
      <c r="L4101">
        <v>-314.64999999999998</v>
      </c>
      <c r="M4101">
        <v>-300.01</v>
      </c>
      <c r="N4101">
        <v>-260.95699999999999</v>
      </c>
      <c r="O4101">
        <v>-271.80599999999998</v>
      </c>
      <c r="P4101">
        <v>-255.452</v>
      </c>
      <c r="Q4101">
        <v>-250.953</v>
      </c>
      <c r="R4101">
        <v>-248.685</v>
      </c>
      <c r="S4101">
        <v>-246.702</v>
      </c>
      <c r="T4101">
        <v>-244.547</v>
      </c>
      <c r="U4101">
        <v>-244.547</v>
      </c>
      <c r="V4101">
        <v>-244.547</v>
      </c>
      <c r="W4101">
        <v>-244.547</v>
      </c>
      <c r="X4101">
        <v>-244.547</v>
      </c>
      <c r="Y4101">
        <v>-244.547</v>
      </c>
      <c r="Z4101">
        <v>-244.547</v>
      </c>
      <c r="AA4101">
        <v>-244.547</v>
      </c>
      <c r="AB4101">
        <v>-244.547</v>
      </c>
      <c r="AC4101">
        <v>-244.547</v>
      </c>
      <c r="AD4101">
        <v>-244.547</v>
      </c>
    </row>
    <row r="4102" spans="2:30" x14ac:dyDescent="0.25">
      <c r="B4102" t="s">
        <v>133</v>
      </c>
      <c r="C4102" t="s">
        <v>3265</v>
      </c>
      <c r="D4102" t="s">
        <v>4609</v>
      </c>
      <c r="E4102" t="s">
        <v>4610</v>
      </c>
      <c r="F4102" t="s">
        <v>9756</v>
      </c>
      <c r="G4102" t="s">
        <v>3890</v>
      </c>
      <c r="H4102" t="s">
        <v>4595</v>
      </c>
      <c r="I4102" t="s">
        <v>4596</v>
      </c>
      <c r="J4102">
        <v>1</v>
      </c>
      <c r="K4102">
        <v>-161.07599999999999</v>
      </c>
      <c r="L4102">
        <v>-186.827</v>
      </c>
      <c r="M4102">
        <v>-189.61500000000001</v>
      </c>
      <c r="N4102">
        <v>-155.803</v>
      </c>
      <c r="O4102">
        <v>-165.196</v>
      </c>
      <c r="P4102">
        <v>-151.03700000000001</v>
      </c>
      <c r="Q4102">
        <v>-147.14099999999999</v>
      </c>
      <c r="R4102">
        <v>-145.178</v>
      </c>
      <c r="S4102">
        <v>-143.46100000000001</v>
      </c>
      <c r="T4102">
        <v>-141.595</v>
      </c>
      <c r="U4102">
        <v>-141.595</v>
      </c>
      <c r="V4102">
        <v>-141.595</v>
      </c>
      <c r="W4102">
        <v>-141.595</v>
      </c>
      <c r="X4102">
        <v>-141.595</v>
      </c>
      <c r="Y4102">
        <v>-141.595</v>
      </c>
      <c r="Z4102">
        <v>-141.595</v>
      </c>
      <c r="AA4102">
        <v>-141.595</v>
      </c>
      <c r="AB4102">
        <v>-141.595</v>
      </c>
      <c r="AC4102">
        <v>-141.595</v>
      </c>
      <c r="AD4102">
        <v>-141.595</v>
      </c>
    </row>
    <row r="4103" spans="2:30" x14ac:dyDescent="0.25">
      <c r="B4103" t="s">
        <v>133</v>
      </c>
      <c r="C4103" t="s">
        <v>3265</v>
      </c>
      <c r="D4103" t="s">
        <v>4612</v>
      </c>
      <c r="E4103" t="s">
        <v>4613</v>
      </c>
      <c r="F4103" t="s">
        <v>9757</v>
      </c>
      <c r="G4103" t="s">
        <v>3890</v>
      </c>
      <c r="H4103" t="s">
        <v>4595</v>
      </c>
      <c r="I4103" t="s">
        <v>4596</v>
      </c>
      <c r="J4103">
        <v>1</v>
      </c>
      <c r="K4103">
        <v>-177.77199999999999</v>
      </c>
      <c r="L4103">
        <v>-146.50299999999999</v>
      </c>
      <c r="M4103">
        <v>-145.78299999999999</v>
      </c>
      <c r="N4103">
        <v>-145.78299999999999</v>
      </c>
      <c r="O4103">
        <v>-145.78299999999999</v>
      </c>
      <c r="P4103">
        <v>-145.78299999999999</v>
      </c>
      <c r="Q4103">
        <v>-145.78299999999999</v>
      </c>
      <c r="R4103">
        <v>-145.78299999999999</v>
      </c>
      <c r="S4103">
        <v>-145.78299999999999</v>
      </c>
      <c r="T4103">
        <v>-145.78299999999999</v>
      </c>
      <c r="U4103">
        <v>-145.78299999999999</v>
      </c>
      <c r="V4103">
        <v>-145.78299999999999</v>
      </c>
      <c r="W4103">
        <v>-145.78299999999999</v>
      </c>
      <c r="X4103">
        <v>-145.78299999999999</v>
      </c>
      <c r="Y4103">
        <v>-145.78299999999999</v>
      </c>
      <c r="Z4103">
        <v>-145.78299999999999</v>
      </c>
      <c r="AA4103">
        <v>-145.78299999999999</v>
      </c>
      <c r="AB4103">
        <v>-145.78299999999999</v>
      </c>
      <c r="AC4103">
        <v>-145.78299999999999</v>
      </c>
      <c r="AD4103">
        <v>-145.78299999999999</v>
      </c>
    </row>
    <row r="4104" spans="2:30" x14ac:dyDescent="0.25">
      <c r="B4104" t="s">
        <v>133</v>
      </c>
      <c r="C4104" t="s">
        <v>3265</v>
      </c>
      <c r="D4104" t="s">
        <v>4615</v>
      </c>
      <c r="E4104" t="s">
        <v>4616</v>
      </c>
      <c r="F4104" t="s">
        <v>9758</v>
      </c>
      <c r="G4104" t="s">
        <v>3890</v>
      </c>
      <c r="H4104" t="s">
        <v>4595</v>
      </c>
      <c r="I4104" t="s">
        <v>4596</v>
      </c>
      <c r="J4104">
        <v>1</v>
      </c>
      <c r="K4104">
        <v>-190.667</v>
      </c>
      <c r="L4104">
        <v>-169.042</v>
      </c>
      <c r="M4104">
        <v>-158.45699999999999</v>
      </c>
      <c r="N4104">
        <v>-143.017</v>
      </c>
      <c r="O4104">
        <v>-148.07400000000001</v>
      </c>
      <c r="P4104">
        <v>-141.452</v>
      </c>
      <c r="Q4104">
        <v>-138.785</v>
      </c>
      <c r="R4104">
        <v>-137.63999999999999</v>
      </c>
      <c r="S4104">
        <v>-136.95099999999999</v>
      </c>
      <c r="T4104">
        <v>-136.24799999999999</v>
      </c>
      <c r="U4104">
        <v>-136.536</v>
      </c>
      <c r="V4104">
        <v>-136.80000000000001</v>
      </c>
      <c r="W4104">
        <v>-137.03700000000001</v>
      </c>
      <c r="X4104">
        <v>-137.238</v>
      </c>
      <c r="Y4104">
        <v>-137.40100000000001</v>
      </c>
      <c r="Z4104">
        <v>-137.524</v>
      </c>
      <c r="AA4104">
        <v>-137.602</v>
      </c>
      <c r="AB4104">
        <v>-137.631</v>
      </c>
      <c r="AC4104">
        <v>-137.60599999999999</v>
      </c>
      <c r="AD4104">
        <v>-137.59399999999999</v>
      </c>
    </row>
    <row r="4105" spans="2:30" x14ac:dyDescent="0.25">
      <c r="B4105" t="s">
        <v>133</v>
      </c>
      <c r="C4105" t="s">
        <v>3265</v>
      </c>
      <c r="D4105" t="s">
        <v>4618</v>
      </c>
      <c r="E4105" t="s">
        <v>4619</v>
      </c>
      <c r="F4105" t="s">
        <v>9759</v>
      </c>
      <c r="G4105" t="s">
        <v>3890</v>
      </c>
      <c r="H4105" t="s">
        <v>4595</v>
      </c>
      <c r="I4105" t="s">
        <v>4596</v>
      </c>
      <c r="J4105">
        <v>1</v>
      </c>
      <c r="K4105">
        <v>3.4550000000000001</v>
      </c>
      <c r="L4105">
        <v>2.194</v>
      </c>
      <c r="M4105">
        <v>1.6850000000000001</v>
      </c>
      <c r="N4105">
        <v>1.6850000000000001</v>
      </c>
      <c r="O4105">
        <v>1.6850000000000001</v>
      </c>
      <c r="P4105">
        <v>1.6850000000000001</v>
      </c>
      <c r="Q4105">
        <v>1.6850000000000001</v>
      </c>
      <c r="R4105">
        <v>1.6850000000000001</v>
      </c>
      <c r="S4105">
        <v>1.6850000000000001</v>
      </c>
      <c r="T4105">
        <v>1.6850000000000001</v>
      </c>
      <c r="U4105">
        <v>1.6850000000000001</v>
      </c>
      <c r="V4105">
        <v>1.6850000000000001</v>
      </c>
      <c r="W4105">
        <v>1.6850000000000001</v>
      </c>
      <c r="X4105">
        <v>1.6850000000000001</v>
      </c>
      <c r="Y4105">
        <v>1.6850000000000001</v>
      </c>
      <c r="Z4105">
        <v>1.6850000000000001</v>
      </c>
      <c r="AA4105">
        <v>1.6850000000000001</v>
      </c>
      <c r="AB4105">
        <v>1.6850000000000001</v>
      </c>
      <c r="AC4105">
        <v>1.6850000000000001</v>
      </c>
      <c r="AD4105">
        <v>1.6850000000000001</v>
      </c>
    </row>
    <row r="4106" spans="2:30" x14ac:dyDescent="0.25">
      <c r="B4106" t="s">
        <v>133</v>
      </c>
      <c r="C4106" t="s">
        <v>3265</v>
      </c>
      <c r="D4106" t="s">
        <v>4621</v>
      </c>
      <c r="E4106" t="s">
        <v>4622</v>
      </c>
      <c r="F4106" t="s">
        <v>9760</v>
      </c>
      <c r="G4106" t="s">
        <v>3890</v>
      </c>
      <c r="H4106" t="s">
        <v>4595</v>
      </c>
      <c r="I4106" t="s">
        <v>4596</v>
      </c>
      <c r="J4106">
        <v>1</v>
      </c>
      <c r="K4106">
        <v>-152.46100000000001</v>
      </c>
      <c r="L4106">
        <v>-120.94499999999999</v>
      </c>
      <c r="M4106">
        <v>-111.26300000000001</v>
      </c>
      <c r="N4106">
        <v>-112.407</v>
      </c>
      <c r="O4106">
        <v>-113.029</v>
      </c>
      <c r="P4106">
        <v>-110.715</v>
      </c>
      <c r="Q4106">
        <v>-108.012</v>
      </c>
      <c r="R4106">
        <v>-106.884</v>
      </c>
      <c r="S4106">
        <v>-106.39100000000001</v>
      </c>
      <c r="T4106">
        <v>-105.999</v>
      </c>
      <c r="U4106">
        <v>-105.738</v>
      </c>
      <c r="V4106">
        <v>-105.471</v>
      </c>
      <c r="W4106">
        <v>-105.199</v>
      </c>
      <c r="X4106">
        <v>-104.92400000000001</v>
      </c>
      <c r="Y4106">
        <v>-104.679</v>
      </c>
      <c r="Z4106">
        <v>-104.462</v>
      </c>
      <c r="AA4106">
        <v>-104.248</v>
      </c>
      <c r="AB4106">
        <v>-104.054</v>
      </c>
      <c r="AC4106">
        <v>-103.88</v>
      </c>
      <c r="AD4106">
        <v>-103.72199999999999</v>
      </c>
    </row>
    <row r="4107" spans="2:30" x14ac:dyDescent="0.25">
      <c r="B4107" t="s">
        <v>133</v>
      </c>
      <c r="C4107" t="s">
        <v>3265</v>
      </c>
      <c r="D4107" t="s">
        <v>4624</v>
      </c>
      <c r="E4107" t="s">
        <v>4625</v>
      </c>
      <c r="F4107" t="s">
        <v>9761</v>
      </c>
      <c r="G4107" t="s">
        <v>3890</v>
      </c>
      <c r="H4107" t="s">
        <v>4595</v>
      </c>
      <c r="I4107" t="s">
        <v>4596</v>
      </c>
      <c r="J4107">
        <v>1</v>
      </c>
      <c r="K4107">
        <v>-214.952</v>
      </c>
      <c r="L4107">
        <v>-225.435</v>
      </c>
      <c r="M4107">
        <v>-231.316</v>
      </c>
      <c r="N4107">
        <v>-185.77</v>
      </c>
      <c r="O4107">
        <v>-198.422</v>
      </c>
      <c r="P4107">
        <v>-179.35</v>
      </c>
      <c r="Q4107">
        <v>-174.102</v>
      </c>
      <c r="R4107">
        <v>-171.45699999999999</v>
      </c>
      <c r="S4107">
        <v>-169.14400000000001</v>
      </c>
      <c r="T4107">
        <v>-166.631</v>
      </c>
      <c r="U4107">
        <v>-166.631</v>
      </c>
      <c r="V4107">
        <v>-166.631</v>
      </c>
      <c r="W4107">
        <v>-166.631</v>
      </c>
      <c r="X4107">
        <v>-166.631</v>
      </c>
      <c r="Y4107">
        <v>-166.631</v>
      </c>
      <c r="Z4107">
        <v>-166.631</v>
      </c>
      <c r="AA4107">
        <v>-166.631</v>
      </c>
      <c r="AB4107">
        <v>-166.631</v>
      </c>
      <c r="AC4107">
        <v>-166.631</v>
      </c>
      <c r="AD4107">
        <v>-166.631</v>
      </c>
    </row>
    <row r="4108" spans="2:30" x14ac:dyDescent="0.25">
      <c r="B4108" t="s">
        <v>133</v>
      </c>
      <c r="C4108" t="s">
        <v>3265</v>
      </c>
      <c r="D4108" t="s">
        <v>4627</v>
      </c>
      <c r="E4108" t="s">
        <v>4628</v>
      </c>
      <c r="F4108" t="s">
        <v>9762</v>
      </c>
      <c r="G4108" t="s">
        <v>3890</v>
      </c>
      <c r="H4108" t="s">
        <v>4595</v>
      </c>
      <c r="I4108" t="s">
        <v>4596</v>
      </c>
      <c r="J4108">
        <v>1</v>
      </c>
      <c r="K4108">
        <v>-252.76300000000001</v>
      </c>
      <c r="L4108">
        <v>-218.88200000000001</v>
      </c>
      <c r="M4108">
        <v>-201.67699999999999</v>
      </c>
      <c r="N4108">
        <v>-165.696</v>
      </c>
      <c r="O4108">
        <v>-175.69200000000001</v>
      </c>
      <c r="P4108">
        <v>-160.624</v>
      </c>
      <c r="Q4108">
        <v>-156.47900000000001</v>
      </c>
      <c r="R4108">
        <v>-154.38900000000001</v>
      </c>
      <c r="S4108">
        <v>-152.56200000000001</v>
      </c>
      <c r="T4108">
        <v>-150.577</v>
      </c>
      <c r="U4108">
        <v>-150.577</v>
      </c>
      <c r="V4108">
        <v>-150.577</v>
      </c>
      <c r="W4108">
        <v>-150.577</v>
      </c>
      <c r="X4108">
        <v>-150.577</v>
      </c>
      <c r="Y4108">
        <v>-150.577</v>
      </c>
      <c r="Z4108">
        <v>-150.577</v>
      </c>
      <c r="AA4108">
        <v>-150.577</v>
      </c>
      <c r="AB4108">
        <v>-150.577</v>
      </c>
      <c r="AC4108">
        <v>-150.577</v>
      </c>
      <c r="AD4108">
        <v>-150.577</v>
      </c>
    </row>
    <row r="4109" spans="2:30" x14ac:dyDescent="0.25">
      <c r="B4109" t="s">
        <v>133</v>
      </c>
      <c r="C4109" t="s">
        <v>3265</v>
      </c>
      <c r="D4109" t="s">
        <v>4630</v>
      </c>
      <c r="E4109" t="s">
        <v>4631</v>
      </c>
      <c r="F4109" t="s">
        <v>9763</v>
      </c>
      <c r="G4109" t="s">
        <v>3890</v>
      </c>
      <c r="H4109" t="s">
        <v>4595</v>
      </c>
      <c r="I4109" t="s">
        <v>4596</v>
      </c>
      <c r="J4109">
        <v>1</v>
      </c>
      <c r="K4109">
        <v>-333.09699999999998</v>
      </c>
      <c r="L4109">
        <v>-314.64999999999998</v>
      </c>
      <c r="M4109">
        <v>-300.01</v>
      </c>
      <c r="N4109">
        <v>-260.95699999999999</v>
      </c>
      <c r="O4109">
        <v>-271.80599999999998</v>
      </c>
      <c r="P4109">
        <v>-255.452</v>
      </c>
      <c r="Q4109">
        <v>-250.953</v>
      </c>
      <c r="R4109">
        <v>-248.685</v>
      </c>
      <c r="S4109">
        <v>-246.702</v>
      </c>
      <c r="T4109">
        <v>-244.547</v>
      </c>
      <c r="U4109">
        <v>-244.547</v>
      </c>
      <c r="V4109">
        <v>-244.547</v>
      </c>
      <c r="W4109">
        <v>-244.547</v>
      </c>
      <c r="X4109">
        <v>-244.547</v>
      </c>
      <c r="Y4109">
        <v>-244.547</v>
      </c>
      <c r="Z4109">
        <v>-244.547</v>
      </c>
      <c r="AA4109">
        <v>-244.547</v>
      </c>
      <c r="AB4109">
        <v>-244.547</v>
      </c>
      <c r="AC4109">
        <v>-244.547</v>
      </c>
      <c r="AD4109">
        <v>-244.547</v>
      </c>
    </row>
    <row r="4110" spans="2:30" x14ac:dyDescent="0.25">
      <c r="B4110" t="s">
        <v>133</v>
      </c>
      <c r="C4110" t="s">
        <v>3265</v>
      </c>
      <c r="D4110" t="s">
        <v>4633</v>
      </c>
      <c r="E4110" t="s">
        <v>4634</v>
      </c>
      <c r="F4110" t="s">
        <v>9764</v>
      </c>
      <c r="G4110" t="s">
        <v>3890</v>
      </c>
      <c r="H4110" t="s">
        <v>4595</v>
      </c>
      <c r="I4110" t="s">
        <v>4596</v>
      </c>
      <c r="J4110">
        <v>1</v>
      </c>
      <c r="K4110">
        <v>-161.07599999999999</v>
      </c>
      <c r="L4110">
        <v>-186.827</v>
      </c>
      <c r="M4110">
        <v>-189.61500000000001</v>
      </c>
      <c r="N4110">
        <v>-155.803</v>
      </c>
      <c r="O4110">
        <v>-165.196</v>
      </c>
      <c r="P4110">
        <v>-151.03700000000001</v>
      </c>
      <c r="Q4110">
        <v>-147.19399999999999</v>
      </c>
      <c r="R4110">
        <v>-145.36699999999999</v>
      </c>
      <c r="S4110">
        <v>-143.84800000000001</v>
      </c>
      <c r="T4110">
        <v>-142.226</v>
      </c>
      <c r="U4110">
        <v>-142.505</v>
      </c>
      <c r="V4110">
        <v>-142.81200000000001</v>
      </c>
      <c r="W4110">
        <v>-143.14099999999999</v>
      </c>
      <c r="X4110">
        <v>-143.488</v>
      </c>
      <c r="Y4110">
        <v>-143.488</v>
      </c>
      <c r="Z4110">
        <v>-143.488</v>
      </c>
      <c r="AA4110">
        <v>-143.488</v>
      </c>
      <c r="AB4110">
        <v>-143.488</v>
      </c>
      <c r="AC4110">
        <v>-143.488</v>
      </c>
      <c r="AD4110">
        <v>-141.595</v>
      </c>
    </row>
    <row r="4111" spans="2:30" x14ac:dyDescent="0.25">
      <c r="B4111" t="s">
        <v>133</v>
      </c>
      <c r="C4111" t="s">
        <v>3265</v>
      </c>
      <c r="D4111" t="s">
        <v>4636</v>
      </c>
      <c r="E4111" t="s">
        <v>4637</v>
      </c>
      <c r="F4111" t="s">
        <v>9765</v>
      </c>
      <c r="G4111" t="s">
        <v>3890</v>
      </c>
      <c r="H4111" t="s">
        <v>4595</v>
      </c>
      <c r="I4111" t="s">
        <v>4596</v>
      </c>
      <c r="J4111">
        <v>1</v>
      </c>
      <c r="K4111">
        <v>-177.77199999999999</v>
      </c>
      <c r="L4111">
        <v>-146.50299999999999</v>
      </c>
      <c r="M4111">
        <v>-145.78299999999999</v>
      </c>
      <c r="N4111">
        <v>-145.78299999999999</v>
      </c>
      <c r="O4111">
        <v>-145.78299999999999</v>
      </c>
      <c r="P4111">
        <v>-145.78299999999999</v>
      </c>
      <c r="Q4111">
        <v>-145.78299999999999</v>
      </c>
      <c r="R4111">
        <v>-145.78299999999999</v>
      </c>
      <c r="S4111">
        <v>-145.78299999999999</v>
      </c>
      <c r="T4111">
        <v>-145.78299999999999</v>
      </c>
      <c r="U4111">
        <v>-145.78299999999999</v>
      </c>
      <c r="V4111">
        <v>-145.78299999999999</v>
      </c>
      <c r="W4111">
        <v>-145.78299999999999</v>
      </c>
      <c r="X4111">
        <v>-145.78299999999999</v>
      </c>
      <c r="Y4111">
        <v>-145.78299999999999</v>
      </c>
      <c r="Z4111">
        <v>-145.78299999999999</v>
      </c>
      <c r="AA4111">
        <v>-145.78299999999999</v>
      </c>
      <c r="AB4111">
        <v>-145.78299999999999</v>
      </c>
      <c r="AC4111">
        <v>-145.78299999999999</v>
      </c>
      <c r="AD4111">
        <v>-145.78299999999999</v>
      </c>
    </row>
    <row r="4112" spans="2:30" x14ac:dyDescent="0.25">
      <c r="B4112" t="s">
        <v>133</v>
      </c>
      <c r="C4112" t="s">
        <v>3265</v>
      </c>
      <c r="D4112" t="s">
        <v>4639</v>
      </c>
      <c r="E4112" t="s">
        <v>4640</v>
      </c>
      <c r="F4112" t="s">
        <v>9766</v>
      </c>
      <c r="G4112" t="s">
        <v>3890</v>
      </c>
      <c r="H4112" t="s">
        <v>4595</v>
      </c>
      <c r="I4112" t="s">
        <v>4596</v>
      </c>
      <c r="J4112">
        <v>2</v>
      </c>
      <c r="K4112">
        <v>-190.667</v>
      </c>
      <c r="L4112">
        <v>-169.042</v>
      </c>
      <c r="M4112">
        <v>-158.45699999999999</v>
      </c>
      <c r="N4112">
        <v>-143.017</v>
      </c>
      <c r="O4112">
        <v>-148.07400000000001</v>
      </c>
      <c r="P4112">
        <v>-141.452</v>
      </c>
      <c r="Q4112">
        <v>-138.93700000000001</v>
      </c>
      <c r="R4112">
        <v>-137.92099999999999</v>
      </c>
      <c r="S4112">
        <v>-137.375</v>
      </c>
      <c r="T4112">
        <v>-136.803</v>
      </c>
      <c r="U4112">
        <v>-137.221</v>
      </c>
      <c r="V4112">
        <v>-137.60300000000001</v>
      </c>
      <c r="W4112">
        <v>-137.94900000000001</v>
      </c>
      <c r="X4112">
        <v>-138.24700000000001</v>
      </c>
      <c r="Y4112">
        <v>-138.59399999999999</v>
      </c>
      <c r="Z4112">
        <v>-138.71</v>
      </c>
      <c r="AA4112">
        <v>-138.86600000000001</v>
      </c>
      <c r="AB4112">
        <v>-138.922</v>
      </c>
      <c r="AC4112">
        <v>-138.91200000000001</v>
      </c>
      <c r="AD4112">
        <v>-138.83500000000001</v>
      </c>
    </row>
    <row r="4113" spans="2:30" x14ac:dyDescent="0.25">
      <c r="B4113" t="s">
        <v>133</v>
      </c>
      <c r="C4113" t="s">
        <v>3265</v>
      </c>
      <c r="D4113" t="s">
        <v>4642</v>
      </c>
      <c r="E4113" t="s">
        <v>4643</v>
      </c>
      <c r="F4113" t="s">
        <v>9767</v>
      </c>
      <c r="G4113" t="s">
        <v>3890</v>
      </c>
      <c r="H4113" t="s">
        <v>4645</v>
      </c>
      <c r="I4113" t="s">
        <v>4646</v>
      </c>
      <c r="J4113">
        <v>2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  <c r="W4113" t="e">
        <v>#N/A</v>
      </c>
      <c r="X4113" t="e">
        <v>#N/A</v>
      </c>
      <c r="Y4113" t="e">
        <v>#N/A</v>
      </c>
      <c r="Z4113" t="e">
        <v>#N/A</v>
      </c>
      <c r="AA4113" t="e">
        <v>#N/A</v>
      </c>
      <c r="AB4113" t="e">
        <v>#N/A</v>
      </c>
      <c r="AC4113" t="e">
        <v>#N/A</v>
      </c>
      <c r="AD4113" t="e">
        <v>#N/A</v>
      </c>
    </row>
    <row r="4114" spans="2:30" x14ac:dyDescent="0.25">
      <c r="B4114" t="s">
        <v>133</v>
      </c>
      <c r="C4114" t="s">
        <v>3265</v>
      </c>
      <c r="D4114" t="s">
        <v>4647</v>
      </c>
      <c r="E4114" t="s">
        <v>4648</v>
      </c>
      <c r="F4114" t="s">
        <v>9768</v>
      </c>
      <c r="G4114" t="s">
        <v>3890</v>
      </c>
      <c r="H4114" t="s">
        <v>4394</v>
      </c>
      <c r="I4114" t="s">
        <v>4646</v>
      </c>
      <c r="J4114">
        <v>2</v>
      </c>
      <c r="K4114">
        <v>0.96299999999999997</v>
      </c>
      <c r="L4114">
        <v>0.81799999999999995</v>
      </c>
      <c r="M4114">
        <v>0.76400000000000001</v>
      </c>
      <c r="N4114">
        <v>0.67100000000000004</v>
      </c>
      <c r="O4114">
        <v>0.69699999999999995</v>
      </c>
      <c r="P4114">
        <v>0.65800000000000003</v>
      </c>
      <c r="Q4114">
        <v>0.64700000000000002</v>
      </c>
      <c r="R4114">
        <v>0.64200000000000002</v>
      </c>
      <c r="S4114">
        <v>0.63700000000000001</v>
      </c>
      <c r="T4114">
        <v>0.63200000000000001</v>
      </c>
      <c r="U4114">
        <v>0.63200000000000001</v>
      </c>
      <c r="V4114">
        <v>0.63200000000000001</v>
      </c>
      <c r="W4114">
        <v>0.63200000000000001</v>
      </c>
      <c r="X4114">
        <v>0.63200000000000001</v>
      </c>
      <c r="Y4114">
        <v>0.63200000000000001</v>
      </c>
      <c r="Z4114">
        <v>0.63200000000000001</v>
      </c>
      <c r="AA4114">
        <v>0.63200000000000001</v>
      </c>
      <c r="AB4114">
        <v>0.63200000000000001</v>
      </c>
      <c r="AC4114">
        <v>0.63200000000000001</v>
      </c>
      <c r="AD4114">
        <v>0.63200000000000001</v>
      </c>
    </row>
    <row r="4115" spans="2:30" x14ac:dyDescent="0.25">
      <c r="B4115" t="s">
        <v>133</v>
      </c>
      <c r="C4115" t="s">
        <v>3265</v>
      </c>
      <c r="D4115" t="s">
        <v>4650</v>
      </c>
      <c r="E4115" t="s">
        <v>4651</v>
      </c>
      <c r="F4115" t="s">
        <v>9769</v>
      </c>
      <c r="G4115" t="s">
        <v>3890</v>
      </c>
      <c r="H4115" t="s">
        <v>4653</v>
      </c>
      <c r="I4115" t="s">
        <v>4646</v>
      </c>
      <c r="J4115">
        <v>2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  <c r="W4115" t="e">
        <v>#N/A</v>
      </c>
      <c r="X4115" t="e">
        <v>#N/A</v>
      </c>
      <c r="Y4115" t="e">
        <v>#N/A</v>
      </c>
      <c r="Z4115" t="e">
        <v>#N/A</v>
      </c>
      <c r="AA4115" t="e">
        <v>#N/A</v>
      </c>
      <c r="AB4115" t="e">
        <v>#N/A</v>
      </c>
      <c r="AC4115" t="e">
        <v>#N/A</v>
      </c>
      <c r="AD4115" t="e">
        <v>#N/A</v>
      </c>
    </row>
    <row r="4116" spans="2:30" x14ac:dyDescent="0.25">
      <c r="B4116" t="s">
        <v>133</v>
      </c>
      <c r="C4116" t="s">
        <v>3265</v>
      </c>
      <c r="D4116" t="s">
        <v>4654</v>
      </c>
      <c r="E4116" t="s">
        <v>4655</v>
      </c>
      <c r="F4116" t="s">
        <v>9770</v>
      </c>
      <c r="G4116" t="s">
        <v>3890</v>
      </c>
      <c r="H4116" t="s">
        <v>4657</v>
      </c>
      <c r="I4116" t="s">
        <v>4646</v>
      </c>
      <c r="J4116">
        <v>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</row>
    <row r="4117" spans="2:30" x14ac:dyDescent="0.25">
      <c r="B4117" t="s">
        <v>133</v>
      </c>
      <c r="C4117" t="s">
        <v>3265</v>
      </c>
      <c r="D4117" t="s">
        <v>4658</v>
      </c>
      <c r="E4117" t="s">
        <v>4659</v>
      </c>
      <c r="F4117" t="s">
        <v>9771</v>
      </c>
      <c r="G4117" t="s">
        <v>3890</v>
      </c>
      <c r="H4117" t="s">
        <v>4661</v>
      </c>
      <c r="I4117" t="s">
        <v>4646</v>
      </c>
      <c r="J4117">
        <v>2</v>
      </c>
      <c r="K4117">
        <v>3.5999999999999997E-2</v>
      </c>
      <c r="L4117">
        <v>3.7999999999999999E-2</v>
      </c>
      <c r="M4117">
        <v>3.6999999999999998E-2</v>
      </c>
      <c r="N4117">
        <v>0.04</v>
      </c>
      <c r="O4117">
        <v>4.2000000000000003E-2</v>
      </c>
      <c r="P4117">
        <v>4.5999999999999999E-2</v>
      </c>
      <c r="Q4117">
        <v>4.9000000000000002E-2</v>
      </c>
      <c r="R4117">
        <v>5.2999999999999999E-2</v>
      </c>
      <c r="S4117">
        <v>5.7000000000000002E-2</v>
      </c>
      <c r="T4117">
        <v>6.2E-2</v>
      </c>
      <c r="U4117">
        <v>6.6000000000000003E-2</v>
      </c>
      <c r="V4117">
        <v>7.0999999999999994E-2</v>
      </c>
      <c r="W4117">
        <v>7.6999999999999999E-2</v>
      </c>
      <c r="X4117">
        <v>8.2000000000000003E-2</v>
      </c>
      <c r="Y4117">
        <v>8.7999999999999995E-2</v>
      </c>
      <c r="Z4117">
        <v>9.5000000000000001E-2</v>
      </c>
      <c r="AA4117">
        <v>0.10199999999999999</v>
      </c>
      <c r="AB4117">
        <v>0.109</v>
      </c>
      <c r="AC4117">
        <v>0.11700000000000001</v>
      </c>
      <c r="AD4117">
        <v>0.126</v>
      </c>
    </row>
    <row r="4118" spans="2:30" x14ac:dyDescent="0.25">
      <c r="B4118" t="s">
        <v>133</v>
      </c>
      <c r="C4118" t="s">
        <v>3265</v>
      </c>
      <c r="D4118" t="s">
        <v>4662</v>
      </c>
      <c r="E4118" t="s">
        <v>4663</v>
      </c>
      <c r="F4118" t="s">
        <v>9772</v>
      </c>
      <c r="G4118" t="s">
        <v>3890</v>
      </c>
      <c r="H4118" t="s">
        <v>4665</v>
      </c>
      <c r="I4118" t="s">
        <v>4646</v>
      </c>
      <c r="J4118">
        <v>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</row>
    <row r="4119" spans="2:30" x14ac:dyDescent="0.25">
      <c r="B4119" t="s">
        <v>133</v>
      </c>
      <c r="C4119" t="s">
        <v>3265</v>
      </c>
      <c r="D4119" t="s">
        <v>4666</v>
      </c>
      <c r="E4119" t="s">
        <v>4667</v>
      </c>
      <c r="F4119" t="s">
        <v>9773</v>
      </c>
      <c r="G4119" t="s">
        <v>3890</v>
      </c>
      <c r="H4119" t="s">
        <v>4669</v>
      </c>
      <c r="I4119" t="s">
        <v>4646</v>
      </c>
      <c r="J4119">
        <v>2</v>
      </c>
      <c r="K4119">
        <v>0.129</v>
      </c>
      <c r="L4119">
        <v>0.13400000000000001</v>
      </c>
      <c r="M4119">
        <v>0.14000000000000001</v>
      </c>
      <c r="N4119">
        <v>0.14499999999999999</v>
      </c>
      <c r="O4119">
        <v>0.151</v>
      </c>
      <c r="P4119">
        <v>0.157</v>
      </c>
      <c r="Q4119">
        <v>0.16300000000000001</v>
      </c>
      <c r="R4119">
        <v>0.17</v>
      </c>
      <c r="S4119">
        <v>0.17699999999999999</v>
      </c>
      <c r="T4119">
        <v>0.184</v>
      </c>
      <c r="U4119">
        <v>0.191</v>
      </c>
      <c r="V4119">
        <v>0.19900000000000001</v>
      </c>
      <c r="W4119">
        <v>0.20699999999999999</v>
      </c>
      <c r="X4119">
        <v>0.215</v>
      </c>
      <c r="Y4119">
        <v>0.224</v>
      </c>
      <c r="Z4119">
        <v>0.23300000000000001</v>
      </c>
      <c r="AA4119">
        <v>0.24199999999999999</v>
      </c>
      <c r="AB4119">
        <v>0.251</v>
      </c>
      <c r="AC4119">
        <v>0.26200000000000001</v>
      </c>
      <c r="AD4119">
        <v>0.27200000000000002</v>
      </c>
    </row>
    <row r="4120" spans="2:30" x14ac:dyDescent="0.25">
      <c r="B4120" t="s">
        <v>133</v>
      </c>
      <c r="C4120" t="s">
        <v>3265</v>
      </c>
      <c r="D4120" t="s">
        <v>4670</v>
      </c>
      <c r="E4120" t="s">
        <v>4671</v>
      </c>
      <c r="F4120" t="s">
        <v>9774</v>
      </c>
      <c r="G4120" t="s">
        <v>3890</v>
      </c>
      <c r="H4120" t="s">
        <v>4673</v>
      </c>
      <c r="I4120" t="s">
        <v>4646</v>
      </c>
      <c r="J4120">
        <v>2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  <c r="W4120" t="e">
        <v>#N/A</v>
      </c>
      <c r="X4120" t="e">
        <v>#N/A</v>
      </c>
      <c r="Y4120" t="e">
        <v>#N/A</v>
      </c>
      <c r="Z4120" t="e">
        <v>#N/A</v>
      </c>
      <c r="AA4120" t="e">
        <v>#N/A</v>
      </c>
      <c r="AB4120" t="e">
        <v>#N/A</v>
      </c>
      <c r="AC4120" t="e">
        <v>#N/A</v>
      </c>
      <c r="AD4120" t="e">
        <v>#N/A</v>
      </c>
    </row>
    <row r="4121" spans="2:30" x14ac:dyDescent="0.25">
      <c r="B4121" t="s">
        <v>133</v>
      </c>
      <c r="C4121" t="s">
        <v>3265</v>
      </c>
      <c r="D4121" t="s">
        <v>4674</v>
      </c>
      <c r="E4121" t="s">
        <v>4675</v>
      </c>
      <c r="F4121" t="s">
        <v>9775</v>
      </c>
      <c r="G4121" t="s">
        <v>3890</v>
      </c>
      <c r="H4121" t="s">
        <v>4677</v>
      </c>
      <c r="I4121" t="s">
        <v>4646</v>
      </c>
      <c r="J4121">
        <v>2</v>
      </c>
      <c r="K4121">
        <v>0.6</v>
      </c>
      <c r="L4121">
        <v>0.41099999999999998</v>
      </c>
      <c r="M4121">
        <v>0.33500000000000002</v>
      </c>
      <c r="N4121">
        <v>0.33500000000000002</v>
      </c>
      <c r="O4121">
        <v>0.33500000000000002</v>
      </c>
      <c r="P4121">
        <v>0.33500000000000002</v>
      </c>
      <c r="Q4121">
        <v>0.33500000000000002</v>
      </c>
      <c r="R4121">
        <v>0.33500000000000002</v>
      </c>
      <c r="S4121">
        <v>0.33500000000000002</v>
      </c>
      <c r="T4121">
        <v>0.33500000000000002</v>
      </c>
      <c r="U4121">
        <v>0.33500000000000002</v>
      </c>
      <c r="V4121">
        <v>0.33500000000000002</v>
      </c>
      <c r="W4121">
        <v>0.33500000000000002</v>
      </c>
      <c r="X4121">
        <v>0.33500000000000002</v>
      </c>
      <c r="Y4121">
        <v>0.33500000000000002</v>
      </c>
      <c r="Z4121">
        <v>0.33500000000000002</v>
      </c>
      <c r="AA4121">
        <v>0.33500000000000002</v>
      </c>
      <c r="AB4121">
        <v>0.33500000000000002</v>
      </c>
      <c r="AC4121">
        <v>0.33500000000000002</v>
      </c>
      <c r="AD4121">
        <v>0.33500000000000002</v>
      </c>
    </row>
    <row r="4122" spans="2:30" x14ac:dyDescent="0.25">
      <c r="B4122" t="s">
        <v>133</v>
      </c>
      <c r="C4122" t="s">
        <v>3265</v>
      </c>
      <c r="D4122" t="s">
        <v>4678</v>
      </c>
      <c r="E4122" t="s">
        <v>4679</v>
      </c>
      <c r="F4122" t="s">
        <v>9776</v>
      </c>
      <c r="G4122" t="s">
        <v>3890</v>
      </c>
      <c r="H4122" t="s">
        <v>4681</v>
      </c>
      <c r="I4122" t="s">
        <v>4646</v>
      </c>
      <c r="J4122">
        <v>2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  <c r="W4122" t="e">
        <v>#N/A</v>
      </c>
      <c r="X4122" t="e">
        <v>#N/A</v>
      </c>
      <c r="Y4122" t="e">
        <v>#N/A</v>
      </c>
      <c r="Z4122" t="e">
        <v>#N/A</v>
      </c>
      <c r="AA4122" t="e">
        <v>#N/A</v>
      </c>
      <c r="AB4122" t="e">
        <v>#N/A</v>
      </c>
      <c r="AC4122" t="e">
        <v>#N/A</v>
      </c>
      <c r="AD4122" t="e">
        <v>#N/A</v>
      </c>
    </row>
    <row r="4123" spans="2:30" x14ac:dyDescent="0.25">
      <c r="B4123" t="s">
        <v>133</v>
      </c>
      <c r="C4123" t="s">
        <v>3265</v>
      </c>
      <c r="D4123" t="s">
        <v>4682</v>
      </c>
      <c r="E4123" t="s">
        <v>4461</v>
      </c>
      <c r="F4123" t="s">
        <v>9708</v>
      </c>
      <c r="G4123" t="s">
        <v>3890</v>
      </c>
      <c r="H4123" t="s">
        <v>4435</v>
      </c>
      <c r="I4123" t="s">
        <v>4646</v>
      </c>
      <c r="J4123">
        <v>1</v>
      </c>
      <c r="K4123">
        <v>-0.36299999999999999</v>
      </c>
      <c r="L4123">
        <v>-0.40699999999999997</v>
      </c>
      <c r="M4123">
        <v>-0.42799999999999999</v>
      </c>
      <c r="N4123">
        <v>-0.33600000000000002</v>
      </c>
      <c r="O4123">
        <v>-0.36199999999999999</v>
      </c>
      <c r="P4123">
        <v>-0.32300000000000001</v>
      </c>
      <c r="Q4123">
        <v>-0.312</v>
      </c>
      <c r="R4123">
        <v>-0.307</v>
      </c>
      <c r="S4123">
        <v>-0.30199999999999999</v>
      </c>
      <c r="T4123">
        <v>-0.29699999999999999</v>
      </c>
      <c r="U4123">
        <v>-0.29699999999999999</v>
      </c>
      <c r="V4123">
        <v>-0.29699999999999999</v>
      </c>
      <c r="W4123">
        <v>-0.29699999999999999</v>
      </c>
      <c r="X4123">
        <v>-0.29699999999999999</v>
      </c>
      <c r="Y4123">
        <v>-0.29699999999999999</v>
      </c>
      <c r="Z4123">
        <v>-0.29699999999999999</v>
      </c>
      <c r="AA4123">
        <v>-0.29699999999999999</v>
      </c>
      <c r="AB4123">
        <v>-0.29699999999999999</v>
      </c>
      <c r="AC4123">
        <v>-0.29699999999999999</v>
      </c>
      <c r="AD4123">
        <v>-0.29699999999999999</v>
      </c>
    </row>
    <row r="4124" spans="2:30" x14ac:dyDescent="0.25">
      <c r="B4124" t="s">
        <v>133</v>
      </c>
      <c r="C4124" t="s">
        <v>3265</v>
      </c>
      <c r="D4124" t="s">
        <v>4683</v>
      </c>
      <c r="E4124" t="s">
        <v>4684</v>
      </c>
      <c r="F4124" t="s">
        <v>9777</v>
      </c>
      <c r="G4124" t="s">
        <v>3890</v>
      </c>
      <c r="H4124" t="s">
        <v>4686</v>
      </c>
      <c r="I4124" t="s">
        <v>4687</v>
      </c>
      <c r="J4124">
        <v>1</v>
      </c>
      <c r="K4124">
        <v>-153.93799999999999</v>
      </c>
      <c r="L4124">
        <v>-172.86199999999999</v>
      </c>
      <c r="M4124">
        <v>-181.86</v>
      </c>
      <c r="N4124">
        <v>-142.61199999999999</v>
      </c>
      <c r="O4124">
        <v>-153.51499999999999</v>
      </c>
      <c r="P4124">
        <v>-137.08000000000001</v>
      </c>
      <c r="Q4124">
        <v>-132.55799999999999</v>
      </c>
      <c r="R4124">
        <v>-130.279</v>
      </c>
      <c r="S4124">
        <v>-128.285</v>
      </c>
      <c r="T4124">
        <v>-126.12</v>
      </c>
      <c r="U4124">
        <v>-126.12</v>
      </c>
      <c r="V4124">
        <v>-126.12</v>
      </c>
      <c r="W4124">
        <v>-126.12</v>
      </c>
      <c r="X4124">
        <v>-126.12</v>
      </c>
      <c r="Y4124">
        <v>-126.12</v>
      </c>
      <c r="Z4124">
        <v>-126.12</v>
      </c>
      <c r="AA4124">
        <v>-126.12</v>
      </c>
      <c r="AB4124">
        <v>-126.12</v>
      </c>
      <c r="AC4124">
        <v>-126.12</v>
      </c>
      <c r="AD4124">
        <v>-126.12</v>
      </c>
    </row>
    <row r="4125" spans="2:30" x14ac:dyDescent="0.25">
      <c r="B4125" t="s">
        <v>133</v>
      </c>
      <c r="C4125" t="s">
        <v>3265</v>
      </c>
      <c r="D4125" t="s">
        <v>4688</v>
      </c>
      <c r="E4125" t="s">
        <v>4689</v>
      </c>
      <c r="F4125" t="s">
        <v>9778</v>
      </c>
      <c r="G4125" t="s">
        <v>3890</v>
      </c>
      <c r="H4125" t="s">
        <v>4691</v>
      </c>
      <c r="I4125" t="s">
        <v>4646</v>
      </c>
      <c r="J4125">
        <v>2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  <c r="W4125" t="e">
        <v>#N/A</v>
      </c>
      <c r="X4125" t="e">
        <v>#N/A</v>
      </c>
      <c r="Y4125" t="e">
        <v>#N/A</v>
      </c>
      <c r="Z4125" t="e">
        <v>#N/A</v>
      </c>
      <c r="AA4125" t="e">
        <v>#N/A</v>
      </c>
      <c r="AB4125" t="e">
        <v>#N/A</v>
      </c>
      <c r="AC4125" t="e">
        <v>#N/A</v>
      </c>
      <c r="AD4125" t="e">
        <v>#N/A</v>
      </c>
    </row>
    <row r="4126" spans="2:30" x14ac:dyDescent="0.25">
      <c r="B4126" t="s">
        <v>133</v>
      </c>
      <c r="C4126" t="s">
        <v>3265</v>
      </c>
      <c r="D4126" t="s">
        <v>4692</v>
      </c>
      <c r="E4126" t="s">
        <v>4693</v>
      </c>
      <c r="F4126" t="s">
        <v>9779</v>
      </c>
      <c r="G4126" t="s">
        <v>3890</v>
      </c>
      <c r="H4126" t="s">
        <v>4695</v>
      </c>
      <c r="I4126" t="s">
        <v>4687</v>
      </c>
      <c r="J4126">
        <v>2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</row>
    <row r="4127" spans="2:30" x14ac:dyDescent="0.25">
      <c r="B4127" t="s">
        <v>133</v>
      </c>
      <c r="C4127" t="s">
        <v>3265</v>
      </c>
      <c r="D4127" t="s">
        <v>4696</v>
      </c>
      <c r="E4127" t="s">
        <v>4697</v>
      </c>
      <c r="F4127" t="s">
        <v>9780</v>
      </c>
      <c r="G4127" t="s">
        <v>3890</v>
      </c>
      <c r="H4127" t="s">
        <v>4645</v>
      </c>
      <c r="I4127" t="s">
        <v>4646</v>
      </c>
      <c r="J4127">
        <v>2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  <c r="W4127" t="e">
        <v>#N/A</v>
      </c>
      <c r="X4127" t="e">
        <v>#N/A</v>
      </c>
      <c r="Y4127" t="e">
        <v>#N/A</v>
      </c>
      <c r="Z4127" t="e">
        <v>#N/A</v>
      </c>
      <c r="AA4127" t="e">
        <v>#N/A</v>
      </c>
      <c r="AB4127" t="e">
        <v>#N/A</v>
      </c>
      <c r="AC4127" t="e">
        <v>#N/A</v>
      </c>
      <c r="AD4127" t="e">
        <v>#N/A</v>
      </c>
    </row>
    <row r="4128" spans="2:30" x14ac:dyDescent="0.25">
      <c r="B4128" t="s">
        <v>133</v>
      </c>
      <c r="C4128" t="s">
        <v>3265</v>
      </c>
      <c r="D4128" t="s">
        <v>4699</v>
      </c>
      <c r="E4128" t="s">
        <v>4700</v>
      </c>
      <c r="F4128" t="s">
        <v>9781</v>
      </c>
      <c r="G4128" t="s">
        <v>3890</v>
      </c>
      <c r="H4128" t="s">
        <v>4394</v>
      </c>
      <c r="I4128" t="s">
        <v>4646</v>
      </c>
      <c r="J4128">
        <v>2</v>
      </c>
      <c r="K4128">
        <v>1.077</v>
      </c>
      <c r="L4128">
        <v>0.85499999999999998</v>
      </c>
      <c r="M4128">
        <v>0.77800000000000002</v>
      </c>
      <c r="N4128">
        <v>0.68400000000000005</v>
      </c>
      <c r="O4128">
        <v>0.71</v>
      </c>
      <c r="P4128">
        <v>0.67</v>
      </c>
      <c r="Q4128">
        <v>0.66</v>
      </c>
      <c r="R4128">
        <v>0.65400000000000003</v>
      </c>
      <c r="S4128">
        <v>0.64900000000000002</v>
      </c>
      <c r="T4128">
        <v>0.64400000000000002</v>
      </c>
      <c r="U4128">
        <v>0.64400000000000002</v>
      </c>
      <c r="V4128">
        <v>0.64400000000000002</v>
      </c>
      <c r="W4128">
        <v>0.64400000000000002</v>
      </c>
      <c r="X4128">
        <v>0.64400000000000002</v>
      </c>
      <c r="Y4128">
        <v>0.64400000000000002</v>
      </c>
      <c r="Z4128">
        <v>0.64400000000000002</v>
      </c>
      <c r="AA4128">
        <v>0.64400000000000002</v>
      </c>
      <c r="AB4128">
        <v>0.64400000000000002</v>
      </c>
      <c r="AC4128">
        <v>0.64400000000000002</v>
      </c>
      <c r="AD4128">
        <v>0.64400000000000002</v>
      </c>
    </row>
    <row r="4129" spans="2:30" x14ac:dyDescent="0.25">
      <c r="B4129" t="s">
        <v>133</v>
      </c>
      <c r="C4129" t="s">
        <v>3265</v>
      </c>
      <c r="D4129" t="s">
        <v>4702</v>
      </c>
      <c r="E4129" t="s">
        <v>4703</v>
      </c>
      <c r="F4129" t="s">
        <v>9782</v>
      </c>
      <c r="G4129" t="s">
        <v>3890</v>
      </c>
      <c r="H4129" t="s">
        <v>4653</v>
      </c>
      <c r="I4129" t="s">
        <v>4646</v>
      </c>
      <c r="J4129">
        <v>2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  <c r="W4129" t="e">
        <v>#N/A</v>
      </c>
      <c r="X4129" t="e">
        <v>#N/A</v>
      </c>
      <c r="Y4129" t="e">
        <v>#N/A</v>
      </c>
      <c r="Z4129" t="e">
        <v>#N/A</v>
      </c>
      <c r="AA4129" t="e">
        <v>#N/A</v>
      </c>
      <c r="AB4129" t="e">
        <v>#N/A</v>
      </c>
      <c r="AC4129" t="e">
        <v>#N/A</v>
      </c>
      <c r="AD4129" t="e">
        <v>#N/A</v>
      </c>
    </row>
    <row r="4130" spans="2:30" x14ac:dyDescent="0.25">
      <c r="B4130" t="s">
        <v>133</v>
      </c>
      <c r="C4130" t="s">
        <v>3265</v>
      </c>
      <c r="D4130" t="s">
        <v>4705</v>
      </c>
      <c r="E4130" t="s">
        <v>4706</v>
      </c>
      <c r="F4130" t="s">
        <v>9783</v>
      </c>
      <c r="G4130" t="s">
        <v>3890</v>
      </c>
      <c r="H4130" t="s">
        <v>4657</v>
      </c>
      <c r="I4130" t="s">
        <v>4646</v>
      </c>
      <c r="J4130">
        <v>2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</row>
    <row r="4131" spans="2:30" x14ac:dyDescent="0.25">
      <c r="B4131" t="s">
        <v>133</v>
      </c>
      <c r="C4131" t="s">
        <v>3265</v>
      </c>
      <c r="D4131" t="s">
        <v>4708</v>
      </c>
      <c r="E4131" t="s">
        <v>4709</v>
      </c>
      <c r="F4131" t="s">
        <v>9784</v>
      </c>
      <c r="G4131" t="s">
        <v>3890</v>
      </c>
      <c r="H4131" t="s">
        <v>4661</v>
      </c>
      <c r="I4131" t="s">
        <v>4646</v>
      </c>
      <c r="J4131">
        <v>2</v>
      </c>
      <c r="K4131">
        <v>1.0999999999999999E-2</v>
      </c>
      <c r="L4131">
        <v>1.0999999999999999E-2</v>
      </c>
      <c r="M4131">
        <v>0.01</v>
      </c>
      <c r="N4131">
        <v>0.01</v>
      </c>
      <c r="O4131">
        <v>0.01</v>
      </c>
      <c r="P4131">
        <v>1.2E-2</v>
      </c>
      <c r="Q4131">
        <v>1.2999999999999999E-2</v>
      </c>
      <c r="R4131">
        <v>1.4999999999999999E-2</v>
      </c>
      <c r="S4131">
        <v>1.6E-2</v>
      </c>
      <c r="T4131">
        <v>1.7999999999999999E-2</v>
      </c>
      <c r="U4131">
        <v>0.02</v>
      </c>
      <c r="V4131">
        <v>2.1999999999999999E-2</v>
      </c>
      <c r="W4131">
        <v>2.4E-2</v>
      </c>
      <c r="X4131">
        <v>2.7E-2</v>
      </c>
      <c r="Y4131">
        <v>2.9000000000000001E-2</v>
      </c>
      <c r="Z4131">
        <v>3.2000000000000001E-2</v>
      </c>
      <c r="AA4131">
        <v>3.5000000000000003E-2</v>
      </c>
      <c r="AB4131">
        <v>3.7999999999999999E-2</v>
      </c>
      <c r="AC4131">
        <v>4.2000000000000003E-2</v>
      </c>
      <c r="AD4131">
        <v>4.4999999999999998E-2</v>
      </c>
    </row>
    <row r="4132" spans="2:30" x14ac:dyDescent="0.25">
      <c r="B4132" t="s">
        <v>133</v>
      </c>
      <c r="C4132" t="s">
        <v>3265</v>
      </c>
      <c r="D4132" t="s">
        <v>4711</v>
      </c>
      <c r="E4132" t="s">
        <v>4712</v>
      </c>
      <c r="F4132" t="s">
        <v>9785</v>
      </c>
      <c r="G4132" t="s">
        <v>3890</v>
      </c>
      <c r="H4132" t="s">
        <v>4665</v>
      </c>
      <c r="I4132" t="s">
        <v>4646</v>
      </c>
      <c r="J4132">
        <v>2</v>
      </c>
      <c r="K4132">
        <v>0.14799999999999999</v>
      </c>
      <c r="L4132">
        <v>0.14099999999999999</v>
      </c>
      <c r="M4132">
        <v>0.125</v>
      </c>
      <c r="N4132">
        <v>0.121</v>
      </c>
      <c r="O4132">
        <v>0.123</v>
      </c>
      <c r="P4132">
        <v>0.127</v>
      </c>
      <c r="Q4132">
        <v>0.13200000000000001</v>
      </c>
      <c r="R4132">
        <v>0.13600000000000001</v>
      </c>
      <c r="S4132">
        <v>0.14099999999999999</v>
      </c>
      <c r="T4132">
        <v>0.14699999999999999</v>
      </c>
      <c r="U4132">
        <v>0.153</v>
      </c>
      <c r="V4132">
        <v>0.158</v>
      </c>
      <c r="W4132">
        <v>0.16300000000000001</v>
      </c>
      <c r="X4132">
        <v>0.16800000000000001</v>
      </c>
      <c r="Y4132">
        <v>0.17299999999999999</v>
      </c>
      <c r="Z4132">
        <v>0.17699999999999999</v>
      </c>
      <c r="AA4132">
        <v>0.182</v>
      </c>
      <c r="AB4132">
        <v>0.186</v>
      </c>
      <c r="AC4132">
        <v>0.191</v>
      </c>
      <c r="AD4132">
        <v>0.19500000000000001</v>
      </c>
    </row>
    <row r="4133" spans="2:30" x14ac:dyDescent="0.25">
      <c r="B4133" t="s">
        <v>133</v>
      </c>
      <c r="C4133" t="s">
        <v>3265</v>
      </c>
      <c r="D4133" t="s">
        <v>4714</v>
      </c>
      <c r="E4133" t="s">
        <v>4715</v>
      </c>
      <c r="F4133" t="s">
        <v>9786</v>
      </c>
      <c r="G4133" t="s">
        <v>3890</v>
      </c>
      <c r="H4133" t="s">
        <v>4669</v>
      </c>
      <c r="I4133" t="s">
        <v>4646</v>
      </c>
      <c r="J4133">
        <v>2</v>
      </c>
      <c r="K4133">
        <v>0.14699999999999999</v>
      </c>
      <c r="L4133">
        <v>0.153</v>
      </c>
      <c r="M4133">
        <v>0.159</v>
      </c>
      <c r="N4133">
        <v>0.16600000000000001</v>
      </c>
      <c r="O4133">
        <v>0.17199999999999999</v>
      </c>
      <c r="P4133">
        <v>0.17899999999999999</v>
      </c>
      <c r="Q4133">
        <v>0.186</v>
      </c>
      <c r="R4133">
        <v>0.19400000000000001</v>
      </c>
      <c r="S4133">
        <v>0.20200000000000001</v>
      </c>
      <c r="T4133">
        <v>0.21</v>
      </c>
      <c r="U4133">
        <v>0.218</v>
      </c>
      <c r="V4133">
        <v>0.22700000000000001</v>
      </c>
      <c r="W4133">
        <v>0.23599999999999999</v>
      </c>
      <c r="X4133">
        <v>0.245</v>
      </c>
      <c r="Y4133">
        <v>0.255</v>
      </c>
      <c r="Z4133">
        <v>0.26500000000000001</v>
      </c>
      <c r="AA4133">
        <v>0.27600000000000002</v>
      </c>
      <c r="AB4133">
        <v>0.28699999999999998</v>
      </c>
      <c r="AC4133">
        <v>0.29899999999999999</v>
      </c>
      <c r="AD4133">
        <v>0.31</v>
      </c>
    </row>
    <row r="4134" spans="2:30" x14ac:dyDescent="0.25">
      <c r="B4134" t="s">
        <v>133</v>
      </c>
      <c r="C4134" t="s">
        <v>3265</v>
      </c>
      <c r="D4134" t="s">
        <v>4717</v>
      </c>
      <c r="E4134" t="s">
        <v>4718</v>
      </c>
      <c r="F4134" t="s">
        <v>9787</v>
      </c>
      <c r="G4134" t="s">
        <v>3890</v>
      </c>
      <c r="H4134" t="s">
        <v>4673</v>
      </c>
      <c r="I4134" t="s">
        <v>4646</v>
      </c>
      <c r="J4134">
        <v>2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  <c r="W4134" t="e">
        <v>#N/A</v>
      </c>
      <c r="X4134" t="e">
        <v>#N/A</v>
      </c>
      <c r="Y4134" t="e">
        <v>#N/A</v>
      </c>
      <c r="Z4134" t="e">
        <v>#N/A</v>
      </c>
      <c r="AA4134" t="e">
        <v>#N/A</v>
      </c>
      <c r="AB4134" t="e">
        <v>#N/A</v>
      </c>
      <c r="AC4134" t="e">
        <v>#N/A</v>
      </c>
      <c r="AD4134" t="e">
        <v>#N/A</v>
      </c>
    </row>
    <row r="4135" spans="2:30" x14ac:dyDescent="0.25">
      <c r="B4135" t="s">
        <v>133</v>
      </c>
      <c r="C4135" t="s">
        <v>3265</v>
      </c>
      <c r="D4135" t="s">
        <v>4720</v>
      </c>
      <c r="E4135" t="s">
        <v>4721</v>
      </c>
      <c r="F4135" t="s">
        <v>9788</v>
      </c>
      <c r="G4135" t="s">
        <v>3890</v>
      </c>
      <c r="H4135" t="s">
        <v>4723</v>
      </c>
      <c r="I4135" t="s">
        <v>4646</v>
      </c>
      <c r="J4135">
        <v>2</v>
      </c>
      <c r="K4135">
        <v>0.41399999999999998</v>
      </c>
      <c r="L4135">
        <v>0.28100000000000003</v>
      </c>
      <c r="M4135">
        <v>0.249</v>
      </c>
      <c r="N4135">
        <v>0.249</v>
      </c>
      <c r="O4135">
        <v>0.249</v>
      </c>
      <c r="P4135">
        <v>0.249</v>
      </c>
      <c r="Q4135">
        <v>0.249</v>
      </c>
      <c r="R4135">
        <v>0.249</v>
      </c>
      <c r="S4135">
        <v>0.249</v>
      </c>
      <c r="T4135">
        <v>0.249</v>
      </c>
      <c r="U4135">
        <v>0.249</v>
      </c>
      <c r="V4135">
        <v>0.249</v>
      </c>
      <c r="W4135">
        <v>0.249</v>
      </c>
      <c r="X4135">
        <v>0.249</v>
      </c>
      <c r="Y4135">
        <v>0.249</v>
      </c>
      <c r="Z4135">
        <v>0.249</v>
      </c>
      <c r="AA4135">
        <v>0.249</v>
      </c>
      <c r="AB4135">
        <v>0.249</v>
      </c>
      <c r="AC4135">
        <v>0.249</v>
      </c>
      <c r="AD4135">
        <v>0.249</v>
      </c>
    </row>
    <row r="4136" spans="2:30" x14ac:dyDescent="0.25">
      <c r="B4136" t="s">
        <v>133</v>
      </c>
      <c r="C4136" t="s">
        <v>3265</v>
      </c>
      <c r="D4136" t="s">
        <v>4724</v>
      </c>
      <c r="E4136" t="s">
        <v>4725</v>
      </c>
      <c r="F4136" t="s">
        <v>9789</v>
      </c>
      <c r="G4136" t="s">
        <v>3890</v>
      </c>
      <c r="H4136" t="s">
        <v>4727</v>
      </c>
      <c r="I4136" t="s">
        <v>4646</v>
      </c>
      <c r="J4136">
        <v>2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  <c r="W4136" t="e">
        <v>#N/A</v>
      </c>
      <c r="X4136" t="e">
        <v>#N/A</v>
      </c>
      <c r="Y4136" t="e">
        <v>#N/A</v>
      </c>
      <c r="Z4136" t="e">
        <v>#N/A</v>
      </c>
      <c r="AA4136" t="e">
        <v>#N/A</v>
      </c>
      <c r="AB4136" t="e">
        <v>#N/A</v>
      </c>
      <c r="AC4136" t="e">
        <v>#N/A</v>
      </c>
      <c r="AD4136" t="e">
        <v>#N/A</v>
      </c>
    </row>
    <row r="4137" spans="2:30" x14ac:dyDescent="0.25">
      <c r="B4137" t="s">
        <v>133</v>
      </c>
      <c r="C4137" t="s">
        <v>3265</v>
      </c>
      <c r="D4137" t="s">
        <v>4728</v>
      </c>
      <c r="E4137" t="s">
        <v>4464</v>
      </c>
      <c r="F4137" t="s">
        <v>9709</v>
      </c>
      <c r="G4137" t="s">
        <v>3890</v>
      </c>
      <c r="H4137" t="s">
        <v>4435</v>
      </c>
      <c r="I4137" t="s">
        <v>4646</v>
      </c>
      <c r="J4137">
        <v>1</v>
      </c>
      <c r="K4137">
        <v>-0.66300000000000003</v>
      </c>
      <c r="L4137">
        <v>-0.57399999999999995</v>
      </c>
      <c r="M4137">
        <v>-0.52900000000000003</v>
      </c>
      <c r="N4137">
        <v>-0.435</v>
      </c>
      <c r="O4137">
        <v>-0.46100000000000002</v>
      </c>
      <c r="P4137">
        <v>-0.42099999999999999</v>
      </c>
      <c r="Q4137">
        <v>-0.41</v>
      </c>
      <c r="R4137">
        <v>-0.40500000000000003</v>
      </c>
      <c r="S4137">
        <v>-0.4</v>
      </c>
      <c r="T4137">
        <v>-0.39500000000000002</v>
      </c>
      <c r="U4137">
        <v>-0.39500000000000002</v>
      </c>
      <c r="V4137">
        <v>-0.39500000000000002</v>
      </c>
      <c r="W4137">
        <v>-0.39500000000000002</v>
      </c>
      <c r="X4137">
        <v>-0.39500000000000002</v>
      </c>
      <c r="Y4137">
        <v>-0.39500000000000002</v>
      </c>
      <c r="Z4137">
        <v>-0.39500000000000002</v>
      </c>
      <c r="AA4137">
        <v>-0.39500000000000002</v>
      </c>
      <c r="AB4137">
        <v>-0.39500000000000002</v>
      </c>
      <c r="AC4137">
        <v>-0.39500000000000002</v>
      </c>
      <c r="AD4137">
        <v>-0.39500000000000002</v>
      </c>
    </row>
    <row r="4138" spans="2:30" x14ac:dyDescent="0.25">
      <c r="B4138" t="s">
        <v>133</v>
      </c>
      <c r="C4138" t="s">
        <v>3265</v>
      </c>
      <c r="D4138" t="s">
        <v>4729</v>
      </c>
      <c r="E4138" t="s">
        <v>4730</v>
      </c>
      <c r="F4138" t="s">
        <v>9790</v>
      </c>
      <c r="G4138" t="s">
        <v>3890</v>
      </c>
      <c r="H4138" t="s">
        <v>4686</v>
      </c>
      <c r="I4138" t="s">
        <v>4687</v>
      </c>
      <c r="J4138">
        <v>1</v>
      </c>
      <c r="K4138">
        <v>-246.459</v>
      </c>
      <c r="L4138">
        <v>-213.54900000000001</v>
      </c>
      <c r="M4138">
        <v>-196.779</v>
      </c>
      <c r="N4138">
        <v>-161.59899999999999</v>
      </c>
      <c r="O4138">
        <v>-171.37200000000001</v>
      </c>
      <c r="P4138">
        <v>-156.63999999999999</v>
      </c>
      <c r="Q4138">
        <v>-152.58699999999999</v>
      </c>
      <c r="R4138">
        <v>-150.54400000000001</v>
      </c>
      <c r="S4138">
        <v>-148.75700000000001</v>
      </c>
      <c r="T4138">
        <v>-146.816</v>
      </c>
      <c r="U4138">
        <v>-146.816</v>
      </c>
      <c r="V4138">
        <v>-146.816</v>
      </c>
      <c r="W4138">
        <v>-146.816</v>
      </c>
      <c r="X4138">
        <v>-146.816</v>
      </c>
      <c r="Y4138">
        <v>-146.816</v>
      </c>
      <c r="Z4138">
        <v>-146.816</v>
      </c>
      <c r="AA4138">
        <v>-146.816</v>
      </c>
      <c r="AB4138">
        <v>-146.816</v>
      </c>
      <c r="AC4138">
        <v>-146.816</v>
      </c>
      <c r="AD4138">
        <v>-146.816</v>
      </c>
    </row>
    <row r="4139" spans="2:30" x14ac:dyDescent="0.25">
      <c r="B4139" t="s">
        <v>133</v>
      </c>
      <c r="C4139" t="s">
        <v>3265</v>
      </c>
      <c r="D4139" t="s">
        <v>4732</v>
      </c>
      <c r="E4139" t="s">
        <v>4733</v>
      </c>
      <c r="F4139" t="s">
        <v>9791</v>
      </c>
      <c r="G4139" t="s">
        <v>3890</v>
      </c>
      <c r="H4139" t="s">
        <v>4735</v>
      </c>
      <c r="I4139" t="s">
        <v>4646</v>
      </c>
      <c r="J4139">
        <v>2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  <c r="W4139" t="e">
        <v>#N/A</v>
      </c>
      <c r="X4139" t="e">
        <v>#N/A</v>
      </c>
      <c r="Y4139" t="e">
        <v>#N/A</v>
      </c>
      <c r="Z4139" t="e">
        <v>#N/A</v>
      </c>
      <c r="AA4139" t="e">
        <v>#N/A</v>
      </c>
      <c r="AB4139" t="e">
        <v>#N/A</v>
      </c>
      <c r="AC4139" t="e">
        <v>#N/A</v>
      </c>
      <c r="AD4139" t="e">
        <v>#N/A</v>
      </c>
    </row>
    <row r="4140" spans="2:30" x14ac:dyDescent="0.25">
      <c r="B4140" t="s">
        <v>133</v>
      </c>
      <c r="C4140" t="s">
        <v>3265</v>
      </c>
      <c r="D4140" t="s">
        <v>4736</v>
      </c>
      <c r="E4140" t="s">
        <v>4737</v>
      </c>
      <c r="F4140" t="s">
        <v>9792</v>
      </c>
      <c r="G4140" t="s">
        <v>3890</v>
      </c>
      <c r="H4140" t="s">
        <v>4695</v>
      </c>
      <c r="I4140" t="s">
        <v>4687</v>
      </c>
      <c r="J4140">
        <v>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</row>
    <row r="4141" spans="2:30" x14ac:dyDescent="0.25">
      <c r="B4141" t="s">
        <v>133</v>
      </c>
      <c r="C4141" t="s">
        <v>3265</v>
      </c>
      <c r="D4141" t="s">
        <v>4739</v>
      </c>
      <c r="E4141" t="s">
        <v>4740</v>
      </c>
      <c r="F4141" t="s">
        <v>9793</v>
      </c>
      <c r="G4141" t="s">
        <v>3890</v>
      </c>
      <c r="H4141" t="s">
        <v>4645</v>
      </c>
      <c r="I4141" t="s">
        <v>4646</v>
      </c>
      <c r="J4141">
        <v>2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  <c r="W4141" t="e">
        <v>#N/A</v>
      </c>
      <c r="X4141" t="e">
        <v>#N/A</v>
      </c>
      <c r="Y4141" t="e">
        <v>#N/A</v>
      </c>
      <c r="Z4141" t="e">
        <v>#N/A</v>
      </c>
      <c r="AA4141" t="e">
        <v>#N/A</v>
      </c>
      <c r="AB4141" t="e">
        <v>#N/A</v>
      </c>
      <c r="AC4141" t="e">
        <v>#N/A</v>
      </c>
      <c r="AD4141" t="e">
        <v>#N/A</v>
      </c>
    </row>
    <row r="4142" spans="2:30" x14ac:dyDescent="0.25">
      <c r="B4142" t="s">
        <v>133</v>
      </c>
      <c r="C4142" t="s">
        <v>3265</v>
      </c>
      <c r="D4142" t="s">
        <v>4742</v>
      </c>
      <c r="E4142" t="s">
        <v>4743</v>
      </c>
      <c r="F4142" t="s">
        <v>9794</v>
      </c>
      <c r="G4142" t="s">
        <v>3890</v>
      </c>
      <c r="H4142" t="s">
        <v>4394</v>
      </c>
      <c r="I4142" t="s">
        <v>4646</v>
      </c>
      <c r="J4142">
        <v>2</v>
      </c>
      <c r="K4142">
        <v>0.67100000000000004</v>
      </c>
      <c r="L4142">
        <v>0.57799999999999996</v>
      </c>
      <c r="M4142">
        <v>0.54300000000000004</v>
      </c>
      <c r="N4142">
        <v>0.48199999999999998</v>
      </c>
      <c r="O4142">
        <v>0.499</v>
      </c>
      <c r="P4142">
        <v>0.47399999999999998</v>
      </c>
      <c r="Q4142">
        <v>0.46700000000000003</v>
      </c>
      <c r="R4142">
        <v>0.46300000000000002</v>
      </c>
      <c r="S4142">
        <v>0.46</v>
      </c>
      <c r="T4142">
        <v>0.45700000000000002</v>
      </c>
      <c r="U4142">
        <v>0.45700000000000002</v>
      </c>
      <c r="V4142">
        <v>0.45700000000000002</v>
      </c>
      <c r="W4142">
        <v>0.45700000000000002</v>
      </c>
      <c r="X4142">
        <v>0.45700000000000002</v>
      </c>
      <c r="Y4142">
        <v>0.45700000000000002</v>
      </c>
      <c r="Z4142">
        <v>0.45700000000000002</v>
      </c>
      <c r="AA4142">
        <v>0.45700000000000002</v>
      </c>
      <c r="AB4142">
        <v>0.45700000000000002</v>
      </c>
      <c r="AC4142">
        <v>0.45700000000000002</v>
      </c>
      <c r="AD4142">
        <v>0.45700000000000002</v>
      </c>
    </row>
    <row r="4143" spans="2:30" x14ac:dyDescent="0.25">
      <c r="B4143" t="s">
        <v>133</v>
      </c>
      <c r="C4143" t="s">
        <v>3265</v>
      </c>
      <c r="D4143" t="s">
        <v>4745</v>
      </c>
      <c r="E4143" t="s">
        <v>4746</v>
      </c>
      <c r="F4143" t="s">
        <v>9795</v>
      </c>
      <c r="G4143" t="s">
        <v>3890</v>
      </c>
      <c r="H4143" t="s">
        <v>4653</v>
      </c>
      <c r="I4143" t="s">
        <v>4646</v>
      </c>
      <c r="J4143">
        <v>2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  <c r="W4143" t="e">
        <v>#N/A</v>
      </c>
      <c r="X4143" t="e">
        <v>#N/A</v>
      </c>
      <c r="Y4143" t="e">
        <v>#N/A</v>
      </c>
      <c r="Z4143" t="e">
        <v>#N/A</v>
      </c>
      <c r="AA4143" t="e">
        <v>#N/A</v>
      </c>
      <c r="AB4143" t="e">
        <v>#N/A</v>
      </c>
      <c r="AC4143" t="e">
        <v>#N/A</v>
      </c>
      <c r="AD4143" t="e">
        <v>#N/A</v>
      </c>
    </row>
    <row r="4144" spans="2:30" x14ac:dyDescent="0.25">
      <c r="B4144" t="s">
        <v>133</v>
      </c>
      <c r="C4144" t="s">
        <v>3265</v>
      </c>
      <c r="D4144" t="s">
        <v>4748</v>
      </c>
      <c r="E4144" t="s">
        <v>4749</v>
      </c>
      <c r="F4144" t="s">
        <v>9796</v>
      </c>
      <c r="G4144" t="s">
        <v>3890</v>
      </c>
      <c r="H4144" t="s">
        <v>4669</v>
      </c>
      <c r="I4144" t="s">
        <v>4646</v>
      </c>
      <c r="J4144">
        <v>2</v>
      </c>
      <c r="K4144">
        <v>9.7000000000000003E-2</v>
      </c>
      <c r="L4144">
        <v>0.10100000000000001</v>
      </c>
      <c r="M4144">
        <v>0.105</v>
      </c>
      <c r="N4144">
        <v>0.109</v>
      </c>
      <c r="O4144">
        <v>0.113</v>
      </c>
      <c r="P4144">
        <v>0.11799999999999999</v>
      </c>
      <c r="Q4144">
        <v>0.123</v>
      </c>
      <c r="R4144">
        <v>0.128</v>
      </c>
      <c r="S4144">
        <v>0.13300000000000001</v>
      </c>
      <c r="T4144">
        <v>0.13800000000000001</v>
      </c>
      <c r="U4144">
        <v>0.14299999999999999</v>
      </c>
      <c r="V4144">
        <v>0.14899999999999999</v>
      </c>
      <c r="W4144">
        <v>0.155</v>
      </c>
      <c r="X4144">
        <v>0.161</v>
      </c>
      <c r="Y4144">
        <v>0.16800000000000001</v>
      </c>
      <c r="Z4144">
        <v>0.17499999999999999</v>
      </c>
      <c r="AA4144">
        <v>0.182</v>
      </c>
      <c r="AB4144">
        <v>0.189</v>
      </c>
      <c r="AC4144">
        <v>0.19600000000000001</v>
      </c>
      <c r="AD4144">
        <v>0.20399999999999999</v>
      </c>
    </row>
    <row r="4145" spans="2:30" x14ac:dyDescent="0.25">
      <c r="B4145" t="s">
        <v>133</v>
      </c>
      <c r="C4145" t="s">
        <v>3265</v>
      </c>
      <c r="D4145" t="s">
        <v>4751</v>
      </c>
      <c r="E4145" t="s">
        <v>4752</v>
      </c>
      <c r="F4145" t="s">
        <v>9797</v>
      </c>
      <c r="G4145" t="s">
        <v>3890</v>
      </c>
      <c r="H4145" t="s">
        <v>4673</v>
      </c>
      <c r="I4145" t="s">
        <v>4646</v>
      </c>
      <c r="J4145">
        <v>2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  <c r="W4145" t="e">
        <v>#N/A</v>
      </c>
      <c r="X4145" t="e">
        <v>#N/A</v>
      </c>
      <c r="Y4145" t="e">
        <v>#N/A</v>
      </c>
      <c r="Z4145" t="e">
        <v>#N/A</v>
      </c>
      <c r="AA4145" t="e">
        <v>#N/A</v>
      </c>
      <c r="AB4145" t="e">
        <v>#N/A</v>
      </c>
      <c r="AC4145" t="e">
        <v>#N/A</v>
      </c>
      <c r="AD4145" t="e">
        <v>#N/A</v>
      </c>
    </row>
    <row r="4146" spans="2:30" x14ac:dyDescent="0.25">
      <c r="B4146" t="s">
        <v>133</v>
      </c>
      <c r="C4146" t="s">
        <v>3265</v>
      </c>
      <c r="D4146" t="s">
        <v>4754</v>
      </c>
      <c r="E4146" t="s">
        <v>4755</v>
      </c>
      <c r="F4146" t="s">
        <v>9798</v>
      </c>
      <c r="G4146" t="s">
        <v>3890</v>
      </c>
      <c r="H4146" t="s">
        <v>4757</v>
      </c>
      <c r="I4146" t="s">
        <v>4646</v>
      </c>
      <c r="J4146">
        <v>2</v>
      </c>
      <c r="K4146">
        <v>0.17499999999999999</v>
      </c>
      <c r="L4146">
        <v>0.10199999999999999</v>
      </c>
      <c r="M4146">
        <v>8.7999999999999995E-2</v>
      </c>
      <c r="N4146">
        <v>8.7999999999999995E-2</v>
      </c>
      <c r="O4146">
        <v>8.7999999999999995E-2</v>
      </c>
      <c r="P4146">
        <v>8.7999999999999995E-2</v>
      </c>
      <c r="Q4146">
        <v>8.7999999999999995E-2</v>
      </c>
      <c r="R4146">
        <v>8.7999999999999995E-2</v>
      </c>
      <c r="S4146">
        <v>8.7999999999999995E-2</v>
      </c>
      <c r="T4146">
        <v>8.7999999999999995E-2</v>
      </c>
      <c r="U4146">
        <v>8.7999999999999995E-2</v>
      </c>
      <c r="V4146">
        <v>8.7999999999999995E-2</v>
      </c>
      <c r="W4146">
        <v>8.7999999999999995E-2</v>
      </c>
      <c r="X4146">
        <v>8.7999999999999995E-2</v>
      </c>
      <c r="Y4146">
        <v>8.7999999999999995E-2</v>
      </c>
      <c r="Z4146">
        <v>8.7999999999999995E-2</v>
      </c>
      <c r="AA4146">
        <v>8.7999999999999995E-2</v>
      </c>
      <c r="AB4146">
        <v>8.7999999999999995E-2</v>
      </c>
      <c r="AC4146">
        <v>8.7999999999999995E-2</v>
      </c>
      <c r="AD4146">
        <v>8.7999999999999995E-2</v>
      </c>
    </row>
    <row r="4147" spans="2:30" x14ac:dyDescent="0.25">
      <c r="B4147" t="s">
        <v>133</v>
      </c>
      <c r="C4147" t="s">
        <v>3265</v>
      </c>
      <c r="D4147" t="s">
        <v>4758</v>
      </c>
      <c r="E4147" t="s">
        <v>4759</v>
      </c>
      <c r="F4147" t="s">
        <v>9799</v>
      </c>
      <c r="G4147" t="s">
        <v>3890</v>
      </c>
      <c r="H4147" t="s">
        <v>4761</v>
      </c>
      <c r="I4147" t="s">
        <v>4646</v>
      </c>
      <c r="J4147">
        <v>2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  <c r="W4147" t="e">
        <v>#N/A</v>
      </c>
      <c r="X4147" t="e">
        <v>#N/A</v>
      </c>
      <c r="Y4147" t="e">
        <v>#N/A</v>
      </c>
      <c r="Z4147" t="e">
        <v>#N/A</v>
      </c>
      <c r="AA4147" t="e">
        <v>#N/A</v>
      </c>
      <c r="AB4147" t="e">
        <v>#N/A</v>
      </c>
      <c r="AC4147" t="e">
        <v>#N/A</v>
      </c>
      <c r="AD4147" t="e">
        <v>#N/A</v>
      </c>
    </row>
    <row r="4148" spans="2:30" x14ac:dyDescent="0.25">
      <c r="B4148" t="s">
        <v>133</v>
      </c>
      <c r="C4148" t="s">
        <v>3265</v>
      </c>
      <c r="D4148" t="s">
        <v>4762</v>
      </c>
      <c r="E4148" t="s">
        <v>4467</v>
      </c>
      <c r="F4148" t="s">
        <v>9710</v>
      </c>
      <c r="G4148" t="s">
        <v>3890</v>
      </c>
      <c r="H4148" t="s">
        <v>4435</v>
      </c>
      <c r="I4148" t="s">
        <v>4646</v>
      </c>
      <c r="J4148">
        <v>1</v>
      </c>
      <c r="K4148">
        <v>-0.496</v>
      </c>
      <c r="L4148">
        <v>-0.47599999999999998</v>
      </c>
      <c r="M4148">
        <v>-0.45500000000000002</v>
      </c>
      <c r="N4148">
        <v>-0.39400000000000002</v>
      </c>
      <c r="O4148">
        <v>-0.41099999999999998</v>
      </c>
      <c r="P4148">
        <v>-0.38600000000000001</v>
      </c>
      <c r="Q4148">
        <v>-0.379</v>
      </c>
      <c r="R4148">
        <v>-0.375</v>
      </c>
      <c r="S4148">
        <v>-0.372</v>
      </c>
      <c r="T4148">
        <v>-0.36899999999999999</v>
      </c>
      <c r="U4148">
        <v>-0.36899999999999999</v>
      </c>
      <c r="V4148">
        <v>-0.36899999999999999</v>
      </c>
      <c r="W4148">
        <v>-0.36899999999999999</v>
      </c>
      <c r="X4148">
        <v>-0.36899999999999999</v>
      </c>
      <c r="Y4148">
        <v>-0.36899999999999999</v>
      </c>
      <c r="Z4148">
        <v>-0.36899999999999999</v>
      </c>
      <c r="AA4148">
        <v>-0.36899999999999999</v>
      </c>
      <c r="AB4148">
        <v>-0.36899999999999999</v>
      </c>
      <c r="AC4148">
        <v>-0.36899999999999999</v>
      </c>
      <c r="AD4148">
        <v>-0.36899999999999999</v>
      </c>
    </row>
    <row r="4149" spans="2:30" x14ac:dyDescent="0.25">
      <c r="B4149" t="s">
        <v>133</v>
      </c>
      <c r="C4149" t="s">
        <v>3265</v>
      </c>
      <c r="D4149" t="s">
        <v>4763</v>
      </c>
      <c r="E4149" t="s">
        <v>4764</v>
      </c>
      <c r="F4149" t="s">
        <v>9800</v>
      </c>
      <c r="G4149" t="s">
        <v>3890</v>
      </c>
      <c r="H4149" t="s">
        <v>4686</v>
      </c>
      <c r="I4149" t="s">
        <v>4687</v>
      </c>
      <c r="J4149">
        <v>1</v>
      </c>
      <c r="K4149">
        <v>-280.26900000000001</v>
      </c>
      <c r="L4149">
        <v>-269.161</v>
      </c>
      <c r="M4149">
        <v>-257.24599999999998</v>
      </c>
      <c r="N4149">
        <v>-222.96799999999999</v>
      </c>
      <c r="O4149">
        <v>-232.49</v>
      </c>
      <c r="P4149">
        <v>-218.136</v>
      </c>
      <c r="Q4149">
        <v>-214.18700000000001</v>
      </c>
      <c r="R4149">
        <v>-212.196</v>
      </c>
      <c r="S4149">
        <v>-210.45500000000001</v>
      </c>
      <c r="T4149">
        <v>-208.56399999999999</v>
      </c>
      <c r="U4149">
        <v>-208.56399999999999</v>
      </c>
      <c r="V4149">
        <v>-208.56399999999999</v>
      </c>
      <c r="W4149">
        <v>-208.56399999999999</v>
      </c>
      <c r="X4149">
        <v>-208.56399999999999</v>
      </c>
      <c r="Y4149">
        <v>-208.56399999999999</v>
      </c>
      <c r="Z4149">
        <v>-208.56399999999999</v>
      </c>
      <c r="AA4149">
        <v>-208.56399999999999</v>
      </c>
      <c r="AB4149">
        <v>-208.56399999999999</v>
      </c>
      <c r="AC4149">
        <v>-208.56399999999999</v>
      </c>
      <c r="AD4149">
        <v>-208.56399999999999</v>
      </c>
    </row>
    <row r="4150" spans="2:30" x14ac:dyDescent="0.25">
      <c r="B4150" t="s">
        <v>133</v>
      </c>
      <c r="C4150" t="s">
        <v>3265</v>
      </c>
      <c r="D4150" t="s">
        <v>4766</v>
      </c>
      <c r="E4150" t="s">
        <v>4767</v>
      </c>
      <c r="F4150" t="s">
        <v>9801</v>
      </c>
      <c r="G4150" t="s">
        <v>3890</v>
      </c>
      <c r="H4150" t="s">
        <v>4769</v>
      </c>
      <c r="I4150" t="s">
        <v>4646</v>
      </c>
      <c r="J4150">
        <v>2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  <c r="W4150" t="e">
        <v>#N/A</v>
      </c>
      <c r="X4150" t="e">
        <v>#N/A</v>
      </c>
      <c r="Y4150" t="e">
        <v>#N/A</v>
      </c>
      <c r="Z4150" t="e">
        <v>#N/A</v>
      </c>
      <c r="AA4150" t="e">
        <v>#N/A</v>
      </c>
      <c r="AB4150" t="e">
        <v>#N/A</v>
      </c>
      <c r="AC4150" t="e">
        <v>#N/A</v>
      </c>
      <c r="AD4150" t="e">
        <v>#N/A</v>
      </c>
    </row>
    <row r="4151" spans="2:30" x14ac:dyDescent="0.25">
      <c r="B4151" t="s">
        <v>133</v>
      </c>
      <c r="C4151" t="s">
        <v>3265</v>
      </c>
      <c r="D4151" t="s">
        <v>4770</v>
      </c>
      <c r="E4151" t="s">
        <v>4771</v>
      </c>
      <c r="F4151" t="s">
        <v>9802</v>
      </c>
      <c r="G4151" t="s">
        <v>3890</v>
      </c>
      <c r="H4151" t="s">
        <v>4695</v>
      </c>
      <c r="I4151" t="s">
        <v>4687</v>
      </c>
      <c r="J4151">
        <v>2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</row>
    <row r="4152" spans="2:30" x14ac:dyDescent="0.25">
      <c r="B4152" t="s">
        <v>133</v>
      </c>
      <c r="C4152" t="s">
        <v>3265</v>
      </c>
      <c r="D4152" t="s">
        <v>4773</v>
      </c>
      <c r="E4152" t="s">
        <v>4774</v>
      </c>
      <c r="F4152" t="s">
        <v>9803</v>
      </c>
      <c r="G4152" t="s">
        <v>3890</v>
      </c>
      <c r="H4152" t="s">
        <v>4645</v>
      </c>
      <c r="I4152" t="s">
        <v>4646</v>
      </c>
      <c r="J4152">
        <v>2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  <c r="W4152" t="e">
        <v>#N/A</v>
      </c>
      <c r="X4152" t="e">
        <v>#N/A</v>
      </c>
      <c r="Y4152" t="e">
        <v>#N/A</v>
      </c>
      <c r="Z4152" t="e">
        <v>#N/A</v>
      </c>
      <c r="AA4152" t="e">
        <v>#N/A</v>
      </c>
      <c r="AB4152" t="e">
        <v>#N/A</v>
      </c>
      <c r="AC4152" t="e">
        <v>#N/A</v>
      </c>
      <c r="AD4152" t="e">
        <v>#N/A</v>
      </c>
    </row>
    <row r="4153" spans="2:30" x14ac:dyDescent="0.25">
      <c r="B4153" t="s">
        <v>133</v>
      </c>
      <c r="C4153" t="s">
        <v>3265</v>
      </c>
      <c r="D4153" t="s">
        <v>4776</v>
      </c>
      <c r="E4153" t="s">
        <v>4777</v>
      </c>
      <c r="F4153" t="s">
        <v>9804</v>
      </c>
      <c r="G4153" t="s">
        <v>3890</v>
      </c>
      <c r="H4153" t="s">
        <v>4394</v>
      </c>
      <c r="I4153" t="s">
        <v>4646</v>
      </c>
      <c r="J4153">
        <v>2</v>
      </c>
      <c r="K4153">
        <v>0.78300000000000003</v>
      </c>
      <c r="L4153">
        <v>0.69899999999999995</v>
      </c>
      <c r="M4153">
        <v>0.69099999999999995</v>
      </c>
      <c r="N4153">
        <v>0.60899999999999999</v>
      </c>
      <c r="O4153">
        <v>0.63200000000000001</v>
      </c>
      <c r="P4153">
        <v>0.59799999999999998</v>
      </c>
      <c r="Q4153">
        <v>0.58799999999999997</v>
      </c>
      <c r="R4153">
        <v>0.58399999999999996</v>
      </c>
      <c r="S4153">
        <v>0.57899999999999996</v>
      </c>
      <c r="T4153">
        <v>0.57499999999999996</v>
      </c>
      <c r="U4153">
        <v>0.57499999999999996</v>
      </c>
      <c r="V4153">
        <v>0.57499999999999996</v>
      </c>
      <c r="W4153">
        <v>0.57499999999999996</v>
      </c>
      <c r="X4153">
        <v>0.57499999999999996</v>
      </c>
      <c r="Y4153">
        <v>0.57499999999999996</v>
      </c>
      <c r="Z4153">
        <v>0.57499999999999996</v>
      </c>
      <c r="AA4153">
        <v>0.57499999999999996</v>
      </c>
      <c r="AB4153">
        <v>0.57499999999999996</v>
      </c>
      <c r="AC4153">
        <v>0.57499999999999996</v>
      </c>
      <c r="AD4153">
        <v>0.57499999999999996</v>
      </c>
    </row>
    <row r="4154" spans="2:30" x14ac:dyDescent="0.25">
      <c r="B4154" t="s">
        <v>133</v>
      </c>
      <c r="C4154" t="s">
        <v>3265</v>
      </c>
      <c r="D4154" t="s">
        <v>4779</v>
      </c>
      <c r="E4154" t="s">
        <v>4780</v>
      </c>
      <c r="F4154" t="s">
        <v>9805</v>
      </c>
      <c r="G4154" t="s">
        <v>3890</v>
      </c>
      <c r="H4154" t="s">
        <v>4653</v>
      </c>
      <c r="I4154" t="s">
        <v>4646</v>
      </c>
      <c r="J4154">
        <v>2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  <c r="W4154" t="e">
        <v>#N/A</v>
      </c>
      <c r="X4154" t="e">
        <v>#N/A</v>
      </c>
      <c r="Y4154" t="e">
        <v>#N/A</v>
      </c>
      <c r="Z4154" t="e">
        <v>#N/A</v>
      </c>
      <c r="AA4154" t="e">
        <v>#N/A</v>
      </c>
      <c r="AB4154" t="e">
        <v>#N/A</v>
      </c>
      <c r="AC4154" t="e">
        <v>#N/A</v>
      </c>
      <c r="AD4154" t="e">
        <v>#N/A</v>
      </c>
    </row>
    <row r="4155" spans="2:30" x14ac:dyDescent="0.25">
      <c r="B4155" t="s">
        <v>133</v>
      </c>
      <c r="C4155" t="s">
        <v>3265</v>
      </c>
      <c r="D4155" t="s">
        <v>4782</v>
      </c>
      <c r="E4155" t="s">
        <v>4783</v>
      </c>
      <c r="F4155" t="s">
        <v>9806</v>
      </c>
      <c r="G4155" t="s">
        <v>3890</v>
      </c>
      <c r="H4155" t="s">
        <v>4669</v>
      </c>
      <c r="I4155" t="s">
        <v>4646</v>
      </c>
      <c r="J4155">
        <v>2</v>
      </c>
      <c r="K4155">
        <v>0.14099999999999999</v>
      </c>
      <c r="L4155">
        <v>0.14699999999999999</v>
      </c>
      <c r="M4155">
        <v>0.153</v>
      </c>
      <c r="N4155">
        <v>0.159</v>
      </c>
      <c r="O4155">
        <v>0.16500000000000001</v>
      </c>
      <c r="P4155">
        <v>0.17199999999999999</v>
      </c>
      <c r="Q4155">
        <v>0.17799999999999999</v>
      </c>
      <c r="R4155">
        <v>0.186</v>
      </c>
      <c r="S4155">
        <v>0.193</v>
      </c>
      <c r="T4155">
        <v>0.20100000000000001</v>
      </c>
      <c r="U4155">
        <v>0.20899999999999999</v>
      </c>
      <c r="V4155">
        <v>0.217</v>
      </c>
      <c r="W4155">
        <v>0.22600000000000001</v>
      </c>
      <c r="X4155">
        <v>0.23499999999999999</v>
      </c>
      <c r="Y4155">
        <v>0.24399999999999999</v>
      </c>
      <c r="Z4155">
        <v>0.254</v>
      </c>
      <c r="AA4155">
        <v>0.26400000000000001</v>
      </c>
      <c r="AB4155">
        <v>0.27500000000000002</v>
      </c>
      <c r="AC4155">
        <v>0.28599999999999998</v>
      </c>
      <c r="AD4155">
        <v>0.29699999999999999</v>
      </c>
    </row>
    <row r="4156" spans="2:30" x14ac:dyDescent="0.25">
      <c r="B4156" t="s">
        <v>133</v>
      </c>
      <c r="C4156" t="s">
        <v>3265</v>
      </c>
      <c r="D4156" t="s">
        <v>4785</v>
      </c>
      <c r="E4156" t="s">
        <v>4786</v>
      </c>
      <c r="F4156" t="s">
        <v>9807</v>
      </c>
      <c r="G4156" t="s">
        <v>3890</v>
      </c>
      <c r="H4156" t="s">
        <v>4673</v>
      </c>
      <c r="I4156" t="s">
        <v>4646</v>
      </c>
      <c r="J4156">
        <v>2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  <c r="W4156" t="e">
        <v>#N/A</v>
      </c>
      <c r="X4156" t="e">
        <v>#N/A</v>
      </c>
      <c r="Y4156" t="e">
        <v>#N/A</v>
      </c>
      <c r="Z4156" t="e">
        <v>#N/A</v>
      </c>
      <c r="AA4156" t="e">
        <v>#N/A</v>
      </c>
      <c r="AB4156" t="e">
        <v>#N/A</v>
      </c>
      <c r="AC4156" t="e">
        <v>#N/A</v>
      </c>
      <c r="AD4156" t="e">
        <v>#N/A</v>
      </c>
    </row>
    <row r="4157" spans="2:30" x14ac:dyDescent="0.25">
      <c r="B4157" t="s">
        <v>133</v>
      </c>
      <c r="C4157" t="s">
        <v>3265</v>
      </c>
      <c r="D4157" t="s">
        <v>4788</v>
      </c>
      <c r="E4157" t="s">
        <v>4789</v>
      </c>
      <c r="F4157" t="s">
        <v>9808</v>
      </c>
      <c r="G4157" t="s">
        <v>3890</v>
      </c>
      <c r="H4157" t="s">
        <v>4791</v>
      </c>
      <c r="I4157" t="s">
        <v>4646</v>
      </c>
      <c r="J4157">
        <v>2</v>
      </c>
      <c r="K4157">
        <v>0.41399999999999998</v>
      </c>
      <c r="L4157">
        <v>0.25900000000000001</v>
      </c>
      <c r="M4157">
        <v>0.24399999999999999</v>
      </c>
      <c r="N4157">
        <v>0.24399999999999999</v>
      </c>
      <c r="O4157">
        <v>0.24399999999999999</v>
      </c>
      <c r="P4157">
        <v>0.24399999999999999</v>
      </c>
      <c r="Q4157">
        <v>0.246</v>
      </c>
      <c r="R4157">
        <v>0.253</v>
      </c>
      <c r="S4157">
        <v>0.26200000000000001</v>
      </c>
      <c r="T4157">
        <v>0.27300000000000002</v>
      </c>
      <c r="U4157">
        <v>0.28699999999999998</v>
      </c>
      <c r="V4157">
        <v>0.30099999999999999</v>
      </c>
      <c r="W4157">
        <v>0.316</v>
      </c>
      <c r="X4157">
        <v>0.33300000000000002</v>
      </c>
      <c r="Y4157">
        <v>0.33300000000000002</v>
      </c>
      <c r="Z4157">
        <v>0.33300000000000002</v>
      </c>
      <c r="AA4157">
        <v>0.33300000000000002</v>
      </c>
      <c r="AB4157">
        <v>0.33300000000000002</v>
      </c>
      <c r="AC4157">
        <v>0.33300000000000002</v>
      </c>
      <c r="AD4157">
        <v>0.24399999999999999</v>
      </c>
    </row>
    <row r="4158" spans="2:30" x14ac:dyDescent="0.25">
      <c r="B4158" t="s">
        <v>133</v>
      </c>
      <c r="C4158" t="s">
        <v>3265</v>
      </c>
      <c r="D4158" t="s">
        <v>4792</v>
      </c>
      <c r="E4158" t="s">
        <v>4793</v>
      </c>
      <c r="F4158" t="s">
        <v>9809</v>
      </c>
      <c r="G4158" t="s">
        <v>3890</v>
      </c>
      <c r="H4158" t="s">
        <v>4795</v>
      </c>
      <c r="I4158" t="s">
        <v>4646</v>
      </c>
      <c r="J4158">
        <v>2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  <c r="W4158" t="e">
        <v>#N/A</v>
      </c>
      <c r="X4158" t="e">
        <v>#N/A</v>
      </c>
      <c r="Y4158" t="e">
        <v>#N/A</v>
      </c>
      <c r="Z4158" t="e">
        <v>#N/A</v>
      </c>
      <c r="AA4158" t="e">
        <v>#N/A</v>
      </c>
      <c r="AB4158" t="e">
        <v>#N/A</v>
      </c>
      <c r="AC4158" t="e">
        <v>#N/A</v>
      </c>
      <c r="AD4158" t="e">
        <v>#N/A</v>
      </c>
    </row>
    <row r="4159" spans="2:30" x14ac:dyDescent="0.25">
      <c r="B4159" t="s">
        <v>133</v>
      </c>
      <c r="C4159" t="s">
        <v>3265</v>
      </c>
      <c r="D4159" t="s">
        <v>4796</v>
      </c>
      <c r="E4159" t="s">
        <v>4470</v>
      </c>
      <c r="F4159" t="s">
        <v>9711</v>
      </c>
      <c r="G4159" t="s">
        <v>3890</v>
      </c>
      <c r="H4159" t="s">
        <v>4435</v>
      </c>
      <c r="I4159" t="s">
        <v>4646</v>
      </c>
      <c r="J4159">
        <v>1</v>
      </c>
      <c r="K4159">
        <v>-0.36899999999999999</v>
      </c>
      <c r="L4159">
        <v>-0.44</v>
      </c>
      <c r="M4159">
        <v>-0.44800000000000001</v>
      </c>
      <c r="N4159">
        <v>-0.36499999999999999</v>
      </c>
      <c r="O4159">
        <v>-0.38800000000000001</v>
      </c>
      <c r="P4159">
        <v>-0.35399999999999998</v>
      </c>
      <c r="Q4159">
        <v>-0.34399999999999997</v>
      </c>
      <c r="R4159">
        <v>-0.34</v>
      </c>
      <c r="S4159">
        <v>-0.33600000000000002</v>
      </c>
      <c r="T4159">
        <v>-0.33100000000000002</v>
      </c>
      <c r="U4159">
        <v>-0.33100000000000002</v>
      </c>
      <c r="V4159">
        <v>-0.33100000000000002</v>
      </c>
      <c r="W4159">
        <v>-0.33100000000000002</v>
      </c>
      <c r="X4159">
        <v>-0.33100000000000002</v>
      </c>
      <c r="Y4159">
        <v>-0.33100000000000002</v>
      </c>
      <c r="Z4159">
        <v>-0.33100000000000002</v>
      </c>
      <c r="AA4159">
        <v>-0.33100000000000002</v>
      </c>
      <c r="AB4159">
        <v>-0.33100000000000002</v>
      </c>
      <c r="AC4159">
        <v>-0.33100000000000002</v>
      </c>
      <c r="AD4159">
        <v>-0.33100000000000002</v>
      </c>
    </row>
    <row r="4160" spans="2:30" x14ac:dyDescent="0.25">
      <c r="B4160" t="s">
        <v>133</v>
      </c>
      <c r="C4160" t="s">
        <v>3265</v>
      </c>
      <c r="D4160" t="s">
        <v>4797</v>
      </c>
      <c r="E4160" t="s">
        <v>4798</v>
      </c>
      <c r="F4160" t="s">
        <v>9810</v>
      </c>
      <c r="G4160" t="s">
        <v>3890</v>
      </c>
      <c r="H4160" t="s">
        <v>4686</v>
      </c>
      <c r="I4160" t="s">
        <v>4687</v>
      </c>
      <c r="J4160">
        <v>1</v>
      </c>
      <c r="K4160">
        <v>-143.566</v>
      </c>
      <c r="L4160">
        <v>-170.96600000000001</v>
      </c>
      <c r="M4160">
        <v>-173.893</v>
      </c>
      <c r="N4160">
        <v>-142.01</v>
      </c>
      <c r="O4160">
        <v>-150.86699999999999</v>
      </c>
      <c r="P4160">
        <v>-137.51599999999999</v>
      </c>
      <c r="Q4160">
        <v>-133.84299999999999</v>
      </c>
      <c r="R4160">
        <v>-131.99100000000001</v>
      </c>
      <c r="S4160">
        <v>-130.37200000000001</v>
      </c>
      <c r="T4160">
        <v>-128.613</v>
      </c>
      <c r="U4160">
        <v>-128.613</v>
      </c>
      <c r="V4160">
        <v>-128.613</v>
      </c>
      <c r="W4160">
        <v>-128.613</v>
      </c>
      <c r="X4160">
        <v>-128.613</v>
      </c>
      <c r="Y4160">
        <v>-128.613</v>
      </c>
      <c r="Z4160">
        <v>-128.613</v>
      </c>
      <c r="AA4160">
        <v>-128.613</v>
      </c>
      <c r="AB4160">
        <v>-128.613</v>
      </c>
      <c r="AC4160">
        <v>-128.613</v>
      </c>
      <c r="AD4160">
        <v>-128.613</v>
      </c>
    </row>
    <row r="4161" spans="2:30" x14ac:dyDescent="0.25">
      <c r="B4161" t="s">
        <v>133</v>
      </c>
      <c r="C4161" t="s">
        <v>3265</v>
      </c>
      <c r="D4161" t="s">
        <v>4800</v>
      </c>
      <c r="E4161" t="s">
        <v>4801</v>
      </c>
      <c r="F4161" t="s">
        <v>9811</v>
      </c>
      <c r="G4161" t="s">
        <v>3890</v>
      </c>
      <c r="H4161" t="s">
        <v>4803</v>
      </c>
      <c r="I4161" t="s">
        <v>4646</v>
      </c>
      <c r="J4161">
        <v>2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  <c r="W4161" t="e">
        <v>#N/A</v>
      </c>
      <c r="X4161" t="e">
        <v>#N/A</v>
      </c>
      <c r="Y4161" t="e">
        <v>#N/A</v>
      </c>
      <c r="Z4161" t="e">
        <v>#N/A</v>
      </c>
      <c r="AA4161" t="e">
        <v>#N/A</v>
      </c>
      <c r="AB4161" t="e">
        <v>#N/A</v>
      </c>
      <c r="AC4161" t="e">
        <v>#N/A</v>
      </c>
      <c r="AD4161" t="e">
        <v>#N/A</v>
      </c>
    </row>
    <row r="4162" spans="2:30" x14ac:dyDescent="0.25">
      <c r="B4162" t="s">
        <v>133</v>
      </c>
      <c r="C4162" t="s">
        <v>3265</v>
      </c>
      <c r="D4162" t="s">
        <v>4804</v>
      </c>
      <c r="E4162" t="s">
        <v>4805</v>
      </c>
      <c r="F4162" t="s">
        <v>9812</v>
      </c>
      <c r="G4162" t="s">
        <v>3890</v>
      </c>
      <c r="H4162" t="s">
        <v>4695</v>
      </c>
      <c r="I4162" t="s">
        <v>4687</v>
      </c>
      <c r="J4162">
        <v>2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</row>
    <row r="4163" spans="2:30" x14ac:dyDescent="0.25">
      <c r="B4163" t="s">
        <v>133</v>
      </c>
      <c r="C4163" t="s">
        <v>3265</v>
      </c>
      <c r="D4163" t="s">
        <v>4807</v>
      </c>
      <c r="E4163" t="s">
        <v>4808</v>
      </c>
      <c r="F4163" t="s">
        <v>9813</v>
      </c>
      <c r="G4163" t="s">
        <v>3890</v>
      </c>
      <c r="H4163" t="s">
        <v>4645</v>
      </c>
      <c r="I4163" t="s">
        <v>4810</v>
      </c>
      <c r="J4163">
        <v>2</v>
      </c>
      <c r="K4163">
        <v>16.391999999999999</v>
      </c>
      <c r="L4163">
        <v>14.093999999999999</v>
      </c>
      <c r="M4163">
        <v>13.279</v>
      </c>
      <c r="N4163">
        <v>12.816000000000001</v>
      </c>
      <c r="O4163">
        <v>13.071</v>
      </c>
      <c r="P4163">
        <v>13.372999999999999</v>
      </c>
      <c r="Q4163">
        <v>13.603</v>
      </c>
      <c r="R4163">
        <v>13.842000000000001</v>
      </c>
      <c r="S4163">
        <v>14.09</v>
      </c>
      <c r="T4163">
        <v>14.35</v>
      </c>
      <c r="U4163">
        <v>14.65</v>
      </c>
      <c r="V4163">
        <v>14.962</v>
      </c>
      <c r="W4163">
        <v>15.287000000000001</v>
      </c>
      <c r="X4163">
        <v>15.624000000000001</v>
      </c>
      <c r="Y4163">
        <v>15.975</v>
      </c>
      <c r="Z4163">
        <v>16.341000000000001</v>
      </c>
      <c r="AA4163">
        <v>16.72</v>
      </c>
      <c r="AB4163">
        <v>17.114999999999998</v>
      </c>
      <c r="AC4163">
        <v>17.526</v>
      </c>
      <c r="AD4163">
        <v>17.952999999999999</v>
      </c>
    </row>
    <row r="4164" spans="2:30" x14ac:dyDescent="0.25">
      <c r="B4164" t="s">
        <v>133</v>
      </c>
      <c r="C4164" t="s">
        <v>3265</v>
      </c>
      <c r="D4164" t="s">
        <v>4811</v>
      </c>
      <c r="E4164" t="s">
        <v>4812</v>
      </c>
      <c r="F4164" t="s">
        <v>9814</v>
      </c>
      <c r="G4164" t="s">
        <v>3890</v>
      </c>
      <c r="H4164" t="s">
        <v>4394</v>
      </c>
      <c r="I4164" t="s">
        <v>4810</v>
      </c>
      <c r="J4164">
        <v>2</v>
      </c>
      <c r="K4164">
        <v>11.12</v>
      </c>
      <c r="L4164">
        <v>8.6110000000000007</v>
      </c>
      <c r="M4164">
        <v>7.577</v>
      </c>
      <c r="N4164">
        <v>6.8849999999999998</v>
      </c>
      <c r="O4164">
        <v>6.9039999999999999</v>
      </c>
      <c r="P4164">
        <v>6.9580000000000002</v>
      </c>
      <c r="Q4164">
        <v>6.9320000000000004</v>
      </c>
      <c r="R4164">
        <v>6.9039999999999999</v>
      </c>
      <c r="S4164">
        <v>6.875</v>
      </c>
      <c r="T4164">
        <v>6.8460000000000001</v>
      </c>
      <c r="U4164">
        <v>6.8460000000000001</v>
      </c>
      <c r="V4164">
        <v>6.8460000000000001</v>
      </c>
      <c r="W4164">
        <v>6.8460000000000001</v>
      </c>
      <c r="X4164">
        <v>6.8460000000000001</v>
      </c>
      <c r="Y4164">
        <v>6.8460000000000001</v>
      </c>
      <c r="Z4164">
        <v>6.8460000000000001</v>
      </c>
      <c r="AA4164">
        <v>6.8460000000000001</v>
      </c>
      <c r="AB4164">
        <v>6.8460000000000001</v>
      </c>
      <c r="AC4164">
        <v>6.8460000000000001</v>
      </c>
      <c r="AD4164">
        <v>6.8460000000000001</v>
      </c>
    </row>
    <row r="4165" spans="2:30" x14ac:dyDescent="0.25">
      <c r="B4165" t="s">
        <v>133</v>
      </c>
      <c r="C4165" t="s">
        <v>3265</v>
      </c>
      <c r="D4165" t="s">
        <v>4814</v>
      </c>
      <c r="E4165" t="s">
        <v>4815</v>
      </c>
      <c r="F4165" t="s">
        <v>9815</v>
      </c>
      <c r="G4165" t="s">
        <v>3890</v>
      </c>
      <c r="H4165" t="s">
        <v>4653</v>
      </c>
      <c r="I4165" t="s">
        <v>4810</v>
      </c>
      <c r="J4165">
        <v>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</row>
    <row r="4166" spans="2:30" x14ac:dyDescent="0.25">
      <c r="B4166" t="s">
        <v>133</v>
      </c>
      <c r="C4166" t="s">
        <v>3265</v>
      </c>
      <c r="D4166" t="s">
        <v>4817</v>
      </c>
      <c r="E4166" t="s">
        <v>4818</v>
      </c>
      <c r="F4166" t="s">
        <v>9816</v>
      </c>
      <c r="G4166" t="s">
        <v>3890</v>
      </c>
      <c r="H4166" t="s">
        <v>4669</v>
      </c>
      <c r="I4166" t="s">
        <v>4810</v>
      </c>
      <c r="J4166">
        <v>2</v>
      </c>
      <c r="K4166">
        <v>5.2720000000000002</v>
      </c>
      <c r="L4166">
        <v>5.4829999999999997</v>
      </c>
      <c r="M4166">
        <v>5.702</v>
      </c>
      <c r="N4166">
        <v>5.93</v>
      </c>
      <c r="O4166">
        <v>6.1680000000000001</v>
      </c>
      <c r="P4166">
        <v>6.4139999999999997</v>
      </c>
      <c r="Q4166">
        <v>6.6710000000000003</v>
      </c>
      <c r="R4166">
        <v>6.9379999999999997</v>
      </c>
      <c r="S4166">
        <v>7.2149999999999999</v>
      </c>
      <c r="T4166">
        <v>7.5039999999999996</v>
      </c>
      <c r="U4166">
        <v>7.8040000000000003</v>
      </c>
      <c r="V4166">
        <v>8.1159999999999997</v>
      </c>
      <c r="W4166">
        <v>8.4410000000000007</v>
      </c>
      <c r="X4166">
        <v>8.7780000000000005</v>
      </c>
      <c r="Y4166">
        <v>9.1300000000000008</v>
      </c>
      <c r="Z4166">
        <v>9.4949999999999992</v>
      </c>
      <c r="AA4166">
        <v>9.8740000000000006</v>
      </c>
      <c r="AB4166">
        <v>10.269</v>
      </c>
      <c r="AC4166">
        <v>10.68</v>
      </c>
      <c r="AD4166">
        <v>11.106999999999999</v>
      </c>
    </row>
    <row r="4167" spans="2:30" x14ac:dyDescent="0.25">
      <c r="B4167" t="s">
        <v>133</v>
      </c>
      <c r="C4167" t="s">
        <v>3265</v>
      </c>
      <c r="D4167" t="s">
        <v>4820</v>
      </c>
      <c r="E4167" t="s">
        <v>4821</v>
      </c>
      <c r="F4167" t="s">
        <v>9817</v>
      </c>
      <c r="G4167" t="s">
        <v>3890</v>
      </c>
      <c r="H4167" t="s">
        <v>4673</v>
      </c>
      <c r="I4167" t="s">
        <v>4810</v>
      </c>
      <c r="J4167">
        <v>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</row>
    <row r="4168" spans="2:30" x14ac:dyDescent="0.25">
      <c r="B4168" t="s">
        <v>133</v>
      </c>
      <c r="C4168" t="s">
        <v>3265</v>
      </c>
      <c r="D4168" t="s">
        <v>4823</v>
      </c>
      <c r="E4168" t="s">
        <v>4824</v>
      </c>
      <c r="F4168" t="s">
        <v>9818</v>
      </c>
      <c r="G4168" t="s">
        <v>3890</v>
      </c>
      <c r="H4168" t="s">
        <v>4826</v>
      </c>
      <c r="I4168" t="s">
        <v>4810</v>
      </c>
      <c r="J4168">
        <v>2</v>
      </c>
      <c r="K4168">
        <v>11.465999999999999</v>
      </c>
      <c r="L4168">
        <v>8.83</v>
      </c>
      <c r="M4168">
        <v>7.7460000000000004</v>
      </c>
      <c r="N4168">
        <v>7.0540000000000003</v>
      </c>
      <c r="O4168">
        <v>7.0720000000000001</v>
      </c>
      <c r="P4168">
        <v>7.1269999999999998</v>
      </c>
      <c r="Q4168">
        <v>7.1970000000000001</v>
      </c>
      <c r="R4168">
        <v>7.42</v>
      </c>
      <c r="S4168">
        <v>7.7530000000000001</v>
      </c>
      <c r="T4168">
        <v>8.17</v>
      </c>
      <c r="U4168">
        <v>8.6820000000000004</v>
      </c>
      <c r="V4168">
        <v>9.2439999999999998</v>
      </c>
      <c r="W4168">
        <v>9.8469999999999995</v>
      </c>
      <c r="X4168">
        <v>10.481999999999999</v>
      </c>
      <c r="Y4168">
        <v>10.481999999999999</v>
      </c>
      <c r="Z4168">
        <v>10.481999999999999</v>
      </c>
      <c r="AA4168">
        <v>10.481999999999999</v>
      </c>
      <c r="AB4168">
        <v>10.481999999999999</v>
      </c>
      <c r="AC4168">
        <v>10.481999999999999</v>
      </c>
      <c r="AD4168">
        <v>7.0140000000000002</v>
      </c>
    </row>
    <row r="4169" spans="2:30" x14ac:dyDescent="0.25">
      <c r="B4169" t="s">
        <v>133</v>
      </c>
      <c r="C4169" t="s">
        <v>3265</v>
      </c>
      <c r="D4169" t="s">
        <v>4827</v>
      </c>
      <c r="E4169" t="s">
        <v>4828</v>
      </c>
      <c r="F4169" t="s">
        <v>9819</v>
      </c>
      <c r="G4169" t="s">
        <v>3890</v>
      </c>
      <c r="H4169" t="s">
        <v>4830</v>
      </c>
      <c r="I4169" t="s">
        <v>4810</v>
      </c>
      <c r="J4169">
        <v>2</v>
      </c>
      <c r="K4169">
        <v>-4.9260000000000002</v>
      </c>
      <c r="L4169">
        <v>-5.2640000000000002</v>
      </c>
      <c r="M4169">
        <v>-5.5339999999999998</v>
      </c>
      <c r="N4169">
        <v>-5.7619999999999996</v>
      </c>
      <c r="O4169">
        <v>-5.9989999999999997</v>
      </c>
      <c r="P4169">
        <v>-6.2460000000000004</v>
      </c>
      <c r="Q4169">
        <v>-6.4059999999999997</v>
      </c>
      <c r="R4169">
        <v>-6.4219999999999997</v>
      </c>
      <c r="S4169">
        <v>-6.3369999999999997</v>
      </c>
      <c r="T4169">
        <v>-6.1790000000000003</v>
      </c>
      <c r="U4169">
        <v>-5.968</v>
      </c>
      <c r="V4169">
        <v>-5.718</v>
      </c>
      <c r="W4169">
        <v>-5.44</v>
      </c>
      <c r="X4169">
        <v>-5.1420000000000003</v>
      </c>
      <c r="Y4169">
        <v>-5.4930000000000003</v>
      </c>
      <c r="Z4169">
        <v>-5.8579999999999997</v>
      </c>
      <c r="AA4169">
        <v>-6.2380000000000004</v>
      </c>
      <c r="AB4169">
        <v>-6.633</v>
      </c>
      <c r="AC4169">
        <v>-7.0439999999999996</v>
      </c>
      <c r="AD4169">
        <v>-10.939</v>
      </c>
    </row>
    <row r="4170" spans="2:30" x14ac:dyDescent="0.25">
      <c r="B4170" t="s">
        <v>133</v>
      </c>
      <c r="C4170" t="s">
        <v>3265</v>
      </c>
      <c r="D4170" t="s">
        <v>4831</v>
      </c>
      <c r="E4170" t="s">
        <v>4440</v>
      </c>
      <c r="F4170" t="s">
        <v>9701</v>
      </c>
      <c r="G4170" t="s">
        <v>3890</v>
      </c>
      <c r="H4170" t="s">
        <v>4832</v>
      </c>
      <c r="I4170" t="s">
        <v>4810</v>
      </c>
      <c r="J4170">
        <v>1</v>
      </c>
      <c r="K4170">
        <v>0.34599999999999997</v>
      </c>
      <c r="L4170">
        <v>0.219</v>
      </c>
      <c r="M4170">
        <v>0.16900000000000001</v>
      </c>
      <c r="N4170">
        <v>0.16900000000000001</v>
      </c>
      <c r="O4170">
        <v>0.16900000000000001</v>
      </c>
      <c r="P4170">
        <v>0.16900000000000001</v>
      </c>
      <c r="Q4170">
        <v>0.16900000000000001</v>
      </c>
      <c r="R4170">
        <v>0.16900000000000001</v>
      </c>
      <c r="S4170">
        <v>0.16900000000000001</v>
      </c>
      <c r="T4170">
        <v>0.16900000000000001</v>
      </c>
      <c r="U4170">
        <v>0.16900000000000001</v>
      </c>
      <c r="V4170">
        <v>0.16900000000000001</v>
      </c>
      <c r="W4170">
        <v>0.16900000000000001</v>
      </c>
      <c r="X4170">
        <v>0.16900000000000001</v>
      </c>
      <c r="Y4170">
        <v>0.16900000000000001</v>
      </c>
      <c r="Z4170">
        <v>0.16900000000000001</v>
      </c>
      <c r="AA4170">
        <v>0.16900000000000001</v>
      </c>
      <c r="AB4170">
        <v>0.16900000000000001</v>
      </c>
      <c r="AC4170">
        <v>0.16900000000000001</v>
      </c>
      <c r="AD4170">
        <v>0.16900000000000001</v>
      </c>
    </row>
    <row r="4171" spans="2:30" x14ac:dyDescent="0.25">
      <c r="B4171" t="s">
        <v>133</v>
      </c>
      <c r="C4171" t="s">
        <v>3265</v>
      </c>
      <c r="D4171" t="s">
        <v>4833</v>
      </c>
      <c r="E4171" t="s">
        <v>4834</v>
      </c>
      <c r="F4171" t="s">
        <v>9820</v>
      </c>
      <c r="G4171" t="s">
        <v>3890</v>
      </c>
      <c r="H4171" t="s">
        <v>4686</v>
      </c>
      <c r="I4171" t="s">
        <v>4687</v>
      </c>
      <c r="J4171">
        <v>1</v>
      </c>
      <c r="K4171">
        <v>3.5920000000000001</v>
      </c>
      <c r="L4171">
        <v>2.2810000000000001</v>
      </c>
      <c r="M4171">
        <v>1.7529999999999999</v>
      </c>
      <c r="N4171">
        <v>1.7529999999999999</v>
      </c>
      <c r="O4171">
        <v>1.7529999999999999</v>
      </c>
      <c r="P4171">
        <v>1.7529999999999999</v>
      </c>
      <c r="Q4171">
        <v>1.7529999999999999</v>
      </c>
      <c r="R4171">
        <v>1.7529999999999999</v>
      </c>
      <c r="S4171">
        <v>1.7529999999999999</v>
      </c>
      <c r="T4171">
        <v>1.7529999999999999</v>
      </c>
      <c r="U4171">
        <v>1.7529999999999999</v>
      </c>
      <c r="V4171">
        <v>1.7529999999999999</v>
      </c>
      <c r="W4171">
        <v>1.7529999999999999</v>
      </c>
      <c r="X4171">
        <v>1.7529999999999999</v>
      </c>
      <c r="Y4171">
        <v>1.7529999999999999</v>
      </c>
      <c r="Z4171">
        <v>1.7529999999999999</v>
      </c>
      <c r="AA4171">
        <v>1.7529999999999999</v>
      </c>
      <c r="AB4171">
        <v>1.7529999999999999</v>
      </c>
      <c r="AC4171">
        <v>1.7529999999999999</v>
      </c>
      <c r="AD4171">
        <v>1.7529999999999999</v>
      </c>
    </row>
    <row r="4172" spans="2:30" x14ac:dyDescent="0.25">
      <c r="B4172" t="s">
        <v>133</v>
      </c>
      <c r="C4172" t="s">
        <v>3265</v>
      </c>
      <c r="D4172" t="s">
        <v>4836</v>
      </c>
      <c r="E4172" t="s">
        <v>4837</v>
      </c>
      <c r="F4172" t="s">
        <v>9821</v>
      </c>
      <c r="G4172" t="s">
        <v>3890</v>
      </c>
      <c r="H4172" t="s">
        <v>4839</v>
      </c>
      <c r="I4172" t="s">
        <v>4810</v>
      </c>
      <c r="J4172">
        <v>2</v>
      </c>
      <c r="K4172">
        <v>5.2720000000000002</v>
      </c>
      <c r="L4172">
        <v>5.4829999999999997</v>
      </c>
      <c r="M4172">
        <v>5.702</v>
      </c>
      <c r="N4172">
        <v>5.93</v>
      </c>
      <c r="O4172">
        <v>6.1680000000000001</v>
      </c>
      <c r="P4172">
        <v>6.4139999999999997</v>
      </c>
      <c r="Q4172">
        <v>6.6710000000000003</v>
      </c>
      <c r="R4172">
        <v>6.9379999999999997</v>
      </c>
      <c r="S4172">
        <v>7.2149999999999999</v>
      </c>
      <c r="T4172">
        <v>7.5039999999999996</v>
      </c>
      <c r="U4172">
        <v>7.8040000000000003</v>
      </c>
      <c r="V4172">
        <v>8.1159999999999997</v>
      </c>
      <c r="W4172">
        <v>8.4410000000000007</v>
      </c>
      <c r="X4172">
        <v>8.7780000000000005</v>
      </c>
      <c r="Y4172">
        <v>9.1300000000000008</v>
      </c>
      <c r="Z4172">
        <v>9.4949999999999992</v>
      </c>
      <c r="AA4172">
        <v>9.8740000000000006</v>
      </c>
      <c r="AB4172">
        <v>10.269</v>
      </c>
      <c r="AC4172">
        <v>10.68</v>
      </c>
      <c r="AD4172">
        <v>11.106999999999999</v>
      </c>
    </row>
    <row r="4173" spans="2:30" x14ac:dyDescent="0.25">
      <c r="B4173" t="s">
        <v>133</v>
      </c>
      <c r="C4173" t="s">
        <v>3265</v>
      </c>
      <c r="D4173" t="s">
        <v>4840</v>
      </c>
      <c r="E4173" t="s">
        <v>4841</v>
      </c>
      <c r="F4173" t="s">
        <v>9822</v>
      </c>
      <c r="G4173" t="s">
        <v>3890</v>
      </c>
      <c r="H4173" t="s">
        <v>4695</v>
      </c>
      <c r="I4173" t="s">
        <v>4687</v>
      </c>
      <c r="J4173">
        <v>2</v>
      </c>
      <c r="K4173">
        <v>54.802</v>
      </c>
      <c r="L4173">
        <v>56.994</v>
      </c>
      <c r="M4173">
        <v>59.274000000000001</v>
      </c>
      <c r="N4173">
        <v>61.645000000000003</v>
      </c>
      <c r="O4173">
        <v>64.11</v>
      </c>
      <c r="P4173">
        <v>66.674999999999997</v>
      </c>
      <c r="Q4173">
        <v>69.341999999999999</v>
      </c>
      <c r="R4173">
        <v>72.114999999999995</v>
      </c>
      <c r="S4173">
        <v>75</v>
      </c>
      <c r="T4173">
        <v>78</v>
      </c>
      <c r="U4173">
        <v>81.12</v>
      </c>
      <c r="V4173">
        <v>84.364999999999995</v>
      </c>
      <c r="W4173">
        <v>87.739000000000004</v>
      </c>
      <c r="X4173">
        <v>91.248999999999995</v>
      </c>
      <c r="Y4173">
        <v>94.899000000000001</v>
      </c>
      <c r="Z4173">
        <v>98.694999999999993</v>
      </c>
      <c r="AA4173">
        <v>102.643</v>
      </c>
      <c r="AB4173">
        <v>106.748</v>
      </c>
      <c r="AC4173">
        <v>111.018</v>
      </c>
      <c r="AD4173">
        <v>115.459</v>
      </c>
    </row>
    <row r="4174" spans="2:30" x14ac:dyDescent="0.25">
      <c r="B4174" t="s">
        <v>133</v>
      </c>
      <c r="C4174" t="s">
        <v>3265</v>
      </c>
      <c r="D4174" t="s">
        <v>4843</v>
      </c>
      <c r="E4174" t="s">
        <v>4844</v>
      </c>
      <c r="F4174" t="s">
        <v>9823</v>
      </c>
      <c r="G4174" t="s">
        <v>3890</v>
      </c>
      <c r="H4174" t="s">
        <v>4645</v>
      </c>
      <c r="I4174" t="s">
        <v>4810</v>
      </c>
      <c r="J4174">
        <v>2</v>
      </c>
      <c r="K4174">
        <v>29.199000000000002</v>
      </c>
      <c r="L4174">
        <v>21.902000000000001</v>
      </c>
      <c r="M4174">
        <v>21.242999999999999</v>
      </c>
      <c r="N4174">
        <v>20.411999999999999</v>
      </c>
      <c r="O4174">
        <v>20.712</v>
      </c>
      <c r="P4174">
        <v>21.079000000000001</v>
      </c>
      <c r="Q4174">
        <v>21.331</v>
      </c>
      <c r="R4174">
        <v>21.591000000000001</v>
      </c>
      <c r="S4174">
        <v>21.86</v>
      </c>
      <c r="T4174">
        <v>22.143999999999998</v>
      </c>
      <c r="U4174">
        <v>22.486000000000001</v>
      </c>
      <c r="V4174">
        <v>22.841999999999999</v>
      </c>
      <c r="W4174">
        <v>23.212</v>
      </c>
      <c r="X4174">
        <v>23.597000000000001</v>
      </c>
      <c r="Y4174">
        <v>23.997</v>
      </c>
      <c r="Z4174">
        <v>24.413</v>
      </c>
      <c r="AA4174">
        <v>24.846</v>
      </c>
      <c r="AB4174">
        <v>25.297000000000001</v>
      </c>
      <c r="AC4174">
        <v>25.765000000000001</v>
      </c>
      <c r="AD4174">
        <v>26.251999999999999</v>
      </c>
    </row>
    <row r="4175" spans="2:30" x14ac:dyDescent="0.25">
      <c r="B4175" t="s">
        <v>133</v>
      </c>
      <c r="C4175" t="s">
        <v>3265</v>
      </c>
      <c r="D4175" t="s">
        <v>4846</v>
      </c>
      <c r="E4175" t="s">
        <v>4847</v>
      </c>
      <c r="F4175" t="s">
        <v>9824</v>
      </c>
      <c r="G4175" t="s">
        <v>3890</v>
      </c>
      <c r="H4175" t="s">
        <v>4394</v>
      </c>
      <c r="I4175" t="s">
        <v>4810</v>
      </c>
      <c r="J4175">
        <v>2</v>
      </c>
      <c r="K4175">
        <v>20.341000000000001</v>
      </c>
      <c r="L4175">
        <v>13.728999999999999</v>
      </c>
      <c r="M4175">
        <v>12.932</v>
      </c>
      <c r="N4175">
        <v>11.975</v>
      </c>
      <c r="O4175">
        <v>12</v>
      </c>
      <c r="P4175">
        <v>12.076000000000001</v>
      </c>
      <c r="Q4175">
        <v>12.04</v>
      </c>
      <c r="R4175">
        <v>12.002000000000001</v>
      </c>
      <c r="S4175">
        <v>11.96</v>
      </c>
      <c r="T4175">
        <v>11.920999999999999</v>
      </c>
      <c r="U4175">
        <v>11.920999999999999</v>
      </c>
      <c r="V4175">
        <v>11.920999999999999</v>
      </c>
      <c r="W4175">
        <v>11.920999999999999</v>
      </c>
      <c r="X4175">
        <v>11.920999999999999</v>
      </c>
      <c r="Y4175">
        <v>11.920999999999999</v>
      </c>
      <c r="Z4175">
        <v>11.920999999999999</v>
      </c>
      <c r="AA4175">
        <v>11.920999999999999</v>
      </c>
      <c r="AB4175">
        <v>11.920999999999999</v>
      </c>
      <c r="AC4175">
        <v>11.920999999999999</v>
      </c>
      <c r="AD4175">
        <v>11.920999999999999</v>
      </c>
    </row>
    <row r="4176" spans="2:30" x14ac:dyDescent="0.25">
      <c r="B4176" t="s">
        <v>133</v>
      </c>
      <c r="C4176" t="s">
        <v>3265</v>
      </c>
      <c r="D4176" t="s">
        <v>4849</v>
      </c>
      <c r="E4176" t="s">
        <v>4850</v>
      </c>
      <c r="F4176" t="s">
        <v>9825</v>
      </c>
      <c r="G4176" t="s">
        <v>3890</v>
      </c>
      <c r="H4176" t="s">
        <v>4653</v>
      </c>
      <c r="I4176" t="s">
        <v>4810</v>
      </c>
      <c r="J4176">
        <v>2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</row>
    <row r="4177" spans="2:30" x14ac:dyDescent="0.25">
      <c r="B4177" t="s">
        <v>133</v>
      </c>
      <c r="C4177" t="s">
        <v>3265</v>
      </c>
      <c r="D4177" t="s">
        <v>4852</v>
      </c>
      <c r="E4177" t="s">
        <v>4853</v>
      </c>
      <c r="F4177" t="s">
        <v>9826</v>
      </c>
      <c r="G4177" t="s">
        <v>3890</v>
      </c>
      <c r="H4177" t="s">
        <v>4669</v>
      </c>
      <c r="I4177" t="s">
        <v>4810</v>
      </c>
      <c r="J4177">
        <v>2</v>
      </c>
      <c r="K4177">
        <v>5.2720000000000002</v>
      </c>
      <c r="L4177">
        <v>5.4829999999999997</v>
      </c>
      <c r="M4177">
        <v>5.702</v>
      </c>
      <c r="N4177">
        <v>5.93</v>
      </c>
      <c r="O4177">
        <v>6.1680000000000001</v>
      </c>
      <c r="P4177">
        <v>6.4139999999999997</v>
      </c>
      <c r="Q4177">
        <v>6.6710000000000003</v>
      </c>
      <c r="R4177">
        <v>6.9379999999999997</v>
      </c>
      <c r="S4177">
        <v>7.2149999999999999</v>
      </c>
      <c r="T4177">
        <v>7.5039999999999996</v>
      </c>
      <c r="U4177">
        <v>7.8040000000000003</v>
      </c>
      <c r="V4177">
        <v>8.1159999999999997</v>
      </c>
      <c r="W4177">
        <v>8.4410000000000007</v>
      </c>
      <c r="X4177">
        <v>8.7780000000000005</v>
      </c>
      <c r="Y4177">
        <v>9.1300000000000008</v>
      </c>
      <c r="Z4177">
        <v>9.4949999999999992</v>
      </c>
      <c r="AA4177">
        <v>9.8740000000000006</v>
      </c>
      <c r="AB4177">
        <v>10.269</v>
      </c>
      <c r="AC4177">
        <v>10.68</v>
      </c>
      <c r="AD4177">
        <v>11.106999999999999</v>
      </c>
    </row>
    <row r="4178" spans="2:30" x14ac:dyDescent="0.25">
      <c r="B4178" t="s">
        <v>133</v>
      </c>
      <c r="C4178" t="s">
        <v>3265</v>
      </c>
      <c r="D4178" t="s">
        <v>4855</v>
      </c>
      <c r="E4178" t="s">
        <v>4856</v>
      </c>
      <c r="F4178" t="s">
        <v>9827</v>
      </c>
      <c r="G4178" t="s">
        <v>3890</v>
      </c>
      <c r="H4178" t="s">
        <v>4673</v>
      </c>
      <c r="I4178" t="s">
        <v>4810</v>
      </c>
      <c r="J4178">
        <v>2</v>
      </c>
      <c r="K4178">
        <v>3.5859999999999999</v>
      </c>
      <c r="L4178">
        <v>2.69</v>
      </c>
      <c r="M4178">
        <v>2.609</v>
      </c>
      <c r="N4178">
        <v>2.5070000000000001</v>
      </c>
      <c r="O4178">
        <v>2.544</v>
      </c>
      <c r="P4178">
        <v>2.589</v>
      </c>
      <c r="Q4178">
        <v>2.62</v>
      </c>
      <c r="R4178">
        <v>2.6520000000000001</v>
      </c>
      <c r="S4178">
        <v>2.6850000000000001</v>
      </c>
      <c r="T4178">
        <v>2.7189999999999999</v>
      </c>
      <c r="U4178">
        <v>2.7610000000000001</v>
      </c>
      <c r="V4178">
        <v>2.8050000000000002</v>
      </c>
      <c r="W4178">
        <v>2.851</v>
      </c>
      <c r="X4178">
        <v>2.8980000000000001</v>
      </c>
      <c r="Y4178">
        <v>2.9470000000000001</v>
      </c>
      <c r="Z4178">
        <v>2.9980000000000002</v>
      </c>
      <c r="AA4178">
        <v>3.0510000000000002</v>
      </c>
      <c r="AB4178">
        <v>3.1070000000000002</v>
      </c>
      <c r="AC4178">
        <v>3.1640000000000001</v>
      </c>
      <c r="AD4178">
        <v>3.2240000000000002</v>
      </c>
    </row>
    <row r="4179" spans="2:30" x14ac:dyDescent="0.25">
      <c r="B4179" t="s">
        <v>133</v>
      </c>
      <c r="C4179" t="s">
        <v>3265</v>
      </c>
      <c r="D4179" t="s">
        <v>4858</v>
      </c>
      <c r="E4179" t="s">
        <v>4859</v>
      </c>
      <c r="F4179" t="s">
        <v>9828</v>
      </c>
      <c r="G4179" t="s">
        <v>3890</v>
      </c>
      <c r="H4179" t="s">
        <v>4826</v>
      </c>
      <c r="I4179" t="s">
        <v>4810</v>
      </c>
      <c r="J4179">
        <v>2</v>
      </c>
      <c r="K4179">
        <v>23.399000000000001</v>
      </c>
      <c r="L4179">
        <v>15.864000000000001</v>
      </c>
      <c r="M4179">
        <v>14.744</v>
      </c>
      <c r="N4179">
        <v>13.651999999999999</v>
      </c>
      <c r="O4179">
        <v>13.680999999999999</v>
      </c>
      <c r="P4179">
        <v>13.768000000000001</v>
      </c>
      <c r="Q4179">
        <v>13.727</v>
      </c>
      <c r="R4179">
        <v>13.683</v>
      </c>
      <c r="S4179">
        <v>13.635999999999999</v>
      </c>
      <c r="T4179">
        <v>13.59</v>
      </c>
      <c r="U4179">
        <v>13.59</v>
      </c>
      <c r="V4179">
        <v>13.59</v>
      </c>
      <c r="W4179">
        <v>13.59</v>
      </c>
      <c r="X4179">
        <v>13.59</v>
      </c>
      <c r="Y4179">
        <v>13.59</v>
      </c>
      <c r="Z4179">
        <v>13.59</v>
      </c>
      <c r="AA4179">
        <v>13.59</v>
      </c>
      <c r="AB4179">
        <v>13.59</v>
      </c>
      <c r="AC4179">
        <v>13.59</v>
      </c>
      <c r="AD4179">
        <v>13.59</v>
      </c>
    </row>
    <row r="4180" spans="2:30" x14ac:dyDescent="0.25">
      <c r="B4180" t="s">
        <v>133</v>
      </c>
      <c r="C4180" t="s">
        <v>3265</v>
      </c>
      <c r="D4180" t="s">
        <v>4861</v>
      </c>
      <c r="E4180" t="s">
        <v>4862</v>
      </c>
      <c r="F4180" t="s">
        <v>9829</v>
      </c>
      <c r="G4180" t="s">
        <v>3890</v>
      </c>
      <c r="H4180" t="s">
        <v>4830</v>
      </c>
      <c r="I4180" t="s">
        <v>4810</v>
      </c>
      <c r="J4180">
        <v>2</v>
      </c>
      <c r="K4180">
        <v>-5.8</v>
      </c>
      <c r="L4180">
        <v>-6.0380000000000003</v>
      </c>
      <c r="M4180">
        <v>-6.5</v>
      </c>
      <c r="N4180">
        <v>-6.76</v>
      </c>
      <c r="O4180">
        <v>-7.03</v>
      </c>
      <c r="P4180">
        <v>-7.3120000000000003</v>
      </c>
      <c r="Q4180">
        <v>-7.6040000000000001</v>
      </c>
      <c r="R4180">
        <v>-7.9080000000000004</v>
      </c>
      <c r="S4180">
        <v>-8.2249999999999996</v>
      </c>
      <c r="T4180">
        <v>-8.5540000000000003</v>
      </c>
      <c r="U4180">
        <v>-8.8960000000000008</v>
      </c>
      <c r="V4180">
        <v>-9.2520000000000007</v>
      </c>
      <c r="W4180">
        <v>-9.6219999999999999</v>
      </c>
      <c r="X4180">
        <v>-10.007</v>
      </c>
      <c r="Y4180">
        <v>-10.407</v>
      </c>
      <c r="Z4180">
        <v>-10.823</v>
      </c>
      <c r="AA4180">
        <v>-11.256</v>
      </c>
      <c r="AB4180">
        <v>-11.706</v>
      </c>
      <c r="AC4180">
        <v>-12.175000000000001</v>
      </c>
      <c r="AD4180">
        <v>-12.662000000000001</v>
      </c>
    </row>
    <row r="4181" spans="2:30" x14ac:dyDescent="0.25">
      <c r="B4181" t="s">
        <v>133</v>
      </c>
      <c r="C4181" t="s">
        <v>3265</v>
      </c>
      <c r="D4181" t="s">
        <v>4864</v>
      </c>
      <c r="E4181" t="s">
        <v>4446</v>
      </c>
      <c r="F4181" t="s">
        <v>9703</v>
      </c>
      <c r="G4181" t="s">
        <v>3890</v>
      </c>
      <c r="H4181" t="s">
        <v>4865</v>
      </c>
      <c r="I4181" t="s">
        <v>4810</v>
      </c>
      <c r="J4181">
        <v>1</v>
      </c>
      <c r="K4181">
        <v>0.184</v>
      </c>
      <c r="L4181">
        <v>0.187</v>
      </c>
      <c r="M4181">
        <v>1E-3</v>
      </c>
      <c r="N4181">
        <v>1E-3</v>
      </c>
      <c r="O4181">
        <v>1E-3</v>
      </c>
      <c r="P4181">
        <v>1E-3</v>
      </c>
      <c r="Q4181">
        <v>1E-3</v>
      </c>
      <c r="R4181">
        <v>1E-3</v>
      </c>
      <c r="S4181">
        <v>1E-3</v>
      </c>
      <c r="T4181">
        <v>1E-3</v>
      </c>
      <c r="U4181">
        <v>1E-3</v>
      </c>
      <c r="V4181">
        <v>1E-3</v>
      </c>
      <c r="W4181">
        <v>1E-3</v>
      </c>
      <c r="X4181">
        <v>1E-3</v>
      </c>
      <c r="Y4181">
        <v>1E-3</v>
      </c>
      <c r="Z4181">
        <v>1E-3</v>
      </c>
      <c r="AA4181">
        <v>1E-3</v>
      </c>
      <c r="AB4181">
        <v>1E-3</v>
      </c>
      <c r="AC4181">
        <v>1E-3</v>
      </c>
      <c r="AD4181">
        <v>1E-3</v>
      </c>
    </row>
    <row r="4182" spans="2:30" x14ac:dyDescent="0.25">
      <c r="B4182" t="s">
        <v>133</v>
      </c>
      <c r="C4182" t="s">
        <v>3265</v>
      </c>
      <c r="D4182" t="s">
        <v>4866</v>
      </c>
      <c r="E4182" t="s">
        <v>4867</v>
      </c>
      <c r="F4182" t="s">
        <v>9830</v>
      </c>
      <c r="G4182" t="s">
        <v>3890</v>
      </c>
      <c r="H4182" t="s">
        <v>4686</v>
      </c>
      <c r="I4182" t="s">
        <v>4687</v>
      </c>
      <c r="J4182">
        <v>1</v>
      </c>
      <c r="K4182">
        <v>1.9179999999999999</v>
      </c>
      <c r="L4182">
        <v>1.9410000000000001</v>
      </c>
      <c r="M4182">
        <v>7.0000000000000001E-3</v>
      </c>
      <c r="N4182">
        <v>7.0000000000000001E-3</v>
      </c>
      <c r="O4182">
        <v>7.0000000000000001E-3</v>
      </c>
      <c r="P4182">
        <v>7.0000000000000001E-3</v>
      </c>
      <c r="Q4182">
        <v>7.0000000000000001E-3</v>
      </c>
      <c r="R4182">
        <v>7.0000000000000001E-3</v>
      </c>
      <c r="S4182">
        <v>7.0000000000000001E-3</v>
      </c>
      <c r="T4182">
        <v>7.0000000000000001E-3</v>
      </c>
      <c r="U4182">
        <v>7.0000000000000001E-3</v>
      </c>
      <c r="V4182">
        <v>7.0000000000000001E-3</v>
      </c>
      <c r="W4182">
        <v>7.0000000000000001E-3</v>
      </c>
      <c r="X4182">
        <v>7.0000000000000001E-3</v>
      </c>
      <c r="Y4182">
        <v>7.0000000000000001E-3</v>
      </c>
      <c r="Z4182">
        <v>7.0000000000000001E-3</v>
      </c>
      <c r="AA4182">
        <v>7.0000000000000001E-3</v>
      </c>
      <c r="AB4182">
        <v>7.0000000000000001E-3</v>
      </c>
      <c r="AC4182">
        <v>7.0000000000000001E-3</v>
      </c>
      <c r="AD4182">
        <v>7.0000000000000001E-3</v>
      </c>
    </row>
    <row r="4183" spans="2:30" x14ac:dyDescent="0.25">
      <c r="B4183" t="s">
        <v>133</v>
      </c>
      <c r="C4183" t="s">
        <v>3265</v>
      </c>
      <c r="D4183" t="s">
        <v>4869</v>
      </c>
      <c r="E4183" t="s">
        <v>4870</v>
      </c>
      <c r="F4183" t="s">
        <v>9831</v>
      </c>
      <c r="G4183" t="s">
        <v>3890</v>
      </c>
      <c r="H4183" t="s">
        <v>4839</v>
      </c>
      <c r="I4183" t="s">
        <v>4810</v>
      </c>
      <c r="J4183">
        <v>2</v>
      </c>
      <c r="K4183">
        <v>5.2720000000000002</v>
      </c>
      <c r="L4183">
        <v>5.4829999999999997</v>
      </c>
      <c r="M4183">
        <v>5.702</v>
      </c>
      <c r="N4183">
        <v>5.93</v>
      </c>
      <c r="O4183">
        <v>6.1680000000000001</v>
      </c>
      <c r="P4183">
        <v>6.4139999999999997</v>
      </c>
      <c r="Q4183">
        <v>6.6710000000000003</v>
      </c>
      <c r="R4183">
        <v>6.9379999999999997</v>
      </c>
      <c r="S4183">
        <v>7.2149999999999999</v>
      </c>
      <c r="T4183">
        <v>7.5039999999999996</v>
      </c>
      <c r="U4183">
        <v>7.8040000000000003</v>
      </c>
      <c r="V4183">
        <v>8.1159999999999997</v>
      </c>
      <c r="W4183">
        <v>8.4410000000000007</v>
      </c>
      <c r="X4183">
        <v>8.7780000000000005</v>
      </c>
      <c r="Y4183">
        <v>9.1300000000000008</v>
      </c>
      <c r="Z4183">
        <v>9.4949999999999992</v>
      </c>
      <c r="AA4183">
        <v>9.8740000000000006</v>
      </c>
      <c r="AB4183">
        <v>10.269</v>
      </c>
      <c r="AC4183">
        <v>10.68</v>
      </c>
      <c r="AD4183">
        <v>11.106999999999999</v>
      </c>
    </row>
    <row r="4184" spans="2:30" x14ac:dyDescent="0.25">
      <c r="B4184" t="s">
        <v>133</v>
      </c>
      <c r="C4184" t="s">
        <v>3265</v>
      </c>
      <c r="D4184" t="s">
        <v>4872</v>
      </c>
      <c r="E4184" t="s">
        <v>4873</v>
      </c>
      <c r="F4184" t="s">
        <v>9832</v>
      </c>
      <c r="G4184" t="s">
        <v>3890</v>
      </c>
      <c r="H4184" t="s">
        <v>4695</v>
      </c>
      <c r="I4184" t="s">
        <v>4687</v>
      </c>
      <c r="J4184">
        <v>2</v>
      </c>
      <c r="K4184">
        <v>54.802</v>
      </c>
      <c r="L4184">
        <v>56.994</v>
      </c>
      <c r="M4184">
        <v>59.274000000000001</v>
      </c>
      <c r="N4184">
        <v>61.645000000000003</v>
      </c>
      <c r="O4184">
        <v>64.11</v>
      </c>
      <c r="P4184">
        <v>66.674999999999997</v>
      </c>
      <c r="Q4184">
        <v>69.341999999999999</v>
      </c>
      <c r="R4184">
        <v>72.114999999999995</v>
      </c>
      <c r="S4184">
        <v>75</v>
      </c>
      <c r="T4184">
        <v>78</v>
      </c>
      <c r="U4184">
        <v>81.12</v>
      </c>
      <c r="V4184">
        <v>84.364999999999995</v>
      </c>
      <c r="W4184">
        <v>87.739000000000004</v>
      </c>
      <c r="X4184">
        <v>91.248999999999995</v>
      </c>
      <c r="Y4184">
        <v>94.899000000000001</v>
      </c>
      <c r="Z4184">
        <v>98.694999999999993</v>
      </c>
      <c r="AA4184">
        <v>102.643</v>
      </c>
      <c r="AB4184">
        <v>106.748</v>
      </c>
      <c r="AC4184">
        <v>111.018</v>
      </c>
      <c r="AD4184">
        <v>115.459</v>
      </c>
    </row>
    <row r="4185" spans="2:30" x14ac:dyDescent="0.25">
      <c r="B4185" t="s">
        <v>133</v>
      </c>
      <c r="C4185" t="s">
        <v>3265</v>
      </c>
      <c r="D4185" t="s">
        <v>4875</v>
      </c>
      <c r="E4185" t="s">
        <v>4876</v>
      </c>
      <c r="F4185" t="s">
        <v>9833</v>
      </c>
      <c r="G4185" t="s">
        <v>3890</v>
      </c>
      <c r="H4185" t="s">
        <v>4645</v>
      </c>
      <c r="I4185" t="s">
        <v>4810</v>
      </c>
      <c r="J4185">
        <v>2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  <c r="W4185" t="e">
        <v>#N/A</v>
      </c>
      <c r="X4185" t="e">
        <v>#N/A</v>
      </c>
      <c r="Y4185" t="e">
        <v>#N/A</v>
      </c>
      <c r="Z4185" t="e">
        <v>#N/A</v>
      </c>
      <c r="AA4185" t="e">
        <v>#N/A</v>
      </c>
      <c r="AB4185" t="e">
        <v>#N/A</v>
      </c>
      <c r="AC4185" t="e">
        <v>#N/A</v>
      </c>
      <c r="AD4185" t="e">
        <v>#N/A</v>
      </c>
    </row>
    <row r="4186" spans="2:30" x14ac:dyDescent="0.25">
      <c r="B4186" t="s">
        <v>133</v>
      </c>
      <c r="C4186" t="s">
        <v>3265</v>
      </c>
      <c r="D4186" t="s">
        <v>4878</v>
      </c>
      <c r="E4186" t="s">
        <v>4879</v>
      </c>
      <c r="F4186" t="s">
        <v>9834</v>
      </c>
      <c r="G4186" t="s">
        <v>3890</v>
      </c>
      <c r="H4186" t="s">
        <v>4394</v>
      </c>
      <c r="I4186" t="s">
        <v>4810</v>
      </c>
      <c r="J4186">
        <v>2</v>
      </c>
      <c r="K4186">
        <v>13.301</v>
      </c>
      <c r="L4186">
        <v>6.66</v>
      </c>
      <c r="M4186">
        <v>5.9119999999999999</v>
      </c>
      <c r="N4186">
        <v>5.032</v>
      </c>
      <c r="O4186">
        <v>5.0549999999999997</v>
      </c>
      <c r="P4186">
        <v>5.125</v>
      </c>
      <c r="Q4186">
        <v>5.0919999999999996</v>
      </c>
      <c r="R4186">
        <v>5.056</v>
      </c>
      <c r="S4186">
        <v>5.0179999999999998</v>
      </c>
      <c r="T4186">
        <v>4.9820000000000002</v>
      </c>
      <c r="U4186">
        <v>4.9820000000000002</v>
      </c>
      <c r="V4186">
        <v>4.9820000000000002</v>
      </c>
      <c r="W4186">
        <v>4.9820000000000002</v>
      </c>
      <c r="X4186">
        <v>4.9820000000000002</v>
      </c>
      <c r="Y4186">
        <v>4.9820000000000002</v>
      </c>
      <c r="Z4186">
        <v>4.9820000000000002</v>
      </c>
      <c r="AA4186">
        <v>4.9820000000000002</v>
      </c>
      <c r="AB4186">
        <v>4.9820000000000002</v>
      </c>
      <c r="AC4186">
        <v>4.9820000000000002</v>
      </c>
      <c r="AD4186">
        <v>4.9820000000000002</v>
      </c>
    </row>
    <row r="4187" spans="2:30" x14ac:dyDescent="0.25">
      <c r="B4187" t="s">
        <v>133</v>
      </c>
      <c r="C4187" t="s">
        <v>3265</v>
      </c>
      <c r="D4187" t="s">
        <v>4881</v>
      </c>
      <c r="E4187" t="s">
        <v>4882</v>
      </c>
      <c r="F4187" t="s">
        <v>9835</v>
      </c>
      <c r="G4187" t="s">
        <v>3890</v>
      </c>
      <c r="H4187" t="s">
        <v>4653</v>
      </c>
      <c r="I4187" t="s">
        <v>4810</v>
      </c>
      <c r="J4187">
        <v>2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  <c r="W4187" t="e">
        <v>#N/A</v>
      </c>
      <c r="X4187" t="e">
        <v>#N/A</v>
      </c>
      <c r="Y4187" t="e">
        <v>#N/A</v>
      </c>
      <c r="Z4187" t="e">
        <v>#N/A</v>
      </c>
      <c r="AA4187" t="e">
        <v>#N/A</v>
      </c>
      <c r="AB4187" t="e">
        <v>#N/A</v>
      </c>
      <c r="AC4187" t="e">
        <v>#N/A</v>
      </c>
      <c r="AD4187" t="e">
        <v>#N/A</v>
      </c>
    </row>
    <row r="4188" spans="2:30" x14ac:dyDescent="0.25">
      <c r="B4188" t="s">
        <v>133</v>
      </c>
      <c r="C4188" t="s">
        <v>3265</v>
      </c>
      <c r="D4188" t="s">
        <v>4884</v>
      </c>
      <c r="E4188" t="s">
        <v>4885</v>
      </c>
      <c r="F4188" t="s">
        <v>9836</v>
      </c>
      <c r="G4188" t="s">
        <v>3890</v>
      </c>
      <c r="H4188" t="s">
        <v>4669</v>
      </c>
      <c r="I4188" t="s">
        <v>4810</v>
      </c>
      <c r="J4188">
        <v>2</v>
      </c>
      <c r="K4188">
        <v>5.2720000000000002</v>
      </c>
      <c r="L4188">
        <v>5.4829999999999997</v>
      </c>
      <c r="M4188">
        <v>5.702</v>
      </c>
      <c r="N4188">
        <v>5.93</v>
      </c>
      <c r="O4188">
        <v>6.1680000000000001</v>
      </c>
      <c r="P4188">
        <v>6.4139999999999997</v>
      </c>
      <c r="Q4188">
        <v>6.6710000000000003</v>
      </c>
      <c r="R4188">
        <v>6.9379999999999997</v>
      </c>
      <c r="S4188">
        <v>7.2149999999999999</v>
      </c>
      <c r="T4188">
        <v>7.5039999999999996</v>
      </c>
      <c r="U4188">
        <v>7.8040000000000003</v>
      </c>
      <c r="V4188">
        <v>8.1159999999999997</v>
      </c>
      <c r="W4188">
        <v>8.4410000000000007</v>
      </c>
      <c r="X4188">
        <v>8.7780000000000005</v>
      </c>
      <c r="Y4188">
        <v>9.1300000000000008</v>
      </c>
      <c r="Z4188">
        <v>9.4949999999999992</v>
      </c>
      <c r="AA4188">
        <v>9.8740000000000006</v>
      </c>
      <c r="AB4188">
        <v>10.269</v>
      </c>
      <c r="AC4188">
        <v>10.68</v>
      </c>
      <c r="AD4188">
        <v>11.106999999999999</v>
      </c>
    </row>
    <row r="4189" spans="2:30" x14ac:dyDescent="0.25">
      <c r="B4189" t="s">
        <v>133</v>
      </c>
      <c r="C4189" t="s">
        <v>3265</v>
      </c>
      <c r="D4189" t="s">
        <v>4887</v>
      </c>
      <c r="E4189" t="s">
        <v>4888</v>
      </c>
      <c r="F4189" t="s">
        <v>9837</v>
      </c>
      <c r="G4189" t="s">
        <v>3890</v>
      </c>
      <c r="H4189" t="s">
        <v>4673</v>
      </c>
      <c r="I4189" t="s">
        <v>4810</v>
      </c>
      <c r="J4189">
        <v>2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</row>
    <row r="4190" spans="2:30" x14ac:dyDescent="0.25">
      <c r="B4190" t="s">
        <v>133</v>
      </c>
      <c r="C4190" t="s">
        <v>3265</v>
      </c>
      <c r="D4190" t="s">
        <v>4890</v>
      </c>
      <c r="E4190" t="s">
        <v>4891</v>
      </c>
      <c r="F4190" t="s">
        <v>9838</v>
      </c>
      <c r="G4190" t="s">
        <v>3890</v>
      </c>
      <c r="H4190" t="s">
        <v>4826</v>
      </c>
      <c r="I4190" t="s">
        <v>4810</v>
      </c>
      <c r="J4190">
        <v>2</v>
      </c>
      <c r="K4190">
        <v>13.301</v>
      </c>
      <c r="L4190">
        <v>6.66</v>
      </c>
      <c r="M4190">
        <v>5.9119999999999999</v>
      </c>
      <c r="N4190">
        <v>5.032</v>
      </c>
      <c r="O4190">
        <v>5.0549999999999997</v>
      </c>
      <c r="P4190">
        <v>5.125</v>
      </c>
      <c r="Q4190">
        <v>5.1820000000000004</v>
      </c>
      <c r="R4190">
        <v>5.383</v>
      </c>
      <c r="S4190">
        <v>5.6870000000000003</v>
      </c>
      <c r="T4190">
        <v>6.0720000000000001</v>
      </c>
      <c r="U4190">
        <v>6.5540000000000003</v>
      </c>
      <c r="V4190">
        <v>7.0839999999999996</v>
      </c>
      <c r="W4190">
        <v>7.6520000000000001</v>
      </c>
      <c r="X4190">
        <v>8.2520000000000007</v>
      </c>
      <c r="Y4190">
        <v>8.2520000000000007</v>
      </c>
      <c r="Z4190">
        <v>8.2520000000000007</v>
      </c>
      <c r="AA4190">
        <v>8.2520000000000007</v>
      </c>
      <c r="AB4190">
        <v>8.2520000000000007</v>
      </c>
      <c r="AC4190">
        <v>8.2520000000000007</v>
      </c>
      <c r="AD4190">
        <v>4.9820000000000002</v>
      </c>
    </row>
    <row r="4191" spans="2:30" x14ac:dyDescent="0.25">
      <c r="B4191" t="s">
        <v>133</v>
      </c>
      <c r="C4191" t="s">
        <v>3265</v>
      </c>
      <c r="D4191" t="s">
        <v>4893</v>
      </c>
      <c r="E4191" t="s">
        <v>4894</v>
      </c>
      <c r="F4191" t="s">
        <v>9839</v>
      </c>
      <c r="G4191" t="s">
        <v>3890</v>
      </c>
      <c r="H4191" t="s">
        <v>4830</v>
      </c>
      <c r="I4191" t="s">
        <v>4810</v>
      </c>
      <c r="J4191">
        <v>2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  <c r="W4191" t="e">
        <v>#N/A</v>
      </c>
      <c r="X4191" t="e">
        <v>#N/A</v>
      </c>
      <c r="Y4191" t="e">
        <v>#N/A</v>
      </c>
      <c r="Z4191" t="e">
        <v>#N/A</v>
      </c>
      <c r="AA4191" t="e">
        <v>#N/A</v>
      </c>
      <c r="AB4191" t="e">
        <v>#N/A</v>
      </c>
      <c r="AC4191" t="e">
        <v>#N/A</v>
      </c>
      <c r="AD4191" t="e">
        <v>#N/A</v>
      </c>
    </row>
    <row r="4192" spans="2:30" x14ac:dyDescent="0.25">
      <c r="B4192" t="s">
        <v>133</v>
      </c>
      <c r="C4192" t="s">
        <v>3265</v>
      </c>
      <c r="D4192" t="s">
        <v>4896</v>
      </c>
      <c r="E4192" t="s">
        <v>4452</v>
      </c>
      <c r="F4192" t="s">
        <v>9705</v>
      </c>
      <c r="G4192" t="s">
        <v>3890</v>
      </c>
      <c r="H4192" t="s">
        <v>4897</v>
      </c>
      <c r="I4192" t="s">
        <v>4810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</row>
    <row r="4193" spans="2:30" x14ac:dyDescent="0.25">
      <c r="B4193" t="s">
        <v>133</v>
      </c>
      <c r="C4193" t="s">
        <v>3265</v>
      </c>
      <c r="D4193" t="s">
        <v>4898</v>
      </c>
      <c r="E4193" t="s">
        <v>4899</v>
      </c>
      <c r="F4193" t="s">
        <v>9840</v>
      </c>
      <c r="G4193" t="s">
        <v>3890</v>
      </c>
      <c r="H4193" t="s">
        <v>4686</v>
      </c>
      <c r="I4193" t="s">
        <v>4687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</row>
    <row r="4194" spans="2:30" x14ac:dyDescent="0.25">
      <c r="B4194" t="s">
        <v>133</v>
      </c>
      <c r="C4194" t="s">
        <v>3265</v>
      </c>
      <c r="D4194" t="s">
        <v>4901</v>
      </c>
      <c r="E4194" t="s">
        <v>4902</v>
      </c>
      <c r="F4194" t="s">
        <v>9841</v>
      </c>
      <c r="G4194" t="s">
        <v>3890</v>
      </c>
      <c r="H4194" t="s">
        <v>4839</v>
      </c>
      <c r="I4194" t="s">
        <v>4810</v>
      </c>
      <c r="J4194">
        <v>2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  <c r="W4194" t="e">
        <v>#N/A</v>
      </c>
      <c r="X4194" t="e">
        <v>#N/A</v>
      </c>
      <c r="Y4194" t="e">
        <v>#N/A</v>
      </c>
      <c r="Z4194" t="e">
        <v>#N/A</v>
      </c>
      <c r="AA4194" t="e">
        <v>#N/A</v>
      </c>
      <c r="AB4194" t="e">
        <v>#N/A</v>
      </c>
      <c r="AC4194" t="e">
        <v>#N/A</v>
      </c>
      <c r="AD4194" t="e">
        <v>#N/A</v>
      </c>
    </row>
    <row r="4195" spans="2:30" x14ac:dyDescent="0.25">
      <c r="B4195" t="s">
        <v>133</v>
      </c>
      <c r="C4195" t="s">
        <v>3265</v>
      </c>
      <c r="D4195" t="s">
        <v>4904</v>
      </c>
      <c r="E4195" t="s">
        <v>4905</v>
      </c>
      <c r="F4195" t="s">
        <v>9842</v>
      </c>
      <c r="G4195" t="s">
        <v>3890</v>
      </c>
      <c r="H4195" t="s">
        <v>4695</v>
      </c>
      <c r="I4195" t="s">
        <v>4687</v>
      </c>
      <c r="J4195">
        <v>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</row>
    <row r="4196" spans="2:30" x14ac:dyDescent="0.25">
      <c r="B4196" t="s">
        <v>133</v>
      </c>
      <c r="C4196" t="s">
        <v>3265</v>
      </c>
      <c r="D4196" t="s">
        <v>4907</v>
      </c>
      <c r="E4196" t="s">
        <v>4908</v>
      </c>
      <c r="F4196" t="s">
        <v>9843</v>
      </c>
      <c r="G4196" t="s">
        <v>3890</v>
      </c>
      <c r="H4196" t="s">
        <v>4645</v>
      </c>
      <c r="I4196" t="s">
        <v>4810</v>
      </c>
      <c r="J4196">
        <v>2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  <c r="W4196" t="e">
        <v>#N/A</v>
      </c>
      <c r="X4196" t="e">
        <v>#N/A</v>
      </c>
      <c r="Y4196" t="e">
        <v>#N/A</v>
      </c>
      <c r="Z4196" t="e">
        <v>#N/A</v>
      </c>
      <c r="AA4196" t="e">
        <v>#N/A</v>
      </c>
      <c r="AB4196" t="e">
        <v>#N/A</v>
      </c>
      <c r="AC4196" t="e">
        <v>#N/A</v>
      </c>
      <c r="AD4196" t="e">
        <v>#N/A</v>
      </c>
    </row>
    <row r="4197" spans="2:30" x14ac:dyDescent="0.25">
      <c r="B4197" t="s">
        <v>133</v>
      </c>
      <c r="C4197" t="s">
        <v>3265</v>
      </c>
      <c r="D4197" t="s">
        <v>4910</v>
      </c>
      <c r="E4197" t="s">
        <v>4911</v>
      </c>
      <c r="F4197" t="s">
        <v>9844</v>
      </c>
      <c r="G4197" t="s">
        <v>3890</v>
      </c>
      <c r="H4197" t="s">
        <v>4394</v>
      </c>
      <c r="I4197" t="s">
        <v>4810</v>
      </c>
      <c r="J4197">
        <v>2</v>
      </c>
      <c r="K4197">
        <v>12.260999999999999</v>
      </c>
      <c r="L4197">
        <v>10.192</v>
      </c>
      <c r="M4197">
        <v>9.57</v>
      </c>
      <c r="N4197">
        <v>9.64</v>
      </c>
      <c r="O4197">
        <v>9.6809999999999992</v>
      </c>
      <c r="P4197">
        <v>9.5749999999999993</v>
      </c>
      <c r="Q4197">
        <v>9.4489999999999998</v>
      </c>
      <c r="R4197">
        <v>9.4049999999999994</v>
      </c>
      <c r="S4197">
        <v>9.3919999999999995</v>
      </c>
      <c r="T4197">
        <v>9.3849999999999998</v>
      </c>
      <c r="U4197">
        <v>9.3849999999999998</v>
      </c>
      <c r="V4197">
        <v>9.3849999999999998</v>
      </c>
      <c r="W4197">
        <v>9.3849999999999998</v>
      </c>
      <c r="X4197">
        <v>9.3849999999999998</v>
      </c>
      <c r="Y4197">
        <v>9.3849999999999998</v>
      </c>
      <c r="Z4197">
        <v>9.3849999999999998</v>
      </c>
      <c r="AA4197">
        <v>9.3849999999999998</v>
      </c>
      <c r="AB4197">
        <v>9.3849999999999998</v>
      </c>
      <c r="AC4197">
        <v>9.3849999999999998</v>
      </c>
      <c r="AD4197">
        <v>9.3849999999999998</v>
      </c>
    </row>
    <row r="4198" spans="2:30" x14ac:dyDescent="0.25">
      <c r="B4198" t="s">
        <v>133</v>
      </c>
      <c r="C4198" t="s">
        <v>3265</v>
      </c>
      <c r="D4198" t="s">
        <v>4913</v>
      </c>
      <c r="E4198" t="s">
        <v>4914</v>
      </c>
      <c r="F4198" t="s">
        <v>9845</v>
      </c>
      <c r="G4198" t="s">
        <v>3890</v>
      </c>
      <c r="H4198" t="s">
        <v>4653</v>
      </c>
      <c r="I4198" t="s">
        <v>4810</v>
      </c>
      <c r="J4198">
        <v>2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  <c r="W4198" t="e">
        <v>#N/A</v>
      </c>
      <c r="X4198" t="e">
        <v>#N/A</v>
      </c>
      <c r="Y4198" t="e">
        <v>#N/A</v>
      </c>
      <c r="Z4198" t="e">
        <v>#N/A</v>
      </c>
      <c r="AA4198" t="e">
        <v>#N/A</v>
      </c>
      <c r="AB4198" t="e">
        <v>#N/A</v>
      </c>
      <c r="AC4198" t="e">
        <v>#N/A</v>
      </c>
      <c r="AD4198" t="e">
        <v>#N/A</v>
      </c>
    </row>
    <row r="4199" spans="2:30" x14ac:dyDescent="0.25">
      <c r="B4199" t="s">
        <v>133</v>
      </c>
      <c r="C4199" t="s">
        <v>3265</v>
      </c>
      <c r="D4199" t="s">
        <v>4916</v>
      </c>
      <c r="E4199" t="s">
        <v>4917</v>
      </c>
      <c r="F4199" t="s">
        <v>9846</v>
      </c>
      <c r="G4199" t="s">
        <v>3890</v>
      </c>
      <c r="H4199" t="s">
        <v>4669</v>
      </c>
      <c r="I4199" t="s">
        <v>4810</v>
      </c>
      <c r="J4199">
        <v>2</v>
      </c>
      <c r="K4199">
        <v>3.0579999999999998</v>
      </c>
      <c r="L4199">
        <v>3.18</v>
      </c>
      <c r="M4199">
        <v>3.3069999999999999</v>
      </c>
      <c r="N4199">
        <v>3.44</v>
      </c>
      <c r="O4199">
        <v>3.577</v>
      </c>
      <c r="P4199">
        <v>3.72</v>
      </c>
      <c r="Q4199">
        <v>3.8690000000000002</v>
      </c>
      <c r="R4199">
        <v>4.024</v>
      </c>
      <c r="S4199">
        <v>4.1849999999999996</v>
      </c>
      <c r="T4199">
        <v>4.3520000000000003</v>
      </c>
      <c r="U4199">
        <v>4.5259999999999998</v>
      </c>
      <c r="V4199">
        <v>4.7080000000000002</v>
      </c>
      <c r="W4199">
        <v>4.8959999999999999</v>
      </c>
      <c r="X4199">
        <v>5.0919999999999996</v>
      </c>
      <c r="Y4199">
        <v>5.2949999999999999</v>
      </c>
      <c r="Z4199">
        <v>5.5069999999999997</v>
      </c>
      <c r="AA4199">
        <v>5.7270000000000003</v>
      </c>
      <c r="AB4199">
        <v>5.9569999999999999</v>
      </c>
      <c r="AC4199">
        <v>6.1950000000000003</v>
      </c>
      <c r="AD4199">
        <v>6.4429999999999996</v>
      </c>
    </row>
    <row r="4200" spans="2:30" x14ac:dyDescent="0.25">
      <c r="B4200" t="s">
        <v>133</v>
      </c>
      <c r="C4200" t="s">
        <v>3265</v>
      </c>
      <c r="D4200" t="s">
        <v>4919</v>
      </c>
      <c r="E4200" t="s">
        <v>4920</v>
      </c>
      <c r="F4200" t="s">
        <v>9847</v>
      </c>
      <c r="G4200" t="s">
        <v>3890</v>
      </c>
      <c r="H4200" t="s">
        <v>4673</v>
      </c>
      <c r="I4200" t="s">
        <v>4810</v>
      </c>
      <c r="J4200">
        <v>2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</row>
    <row r="4201" spans="2:30" x14ac:dyDescent="0.25">
      <c r="B4201" t="s">
        <v>133</v>
      </c>
      <c r="C4201" t="s">
        <v>3265</v>
      </c>
      <c r="D4201" t="s">
        <v>4922</v>
      </c>
      <c r="E4201" t="s">
        <v>4923</v>
      </c>
      <c r="F4201" t="s">
        <v>9848</v>
      </c>
      <c r="G4201" t="s">
        <v>3890</v>
      </c>
      <c r="H4201" t="s">
        <v>4925</v>
      </c>
      <c r="I4201" t="s">
        <v>4810</v>
      </c>
      <c r="J4201">
        <v>2</v>
      </c>
      <c r="K4201">
        <v>5.3360000000000003</v>
      </c>
      <c r="L4201">
        <v>5.01</v>
      </c>
      <c r="M4201">
        <v>5.0869999999999997</v>
      </c>
      <c r="N4201">
        <v>5.0869999999999997</v>
      </c>
      <c r="O4201">
        <v>5.0869999999999997</v>
      </c>
      <c r="P4201">
        <v>5.0869999999999997</v>
      </c>
      <c r="Q4201">
        <v>5.141</v>
      </c>
      <c r="R4201">
        <v>5.2809999999999997</v>
      </c>
      <c r="S4201">
        <v>5.4829999999999997</v>
      </c>
      <c r="T4201">
        <v>5.7320000000000002</v>
      </c>
      <c r="U4201">
        <v>6.0170000000000003</v>
      </c>
      <c r="V4201">
        <v>6.3310000000000004</v>
      </c>
      <c r="W4201">
        <v>6.6669999999999998</v>
      </c>
      <c r="X4201">
        <v>7.0220000000000002</v>
      </c>
      <c r="Y4201">
        <v>7.0220000000000002</v>
      </c>
      <c r="Z4201">
        <v>7.0220000000000002</v>
      </c>
      <c r="AA4201">
        <v>7.0220000000000002</v>
      </c>
      <c r="AB4201">
        <v>7.0220000000000002</v>
      </c>
      <c r="AC4201">
        <v>7.0220000000000002</v>
      </c>
      <c r="AD4201">
        <v>5.0869999999999997</v>
      </c>
    </row>
    <row r="4202" spans="2:30" x14ac:dyDescent="0.25">
      <c r="B4202" t="s">
        <v>133</v>
      </c>
      <c r="C4202" t="s">
        <v>3265</v>
      </c>
      <c r="D4202" t="s">
        <v>4926</v>
      </c>
      <c r="E4202" t="s">
        <v>4927</v>
      </c>
      <c r="F4202" t="s">
        <v>9849</v>
      </c>
      <c r="G4202" t="s">
        <v>3890</v>
      </c>
      <c r="H4202" t="s">
        <v>4929</v>
      </c>
      <c r="I4202" t="s">
        <v>4810</v>
      </c>
      <c r="J4202">
        <v>2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  <c r="W4202" t="e">
        <v>#N/A</v>
      </c>
      <c r="X4202" t="e">
        <v>#N/A</v>
      </c>
      <c r="Y4202" t="e">
        <v>#N/A</v>
      </c>
      <c r="Z4202" t="e">
        <v>#N/A</v>
      </c>
      <c r="AA4202" t="e">
        <v>#N/A</v>
      </c>
      <c r="AB4202" t="e">
        <v>#N/A</v>
      </c>
      <c r="AC4202" t="e">
        <v>#N/A</v>
      </c>
      <c r="AD4202" t="e">
        <v>#N/A</v>
      </c>
    </row>
    <row r="4203" spans="2:30" x14ac:dyDescent="0.25">
      <c r="B4203" t="s">
        <v>133</v>
      </c>
      <c r="C4203" t="s">
        <v>3265</v>
      </c>
      <c r="D4203" t="s">
        <v>4930</v>
      </c>
      <c r="E4203" t="s">
        <v>4443</v>
      </c>
      <c r="F4203" t="s">
        <v>9702</v>
      </c>
      <c r="G4203" t="s">
        <v>3890</v>
      </c>
      <c r="H4203" t="s">
        <v>4832</v>
      </c>
      <c r="I4203" t="s">
        <v>4810</v>
      </c>
      <c r="J4203">
        <v>1</v>
      </c>
      <c r="K4203">
        <v>-6.9240000000000004</v>
      </c>
      <c r="L4203">
        <v>-5.181</v>
      </c>
      <c r="M4203">
        <v>-4.4829999999999997</v>
      </c>
      <c r="N4203">
        <v>-4.5529999999999999</v>
      </c>
      <c r="O4203">
        <v>-4.5940000000000003</v>
      </c>
      <c r="P4203">
        <v>-4.4880000000000004</v>
      </c>
      <c r="Q4203">
        <v>-4.3620000000000001</v>
      </c>
      <c r="R4203">
        <v>-4.3179999999999996</v>
      </c>
      <c r="S4203">
        <v>-4.3049999999999997</v>
      </c>
      <c r="T4203">
        <v>-4.298</v>
      </c>
      <c r="U4203">
        <v>-4.298</v>
      </c>
      <c r="V4203">
        <v>-4.298</v>
      </c>
      <c r="W4203">
        <v>-4.298</v>
      </c>
      <c r="X4203">
        <v>-4.298</v>
      </c>
      <c r="Y4203">
        <v>-4.298</v>
      </c>
      <c r="Z4203">
        <v>-4.298</v>
      </c>
      <c r="AA4203">
        <v>-4.298</v>
      </c>
      <c r="AB4203">
        <v>-4.298</v>
      </c>
      <c r="AC4203">
        <v>-4.298</v>
      </c>
      <c r="AD4203">
        <v>-4.298</v>
      </c>
    </row>
    <row r="4204" spans="2:30" x14ac:dyDescent="0.25">
      <c r="B4204" t="s">
        <v>133</v>
      </c>
      <c r="C4204" t="s">
        <v>3265</v>
      </c>
      <c r="D4204" t="s">
        <v>4931</v>
      </c>
      <c r="E4204" t="s">
        <v>4932</v>
      </c>
      <c r="F4204" t="s">
        <v>9850</v>
      </c>
      <c r="G4204" t="s">
        <v>3890</v>
      </c>
      <c r="H4204" t="s">
        <v>4686</v>
      </c>
      <c r="I4204" t="s">
        <v>4687</v>
      </c>
      <c r="J4204">
        <v>1</v>
      </c>
      <c r="K4204">
        <v>-124.092</v>
      </c>
      <c r="L4204">
        <v>-92.858000000000004</v>
      </c>
      <c r="M4204">
        <v>-80.331999999999994</v>
      </c>
      <c r="N4204">
        <v>-81.596000000000004</v>
      </c>
      <c r="O4204">
        <v>-82.334999999999994</v>
      </c>
      <c r="P4204">
        <v>-80.424999999999997</v>
      </c>
      <c r="Q4204">
        <v>-78.180000000000007</v>
      </c>
      <c r="R4204">
        <v>-77.38</v>
      </c>
      <c r="S4204">
        <v>-77.153000000000006</v>
      </c>
      <c r="T4204">
        <v>-77.024000000000001</v>
      </c>
      <c r="U4204">
        <v>-77.024000000000001</v>
      </c>
      <c r="V4204">
        <v>-77.024000000000001</v>
      </c>
      <c r="W4204">
        <v>-77.024000000000001</v>
      </c>
      <c r="X4204">
        <v>-77.024000000000001</v>
      </c>
      <c r="Y4204">
        <v>-77.024000000000001</v>
      </c>
      <c r="Z4204">
        <v>-77.024000000000001</v>
      </c>
      <c r="AA4204">
        <v>-77.024000000000001</v>
      </c>
      <c r="AB4204">
        <v>-77.024000000000001</v>
      </c>
      <c r="AC4204">
        <v>-77.024000000000001</v>
      </c>
      <c r="AD4204">
        <v>-77.024000000000001</v>
      </c>
    </row>
    <row r="4205" spans="2:30" x14ac:dyDescent="0.25">
      <c r="B4205" t="s">
        <v>133</v>
      </c>
      <c r="C4205" t="s">
        <v>3265</v>
      </c>
      <c r="D4205" t="s">
        <v>4934</v>
      </c>
      <c r="E4205" t="s">
        <v>4935</v>
      </c>
      <c r="F4205" t="s">
        <v>9851</v>
      </c>
      <c r="G4205" t="s">
        <v>3890</v>
      </c>
      <c r="H4205" t="s">
        <v>4937</v>
      </c>
      <c r="I4205" t="s">
        <v>4810</v>
      </c>
      <c r="J4205">
        <v>2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  <c r="W4205" t="e">
        <v>#N/A</v>
      </c>
      <c r="X4205" t="e">
        <v>#N/A</v>
      </c>
      <c r="Y4205" t="e">
        <v>#N/A</v>
      </c>
      <c r="Z4205" t="e">
        <v>#N/A</v>
      </c>
      <c r="AA4205" t="e">
        <v>#N/A</v>
      </c>
      <c r="AB4205" t="e">
        <v>#N/A</v>
      </c>
      <c r="AC4205" t="e">
        <v>#N/A</v>
      </c>
      <c r="AD4205" t="e">
        <v>#N/A</v>
      </c>
    </row>
    <row r="4206" spans="2:30" x14ac:dyDescent="0.25">
      <c r="B4206" t="s">
        <v>133</v>
      </c>
      <c r="C4206" t="s">
        <v>3265</v>
      </c>
      <c r="D4206" t="s">
        <v>4938</v>
      </c>
      <c r="E4206" t="s">
        <v>4939</v>
      </c>
      <c r="F4206" t="s">
        <v>9852</v>
      </c>
      <c r="G4206" t="s">
        <v>3890</v>
      </c>
      <c r="H4206" t="s">
        <v>4695</v>
      </c>
      <c r="I4206" t="s">
        <v>4687</v>
      </c>
      <c r="J4206">
        <v>2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</row>
    <row r="4207" spans="2:30" x14ac:dyDescent="0.25">
      <c r="B4207" t="s">
        <v>133</v>
      </c>
      <c r="C4207" t="s">
        <v>3265</v>
      </c>
      <c r="D4207" t="s">
        <v>4941</v>
      </c>
      <c r="E4207" t="s">
        <v>4942</v>
      </c>
      <c r="F4207" t="s">
        <v>9853</v>
      </c>
      <c r="G4207" t="s">
        <v>3890</v>
      </c>
      <c r="H4207" t="s">
        <v>4645</v>
      </c>
      <c r="I4207" t="s">
        <v>4810</v>
      </c>
      <c r="J4207">
        <v>2</v>
      </c>
      <c r="K4207">
        <v>22.748999999999999</v>
      </c>
      <c r="L4207">
        <v>20.734000000000002</v>
      </c>
      <c r="M4207">
        <v>20.172000000000001</v>
      </c>
      <c r="N4207">
        <v>20.399000000000001</v>
      </c>
      <c r="O4207">
        <v>20.600999999999999</v>
      </c>
      <c r="P4207">
        <v>20.649000000000001</v>
      </c>
      <c r="Q4207">
        <v>20.683</v>
      </c>
      <c r="R4207">
        <v>20.811</v>
      </c>
      <c r="S4207">
        <v>20.981000000000002</v>
      </c>
      <c r="T4207">
        <v>21.164000000000001</v>
      </c>
      <c r="U4207">
        <v>21.363</v>
      </c>
      <c r="V4207">
        <v>21.568999999999999</v>
      </c>
      <c r="W4207">
        <v>21.783999999999999</v>
      </c>
      <c r="X4207">
        <v>22.007000000000001</v>
      </c>
      <c r="Y4207">
        <v>22.239000000000001</v>
      </c>
      <c r="Z4207">
        <v>22.481000000000002</v>
      </c>
      <c r="AA4207">
        <v>22.731999999999999</v>
      </c>
      <c r="AB4207">
        <v>22.992999999999999</v>
      </c>
      <c r="AC4207">
        <v>23.265000000000001</v>
      </c>
      <c r="AD4207">
        <v>23.547000000000001</v>
      </c>
    </row>
    <row r="4208" spans="2:30" x14ac:dyDescent="0.25">
      <c r="B4208" t="s">
        <v>133</v>
      </c>
      <c r="C4208" t="s">
        <v>3265</v>
      </c>
      <c r="D4208" t="s">
        <v>4944</v>
      </c>
      <c r="E4208" t="s">
        <v>4945</v>
      </c>
      <c r="F4208" t="s">
        <v>9854</v>
      </c>
      <c r="G4208" t="s">
        <v>3890</v>
      </c>
      <c r="H4208" t="s">
        <v>4394</v>
      </c>
      <c r="I4208" t="s">
        <v>4810</v>
      </c>
      <c r="J4208">
        <v>2</v>
      </c>
      <c r="K4208">
        <v>16.896999999999998</v>
      </c>
      <c r="L4208">
        <v>15.007</v>
      </c>
      <c r="M4208">
        <v>14.387</v>
      </c>
      <c r="N4208">
        <v>14.454000000000001</v>
      </c>
      <c r="O4208">
        <v>14.493</v>
      </c>
      <c r="P4208">
        <v>14.391999999999999</v>
      </c>
      <c r="Q4208">
        <v>14.273</v>
      </c>
      <c r="R4208">
        <v>14.231</v>
      </c>
      <c r="S4208">
        <v>14.218999999999999</v>
      </c>
      <c r="T4208">
        <v>14.212</v>
      </c>
      <c r="U4208">
        <v>14.212</v>
      </c>
      <c r="V4208">
        <v>14.212</v>
      </c>
      <c r="W4208">
        <v>14.212</v>
      </c>
      <c r="X4208">
        <v>14.212</v>
      </c>
      <c r="Y4208">
        <v>14.212</v>
      </c>
      <c r="Z4208">
        <v>14.212</v>
      </c>
      <c r="AA4208">
        <v>14.212</v>
      </c>
      <c r="AB4208">
        <v>14.212</v>
      </c>
      <c r="AC4208">
        <v>14.212</v>
      </c>
      <c r="AD4208">
        <v>14.212</v>
      </c>
    </row>
    <row r="4209" spans="2:30" x14ac:dyDescent="0.25">
      <c r="B4209" t="s">
        <v>133</v>
      </c>
      <c r="C4209" t="s">
        <v>3265</v>
      </c>
      <c r="D4209" t="s">
        <v>4947</v>
      </c>
      <c r="E4209" t="s">
        <v>4948</v>
      </c>
      <c r="F4209" t="s">
        <v>9855</v>
      </c>
      <c r="G4209" t="s">
        <v>3890</v>
      </c>
      <c r="H4209" t="s">
        <v>4653</v>
      </c>
      <c r="I4209" t="s">
        <v>4810</v>
      </c>
      <c r="J4209">
        <v>2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</row>
    <row r="4210" spans="2:30" x14ac:dyDescent="0.25">
      <c r="B4210" t="s">
        <v>133</v>
      </c>
      <c r="C4210" t="s">
        <v>3265</v>
      </c>
      <c r="D4210" t="s">
        <v>4950</v>
      </c>
      <c r="E4210" t="s">
        <v>4951</v>
      </c>
      <c r="F4210" t="s">
        <v>9856</v>
      </c>
      <c r="G4210" t="s">
        <v>3890</v>
      </c>
      <c r="H4210" t="s">
        <v>4669</v>
      </c>
      <c r="I4210" t="s">
        <v>4810</v>
      </c>
      <c r="J4210">
        <v>2</v>
      </c>
      <c r="K4210">
        <v>3.0579999999999998</v>
      </c>
      <c r="L4210">
        <v>3.18</v>
      </c>
      <c r="M4210">
        <v>3.3069999999999999</v>
      </c>
      <c r="N4210">
        <v>3.44</v>
      </c>
      <c r="O4210">
        <v>3.577</v>
      </c>
      <c r="P4210">
        <v>3.72</v>
      </c>
      <c r="Q4210">
        <v>3.8690000000000002</v>
      </c>
      <c r="R4210">
        <v>4.024</v>
      </c>
      <c r="S4210">
        <v>4.1849999999999996</v>
      </c>
      <c r="T4210">
        <v>4.3520000000000003</v>
      </c>
      <c r="U4210">
        <v>4.5259999999999998</v>
      </c>
      <c r="V4210">
        <v>4.7080000000000002</v>
      </c>
      <c r="W4210">
        <v>4.8959999999999999</v>
      </c>
      <c r="X4210">
        <v>5.0919999999999996</v>
      </c>
      <c r="Y4210">
        <v>5.2949999999999999</v>
      </c>
      <c r="Z4210">
        <v>5.5069999999999997</v>
      </c>
      <c r="AA4210">
        <v>5.7270000000000003</v>
      </c>
      <c r="AB4210">
        <v>5.9569999999999999</v>
      </c>
      <c r="AC4210">
        <v>6.1950000000000003</v>
      </c>
      <c r="AD4210">
        <v>6.4429999999999996</v>
      </c>
    </row>
    <row r="4211" spans="2:30" x14ac:dyDescent="0.25">
      <c r="B4211" t="s">
        <v>133</v>
      </c>
      <c r="C4211" t="s">
        <v>3265</v>
      </c>
      <c r="D4211" t="s">
        <v>4953</v>
      </c>
      <c r="E4211" t="s">
        <v>4954</v>
      </c>
      <c r="F4211" t="s">
        <v>9857</v>
      </c>
      <c r="G4211" t="s">
        <v>3890</v>
      </c>
      <c r="H4211" t="s">
        <v>4673</v>
      </c>
      <c r="I4211" t="s">
        <v>4810</v>
      </c>
      <c r="J4211">
        <v>2</v>
      </c>
      <c r="K4211">
        <v>2.794</v>
      </c>
      <c r="L4211">
        <v>2.5459999999999998</v>
      </c>
      <c r="M4211">
        <v>2.4769999999999999</v>
      </c>
      <c r="N4211">
        <v>2.5049999999999999</v>
      </c>
      <c r="O4211">
        <v>2.5299999999999998</v>
      </c>
      <c r="P4211">
        <v>2.536</v>
      </c>
      <c r="Q4211">
        <v>2.54</v>
      </c>
      <c r="R4211">
        <v>2.556</v>
      </c>
      <c r="S4211">
        <v>2.577</v>
      </c>
      <c r="T4211">
        <v>2.5990000000000002</v>
      </c>
      <c r="U4211">
        <v>2.6230000000000002</v>
      </c>
      <c r="V4211">
        <v>2.649</v>
      </c>
      <c r="W4211">
        <v>2.6749999999999998</v>
      </c>
      <c r="X4211">
        <v>2.7029999999999998</v>
      </c>
      <c r="Y4211">
        <v>2.7309999999999999</v>
      </c>
      <c r="Z4211">
        <v>2.7610000000000001</v>
      </c>
      <c r="AA4211">
        <v>2.7919999999999998</v>
      </c>
      <c r="AB4211">
        <v>2.8239999999999998</v>
      </c>
      <c r="AC4211">
        <v>2.8570000000000002</v>
      </c>
      <c r="AD4211">
        <v>2.8919999999999999</v>
      </c>
    </row>
    <row r="4212" spans="2:30" x14ac:dyDescent="0.25">
      <c r="B4212" t="s">
        <v>133</v>
      </c>
      <c r="C4212" t="s">
        <v>3265</v>
      </c>
      <c r="D4212" t="s">
        <v>4956</v>
      </c>
      <c r="E4212" t="s">
        <v>4957</v>
      </c>
      <c r="F4212" t="s">
        <v>9858</v>
      </c>
      <c r="G4212" t="s">
        <v>3890</v>
      </c>
      <c r="H4212" t="s">
        <v>4925</v>
      </c>
      <c r="I4212" t="s">
        <v>4810</v>
      </c>
      <c r="J4212">
        <v>2</v>
      </c>
      <c r="K4212">
        <v>4.6340000000000003</v>
      </c>
      <c r="L4212">
        <v>3.2090000000000001</v>
      </c>
      <c r="M4212">
        <v>2.331</v>
      </c>
      <c r="N4212">
        <v>2.331</v>
      </c>
      <c r="O4212">
        <v>2.331</v>
      </c>
      <c r="P4212">
        <v>2.331</v>
      </c>
      <c r="Q4212">
        <v>2.331</v>
      </c>
      <c r="R4212">
        <v>2.331</v>
      </c>
      <c r="S4212">
        <v>2.331</v>
      </c>
      <c r="T4212">
        <v>2.331</v>
      </c>
      <c r="U4212">
        <v>2.331</v>
      </c>
      <c r="V4212">
        <v>2.331</v>
      </c>
      <c r="W4212">
        <v>2.331</v>
      </c>
      <c r="X4212">
        <v>2.331</v>
      </c>
      <c r="Y4212">
        <v>2.331</v>
      </c>
      <c r="Z4212">
        <v>2.331</v>
      </c>
      <c r="AA4212">
        <v>2.331</v>
      </c>
      <c r="AB4212">
        <v>2.331</v>
      </c>
      <c r="AC4212">
        <v>2.331</v>
      </c>
      <c r="AD4212">
        <v>2.331</v>
      </c>
    </row>
    <row r="4213" spans="2:30" x14ac:dyDescent="0.25">
      <c r="B4213" t="s">
        <v>133</v>
      </c>
      <c r="C4213" t="s">
        <v>3265</v>
      </c>
      <c r="D4213" t="s">
        <v>4959</v>
      </c>
      <c r="E4213" t="s">
        <v>4960</v>
      </c>
      <c r="F4213" t="s">
        <v>9859</v>
      </c>
      <c r="G4213" t="s">
        <v>3890</v>
      </c>
      <c r="H4213" t="s">
        <v>4929</v>
      </c>
      <c r="I4213" t="s">
        <v>4810</v>
      </c>
      <c r="J4213">
        <v>2</v>
      </c>
      <c r="K4213">
        <v>-18.114999999999998</v>
      </c>
      <c r="L4213">
        <v>-17.526</v>
      </c>
      <c r="M4213">
        <v>-17.841000000000001</v>
      </c>
      <c r="N4213">
        <v>-18.068000000000001</v>
      </c>
      <c r="O4213">
        <v>-18.27</v>
      </c>
      <c r="P4213">
        <v>-18.318000000000001</v>
      </c>
      <c r="Q4213">
        <v>-18.352</v>
      </c>
      <c r="R4213">
        <v>-18.48</v>
      </c>
      <c r="S4213">
        <v>-18.649999999999999</v>
      </c>
      <c r="T4213">
        <v>-18.832999999999998</v>
      </c>
      <c r="U4213">
        <v>-19.032</v>
      </c>
      <c r="V4213">
        <v>-19.238</v>
      </c>
      <c r="W4213">
        <v>-19.452999999999999</v>
      </c>
      <c r="X4213">
        <v>-19.675999999999998</v>
      </c>
      <c r="Y4213">
        <v>-19.908000000000001</v>
      </c>
      <c r="Z4213">
        <v>-20.149999999999999</v>
      </c>
      <c r="AA4213">
        <v>-20.401</v>
      </c>
      <c r="AB4213">
        <v>-20.661999999999999</v>
      </c>
      <c r="AC4213">
        <v>-20.934000000000001</v>
      </c>
      <c r="AD4213">
        <v>-21.216000000000001</v>
      </c>
    </row>
    <row r="4214" spans="2:30" x14ac:dyDescent="0.25">
      <c r="B4214" t="s">
        <v>133</v>
      </c>
      <c r="C4214" t="s">
        <v>3265</v>
      </c>
      <c r="D4214" t="s">
        <v>4962</v>
      </c>
      <c r="E4214" t="s">
        <v>4449</v>
      </c>
      <c r="F4214" t="s">
        <v>9704</v>
      </c>
      <c r="G4214" t="s">
        <v>3890</v>
      </c>
      <c r="H4214" t="s">
        <v>4865</v>
      </c>
      <c r="I4214" t="s">
        <v>4810</v>
      </c>
      <c r="J4214">
        <v>1</v>
      </c>
      <c r="K4214">
        <v>-12.263</v>
      </c>
      <c r="L4214">
        <v>-11.798999999999999</v>
      </c>
      <c r="M4214">
        <v>-12.055999999999999</v>
      </c>
      <c r="N4214">
        <v>-12.122999999999999</v>
      </c>
      <c r="O4214">
        <v>-12.162000000000001</v>
      </c>
      <c r="P4214">
        <v>-12.061</v>
      </c>
      <c r="Q4214">
        <v>-11.942</v>
      </c>
      <c r="R4214">
        <v>-11.9</v>
      </c>
      <c r="S4214">
        <v>-11.888</v>
      </c>
      <c r="T4214">
        <v>-11.881</v>
      </c>
      <c r="U4214">
        <v>-11.881</v>
      </c>
      <c r="V4214">
        <v>-11.881</v>
      </c>
      <c r="W4214">
        <v>-11.881</v>
      </c>
      <c r="X4214">
        <v>-11.881</v>
      </c>
      <c r="Y4214">
        <v>-11.881</v>
      </c>
      <c r="Z4214">
        <v>-11.881</v>
      </c>
      <c r="AA4214">
        <v>-11.881</v>
      </c>
      <c r="AB4214">
        <v>-11.881</v>
      </c>
      <c r="AC4214">
        <v>-11.881</v>
      </c>
      <c r="AD4214">
        <v>-11.881</v>
      </c>
    </row>
    <row r="4215" spans="2:30" x14ac:dyDescent="0.25">
      <c r="B4215" t="s">
        <v>133</v>
      </c>
      <c r="C4215" t="s">
        <v>3265</v>
      </c>
      <c r="D4215" t="s">
        <v>4963</v>
      </c>
      <c r="E4215" t="s">
        <v>4964</v>
      </c>
      <c r="F4215" t="s">
        <v>9860</v>
      </c>
      <c r="G4215" t="s">
        <v>3890</v>
      </c>
      <c r="H4215" t="s">
        <v>4686</v>
      </c>
      <c r="I4215" t="s">
        <v>4687</v>
      </c>
      <c r="J4215">
        <v>1</v>
      </c>
      <c r="K4215">
        <v>-219.76400000000001</v>
      </c>
      <c r="L4215">
        <v>-211.446</v>
      </c>
      <c r="M4215">
        <v>-216.06299999999999</v>
      </c>
      <c r="N4215">
        <v>-217.261</v>
      </c>
      <c r="O4215">
        <v>-217.96</v>
      </c>
      <c r="P4215">
        <v>-216.15100000000001</v>
      </c>
      <c r="Q4215">
        <v>-214.023</v>
      </c>
      <c r="R4215">
        <v>-213.26499999999999</v>
      </c>
      <c r="S4215">
        <v>-213.05</v>
      </c>
      <c r="T4215">
        <v>-212.928</v>
      </c>
      <c r="U4215">
        <v>-212.928</v>
      </c>
      <c r="V4215">
        <v>-212.928</v>
      </c>
      <c r="W4215">
        <v>-212.928</v>
      </c>
      <c r="X4215">
        <v>-212.928</v>
      </c>
      <c r="Y4215">
        <v>-212.928</v>
      </c>
      <c r="Z4215">
        <v>-212.928</v>
      </c>
      <c r="AA4215">
        <v>-212.928</v>
      </c>
      <c r="AB4215">
        <v>-212.928</v>
      </c>
      <c r="AC4215">
        <v>-212.928</v>
      </c>
      <c r="AD4215">
        <v>-212.928</v>
      </c>
    </row>
    <row r="4216" spans="2:30" x14ac:dyDescent="0.25">
      <c r="B4216" t="s">
        <v>133</v>
      </c>
      <c r="C4216" t="s">
        <v>3265</v>
      </c>
      <c r="D4216" t="s">
        <v>4966</v>
      </c>
      <c r="E4216" t="s">
        <v>4967</v>
      </c>
      <c r="F4216" t="s">
        <v>9861</v>
      </c>
      <c r="G4216" t="s">
        <v>3890</v>
      </c>
      <c r="H4216" t="s">
        <v>4937</v>
      </c>
      <c r="I4216" t="s">
        <v>4810</v>
      </c>
      <c r="J4216">
        <v>2</v>
      </c>
      <c r="K4216">
        <v>3.0579999999999998</v>
      </c>
      <c r="L4216">
        <v>3.181</v>
      </c>
      <c r="M4216">
        <v>3.3079999999999998</v>
      </c>
      <c r="N4216">
        <v>3.44</v>
      </c>
      <c r="O4216">
        <v>3.5779999999999998</v>
      </c>
      <c r="P4216">
        <v>3.7210000000000001</v>
      </c>
      <c r="Q4216">
        <v>3.87</v>
      </c>
      <c r="R4216">
        <v>4.024</v>
      </c>
      <c r="S4216">
        <v>4.1849999999999996</v>
      </c>
      <c r="T4216">
        <v>4.3529999999999998</v>
      </c>
      <c r="U4216">
        <v>4.5270000000000001</v>
      </c>
      <c r="V4216">
        <v>4.7080000000000002</v>
      </c>
      <c r="W4216">
        <v>4.8959999999999999</v>
      </c>
      <c r="X4216">
        <v>5.0919999999999996</v>
      </c>
      <c r="Y4216">
        <v>5.2960000000000003</v>
      </c>
      <c r="Z4216">
        <v>5.508</v>
      </c>
      <c r="AA4216">
        <v>5.7279999999999998</v>
      </c>
      <c r="AB4216">
        <v>5.9569999999999999</v>
      </c>
      <c r="AC4216">
        <v>6.1950000000000003</v>
      </c>
      <c r="AD4216">
        <v>6.4429999999999996</v>
      </c>
    </row>
    <row r="4217" spans="2:30" x14ac:dyDescent="0.25">
      <c r="B4217" t="s">
        <v>133</v>
      </c>
      <c r="C4217" t="s">
        <v>3265</v>
      </c>
      <c r="D4217" t="s">
        <v>4969</v>
      </c>
      <c r="E4217" t="s">
        <v>4970</v>
      </c>
      <c r="F4217" t="s">
        <v>9862</v>
      </c>
      <c r="G4217" t="s">
        <v>3890</v>
      </c>
      <c r="H4217" t="s">
        <v>4695</v>
      </c>
      <c r="I4217" t="s">
        <v>4687</v>
      </c>
      <c r="J4217">
        <v>2</v>
      </c>
      <c r="K4217">
        <v>54.808999999999997</v>
      </c>
      <c r="L4217">
        <v>57.000999999999998</v>
      </c>
      <c r="M4217">
        <v>59.280999999999999</v>
      </c>
      <c r="N4217">
        <v>61.652000000000001</v>
      </c>
      <c r="O4217">
        <v>64.117999999999995</v>
      </c>
      <c r="P4217">
        <v>66.682000000000002</v>
      </c>
      <c r="Q4217">
        <v>69.349000000000004</v>
      </c>
      <c r="R4217">
        <v>72.123000000000005</v>
      </c>
      <c r="S4217">
        <v>75.007999999999996</v>
      </c>
      <c r="T4217">
        <v>78.007999999999996</v>
      </c>
      <c r="U4217">
        <v>81.128</v>
      </c>
      <c r="V4217">
        <v>84.373000000000005</v>
      </c>
      <c r="W4217">
        <v>87.748000000000005</v>
      </c>
      <c r="X4217">
        <v>91.257000000000005</v>
      </c>
      <c r="Y4217">
        <v>94.906999999999996</v>
      </c>
      <c r="Z4217">
        <v>98.703000000000003</v>
      </c>
      <c r="AA4217">
        <v>102.651</v>
      </c>
      <c r="AB4217">
        <v>106.75700000000001</v>
      </c>
      <c r="AC4217">
        <v>111.027</v>
      </c>
      <c r="AD4217">
        <v>115.467</v>
      </c>
    </row>
    <row r="4218" spans="2:30" x14ac:dyDescent="0.25">
      <c r="B4218" t="s">
        <v>133</v>
      </c>
      <c r="C4218" t="s">
        <v>3265</v>
      </c>
      <c r="D4218" t="s">
        <v>4972</v>
      </c>
      <c r="E4218" t="s">
        <v>4973</v>
      </c>
      <c r="F4218" t="s">
        <v>9863</v>
      </c>
      <c r="G4218" t="s">
        <v>3890</v>
      </c>
      <c r="H4218" t="s">
        <v>4645</v>
      </c>
      <c r="I4218" t="s">
        <v>4810</v>
      </c>
      <c r="J4218">
        <v>2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  <c r="W4218" t="e">
        <v>#N/A</v>
      </c>
      <c r="X4218" t="e">
        <v>#N/A</v>
      </c>
      <c r="Y4218" t="e">
        <v>#N/A</v>
      </c>
      <c r="Z4218" t="e">
        <v>#N/A</v>
      </c>
      <c r="AA4218" t="e">
        <v>#N/A</v>
      </c>
      <c r="AB4218" t="e">
        <v>#N/A</v>
      </c>
      <c r="AC4218" t="e">
        <v>#N/A</v>
      </c>
      <c r="AD4218" t="e">
        <v>#N/A</v>
      </c>
    </row>
    <row r="4219" spans="2:30" x14ac:dyDescent="0.25">
      <c r="B4219" t="s">
        <v>133</v>
      </c>
      <c r="C4219" t="s">
        <v>3265</v>
      </c>
      <c r="D4219" t="s">
        <v>4975</v>
      </c>
      <c r="E4219" t="s">
        <v>4976</v>
      </c>
      <c r="F4219" t="s">
        <v>9864</v>
      </c>
      <c r="G4219" t="s">
        <v>3890</v>
      </c>
      <c r="H4219" t="s">
        <v>4394</v>
      </c>
      <c r="I4219" t="s">
        <v>4810</v>
      </c>
      <c r="J4219">
        <v>2</v>
      </c>
      <c r="K4219">
        <v>11.488</v>
      </c>
      <c r="L4219">
        <v>9.3889999999999993</v>
      </c>
      <c r="M4219">
        <v>8.7669999999999995</v>
      </c>
      <c r="N4219">
        <v>8.8460000000000001</v>
      </c>
      <c r="O4219">
        <v>8.8919999999999995</v>
      </c>
      <c r="P4219">
        <v>8.7729999999999997</v>
      </c>
      <c r="Q4219">
        <v>8.6319999999999997</v>
      </c>
      <c r="R4219">
        <v>8.5820000000000007</v>
      </c>
      <c r="S4219">
        <v>8.5679999999999996</v>
      </c>
      <c r="T4219">
        <v>8.56</v>
      </c>
      <c r="U4219">
        <v>8.56</v>
      </c>
      <c r="V4219">
        <v>8.56</v>
      </c>
      <c r="W4219">
        <v>8.56</v>
      </c>
      <c r="X4219">
        <v>8.56</v>
      </c>
      <c r="Y4219">
        <v>8.56</v>
      </c>
      <c r="Z4219">
        <v>8.56</v>
      </c>
      <c r="AA4219">
        <v>8.56</v>
      </c>
      <c r="AB4219">
        <v>8.56</v>
      </c>
      <c r="AC4219">
        <v>8.56</v>
      </c>
      <c r="AD4219">
        <v>8.56</v>
      </c>
    </row>
    <row r="4220" spans="2:30" x14ac:dyDescent="0.25">
      <c r="B4220" t="s">
        <v>133</v>
      </c>
      <c r="C4220" t="s">
        <v>3265</v>
      </c>
      <c r="D4220" t="s">
        <v>4978</v>
      </c>
      <c r="E4220" t="s">
        <v>4979</v>
      </c>
      <c r="F4220" t="s">
        <v>9865</v>
      </c>
      <c r="G4220" t="s">
        <v>3890</v>
      </c>
      <c r="H4220" t="s">
        <v>4653</v>
      </c>
      <c r="I4220" t="s">
        <v>4810</v>
      </c>
      <c r="J4220">
        <v>2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  <c r="W4220" t="e">
        <v>#N/A</v>
      </c>
      <c r="X4220" t="e">
        <v>#N/A</v>
      </c>
      <c r="Y4220" t="e">
        <v>#N/A</v>
      </c>
      <c r="Z4220" t="e">
        <v>#N/A</v>
      </c>
      <c r="AA4220" t="e">
        <v>#N/A</v>
      </c>
      <c r="AB4220" t="e">
        <v>#N/A</v>
      </c>
      <c r="AC4220" t="e">
        <v>#N/A</v>
      </c>
      <c r="AD4220" t="e">
        <v>#N/A</v>
      </c>
    </row>
    <row r="4221" spans="2:30" x14ac:dyDescent="0.25">
      <c r="B4221" t="s">
        <v>133</v>
      </c>
      <c r="C4221" t="s">
        <v>3265</v>
      </c>
      <c r="D4221" t="s">
        <v>4981</v>
      </c>
      <c r="E4221" t="s">
        <v>4982</v>
      </c>
      <c r="F4221" t="s">
        <v>9866</v>
      </c>
      <c r="G4221" t="s">
        <v>3890</v>
      </c>
      <c r="H4221" t="s">
        <v>4669</v>
      </c>
      <c r="I4221" t="s">
        <v>4810</v>
      </c>
      <c r="J4221">
        <v>2</v>
      </c>
      <c r="K4221">
        <v>3.0579999999999998</v>
      </c>
      <c r="L4221">
        <v>3.18</v>
      </c>
      <c r="M4221">
        <v>3.3069999999999999</v>
      </c>
      <c r="N4221">
        <v>3.44</v>
      </c>
      <c r="O4221">
        <v>3.577</v>
      </c>
      <c r="P4221">
        <v>3.72</v>
      </c>
      <c r="Q4221">
        <v>3.8690000000000002</v>
      </c>
      <c r="R4221">
        <v>4.024</v>
      </c>
      <c r="S4221">
        <v>4.1849999999999996</v>
      </c>
      <c r="T4221">
        <v>4.3520000000000003</v>
      </c>
      <c r="U4221">
        <v>4.5259999999999998</v>
      </c>
      <c r="V4221">
        <v>4.7080000000000002</v>
      </c>
      <c r="W4221">
        <v>4.8959999999999999</v>
      </c>
      <c r="X4221">
        <v>5.0919999999999996</v>
      </c>
      <c r="Y4221">
        <v>5.2949999999999999</v>
      </c>
      <c r="Z4221">
        <v>5.5069999999999997</v>
      </c>
      <c r="AA4221">
        <v>5.7270000000000003</v>
      </c>
      <c r="AB4221">
        <v>5.9569999999999999</v>
      </c>
      <c r="AC4221">
        <v>6.1950000000000003</v>
      </c>
      <c r="AD4221">
        <v>6.4429999999999996</v>
      </c>
    </row>
    <row r="4222" spans="2:30" x14ac:dyDescent="0.25">
      <c r="B4222" t="s">
        <v>133</v>
      </c>
      <c r="C4222" t="s">
        <v>3265</v>
      </c>
      <c r="D4222" t="s">
        <v>4984</v>
      </c>
      <c r="E4222" t="s">
        <v>4985</v>
      </c>
      <c r="F4222" t="s">
        <v>9867</v>
      </c>
      <c r="G4222" t="s">
        <v>3890</v>
      </c>
      <c r="H4222" t="s">
        <v>4673</v>
      </c>
      <c r="I4222" t="s">
        <v>4810</v>
      </c>
      <c r="J4222">
        <v>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</row>
    <row r="4223" spans="2:30" x14ac:dyDescent="0.25">
      <c r="B4223" t="s">
        <v>133</v>
      </c>
      <c r="C4223" t="s">
        <v>3265</v>
      </c>
      <c r="D4223" t="s">
        <v>4987</v>
      </c>
      <c r="E4223" t="s">
        <v>4988</v>
      </c>
      <c r="F4223" t="s">
        <v>9868</v>
      </c>
      <c r="G4223" t="s">
        <v>3890</v>
      </c>
      <c r="H4223" t="s">
        <v>4925</v>
      </c>
      <c r="I4223" t="s">
        <v>4810</v>
      </c>
      <c r="J4223">
        <v>2</v>
      </c>
      <c r="K4223">
        <v>2.7839999999999998</v>
      </c>
      <c r="L4223">
        <v>2.6139999999999999</v>
      </c>
      <c r="M4223">
        <v>2.6539999999999999</v>
      </c>
      <c r="N4223">
        <v>2.6539999999999999</v>
      </c>
      <c r="O4223">
        <v>2.6539999999999999</v>
      </c>
      <c r="P4223">
        <v>2.6539999999999999</v>
      </c>
      <c r="Q4223">
        <v>2.7080000000000002</v>
      </c>
      <c r="R4223">
        <v>2.8479999999999999</v>
      </c>
      <c r="S4223">
        <v>3.05</v>
      </c>
      <c r="T4223">
        <v>3.2989999999999999</v>
      </c>
      <c r="U4223">
        <v>3.585</v>
      </c>
      <c r="V4223">
        <v>3.8980000000000001</v>
      </c>
      <c r="W4223">
        <v>4.2350000000000003</v>
      </c>
      <c r="X4223">
        <v>4.5890000000000004</v>
      </c>
      <c r="Y4223">
        <v>4.5890000000000004</v>
      </c>
      <c r="Z4223">
        <v>4.5890000000000004</v>
      </c>
      <c r="AA4223">
        <v>4.5890000000000004</v>
      </c>
      <c r="AB4223">
        <v>4.5890000000000004</v>
      </c>
      <c r="AC4223">
        <v>4.5890000000000004</v>
      </c>
      <c r="AD4223">
        <v>2.6539999999999999</v>
      </c>
    </row>
    <row r="4224" spans="2:30" x14ac:dyDescent="0.25">
      <c r="B4224" t="s">
        <v>133</v>
      </c>
      <c r="C4224" t="s">
        <v>3265</v>
      </c>
      <c r="D4224" t="s">
        <v>4990</v>
      </c>
      <c r="E4224" t="s">
        <v>4991</v>
      </c>
      <c r="F4224" t="s">
        <v>9869</v>
      </c>
      <c r="G4224" t="s">
        <v>3890</v>
      </c>
      <c r="H4224" t="s">
        <v>4929</v>
      </c>
      <c r="I4224" t="s">
        <v>4810</v>
      </c>
      <c r="J4224">
        <v>2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  <c r="W4224" t="e">
        <v>#N/A</v>
      </c>
      <c r="X4224" t="e">
        <v>#N/A</v>
      </c>
      <c r="Y4224" t="e">
        <v>#N/A</v>
      </c>
      <c r="Z4224" t="e">
        <v>#N/A</v>
      </c>
      <c r="AA4224" t="e">
        <v>#N/A</v>
      </c>
      <c r="AB4224" t="e">
        <v>#N/A</v>
      </c>
      <c r="AC4224" t="e">
        <v>#N/A</v>
      </c>
      <c r="AD4224" t="e">
        <v>#N/A</v>
      </c>
    </row>
    <row r="4225" spans="2:30" x14ac:dyDescent="0.25">
      <c r="B4225" t="s">
        <v>133</v>
      </c>
      <c r="C4225" t="s">
        <v>3265</v>
      </c>
      <c r="D4225" t="s">
        <v>4993</v>
      </c>
      <c r="E4225" t="s">
        <v>4455</v>
      </c>
      <c r="F4225" t="s">
        <v>9706</v>
      </c>
      <c r="G4225" t="s">
        <v>3890</v>
      </c>
      <c r="H4225" t="s">
        <v>4897</v>
      </c>
      <c r="I4225" t="s">
        <v>4810</v>
      </c>
      <c r="J4225">
        <v>1</v>
      </c>
      <c r="K4225">
        <v>-8.7029999999999994</v>
      </c>
      <c r="L4225">
        <v>-6.7750000000000004</v>
      </c>
      <c r="M4225">
        <v>-6.1120000000000001</v>
      </c>
      <c r="N4225">
        <v>-6.1909999999999998</v>
      </c>
      <c r="O4225">
        <v>-6.2380000000000004</v>
      </c>
      <c r="P4225">
        <v>-6.1180000000000003</v>
      </c>
      <c r="Q4225">
        <v>-5.9779999999999998</v>
      </c>
      <c r="R4225">
        <v>-5.9279999999999999</v>
      </c>
      <c r="S4225">
        <v>-5.9139999999999997</v>
      </c>
      <c r="T4225">
        <v>-5.9059999999999997</v>
      </c>
      <c r="U4225">
        <v>-5.9059999999999997</v>
      </c>
      <c r="V4225">
        <v>-5.9059999999999997</v>
      </c>
      <c r="W4225">
        <v>-5.9059999999999997</v>
      </c>
      <c r="X4225">
        <v>-5.9059999999999997</v>
      </c>
      <c r="Y4225">
        <v>-5.9059999999999997</v>
      </c>
      <c r="Z4225">
        <v>-5.9059999999999997</v>
      </c>
      <c r="AA4225">
        <v>-5.9059999999999997</v>
      </c>
      <c r="AB4225">
        <v>-5.9059999999999997</v>
      </c>
      <c r="AC4225">
        <v>-5.9059999999999997</v>
      </c>
      <c r="AD4225">
        <v>-5.9059999999999997</v>
      </c>
    </row>
    <row r="4226" spans="2:30" x14ac:dyDescent="0.25">
      <c r="B4226" t="s">
        <v>133</v>
      </c>
      <c r="C4226" t="s">
        <v>3265</v>
      </c>
      <c r="D4226" t="s">
        <v>4994</v>
      </c>
      <c r="E4226" t="s">
        <v>4995</v>
      </c>
      <c r="F4226" t="s">
        <v>9870</v>
      </c>
      <c r="G4226" t="s">
        <v>3890</v>
      </c>
      <c r="H4226" t="s">
        <v>4686</v>
      </c>
      <c r="I4226" t="s">
        <v>4687</v>
      </c>
      <c r="J4226">
        <v>1</v>
      </c>
      <c r="K4226">
        <v>-155.976</v>
      </c>
      <c r="L4226">
        <v>-121.42400000000001</v>
      </c>
      <c r="M4226">
        <v>-109.542</v>
      </c>
      <c r="N4226">
        <v>-110.958</v>
      </c>
      <c r="O4226">
        <v>-111.785</v>
      </c>
      <c r="P4226">
        <v>-109.64700000000001</v>
      </c>
      <c r="Q4226">
        <v>-107.131</v>
      </c>
      <c r="R4226">
        <v>-106.235</v>
      </c>
      <c r="S4226">
        <v>-105.98099999999999</v>
      </c>
      <c r="T4226">
        <v>-105.837</v>
      </c>
      <c r="U4226">
        <v>-105.837</v>
      </c>
      <c r="V4226">
        <v>-105.837</v>
      </c>
      <c r="W4226">
        <v>-105.837</v>
      </c>
      <c r="X4226">
        <v>-105.837</v>
      </c>
      <c r="Y4226">
        <v>-105.837</v>
      </c>
      <c r="Z4226">
        <v>-105.837</v>
      </c>
      <c r="AA4226">
        <v>-105.837</v>
      </c>
      <c r="AB4226">
        <v>-105.837</v>
      </c>
      <c r="AC4226">
        <v>-105.837</v>
      </c>
      <c r="AD4226">
        <v>-105.837</v>
      </c>
    </row>
    <row r="4227" spans="2:30" x14ac:dyDescent="0.25">
      <c r="B4227" t="s">
        <v>133</v>
      </c>
      <c r="C4227" t="s">
        <v>3265</v>
      </c>
      <c r="D4227" t="s">
        <v>4997</v>
      </c>
      <c r="E4227" t="s">
        <v>4998</v>
      </c>
      <c r="F4227" t="s">
        <v>9871</v>
      </c>
      <c r="G4227" t="s">
        <v>3890</v>
      </c>
      <c r="H4227" t="s">
        <v>4937</v>
      </c>
      <c r="I4227" t="s">
        <v>4810</v>
      </c>
      <c r="J4227">
        <v>2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  <c r="W4227" t="e">
        <v>#N/A</v>
      </c>
      <c r="X4227" t="e">
        <v>#N/A</v>
      </c>
      <c r="Y4227" t="e">
        <v>#N/A</v>
      </c>
      <c r="Z4227" t="e">
        <v>#N/A</v>
      </c>
      <c r="AA4227" t="e">
        <v>#N/A</v>
      </c>
      <c r="AB4227" t="e">
        <v>#N/A</v>
      </c>
      <c r="AC4227" t="e">
        <v>#N/A</v>
      </c>
      <c r="AD4227" t="e">
        <v>#N/A</v>
      </c>
    </row>
    <row r="4228" spans="2:30" x14ac:dyDescent="0.25">
      <c r="B4228" t="s">
        <v>133</v>
      </c>
      <c r="C4228" t="s">
        <v>3265</v>
      </c>
      <c r="D4228" t="s">
        <v>5000</v>
      </c>
      <c r="E4228" t="s">
        <v>5001</v>
      </c>
      <c r="F4228" t="s">
        <v>9872</v>
      </c>
      <c r="G4228" t="s">
        <v>3890</v>
      </c>
      <c r="H4228" t="s">
        <v>4695</v>
      </c>
      <c r="I4228" t="s">
        <v>4687</v>
      </c>
      <c r="J4228">
        <v>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</row>
    <row r="4229" spans="2:30" x14ac:dyDescent="0.25">
      <c r="B4229" t="s">
        <v>133</v>
      </c>
      <c r="C4229" t="s">
        <v>3265</v>
      </c>
      <c r="D4229" t="s">
        <v>5003</v>
      </c>
      <c r="E4229" t="s">
        <v>5004</v>
      </c>
      <c r="F4229" t="s">
        <v>9873</v>
      </c>
      <c r="G4229" t="s">
        <v>3890</v>
      </c>
      <c r="H4229" t="s">
        <v>4645</v>
      </c>
      <c r="I4229" t="s">
        <v>4263</v>
      </c>
      <c r="J4229">
        <v>2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  <c r="W4229" t="e">
        <v>#N/A</v>
      </c>
      <c r="X4229" t="e">
        <v>#N/A</v>
      </c>
      <c r="Y4229" t="e">
        <v>#N/A</v>
      </c>
      <c r="Z4229" t="e">
        <v>#N/A</v>
      </c>
      <c r="AA4229" t="e">
        <v>#N/A</v>
      </c>
      <c r="AB4229" t="e">
        <v>#N/A</v>
      </c>
      <c r="AC4229" t="e">
        <v>#N/A</v>
      </c>
      <c r="AD4229" t="e">
        <v>#N/A</v>
      </c>
    </row>
    <row r="4230" spans="2:30" x14ac:dyDescent="0.25">
      <c r="B4230" t="s">
        <v>133</v>
      </c>
      <c r="C4230" t="s">
        <v>3265</v>
      </c>
      <c r="D4230" t="s">
        <v>5006</v>
      </c>
      <c r="E4230" t="s">
        <v>5007</v>
      </c>
      <c r="F4230" t="s">
        <v>9874</v>
      </c>
      <c r="G4230" t="s">
        <v>3890</v>
      </c>
      <c r="H4230" t="s">
        <v>4394</v>
      </c>
      <c r="I4230" t="s">
        <v>4263</v>
      </c>
      <c r="J4230">
        <v>2</v>
      </c>
      <c r="K4230">
        <v>6.4000000000000001E-2</v>
      </c>
      <c r="L4230">
        <v>6.2E-2</v>
      </c>
      <c r="M4230">
        <v>0.107</v>
      </c>
      <c r="N4230">
        <v>0.105</v>
      </c>
      <c r="O4230">
        <v>0.107</v>
      </c>
      <c r="P4230">
        <v>0.108</v>
      </c>
      <c r="Q4230">
        <v>0.108</v>
      </c>
      <c r="R4230">
        <v>0.107</v>
      </c>
      <c r="S4230">
        <v>0.107</v>
      </c>
      <c r="T4230">
        <v>0.107</v>
      </c>
      <c r="U4230">
        <v>0.107</v>
      </c>
      <c r="V4230">
        <v>0.106</v>
      </c>
      <c r="W4230">
        <v>0.106</v>
      </c>
      <c r="X4230">
        <v>0.106</v>
      </c>
      <c r="Y4230">
        <v>0.106</v>
      </c>
      <c r="Z4230">
        <v>0.105</v>
      </c>
      <c r="AA4230">
        <v>0.105</v>
      </c>
      <c r="AB4230">
        <v>0.105</v>
      </c>
      <c r="AC4230">
        <v>0.104</v>
      </c>
      <c r="AD4230">
        <v>0.104</v>
      </c>
    </row>
    <row r="4231" spans="2:30" x14ac:dyDescent="0.25">
      <c r="B4231" t="s">
        <v>133</v>
      </c>
      <c r="C4231" t="s">
        <v>3265</v>
      </c>
      <c r="D4231" t="s">
        <v>5009</v>
      </c>
      <c r="E4231" t="s">
        <v>5010</v>
      </c>
      <c r="F4231" t="s">
        <v>9875</v>
      </c>
      <c r="G4231" t="s">
        <v>3890</v>
      </c>
      <c r="H4231" t="s">
        <v>4653</v>
      </c>
      <c r="I4231" t="s">
        <v>4263</v>
      </c>
      <c r="J4231">
        <v>2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  <c r="W4231" t="e">
        <v>#N/A</v>
      </c>
      <c r="X4231" t="e">
        <v>#N/A</v>
      </c>
      <c r="Y4231" t="e">
        <v>#N/A</v>
      </c>
      <c r="Z4231" t="e">
        <v>#N/A</v>
      </c>
      <c r="AA4231" t="e">
        <v>#N/A</v>
      </c>
      <c r="AB4231" t="e">
        <v>#N/A</v>
      </c>
      <c r="AC4231" t="e">
        <v>#N/A</v>
      </c>
      <c r="AD4231" t="e">
        <v>#N/A</v>
      </c>
    </row>
    <row r="4232" spans="2:30" x14ac:dyDescent="0.25">
      <c r="B4232" t="s">
        <v>133</v>
      </c>
      <c r="C4232" t="s">
        <v>3265</v>
      </c>
      <c r="D4232" t="s">
        <v>5012</v>
      </c>
      <c r="E4232" t="s">
        <v>5013</v>
      </c>
      <c r="F4232" t="s">
        <v>9876</v>
      </c>
      <c r="G4232" t="s">
        <v>3890</v>
      </c>
      <c r="H4232" t="s">
        <v>4669</v>
      </c>
      <c r="I4232" t="s">
        <v>4263</v>
      </c>
      <c r="J4232">
        <v>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</row>
    <row r="4233" spans="2:30" x14ac:dyDescent="0.25">
      <c r="B4233" t="s">
        <v>133</v>
      </c>
      <c r="C4233" t="s">
        <v>3265</v>
      </c>
      <c r="D4233" t="s">
        <v>5015</v>
      </c>
      <c r="E4233" t="s">
        <v>5016</v>
      </c>
      <c r="F4233" t="s">
        <v>9877</v>
      </c>
      <c r="G4233" t="s">
        <v>3890</v>
      </c>
      <c r="H4233" t="s">
        <v>4673</v>
      </c>
      <c r="I4233" t="s">
        <v>4263</v>
      </c>
      <c r="J4233">
        <v>2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</row>
    <row r="4234" spans="2:30" x14ac:dyDescent="0.25">
      <c r="B4234" t="s">
        <v>133</v>
      </c>
      <c r="C4234" t="s">
        <v>3265</v>
      </c>
      <c r="D4234" t="s">
        <v>5018</v>
      </c>
      <c r="E4234" t="s">
        <v>5019</v>
      </c>
      <c r="F4234" t="s">
        <v>9878</v>
      </c>
      <c r="G4234" t="s">
        <v>3890</v>
      </c>
      <c r="H4234" t="s">
        <v>5021</v>
      </c>
      <c r="I4234" t="s">
        <v>4263</v>
      </c>
      <c r="J4234">
        <v>2</v>
      </c>
      <c r="K4234">
        <v>6.4000000000000001E-2</v>
      </c>
      <c r="L4234">
        <v>6.2E-2</v>
      </c>
      <c r="M4234">
        <v>5.1999999999999998E-2</v>
      </c>
      <c r="N4234">
        <v>4.9000000000000002E-2</v>
      </c>
      <c r="O4234">
        <v>5.0999999999999997E-2</v>
      </c>
      <c r="P4234">
        <v>5.2999999999999999E-2</v>
      </c>
      <c r="Q4234">
        <v>5.2999999999999999E-2</v>
      </c>
      <c r="R4234">
        <v>5.2999999999999999E-2</v>
      </c>
      <c r="S4234">
        <v>5.3999999999999999E-2</v>
      </c>
      <c r="T4234">
        <v>5.6000000000000001E-2</v>
      </c>
      <c r="U4234">
        <v>5.7000000000000002E-2</v>
      </c>
      <c r="V4234">
        <v>5.8999999999999997E-2</v>
      </c>
      <c r="W4234">
        <v>0.06</v>
      </c>
      <c r="X4234">
        <v>6.2E-2</v>
      </c>
      <c r="Y4234">
        <v>6.2E-2</v>
      </c>
      <c r="Z4234">
        <v>6.2E-2</v>
      </c>
      <c r="AA4234">
        <v>6.0999999999999999E-2</v>
      </c>
      <c r="AB4234">
        <v>6.0999999999999999E-2</v>
      </c>
      <c r="AC4234">
        <v>6.0999999999999999E-2</v>
      </c>
      <c r="AD4234">
        <v>0.05</v>
      </c>
    </row>
    <row r="4235" spans="2:30" x14ac:dyDescent="0.25">
      <c r="B4235" t="s">
        <v>133</v>
      </c>
      <c r="C4235" t="s">
        <v>3265</v>
      </c>
      <c r="D4235" t="s">
        <v>5022</v>
      </c>
      <c r="E4235" t="s">
        <v>5023</v>
      </c>
      <c r="F4235" t="s">
        <v>9879</v>
      </c>
      <c r="G4235" t="s">
        <v>3890</v>
      </c>
      <c r="H4235" t="s">
        <v>5025</v>
      </c>
      <c r="I4235" t="s">
        <v>4263</v>
      </c>
      <c r="J4235">
        <v>2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  <c r="W4235" t="e">
        <v>#N/A</v>
      </c>
      <c r="X4235" t="e">
        <v>#N/A</v>
      </c>
      <c r="Y4235" t="e">
        <v>#N/A</v>
      </c>
      <c r="Z4235" t="e">
        <v>#N/A</v>
      </c>
      <c r="AA4235" t="e">
        <v>#N/A</v>
      </c>
      <c r="AB4235" t="e">
        <v>#N/A</v>
      </c>
      <c r="AC4235" t="e">
        <v>#N/A</v>
      </c>
      <c r="AD4235" t="e">
        <v>#N/A</v>
      </c>
    </row>
    <row r="4236" spans="2:30" x14ac:dyDescent="0.25">
      <c r="B4236" t="s">
        <v>133</v>
      </c>
      <c r="C4236" t="s">
        <v>3265</v>
      </c>
      <c r="D4236" t="s">
        <v>5026</v>
      </c>
      <c r="E4236" t="s">
        <v>4433</v>
      </c>
      <c r="F4236" t="s">
        <v>9699</v>
      </c>
      <c r="G4236" t="s">
        <v>3890</v>
      </c>
      <c r="H4236" t="s">
        <v>4832</v>
      </c>
      <c r="I4236" t="s">
        <v>4263</v>
      </c>
      <c r="J4236">
        <v>1</v>
      </c>
      <c r="K4236">
        <v>0</v>
      </c>
      <c r="L4236">
        <v>0</v>
      </c>
      <c r="M4236">
        <v>-5.5E-2</v>
      </c>
      <c r="N4236">
        <v>-5.5E-2</v>
      </c>
      <c r="O4236">
        <v>-5.5E-2</v>
      </c>
      <c r="P4236">
        <v>-5.5E-2</v>
      </c>
      <c r="Q4236">
        <v>-5.5E-2</v>
      </c>
      <c r="R4236">
        <v>-5.5E-2</v>
      </c>
      <c r="S4236">
        <v>-5.5E-2</v>
      </c>
      <c r="T4236">
        <v>-5.5E-2</v>
      </c>
      <c r="U4236">
        <v>-5.5E-2</v>
      </c>
      <c r="V4236">
        <v>-5.5E-2</v>
      </c>
      <c r="W4236">
        <v>-5.5E-2</v>
      </c>
      <c r="X4236">
        <v>-5.5E-2</v>
      </c>
      <c r="Y4236">
        <v>-5.5E-2</v>
      </c>
      <c r="Z4236">
        <v>-5.5E-2</v>
      </c>
      <c r="AA4236">
        <v>-5.5E-2</v>
      </c>
      <c r="AB4236">
        <v>-5.5E-2</v>
      </c>
      <c r="AC4236">
        <v>-5.5E-2</v>
      </c>
      <c r="AD4236">
        <v>-5.5E-2</v>
      </c>
    </row>
    <row r="4237" spans="2:30" x14ac:dyDescent="0.25">
      <c r="B4237" t="s">
        <v>133</v>
      </c>
      <c r="C4237" t="s">
        <v>3265</v>
      </c>
      <c r="D4237" t="s">
        <v>5027</v>
      </c>
      <c r="E4237" t="s">
        <v>5028</v>
      </c>
      <c r="F4237" t="s">
        <v>9880</v>
      </c>
      <c r="G4237" t="s">
        <v>3890</v>
      </c>
      <c r="H4237" t="s">
        <v>4686</v>
      </c>
      <c r="I4237" t="s">
        <v>4687</v>
      </c>
      <c r="J4237">
        <v>1</v>
      </c>
      <c r="K4237" t="e">
        <v>#DIV/0!</v>
      </c>
      <c r="L4237" t="e">
        <v>#DIV/0!</v>
      </c>
      <c r="M4237" t="e">
        <v>#DIV/0!</v>
      </c>
      <c r="N4237" t="e">
        <v>#DIV/0!</v>
      </c>
      <c r="O4237" t="e">
        <v>#DIV/0!</v>
      </c>
      <c r="P4237" t="e">
        <v>#DIV/0!</v>
      </c>
      <c r="Q4237" t="e">
        <v>#DIV/0!</v>
      </c>
      <c r="R4237" t="e">
        <v>#DIV/0!</v>
      </c>
      <c r="S4237" t="e">
        <v>#DIV/0!</v>
      </c>
      <c r="T4237" t="e">
        <v>#DIV/0!</v>
      </c>
      <c r="U4237" t="e">
        <v>#DIV/0!</v>
      </c>
      <c r="V4237" t="e">
        <v>#DIV/0!</v>
      </c>
      <c r="W4237" t="e">
        <v>#DIV/0!</v>
      </c>
      <c r="X4237" t="e">
        <v>#DIV/0!</v>
      </c>
      <c r="Y4237" t="e">
        <v>#DIV/0!</v>
      </c>
      <c r="Z4237" t="e">
        <v>#DIV/0!</v>
      </c>
      <c r="AA4237" t="e">
        <v>#DIV/0!</v>
      </c>
      <c r="AB4237" t="e">
        <v>#DIV/0!</v>
      </c>
      <c r="AC4237" t="e">
        <v>#DIV/0!</v>
      </c>
      <c r="AD4237" t="e">
        <v>#DIV/0!</v>
      </c>
    </row>
    <row r="4238" spans="2:30" x14ac:dyDescent="0.25">
      <c r="B4238" t="s">
        <v>133</v>
      </c>
      <c r="C4238" t="s">
        <v>3265</v>
      </c>
      <c r="D4238" t="s">
        <v>5030</v>
      </c>
      <c r="E4238" t="s">
        <v>5031</v>
      </c>
      <c r="F4238" t="s">
        <v>9881</v>
      </c>
      <c r="G4238" t="s">
        <v>3890</v>
      </c>
      <c r="H4238" t="s">
        <v>5033</v>
      </c>
      <c r="I4238" t="s">
        <v>4263</v>
      </c>
      <c r="J4238">
        <v>2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  <c r="W4238" t="e">
        <v>#N/A</v>
      </c>
      <c r="X4238" t="e">
        <v>#N/A</v>
      </c>
      <c r="Y4238" t="e">
        <v>#N/A</v>
      </c>
      <c r="Z4238" t="e">
        <v>#N/A</v>
      </c>
      <c r="AA4238" t="e">
        <v>#N/A</v>
      </c>
      <c r="AB4238" t="e">
        <v>#N/A</v>
      </c>
      <c r="AC4238" t="e">
        <v>#N/A</v>
      </c>
      <c r="AD4238" t="e">
        <v>#N/A</v>
      </c>
    </row>
    <row r="4239" spans="2:30" x14ac:dyDescent="0.25">
      <c r="B4239" t="s">
        <v>133</v>
      </c>
      <c r="C4239" t="s">
        <v>3265</v>
      </c>
      <c r="D4239" t="s">
        <v>5034</v>
      </c>
      <c r="E4239" t="s">
        <v>5035</v>
      </c>
      <c r="F4239" t="s">
        <v>9882</v>
      </c>
      <c r="G4239" t="s">
        <v>3890</v>
      </c>
      <c r="H4239" t="s">
        <v>4695</v>
      </c>
      <c r="I4239" t="s">
        <v>4687</v>
      </c>
      <c r="J4239">
        <v>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</row>
    <row r="4240" spans="2:30" x14ac:dyDescent="0.25">
      <c r="B4240" t="s">
        <v>133</v>
      </c>
      <c r="C4240" t="s">
        <v>3265</v>
      </c>
      <c r="D4240" t="s">
        <v>5037</v>
      </c>
      <c r="E4240" t="s">
        <v>5038</v>
      </c>
      <c r="F4240" t="s">
        <v>9883</v>
      </c>
      <c r="G4240" t="s">
        <v>3890</v>
      </c>
      <c r="H4240" t="s">
        <v>4645</v>
      </c>
      <c r="I4240" t="s">
        <v>4263</v>
      </c>
      <c r="J4240">
        <v>2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  <c r="W4240" t="e">
        <v>#N/A</v>
      </c>
      <c r="X4240" t="e">
        <v>#N/A</v>
      </c>
      <c r="Y4240" t="e">
        <v>#N/A</v>
      </c>
      <c r="Z4240" t="e">
        <v>#N/A</v>
      </c>
      <c r="AA4240" t="e">
        <v>#N/A</v>
      </c>
      <c r="AB4240" t="e">
        <v>#N/A</v>
      </c>
      <c r="AC4240" t="e">
        <v>#N/A</v>
      </c>
      <c r="AD4240" t="e">
        <v>#N/A</v>
      </c>
    </row>
    <row r="4241" spans="2:30" x14ac:dyDescent="0.25">
      <c r="B4241" t="s">
        <v>133</v>
      </c>
      <c r="C4241" t="s">
        <v>3265</v>
      </c>
      <c r="D4241" t="s">
        <v>5040</v>
      </c>
      <c r="E4241" t="s">
        <v>4396</v>
      </c>
      <c r="F4241" t="s">
        <v>9687</v>
      </c>
      <c r="G4241" t="s">
        <v>3890</v>
      </c>
      <c r="H4241" t="s">
        <v>4394</v>
      </c>
      <c r="I4241" t="s">
        <v>4263</v>
      </c>
      <c r="J4241">
        <v>2</v>
      </c>
      <c r="K4241">
        <v>5.8999999999999997E-2</v>
      </c>
      <c r="L4241">
        <v>5.0999999999999997E-2</v>
      </c>
      <c r="M4241">
        <v>0.10100000000000001</v>
      </c>
      <c r="N4241">
        <v>9.8000000000000004E-2</v>
      </c>
      <c r="O4241">
        <v>0.1</v>
      </c>
      <c r="P4241">
        <v>0.10100000000000001</v>
      </c>
      <c r="Q4241">
        <v>0.10100000000000001</v>
      </c>
      <c r="R4241">
        <v>0.10100000000000001</v>
      </c>
      <c r="S4241">
        <v>0.10100000000000001</v>
      </c>
      <c r="T4241">
        <v>0.1</v>
      </c>
      <c r="U4241">
        <v>0.1</v>
      </c>
      <c r="V4241">
        <v>0.1</v>
      </c>
      <c r="W4241">
        <v>0.1</v>
      </c>
      <c r="X4241">
        <v>0.1</v>
      </c>
      <c r="Y4241">
        <v>9.9000000000000005E-2</v>
      </c>
      <c r="Z4241">
        <v>9.9000000000000005E-2</v>
      </c>
      <c r="AA4241">
        <v>9.9000000000000005E-2</v>
      </c>
      <c r="AB4241">
        <v>9.8000000000000004E-2</v>
      </c>
      <c r="AC4241">
        <v>9.8000000000000004E-2</v>
      </c>
      <c r="AD4241">
        <v>9.8000000000000004E-2</v>
      </c>
    </row>
    <row r="4242" spans="2:30" x14ac:dyDescent="0.25">
      <c r="B4242" t="s">
        <v>133</v>
      </c>
      <c r="C4242" t="s">
        <v>3265</v>
      </c>
      <c r="D4242" t="s">
        <v>5041</v>
      </c>
      <c r="E4242" t="s">
        <v>5042</v>
      </c>
      <c r="F4242" t="s">
        <v>9884</v>
      </c>
      <c r="G4242" t="s">
        <v>3890</v>
      </c>
      <c r="H4242" t="s">
        <v>4653</v>
      </c>
      <c r="I4242" t="s">
        <v>4263</v>
      </c>
      <c r="J4242">
        <v>2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  <c r="W4242" t="e">
        <v>#N/A</v>
      </c>
      <c r="X4242" t="e">
        <v>#N/A</v>
      </c>
      <c r="Y4242" t="e">
        <v>#N/A</v>
      </c>
      <c r="Z4242" t="e">
        <v>#N/A</v>
      </c>
      <c r="AA4242" t="e">
        <v>#N/A</v>
      </c>
      <c r="AB4242" t="e">
        <v>#N/A</v>
      </c>
      <c r="AC4242" t="e">
        <v>#N/A</v>
      </c>
      <c r="AD4242" t="e">
        <v>#N/A</v>
      </c>
    </row>
    <row r="4243" spans="2:30" x14ac:dyDescent="0.25">
      <c r="B4243" t="s">
        <v>133</v>
      </c>
      <c r="C4243" t="s">
        <v>3265</v>
      </c>
      <c r="D4243" t="s">
        <v>5044</v>
      </c>
      <c r="E4243" t="s">
        <v>5045</v>
      </c>
      <c r="F4243" t="s">
        <v>9885</v>
      </c>
      <c r="G4243" t="s">
        <v>3890</v>
      </c>
      <c r="H4243" t="s">
        <v>4669</v>
      </c>
      <c r="I4243" t="s">
        <v>4263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</row>
    <row r="4244" spans="2:30" x14ac:dyDescent="0.25">
      <c r="B4244" t="s">
        <v>133</v>
      </c>
      <c r="C4244" t="s">
        <v>3265</v>
      </c>
      <c r="D4244" t="s">
        <v>5047</v>
      </c>
      <c r="E4244" t="s">
        <v>5048</v>
      </c>
      <c r="F4244" t="s">
        <v>9886</v>
      </c>
      <c r="G4244" t="s">
        <v>3890</v>
      </c>
      <c r="H4244" t="s">
        <v>4673</v>
      </c>
      <c r="I4244" t="s">
        <v>4263</v>
      </c>
      <c r="J4244">
        <v>2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  <c r="W4244" t="e">
        <v>#N/A</v>
      </c>
      <c r="X4244" t="e">
        <v>#N/A</v>
      </c>
      <c r="Y4244" t="e">
        <v>#N/A</v>
      </c>
      <c r="Z4244" t="e">
        <v>#N/A</v>
      </c>
      <c r="AA4244" t="e">
        <v>#N/A</v>
      </c>
      <c r="AB4244" t="e">
        <v>#N/A</v>
      </c>
      <c r="AC4244" t="e">
        <v>#N/A</v>
      </c>
      <c r="AD4244" t="e">
        <v>#N/A</v>
      </c>
    </row>
    <row r="4245" spans="2:30" x14ac:dyDescent="0.25">
      <c r="B4245" t="s">
        <v>133</v>
      </c>
      <c r="C4245" t="s">
        <v>3265</v>
      </c>
      <c r="D4245" t="s">
        <v>5050</v>
      </c>
      <c r="E4245" t="s">
        <v>5051</v>
      </c>
      <c r="F4245" t="s">
        <v>9887</v>
      </c>
      <c r="G4245" t="s">
        <v>3890</v>
      </c>
      <c r="H4245" t="s">
        <v>5021</v>
      </c>
      <c r="I4245" t="s">
        <v>4263</v>
      </c>
      <c r="J4245">
        <v>2</v>
      </c>
      <c r="K4245">
        <v>6.0999999999999999E-2</v>
      </c>
      <c r="L4245">
        <v>5.1999999999999998E-2</v>
      </c>
      <c r="M4245">
        <v>4.5999999999999999E-2</v>
      </c>
      <c r="N4245">
        <v>4.2999999999999997E-2</v>
      </c>
      <c r="O4245">
        <v>4.4999999999999998E-2</v>
      </c>
      <c r="P4245">
        <v>4.5999999999999999E-2</v>
      </c>
      <c r="Q4245">
        <v>4.5999999999999999E-2</v>
      </c>
      <c r="R4245">
        <v>4.7E-2</v>
      </c>
      <c r="S4245">
        <v>4.8000000000000001E-2</v>
      </c>
      <c r="T4245">
        <v>4.9000000000000002E-2</v>
      </c>
      <c r="U4245">
        <v>5.0999999999999997E-2</v>
      </c>
      <c r="V4245">
        <v>5.1999999999999998E-2</v>
      </c>
      <c r="W4245">
        <v>5.3999999999999999E-2</v>
      </c>
      <c r="X4245">
        <v>5.6000000000000001E-2</v>
      </c>
      <c r="Y4245">
        <v>5.6000000000000001E-2</v>
      </c>
      <c r="Z4245">
        <v>5.5E-2</v>
      </c>
      <c r="AA4245">
        <v>5.5E-2</v>
      </c>
      <c r="AB4245">
        <v>5.5E-2</v>
      </c>
      <c r="AC4245">
        <v>5.3999999999999999E-2</v>
      </c>
      <c r="AD4245">
        <v>4.3999999999999997E-2</v>
      </c>
    </row>
    <row r="4246" spans="2:30" x14ac:dyDescent="0.25">
      <c r="B4246" t="s">
        <v>133</v>
      </c>
      <c r="C4246" t="s">
        <v>3265</v>
      </c>
      <c r="D4246" t="s">
        <v>5053</v>
      </c>
      <c r="E4246" t="s">
        <v>5054</v>
      </c>
      <c r="F4246" t="s">
        <v>9888</v>
      </c>
      <c r="G4246" t="s">
        <v>3890</v>
      </c>
      <c r="H4246" t="s">
        <v>5025</v>
      </c>
      <c r="I4246" t="s">
        <v>4263</v>
      </c>
      <c r="J4246">
        <v>2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  <c r="W4246" t="e">
        <v>#N/A</v>
      </c>
      <c r="X4246" t="e">
        <v>#N/A</v>
      </c>
      <c r="Y4246" t="e">
        <v>#N/A</v>
      </c>
      <c r="Z4246" t="e">
        <v>#N/A</v>
      </c>
      <c r="AA4246" t="e">
        <v>#N/A</v>
      </c>
      <c r="AB4246" t="e">
        <v>#N/A</v>
      </c>
      <c r="AC4246" t="e">
        <v>#N/A</v>
      </c>
      <c r="AD4246" t="e">
        <v>#N/A</v>
      </c>
    </row>
    <row r="4247" spans="2:30" x14ac:dyDescent="0.25">
      <c r="B4247" t="s">
        <v>133</v>
      </c>
      <c r="C4247" t="s">
        <v>3265</v>
      </c>
      <c r="D4247" t="s">
        <v>5056</v>
      </c>
      <c r="E4247" t="s">
        <v>4437</v>
      </c>
      <c r="F4247" t="s">
        <v>9700</v>
      </c>
      <c r="G4247" t="s">
        <v>3890</v>
      </c>
      <c r="H4247" t="s">
        <v>4865</v>
      </c>
      <c r="I4247" t="s">
        <v>4263</v>
      </c>
      <c r="J4247">
        <v>1</v>
      </c>
      <c r="K4247">
        <v>2E-3</v>
      </c>
      <c r="L4247">
        <v>1E-3</v>
      </c>
      <c r="M4247">
        <v>-5.5E-2</v>
      </c>
      <c r="N4247">
        <v>-5.5E-2</v>
      </c>
      <c r="O4247">
        <v>-5.5E-2</v>
      </c>
      <c r="P4247">
        <v>-5.5E-2</v>
      </c>
      <c r="Q4247">
        <v>-5.5E-2</v>
      </c>
      <c r="R4247">
        <v>-5.5E-2</v>
      </c>
      <c r="S4247">
        <v>-5.5E-2</v>
      </c>
      <c r="T4247">
        <v>-5.5E-2</v>
      </c>
      <c r="U4247">
        <v>-5.5E-2</v>
      </c>
      <c r="V4247">
        <v>-5.5E-2</v>
      </c>
      <c r="W4247">
        <v>-5.5E-2</v>
      </c>
      <c r="X4247">
        <v>-5.5E-2</v>
      </c>
      <c r="Y4247">
        <v>-5.5E-2</v>
      </c>
      <c r="Z4247">
        <v>-5.5E-2</v>
      </c>
      <c r="AA4247">
        <v>-5.5E-2</v>
      </c>
      <c r="AB4247">
        <v>-5.5E-2</v>
      </c>
      <c r="AC4247">
        <v>-5.5E-2</v>
      </c>
      <c r="AD4247">
        <v>-5.5E-2</v>
      </c>
    </row>
    <row r="4248" spans="2:30" x14ac:dyDescent="0.25">
      <c r="B4248" t="s">
        <v>133</v>
      </c>
      <c r="C4248" t="s">
        <v>3265</v>
      </c>
      <c r="D4248" t="s">
        <v>5057</v>
      </c>
      <c r="E4248" t="s">
        <v>5058</v>
      </c>
      <c r="F4248" t="s">
        <v>9889</v>
      </c>
      <c r="G4248" t="s">
        <v>3890</v>
      </c>
      <c r="H4248" t="s">
        <v>4686</v>
      </c>
      <c r="I4248" t="s">
        <v>4687</v>
      </c>
      <c r="J4248">
        <v>1</v>
      </c>
      <c r="K4248" t="e">
        <v>#DIV/0!</v>
      </c>
      <c r="L4248" t="e">
        <v>#DIV/0!</v>
      </c>
      <c r="M4248" t="e">
        <v>#DIV/0!</v>
      </c>
      <c r="N4248" t="e">
        <v>#DIV/0!</v>
      </c>
      <c r="O4248" t="e">
        <v>#DIV/0!</v>
      </c>
      <c r="P4248" t="e">
        <v>#DIV/0!</v>
      </c>
      <c r="Q4248" t="e">
        <v>#DIV/0!</v>
      </c>
      <c r="R4248" t="e">
        <v>#DIV/0!</v>
      </c>
      <c r="S4248" t="e">
        <v>#DIV/0!</v>
      </c>
      <c r="T4248" t="e">
        <v>#DIV/0!</v>
      </c>
      <c r="U4248" t="e">
        <v>#DIV/0!</v>
      </c>
      <c r="V4248" t="e">
        <v>#DIV/0!</v>
      </c>
      <c r="W4248" t="e">
        <v>#DIV/0!</v>
      </c>
      <c r="X4248" t="e">
        <v>#DIV/0!</v>
      </c>
      <c r="Y4248" t="e">
        <v>#DIV/0!</v>
      </c>
      <c r="Z4248" t="e">
        <v>#DIV/0!</v>
      </c>
      <c r="AA4248" t="e">
        <v>#DIV/0!</v>
      </c>
      <c r="AB4248" t="e">
        <v>#DIV/0!</v>
      </c>
      <c r="AC4248" t="e">
        <v>#DIV/0!</v>
      </c>
      <c r="AD4248" t="e">
        <v>#DIV/0!</v>
      </c>
    </row>
    <row r="4249" spans="2:30" x14ac:dyDescent="0.25">
      <c r="B4249" t="s">
        <v>133</v>
      </c>
      <c r="C4249" t="s">
        <v>3265</v>
      </c>
      <c r="D4249" t="s">
        <v>5060</v>
      </c>
      <c r="E4249" t="s">
        <v>5061</v>
      </c>
      <c r="F4249" t="s">
        <v>9890</v>
      </c>
      <c r="G4249" t="s">
        <v>3890</v>
      </c>
      <c r="H4249" t="s">
        <v>5033</v>
      </c>
      <c r="I4249" t="s">
        <v>4263</v>
      </c>
      <c r="J4249">
        <v>2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  <c r="W4249" t="e">
        <v>#N/A</v>
      </c>
      <c r="X4249" t="e">
        <v>#N/A</v>
      </c>
      <c r="Y4249" t="e">
        <v>#N/A</v>
      </c>
      <c r="Z4249" t="e">
        <v>#N/A</v>
      </c>
      <c r="AA4249" t="e">
        <v>#N/A</v>
      </c>
      <c r="AB4249" t="e">
        <v>#N/A</v>
      </c>
      <c r="AC4249" t="e">
        <v>#N/A</v>
      </c>
      <c r="AD4249" t="e">
        <v>#N/A</v>
      </c>
    </row>
    <row r="4250" spans="2:30" x14ac:dyDescent="0.25">
      <c r="B4250" t="s">
        <v>133</v>
      </c>
      <c r="C4250" t="s">
        <v>3265</v>
      </c>
      <c r="D4250" t="s">
        <v>5063</v>
      </c>
      <c r="E4250" t="s">
        <v>5064</v>
      </c>
      <c r="F4250" t="s">
        <v>9891</v>
      </c>
      <c r="G4250" t="s">
        <v>3890</v>
      </c>
      <c r="H4250" t="s">
        <v>4695</v>
      </c>
      <c r="I4250" t="s">
        <v>4687</v>
      </c>
      <c r="J4250">
        <v>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</row>
    <row r="4251" spans="2:30" x14ac:dyDescent="0.25">
      <c r="B4251" t="s">
        <v>133</v>
      </c>
      <c r="C4251" t="s">
        <v>3265</v>
      </c>
      <c r="D4251" t="s">
        <v>5066</v>
      </c>
      <c r="E4251" t="s">
        <v>5067</v>
      </c>
      <c r="F4251" t="s">
        <v>9892</v>
      </c>
      <c r="G4251" t="s">
        <v>3890</v>
      </c>
      <c r="H4251" t="s">
        <v>4695</v>
      </c>
      <c r="I4251" t="s">
        <v>4687</v>
      </c>
      <c r="J4251">
        <v>1</v>
      </c>
      <c r="K4251">
        <v>2.6909999999999998</v>
      </c>
      <c r="L4251">
        <v>2.8210000000000002</v>
      </c>
      <c r="M4251">
        <v>3.3180000000000001</v>
      </c>
      <c r="N4251">
        <v>3.53</v>
      </c>
      <c r="O4251">
        <v>3.6869999999999998</v>
      </c>
      <c r="P4251">
        <v>3.7810000000000001</v>
      </c>
      <c r="Q4251">
        <v>3.8290000000000002</v>
      </c>
      <c r="R4251">
        <v>3.87</v>
      </c>
      <c r="S4251">
        <v>3.9060000000000001</v>
      </c>
      <c r="T4251">
        <v>3.93</v>
      </c>
      <c r="U4251">
        <v>3.9470000000000001</v>
      </c>
      <c r="V4251">
        <v>3.9569999999999999</v>
      </c>
      <c r="W4251">
        <v>3.964</v>
      </c>
      <c r="X4251">
        <v>3.9660000000000002</v>
      </c>
      <c r="Y4251">
        <v>3.9649999999999999</v>
      </c>
      <c r="Z4251">
        <v>3.96</v>
      </c>
      <c r="AA4251">
        <v>3.9510000000000001</v>
      </c>
      <c r="AB4251">
        <v>3.9359999999999999</v>
      </c>
      <c r="AC4251">
        <v>3.9159999999999999</v>
      </c>
      <c r="AD4251">
        <v>3.9020000000000001</v>
      </c>
    </row>
    <row r="4252" spans="2:30" x14ac:dyDescent="0.25">
      <c r="B4252" t="s">
        <v>133</v>
      </c>
      <c r="C4252" t="s">
        <v>3265</v>
      </c>
      <c r="D4252" t="s">
        <v>5069</v>
      </c>
      <c r="E4252" t="s">
        <v>5070</v>
      </c>
      <c r="F4252" t="s">
        <v>9893</v>
      </c>
      <c r="G4252" t="s">
        <v>3890</v>
      </c>
      <c r="H4252" t="s">
        <v>4695</v>
      </c>
      <c r="I4252" t="s">
        <v>4687</v>
      </c>
      <c r="J4252">
        <v>2</v>
      </c>
      <c r="K4252">
        <v>2.6909999999999998</v>
      </c>
      <c r="L4252">
        <v>2.8210000000000002</v>
      </c>
      <c r="M4252">
        <v>3.3180000000000001</v>
      </c>
      <c r="N4252">
        <v>3.53</v>
      </c>
      <c r="O4252">
        <v>3.6869999999999998</v>
      </c>
      <c r="P4252">
        <v>3.7810000000000001</v>
      </c>
      <c r="Q4252">
        <v>3.7930000000000001</v>
      </c>
      <c r="R4252">
        <v>3.823</v>
      </c>
      <c r="S4252">
        <v>3.8690000000000002</v>
      </c>
      <c r="T4252">
        <v>3.9169999999999998</v>
      </c>
      <c r="U4252">
        <v>3.9649999999999999</v>
      </c>
      <c r="V4252">
        <v>4.0149999999999997</v>
      </c>
      <c r="W4252">
        <v>4.0679999999999996</v>
      </c>
      <c r="X4252">
        <v>4.1219999999999999</v>
      </c>
      <c r="Y4252">
        <v>4.1479999999999997</v>
      </c>
      <c r="Z4252">
        <v>4.1390000000000002</v>
      </c>
      <c r="AA4252">
        <v>4.1390000000000002</v>
      </c>
      <c r="AB4252">
        <v>4.1260000000000003</v>
      </c>
      <c r="AC4252">
        <v>4.1059999999999999</v>
      </c>
      <c r="AD4252">
        <v>4.085</v>
      </c>
    </row>
    <row r="4253" spans="2:30" x14ac:dyDescent="0.25">
      <c r="B4253" t="s">
        <v>133</v>
      </c>
      <c r="C4253" t="s">
        <v>3265</v>
      </c>
      <c r="D4253" t="s">
        <v>5072</v>
      </c>
      <c r="E4253" t="s">
        <v>5073</v>
      </c>
      <c r="F4253" t="s">
        <v>9894</v>
      </c>
      <c r="G4253" t="s">
        <v>3890</v>
      </c>
      <c r="H4253" t="s">
        <v>5075</v>
      </c>
      <c r="I4253" t="s">
        <v>4687</v>
      </c>
      <c r="J4253">
        <v>2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  <c r="W4253" t="e">
        <v>#N/A</v>
      </c>
      <c r="X4253" t="e">
        <v>#N/A</v>
      </c>
      <c r="Y4253" t="e">
        <v>#N/A</v>
      </c>
      <c r="Z4253" t="e">
        <v>#N/A</v>
      </c>
      <c r="AA4253" t="e">
        <v>#N/A</v>
      </c>
      <c r="AB4253" t="e">
        <v>#N/A</v>
      </c>
      <c r="AC4253" t="e">
        <v>#N/A</v>
      </c>
      <c r="AD4253" t="e">
        <v>#N/A</v>
      </c>
    </row>
    <row r="4254" spans="2:30" x14ac:dyDescent="0.25">
      <c r="B4254" t="s">
        <v>133</v>
      </c>
      <c r="C4254" t="s">
        <v>3265</v>
      </c>
      <c r="D4254" t="s">
        <v>5076</v>
      </c>
      <c r="E4254" t="s">
        <v>5077</v>
      </c>
      <c r="F4254" t="s">
        <v>9895</v>
      </c>
      <c r="G4254" t="s">
        <v>3890</v>
      </c>
      <c r="H4254" t="s">
        <v>5075</v>
      </c>
      <c r="I4254" t="s">
        <v>4687</v>
      </c>
      <c r="J4254">
        <v>2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  <c r="W4254" t="e">
        <v>#N/A</v>
      </c>
      <c r="X4254" t="e">
        <v>#N/A</v>
      </c>
      <c r="Y4254" t="e">
        <v>#N/A</v>
      </c>
      <c r="Z4254" t="e">
        <v>#N/A</v>
      </c>
      <c r="AA4254" t="e">
        <v>#N/A</v>
      </c>
      <c r="AB4254" t="e">
        <v>#N/A</v>
      </c>
      <c r="AC4254" t="e">
        <v>#N/A</v>
      </c>
      <c r="AD4254" t="e">
        <v>#N/A</v>
      </c>
    </row>
    <row r="4255" spans="2:30" x14ac:dyDescent="0.25">
      <c r="B4255" t="s">
        <v>133</v>
      </c>
      <c r="C4255" t="s">
        <v>3265</v>
      </c>
      <c r="D4255" t="s">
        <v>5079</v>
      </c>
      <c r="E4255" t="s">
        <v>5080</v>
      </c>
      <c r="F4255" t="s">
        <v>9896</v>
      </c>
      <c r="G4255" t="s">
        <v>3890</v>
      </c>
      <c r="H4255" t="s">
        <v>5075</v>
      </c>
      <c r="I4255" t="s">
        <v>4687</v>
      </c>
      <c r="J4255">
        <v>2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  <c r="W4255" t="e">
        <v>#N/A</v>
      </c>
      <c r="X4255" t="e">
        <v>#N/A</v>
      </c>
      <c r="Y4255" t="e">
        <v>#N/A</v>
      </c>
      <c r="Z4255" t="e">
        <v>#N/A</v>
      </c>
      <c r="AA4255" t="e">
        <v>#N/A</v>
      </c>
      <c r="AB4255" t="e">
        <v>#N/A</v>
      </c>
      <c r="AC4255" t="e">
        <v>#N/A</v>
      </c>
      <c r="AD4255" t="e">
        <v>#N/A</v>
      </c>
    </row>
    <row r="4256" spans="2:30" x14ac:dyDescent="0.25">
      <c r="B4256" t="s">
        <v>133</v>
      </c>
      <c r="C4256" t="s">
        <v>3265</v>
      </c>
      <c r="D4256" t="s">
        <v>5082</v>
      </c>
      <c r="E4256" t="s">
        <v>5083</v>
      </c>
      <c r="F4256" t="s">
        <v>9897</v>
      </c>
      <c r="G4256" t="s">
        <v>3890</v>
      </c>
      <c r="H4256" t="s">
        <v>5075</v>
      </c>
      <c r="I4256" t="s">
        <v>4687</v>
      </c>
      <c r="J4256">
        <v>2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  <c r="W4256" t="e">
        <v>#N/A</v>
      </c>
      <c r="X4256" t="e">
        <v>#N/A</v>
      </c>
      <c r="Y4256" t="e">
        <v>#N/A</v>
      </c>
      <c r="Z4256" t="e">
        <v>#N/A</v>
      </c>
      <c r="AA4256" t="e">
        <v>#N/A</v>
      </c>
      <c r="AB4256" t="e">
        <v>#N/A</v>
      </c>
      <c r="AC4256" t="e">
        <v>#N/A</v>
      </c>
      <c r="AD4256" t="e">
        <v>#N/A</v>
      </c>
    </row>
    <row r="4257" spans="2:30" x14ac:dyDescent="0.25">
      <c r="B4257" t="s">
        <v>133</v>
      </c>
      <c r="C4257" t="s">
        <v>3265</v>
      </c>
      <c r="D4257" t="s">
        <v>5085</v>
      </c>
      <c r="E4257" t="s">
        <v>5086</v>
      </c>
      <c r="F4257" t="s">
        <v>9898</v>
      </c>
      <c r="G4257" t="s">
        <v>3890</v>
      </c>
      <c r="H4257" t="s">
        <v>5075</v>
      </c>
      <c r="I4257" t="s">
        <v>4687</v>
      </c>
      <c r="J4257">
        <v>2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</row>
    <row r="4258" spans="2:30" x14ac:dyDescent="0.25">
      <c r="B4258" t="s">
        <v>133</v>
      </c>
      <c r="C4258" t="s">
        <v>3265</v>
      </c>
      <c r="D4258" t="s">
        <v>5088</v>
      </c>
      <c r="E4258" t="s">
        <v>5089</v>
      </c>
      <c r="F4258" t="s">
        <v>9899</v>
      </c>
      <c r="G4258" t="s">
        <v>3890</v>
      </c>
      <c r="H4258" t="s">
        <v>5075</v>
      </c>
      <c r="I4258" t="s">
        <v>4687</v>
      </c>
      <c r="J4258">
        <v>2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</row>
    <row r="4259" spans="2:30" x14ac:dyDescent="0.25">
      <c r="B4259" t="s">
        <v>133</v>
      </c>
      <c r="C4259" t="s">
        <v>3265</v>
      </c>
      <c r="D4259" t="s">
        <v>5091</v>
      </c>
      <c r="E4259" t="s">
        <v>5092</v>
      </c>
      <c r="F4259" t="s">
        <v>9900</v>
      </c>
      <c r="G4259" t="s">
        <v>3890</v>
      </c>
      <c r="H4259" t="s">
        <v>5075</v>
      </c>
      <c r="I4259" t="s">
        <v>4687</v>
      </c>
      <c r="J4259">
        <v>2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  <c r="W4259" t="e">
        <v>#N/A</v>
      </c>
      <c r="X4259" t="e">
        <v>#N/A</v>
      </c>
      <c r="Y4259" t="e">
        <v>#N/A</v>
      </c>
      <c r="Z4259" t="e">
        <v>#N/A</v>
      </c>
      <c r="AA4259" t="e">
        <v>#N/A</v>
      </c>
      <c r="AB4259" t="e">
        <v>#N/A</v>
      </c>
      <c r="AC4259" t="e">
        <v>#N/A</v>
      </c>
      <c r="AD4259" t="e">
        <v>#N/A</v>
      </c>
    </row>
    <row r="4260" spans="2:30" x14ac:dyDescent="0.25">
      <c r="B4260" t="s">
        <v>133</v>
      </c>
      <c r="C4260" t="s">
        <v>3265</v>
      </c>
      <c r="D4260" t="s">
        <v>5094</v>
      </c>
      <c r="E4260" t="s">
        <v>5095</v>
      </c>
      <c r="F4260" t="s">
        <v>9901</v>
      </c>
      <c r="G4260" t="s">
        <v>3890</v>
      </c>
      <c r="H4260" t="s">
        <v>5075</v>
      </c>
      <c r="I4260" t="s">
        <v>4687</v>
      </c>
      <c r="J4260">
        <v>2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  <c r="W4260" t="e">
        <v>#N/A</v>
      </c>
      <c r="X4260" t="e">
        <v>#N/A</v>
      </c>
      <c r="Y4260" t="e">
        <v>#N/A</v>
      </c>
      <c r="Z4260" t="e">
        <v>#N/A</v>
      </c>
      <c r="AA4260" t="e">
        <v>#N/A</v>
      </c>
      <c r="AB4260" t="e">
        <v>#N/A</v>
      </c>
      <c r="AC4260" t="e">
        <v>#N/A</v>
      </c>
      <c r="AD4260" t="e">
        <v>#N/A</v>
      </c>
    </row>
    <row r="4261" spans="2:30" x14ac:dyDescent="0.25">
      <c r="B4261" t="s">
        <v>133</v>
      </c>
      <c r="C4261" t="s">
        <v>3265</v>
      </c>
      <c r="D4261" t="s">
        <v>5097</v>
      </c>
      <c r="E4261" t="s">
        <v>5098</v>
      </c>
      <c r="F4261" t="s">
        <v>9902</v>
      </c>
      <c r="G4261" t="s">
        <v>3890</v>
      </c>
      <c r="H4261" t="s">
        <v>5075</v>
      </c>
      <c r="I4261" t="s">
        <v>4687</v>
      </c>
      <c r="J4261">
        <v>2</v>
      </c>
      <c r="K4261">
        <v>6.9362124947994486E-3</v>
      </c>
      <c r="L4261">
        <v>7.0524224225198707E-3</v>
      </c>
      <c r="M4261">
        <v>7.214095363709574E-3</v>
      </c>
      <c r="N4261">
        <v>7.2931578491826398E-3</v>
      </c>
      <c r="O4261">
        <v>7.4010002329120963E-3</v>
      </c>
      <c r="P4261">
        <v>7.5062539116635364E-3</v>
      </c>
      <c r="Q4261">
        <v>7.6105741030658633E-3</v>
      </c>
      <c r="R4261">
        <v>7.704314127803937E-3</v>
      </c>
      <c r="S4261">
        <v>7.7923989615759576E-3</v>
      </c>
      <c r="T4261">
        <v>7.876707443835106E-3</v>
      </c>
      <c r="U4261">
        <v>7.9589709936222757E-3</v>
      </c>
      <c r="V4261">
        <v>8.0392314899999651E-3</v>
      </c>
      <c r="W4261">
        <v>8.1181141578542063E-3</v>
      </c>
      <c r="X4261">
        <v>8.1951350828466663E-3</v>
      </c>
      <c r="Y4261">
        <v>8.2705554608703581E-3</v>
      </c>
      <c r="Z4261">
        <v>8.3441734348840592E-3</v>
      </c>
      <c r="AA4261">
        <v>8.3441734348840592E-3</v>
      </c>
      <c r="AB4261">
        <v>8.3441734348840575E-3</v>
      </c>
      <c r="AC4261">
        <v>8.3441734348840575E-3</v>
      </c>
      <c r="AD4261">
        <v>8.3441734348840592E-3</v>
      </c>
    </row>
    <row r="4262" spans="2:30" x14ac:dyDescent="0.25">
      <c r="B4262" t="s">
        <v>133</v>
      </c>
      <c r="C4262" t="s">
        <v>3265</v>
      </c>
      <c r="D4262" t="s">
        <v>5100</v>
      </c>
      <c r="E4262" t="s">
        <v>5101</v>
      </c>
      <c r="F4262" t="s">
        <v>9903</v>
      </c>
      <c r="G4262" t="s">
        <v>3890</v>
      </c>
      <c r="H4262" t="s">
        <v>5075</v>
      </c>
      <c r="I4262" t="s">
        <v>4687</v>
      </c>
      <c r="J4262">
        <v>2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  <c r="W4262" t="e">
        <v>#N/A</v>
      </c>
      <c r="X4262" t="e">
        <v>#N/A</v>
      </c>
      <c r="Y4262" t="e">
        <v>#N/A</v>
      </c>
      <c r="Z4262" t="e">
        <v>#N/A</v>
      </c>
      <c r="AA4262" t="e">
        <v>#N/A</v>
      </c>
      <c r="AB4262" t="e">
        <v>#N/A</v>
      </c>
      <c r="AC4262" t="e">
        <v>#N/A</v>
      </c>
      <c r="AD4262" t="e">
        <v>#N/A</v>
      </c>
    </row>
    <row r="4263" spans="2:30" x14ac:dyDescent="0.25">
      <c r="B4263" t="s">
        <v>133</v>
      </c>
      <c r="C4263" t="s">
        <v>3265</v>
      </c>
      <c r="D4263" t="s">
        <v>5103</v>
      </c>
      <c r="E4263" t="s">
        <v>5104</v>
      </c>
      <c r="F4263" t="s">
        <v>9904</v>
      </c>
      <c r="G4263" t="s">
        <v>3890</v>
      </c>
      <c r="H4263" t="s">
        <v>5075</v>
      </c>
      <c r="I4263" t="s">
        <v>4687</v>
      </c>
      <c r="J4263">
        <v>1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  <c r="W4263" t="e">
        <v>#N/A</v>
      </c>
      <c r="X4263" t="e">
        <v>#N/A</v>
      </c>
      <c r="Y4263" t="e">
        <v>#N/A</v>
      </c>
      <c r="Z4263" t="e">
        <v>#N/A</v>
      </c>
      <c r="AA4263" t="e">
        <v>#N/A</v>
      </c>
      <c r="AB4263" t="e">
        <v>#N/A</v>
      </c>
      <c r="AC4263" t="e">
        <v>#N/A</v>
      </c>
      <c r="AD4263" t="e">
        <v>#N/A</v>
      </c>
    </row>
    <row r="4264" spans="2:30" x14ac:dyDescent="0.25">
      <c r="B4264" t="s">
        <v>133</v>
      </c>
      <c r="C4264" t="s">
        <v>3265</v>
      </c>
      <c r="D4264" t="s">
        <v>5103</v>
      </c>
      <c r="E4264" t="s">
        <v>5106</v>
      </c>
      <c r="F4264" t="s">
        <v>9905</v>
      </c>
      <c r="G4264" t="s">
        <v>3890</v>
      </c>
      <c r="H4264" t="s">
        <v>5075</v>
      </c>
      <c r="I4264" t="s">
        <v>4687</v>
      </c>
      <c r="J4264">
        <v>2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  <c r="W4264" t="e">
        <v>#N/A</v>
      </c>
      <c r="X4264" t="e">
        <v>#N/A</v>
      </c>
      <c r="Y4264" t="e">
        <v>#N/A</v>
      </c>
      <c r="Z4264" t="e">
        <v>#N/A</v>
      </c>
      <c r="AA4264" t="e">
        <v>#N/A</v>
      </c>
      <c r="AB4264" t="e">
        <v>#N/A</v>
      </c>
      <c r="AC4264" t="e">
        <v>#N/A</v>
      </c>
      <c r="AD4264" t="e">
        <v>#N/A</v>
      </c>
    </row>
    <row r="4265" spans="2:30" x14ac:dyDescent="0.25">
      <c r="B4265" t="s">
        <v>133</v>
      </c>
      <c r="C4265" t="s">
        <v>3265</v>
      </c>
      <c r="D4265" t="s">
        <v>5108</v>
      </c>
      <c r="E4265" t="s">
        <v>5109</v>
      </c>
      <c r="F4265" t="s">
        <v>9906</v>
      </c>
      <c r="G4265" t="s">
        <v>3890</v>
      </c>
      <c r="H4265" t="s">
        <v>5111</v>
      </c>
      <c r="I4265" t="s">
        <v>4687</v>
      </c>
      <c r="J4265">
        <v>1</v>
      </c>
      <c r="K4265">
        <v>54.801765375148797</v>
      </c>
      <c r="L4265">
        <v>56.99383599015475</v>
      </c>
      <c r="M4265">
        <v>59.273589429760939</v>
      </c>
      <c r="N4265">
        <v>61.644533006951377</v>
      </c>
      <c r="O4265">
        <v>64.110314327229432</v>
      </c>
      <c r="P4265">
        <v>66.674726900318618</v>
      </c>
      <c r="Q4265">
        <v>69.341715976331358</v>
      </c>
      <c r="R4265">
        <v>72.115384615384613</v>
      </c>
      <c r="S4265">
        <v>75</v>
      </c>
      <c r="T4265">
        <v>78</v>
      </c>
      <c r="U4265">
        <v>81.12</v>
      </c>
      <c r="V4265">
        <v>84.364800000000002</v>
      </c>
      <c r="W4265">
        <v>87.739392000000009</v>
      </c>
      <c r="X4265">
        <v>91.248967680000007</v>
      </c>
      <c r="Y4265">
        <v>94.898926387200007</v>
      </c>
      <c r="Z4265">
        <v>98.69488344268801</v>
      </c>
      <c r="AA4265">
        <v>102.64267878039553</v>
      </c>
      <c r="AB4265">
        <v>106.74838593161135</v>
      </c>
      <c r="AC4265">
        <v>111.01832136887582</v>
      </c>
      <c r="AD4265">
        <v>115.45905422363086</v>
      </c>
    </row>
    <row r="4266" spans="2:30" x14ac:dyDescent="0.25">
      <c r="B4266" t="s">
        <v>133</v>
      </c>
      <c r="C4266" t="s">
        <v>3265</v>
      </c>
      <c r="D4266" t="s">
        <v>5112</v>
      </c>
      <c r="E4266" t="s">
        <v>5113</v>
      </c>
      <c r="F4266" t="s">
        <v>9907</v>
      </c>
      <c r="G4266" t="s">
        <v>3890</v>
      </c>
      <c r="H4266" t="s">
        <v>109</v>
      </c>
      <c r="I4266" t="s">
        <v>108</v>
      </c>
      <c r="J4266">
        <v>1</v>
      </c>
      <c r="K4266">
        <v>84652.787400000001</v>
      </c>
      <c r="L4266">
        <v>82602.623208007033</v>
      </c>
      <c r="M4266">
        <v>93073.75013487415</v>
      </c>
      <c r="N4266">
        <v>97658.461833781199</v>
      </c>
      <c r="O4266">
        <v>99875.299811596895</v>
      </c>
      <c r="P4266">
        <v>102716.35252508939</v>
      </c>
      <c r="Q4266">
        <v>106863.67112483038</v>
      </c>
      <c r="R4266">
        <v>111399.79558773835</v>
      </c>
      <c r="S4266">
        <v>116199.08774661244</v>
      </c>
      <c r="T4266">
        <v>121504.19084233101</v>
      </c>
      <c r="U4266">
        <v>127151.17774497565</v>
      </c>
      <c r="V4266">
        <v>133218.09636635549</v>
      </c>
      <c r="W4266">
        <v>139690.15268743064</v>
      </c>
      <c r="X4266">
        <v>146624.32303577827</v>
      </c>
      <c r="Y4266">
        <v>154026.6094063994</v>
      </c>
      <c r="Z4266">
        <v>161987.94060971701</v>
      </c>
      <c r="AA4266">
        <v>170568.73267465527</v>
      </c>
      <c r="AB4266">
        <v>179854.75481182736</v>
      </c>
      <c r="AC4266">
        <v>189930.57558095537</v>
      </c>
      <c r="AD4266">
        <v>200449.89011050217</v>
      </c>
    </row>
    <row r="4267" spans="2:30" x14ac:dyDescent="0.25">
      <c r="B4267" t="s">
        <v>133</v>
      </c>
      <c r="C4267" t="s">
        <v>3265</v>
      </c>
      <c r="D4267" t="s">
        <v>5115</v>
      </c>
      <c r="E4267" t="s">
        <v>5116</v>
      </c>
      <c r="F4267" t="s">
        <v>9908</v>
      </c>
      <c r="G4267" t="s">
        <v>3890</v>
      </c>
      <c r="H4267" t="s">
        <v>109</v>
      </c>
      <c r="I4267" t="s">
        <v>108</v>
      </c>
      <c r="J4267">
        <v>1</v>
      </c>
      <c r="K4267">
        <v>1651.0930000000001</v>
      </c>
      <c r="L4267">
        <v>1545.134</v>
      </c>
      <c r="M4267">
        <v>1836.8230000000001</v>
      </c>
      <c r="N4267">
        <v>1975.171</v>
      </c>
      <c r="O4267">
        <v>2006.8579999999999</v>
      </c>
      <c r="P4267">
        <v>2038.454</v>
      </c>
      <c r="Q4267">
        <v>2090.7600000000002</v>
      </c>
      <c r="R4267">
        <v>2141.0300000000002</v>
      </c>
      <c r="S4267">
        <v>2188.41</v>
      </c>
      <c r="T4267">
        <v>2235.8040000000001</v>
      </c>
      <c r="U4267">
        <v>2278.1129999999998</v>
      </c>
      <c r="V4267">
        <v>2320.529</v>
      </c>
      <c r="W4267">
        <v>2363.0390000000002</v>
      </c>
      <c r="X4267">
        <v>2405.6320000000001</v>
      </c>
      <c r="Y4267">
        <v>2448.2950000000001</v>
      </c>
      <c r="Z4267">
        <v>2491.0169999999998</v>
      </c>
      <c r="AA4267">
        <v>2533.7860000000001</v>
      </c>
      <c r="AB4267">
        <v>2576.5909999999999</v>
      </c>
      <c r="AC4267">
        <v>2619.4189999999999</v>
      </c>
      <c r="AD4267">
        <v>2662.26</v>
      </c>
    </row>
    <row r="4268" spans="2:30" x14ac:dyDescent="0.25">
      <c r="B4268" t="s">
        <v>133</v>
      </c>
      <c r="C4268" t="s">
        <v>3265</v>
      </c>
      <c r="D4268" t="s">
        <v>5118</v>
      </c>
      <c r="E4268" t="s">
        <v>5119</v>
      </c>
      <c r="F4268" t="s">
        <v>9909</v>
      </c>
      <c r="G4268" t="s">
        <v>3890</v>
      </c>
      <c r="H4268" t="s">
        <v>109</v>
      </c>
      <c r="I4268" t="s">
        <v>108</v>
      </c>
      <c r="J4268">
        <v>1</v>
      </c>
      <c r="K4268">
        <v>42937.004999999997</v>
      </c>
      <c r="L4268">
        <v>39972.089</v>
      </c>
      <c r="M4268">
        <v>47160.224000000002</v>
      </c>
      <c r="N4268">
        <v>48233.159</v>
      </c>
      <c r="O4268">
        <v>47662.413</v>
      </c>
      <c r="P4268">
        <v>47791.322</v>
      </c>
      <c r="Q4268">
        <v>49278.682000000001</v>
      </c>
      <c r="R4268">
        <v>50899.313000000002</v>
      </c>
      <c r="S4268">
        <v>52357.773000000001</v>
      </c>
      <c r="T4268">
        <v>53867.593000000001</v>
      </c>
      <c r="U4268">
        <v>55466.71</v>
      </c>
      <c r="V4268">
        <v>57238.966</v>
      </c>
      <c r="W4268">
        <v>59179.911999999997</v>
      </c>
      <c r="X4268">
        <v>61338.946000000004</v>
      </c>
      <c r="Y4268">
        <v>63721.597999999998</v>
      </c>
      <c r="Z4268">
        <v>66384.604000000007</v>
      </c>
      <c r="AA4268">
        <v>69370.457999999999</v>
      </c>
      <c r="AB4268">
        <v>72742.524000000005</v>
      </c>
      <c r="AC4268">
        <v>76574.815000000002</v>
      </c>
      <c r="AD4268">
        <v>80432.479999999996</v>
      </c>
    </row>
    <row r="4269" spans="2:30" x14ac:dyDescent="0.25">
      <c r="B4269" t="s">
        <v>133</v>
      </c>
      <c r="C4269" t="s">
        <v>3265</v>
      </c>
      <c r="D4269" t="s">
        <v>5121</v>
      </c>
      <c r="E4269" t="s">
        <v>5122</v>
      </c>
      <c r="F4269" t="s">
        <v>9910</v>
      </c>
      <c r="G4269" t="s">
        <v>3890</v>
      </c>
      <c r="H4269" t="s">
        <v>109</v>
      </c>
      <c r="I4269" t="s">
        <v>108</v>
      </c>
      <c r="J4269">
        <v>1</v>
      </c>
      <c r="K4269">
        <v>7688.0550000000003</v>
      </c>
      <c r="L4269">
        <v>7378.8829999999998</v>
      </c>
      <c r="M4269">
        <v>7817.37</v>
      </c>
      <c r="N4269">
        <v>9960.232</v>
      </c>
      <c r="O4269">
        <v>9985.7199999999993</v>
      </c>
      <c r="P4269">
        <v>10027.691000000001</v>
      </c>
      <c r="Q4269">
        <v>10091.909</v>
      </c>
      <c r="R4269">
        <v>10158.418</v>
      </c>
      <c r="S4269">
        <v>10221.422</v>
      </c>
      <c r="T4269">
        <v>10290.624</v>
      </c>
      <c r="U4269">
        <v>10367.221</v>
      </c>
      <c r="V4269">
        <v>10451.206</v>
      </c>
      <c r="W4269">
        <v>10543.242</v>
      </c>
      <c r="X4269">
        <v>10643.495000000001</v>
      </c>
      <c r="Y4269">
        <v>10752.409</v>
      </c>
      <c r="Z4269">
        <v>10870.213</v>
      </c>
      <c r="AA4269">
        <v>10997.34</v>
      </c>
      <c r="AB4269">
        <v>11134.334000000001</v>
      </c>
      <c r="AC4269">
        <v>11281.462</v>
      </c>
      <c r="AD4269">
        <v>11439.184999999999</v>
      </c>
    </row>
    <row r="4270" spans="2:30" x14ac:dyDescent="0.25">
      <c r="B4270" t="s">
        <v>133</v>
      </c>
      <c r="C4270" t="s">
        <v>3265</v>
      </c>
      <c r="D4270" t="s">
        <v>5124</v>
      </c>
      <c r="E4270" t="s">
        <v>5125</v>
      </c>
      <c r="F4270" t="s">
        <v>9911</v>
      </c>
      <c r="G4270" t="s">
        <v>3890</v>
      </c>
      <c r="H4270" t="s">
        <v>109</v>
      </c>
      <c r="I4270" t="s">
        <v>108</v>
      </c>
      <c r="J4270">
        <v>1</v>
      </c>
      <c r="K4270">
        <v>7404.3140000000003</v>
      </c>
      <c r="L4270">
        <v>7147.93</v>
      </c>
      <c r="M4270">
        <v>7001.1750000000002</v>
      </c>
      <c r="N4270">
        <v>6753.6639999999998</v>
      </c>
      <c r="O4270">
        <v>6886.5370000000003</v>
      </c>
      <c r="P4270">
        <v>7548.8450000000003</v>
      </c>
      <c r="Q4270">
        <v>8264.5689999999995</v>
      </c>
      <c r="R4270">
        <v>9039.0759999999991</v>
      </c>
      <c r="S4270">
        <v>9962.8960000000006</v>
      </c>
      <c r="T4270">
        <v>11054.998</v>
      </c>
      <c r="U4270">
        <v>12234.905000000001</v>
      </c>
      <c r="V4270">
        <v>13496.28</v>
      </c>
      <c r="W4270">
        <v>14832.477999999999</v>
      </c>
      <c r="X4270">
        <v>16236.264999999999</v>
      </c>
      <c r="Y4270">
        <v>17698.236000000001</v>
      </c>
      <c r="Z4270">
        <v>19231.580999999998</v>
      </c>
      <c r="AA4270">
        <v>20833.865000000002</v>
      </c>
      <c r="AB4270">
        <v>22502.576000000001</v>
      </c>
      <c r="AC4270">
        <v>24236.007000000001</v>
      </c>
      <c r="AD4270">
        <v>26000.738000000001</v>
      </c>
    </row>
    <row r="4271" spans="2:30" x14ac:dyDescent="0.25">
      <c r="B4271" t="s">
        <v>133</v>
      </c>
      <c r="C4271" t="s">
        <v>3265</v>
      </c>
      <c r="D4271" t="s">
        <v>5127</v>
      </c>
      <c r="E4271" t="s">
        <v>5128</v>
      </c>
      <c r="F4271" t="s">
        <v>9912</v>
      </c>
      <c r="G4271" t="s">
        <v>3890</v>
      </c>
      <c r="H4271" t="s">
        <v>109</v>
      </c>
      <c r="I4271" t="s">
        <v>108</v>
      </c>
      <c r="J4271">
        <v>1</v>
      </c>
      <c r="K4271">
        <v>15214.834999999999</v>
      </c>
      <c r="L4271">
        <v>16168.272999999999</v>
      </c>
      <c r="M4271">
        <v>17468.254000000001</v>
      </c>
      <c r="N4271">
        <v>17210.601999999999</v>
      </c>
      <c r="O4271">
        <v>17931.196</v>
      </c>
      <c r="P4271">
        <v>19045.128000000001</v>
      </c>
      <c r="Q4271">
        <v>20275.215</v>
      </c>
      <c r="R4271">
        <v>21586.026999999998</v>
      </c>
      <c r="S4271">
        <v>23101.032999999999</v>
      </c>
      <c r="T4271">
        <v>24867.491999999998</v>
      </c>
      <c r="U4271">
        <v>26778.222000000002</v>
      </c>
      <c r="V4271">
        <v>28823.22</v>
      </c>
      <c r="W4271">
        <v>30976.742999999999</v>
      </c>
      <c r="X4271">
        <v>33242.675999999999</v>
      </c>
      <c r="Y4271">
        <v>35613.025999999998</v>
      </c>
      <c r="Z4271">
        <v>38098.741000000002</v>
      </c>
      <c r="AA4271">
        <v>40699.917000000001</v>
      </c>
      <c r="AB4271">
        <v>43420.819000000003</v>
      </c>
      <c r="AC4271">
        <v>46267.131999999998</v>
      </c>
      <c r="AD4271">
        <v>49230.773999999998</v>
      </c>
    </row>
    <row r="4272" spans="2:30" x14ac:dyDescent="0.25">
      <c r="B4272" t="s">
        <v>133</v>
      </c>
      <c r="C4272" t="s">
        <v>3265</v>
      </c>
      <c r="D4272" t="s">
        <v>5130</v>
      </c>
      <c r="E4272" t="s">
        <v>5131</v>
      </c>
      <c r="F4272" t="s">
        <v>9913</v>
      </c>
      <c r="G4272" t="s">
        <v>3890</v>
      </c>
      <c r="H4272" t="s">
        <v>109</v>
      </c>
      <c r="I4272" t="s">
        <v>108</v>
      </c>
      <c r="J4272">
        <v>1</v>
      </c>
      <c r="K4272">
        <v>5389.2640000000001</v>
      </c>
      <c r="L4272">
        <v>6059.357</v>
      </c>
      <c r="M4272">
        <v>7304.8469999999998</v>
      </c>
      <c r="N4272">
        <v>7485.0290000000005</v>
      </c>
      <c r="O4272">
        <v>7660.826</v>
      </c>
      <c r="P4272">
        <v>7867.7740000000003</v>
      </c>
      <c r="Q4272">
        <v>8112.866</v>
      </c>
      <c r="R4272">
        <v>8347.6450000000004</v>
      </c>
      <c r="S4272">
        <v>8567.366</v>
      </c>
      <c r="T4272">
        <v>8788.9699999999993</v>
      </c>
      <c r="U4272">
        <v>9013.2360000000008</v>
      </c>
      <c r="V4272">
        <v>9240.1190000000006</v>
      </c>
      <c r="W4272">
        <v>9469.5740000000005</v>
      </c>
      <c r="X4272">
        <v>9701.5529999999999</v>
      </c>
      <c r="Y4272">
        <v>9936.0069999999996</v>
      </c>
      <c r="Z4272">
        <v>10172.888000000001</v>
      </c>
      <c r="AA4272">
        <v>10412.143</v>
      </c>
      <c r="AB4272">
        <v>10653.721</v>
      </c>
      <c r="AC4272">
        <v>10897.566999999999</v>
      </c>
      <c r="AD4272">
        <v>11143.626</v>
      </c>
    </row>
    <row r="4273" spans="2:30" x14ac:dyDescent="0.25">
      <c r="B4273" t="s">
        <v>133</v>
      </c>
      <c r="C4273" t="s">
        <v>3265</v>
      </c>
      <c r="D4273" t="s">
        <v>5133</v>
      </c>
      <c r="E4273" t="s">
        <v>5134</v>
      </c>
      <c r="F4273" t="s">
        <v>9914</v>
      </c>
      <c r="G4273" t="s">
        <v>3890</v>
      </c>
      <c r="H4273" t="s">
        <v>109</v>
      </c>
      <c r="I4273" t="s">
        <v>108</v>
      </c>
      <c r="J4273">
        <v>1</v>
      </c>
      <c r="K4273">
        <v>659.322</v>
      </c>
      <c r="L4273">
        <v>771.90700000000004</v>
      </c>
      <c r="M4273">
        <v>857.73800000000006</v>
      </c>
      <c r="N4273">
        <v>889.11699999999996</v>
      </c>
      <c r="O4273">
        <v>920.298</v>
      </c>
      <c r="P4273">
        <v>957.94299999999998</v>
      </c>
      <c r="Q4273">
        <v>1003.823</v>
      </c>
      <c r="R4273">
        <v>1048.83</v>
      </c>
      <c r="S4273">
        <v>1091.8589999999999</v>
      </c>
      <c r="T4273">
        <v>1136.079</v>
      </c>
      <c r="U4273">
        <v>1181.4929999999999</v>
      </c>
      <c r="V4273">
        <v>1228.1030000000001</v>
      </c>
      <c r="W4273">
        <v>1275.9059999999999</v>
      </c>
      <c r="X4273">
        <v>1324.8989999999999</v>
      </c>
      <c r="Y4273">
        <v>1375.079</v>
      </c>
      <c r="Z4273">
        <v>1426.4359999999999</v>
      </c>
      <c r="AA4273">
        <v>1478.963</v>
      </c>
      <c r="AB4273">
        <v>1532.6469999999999</v>
      </c>
      <c r="AC4273">
        <v>1587.4749999999999</v>
      </c>
      <c r="AD4273">
        <v>1643.43</v>
      </c>
    </row>
    <row r="4274" spans="2:30" x14ac:dyDescent="0.25">
      <c r="B4274" t="s">
        <v>133</v>
      </c>
      <c r="C4274" t="s">
        <v>3265</v>
      </c>
      <c r="D4274" t="s">
        <v>5136</v>
      </c>
      <c r="E4274" t="s">
        <v>5137</v>
      </c>
      <c r="F4274" t="s">
        <v>9915</v>
      </c>
      <c r="G4274" t="s">
        <v>3890</v>
      </c>
      <c r="H4274" t="s">
        <v>109</v>
      </c>
      <c r="I4274" t="s">
        <v>108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</row>
    <row r="4275" spans="2:30" x14ac:dyDescent="0.25">
      <c r="B4275" t="s">
        <v>133</v>
      </c>
      <c r="C4275" t="s">
        <v>3265</v>
      </c>
      <c r="D4275" t="s">
        <v>5139</v>
      </c>
      <c r="E4275" t="s">
        <v>5140</v>
      </c>
      <c r="F4275" t="s">
        <v>9916</v>
      </c>
      <c r="G4275" t="s">
        <v>3890</v>
      </c>
      <c r="H4275" t="s">
        <v>109</v>
      </c>
      <c r="I4275" t="s">
        <v>108</v>
      </c>
      <c r="J4275">
        <v>1</v>
      </c>
      <c r="K4275">
        <v>2179.63</v>
      </c>
      <c r="L4275">
        <v>2352.3209999999999</v>
      </c>
      <c r="M4275">
        <v>2313.9140000000002</v>
      </c>
      <c r="N4275">
        <v>3842.66</v>
      </c>
      <c r="O4275">
        <v>5517.1859999999997</v>
      </c>
      <c r="P4275">
        <v>6139.4759999999997</v>
      </c>
      <c r="Q4275">
        <v>6450.6589999999997</v>
      </c>
      <c r="R4275">
        <v>6888.7790000000005</v>
      </c>
      <c r="S4275">
        <v>7422.152</v>
      </c>
      <c r="T4275">
        <v>7980.9359999999997</v>
      </c>
      <c r="U4275">
        <v>8554.0490000000009</v>
      </c>
      <c r="V4275">
        <v>9146.8970000000008</v>
      </c>
      <c r="W4275">
        <v>9780.9179999999997</v>
      </c>
      <c r="X4275">
        <v>10466.936</v>
      </c>
      <c r="Y4275">
        <v>11222.444</v>
      </c>
      <c r="Z4275">
        <v>12057.334000000001</v>
      </c>
      <c r="AA4275">
        <v>12991.509</v>
      </c>
      <c r="AB4275">
        <v>14045.151</v>
      </c>
      <c r="AC4275">
        <v>15224.648999999999</v>
      </c>
      <c r="AD4275">
        <v>16659.678</v>
      </c>
    </row>
    <row r="4276" spans="2:30" x14ac:dyDescent="0.25">
      <c r="B4276" t="s">
        <v>133</v>
      </c>
      <c r="C4276" t="s">
        <v>3265</v>
      </c>
      <c r="D4276" t="s">
        <v>5142</v>
      </c>
      <c r="E4276" t="s">
        <v>5143</v>
      </c>
      <c r="F4276" t="s">
        <v>9917</v>
      </c>
      <c r="G4276" t="s">
        <v>3890</v>
      </c>
      <c r="H4276" t="s">
        <v>109</v>
      </c>
      <c r="I4276" t="s">
        <v>108</v>
      </c>
      <c r="J4276">
        <v>1</v>
      </c>
      <c r="K4276">
        <v>1529.27</v>
      </c>
      <c r="L4276">
        <v>1206.73</v>
      </c>
      <c r="M4276">
        <v>1313.405</v>
      </c>
      <c r="N4276">
        <v>1308.827</v>
      </c>
      <c r="O4276">
        <v>1304.2660000000001</v>
      </c>
      <c r="P4276">
        <v>1299.72</v>
      </c>
      <c r="Q4276">
        <v>1295.19</v>
      </c>
      <c r="R4276">
        <v>1290.6759999999999</v>
      </c>
      <c r="S4276">
        <v>1286.1780000000001</v>
      </c>
      <c r="T4276">
        <v>1281.6949999999999</v>
      </c>
      <c r="U4276">
        <v>1277.2280000000001</v>
      </c>
      <c r="V4276">
        <v>1272.777</v>
      </c>
      <c r="W4276">
        <v>1268.3409999999999</v>
      </c>
      <c r="X4276">
        <v>1263.921</v>
      </c>
      <c r="Y4276">
        <v>1259.5160000000001</v>
      </c>
      <c r="Z4276">
        <v>1255.126</v>
      </c>
      <c r="AA4276">
        <v>1250.752</v>
      </c>
      <c r="AB4276">
        <v>1246.393</v>
      </c>
      <c r="AC4276">
        <v>1242.049</v>
      </c>
      <c r="AD4276">
        <v>1237.72</v>
      </c>
    </row>
    <row r="4277" spans="2:30" x14ac:dyDescent="0.25">
      <c r="B4277" t="s">
        <v>133</v>
      </c>
      <c r="C4277" t="s">
        <v>3265</v>
      </c>
      <c r="D4277" t="s">
        <v>5145</v>
      </c>
      <c r="E4277" t="s">
        <v>5146</v>
      </c>
      <c r="F4277" t="s">
        <v>9918</v>
      </c>
      <c r="G4277" t="s">
        <v>3890</v>
      </c>
      <c r="H4277" t="s">
        <v>109</v>
      </c>
      <c r="I4277" t="s">
        <v>108</v>
      </c>
      <c r="J4277">
        <v>2</v>
      </c>
      <c r="K4277">
        <v>84652.786999999997</v>
      </c>
      <c r="L4277">
        <v>82602.623000000007</v>
      </c>
      <c r="M4277">
        <v>93073.75</v>
      </c>
      <c r="N4277">
        <v>97658.462</v>
      </c>
      <c r="O4277">
        <v>99875.3</v>
      </c>
      <c r="P4277">
        <v>102716.353</v>
      </c>
      <c r="Q4277">
        <v>106747.38800000001</v>
      </c>
      <c r="R4277">
        <v>111035.033</v>
      </c>
      <c r="S4277">
        <v>115366.011</v>
      </c>
      <c r="T4277">
        <v>120049.364</v>
      </c>
      <c r="U4277">
        <v>124962.23</v>
      </c>
      <c r="V4277">
        <v>130220.7</v>
      </c>
      <c r="W4277">
        <v>135823.17600000001</v>
      </c>
      <c r="X4277">
        <v>141843.984</v>
      </c>
      <c r="Y4277">
        <v>148184.932</v>
      </c>
      <c r="Z4277">
        <v>155952.823</v>
      </c>
      <c r="AA4277">
        <v>164105.405</v>
      </c>
      <c r="AB4277">
        <v>173159.62400000001</v>
      </c>
      <c r="AC4277">
        <v>183002.921</v>
      </c>
      <c r="AD4277">
        <v>193507.93400000001</v>
      </c>
    </row>
    <row r="4278" spans="2:30" x14ac:dyDescent="0.25">
      <c r="B4278" t="s">
        <v>133</v>
      </c>
      <c r="C4278" t="s">
        <v>3265</v>
      </c>
      <c r="D4278" t="s">
        <v>5148</v>
      </c>
      <c r="E4278" t="s">
        <v>5149</v>
      </c>
      <c r="F4278" t="s">
        <v>9919</v>
      </c>
      <c r="G4278" t="s">
        <v>3890</v>
      </c>
      <c r="H4278" t="s">
        <v>109</v>
      </c>
      <c r="I4278" t="s">
        <v>108</v>
      </c>
      <c r="J4278">
        <v>2</v>
      </c>
      <c r="K4278">
        <v>1651.0930000000001</v>
      </c>
      <c r="L4278">
        <v>1545.134</v>
      </c>
      <c r="M4278">
        <v>1836.8230000000001</v>
      </c>
      <c r="N4278">
        <v>1975.171</v>
      </c>
      <c r="O4278">
        <v>2006.8579999999999</v>
      </c>
      <c r="P4278">
        <v>2038.454</v>
      </c>
      <c r="Q4278">
        <v>2038.3720000000001</v>
      </c>
      <c r="R4278">
        <v>2060.415</v>
      </c>
      <c r="S4278">
        <v>2095.4839999999999</v>
      </c>
      <c r="T4278">
        <v>2142.4290000000001</v>
      </c>
      <c r="U4278">
        <v>2194.6909999999998</v>
      </c>
      <c r="V4278">
        <v>2255.9279999999999</v>
      </c>
      <c r="W4278">
        <v>2325.9560000000001</v>
      </c>
      <c r="X4278">
        <v>2405.2020000000002</v>
      </c>
      <c r="Y4278">
        <v>2447.8829999999998</v>
      </c>
      <c r="Z4278">
        <v>2490.8290000000002</v>
      </c>
      <c r="AA4278">
        <v>2534.3620000000001</v>
      </c>
      <c r="AB4278">
        <v>2578.634</v>
      </c>
      <c r="AC4278">
        <v>2623.8580000000002</v>
      </c>
      <c r="AD4278">
        <v>2670.0659999999998</v>
      </c>
    </row>
    <row r="4279" spans="2:30" x14ac:dyDescent="0.25">
      <c r="B4279" t="s">
        <v>133</v>
      </c>
      <c r="C4279" t="s">
        <v>3265</v>
      </c>
      <c r="D4279" t="s">
        <v>5151</v>
      </c>
      <c r="E4279" t="s">
        <v>5152</v>
      </c>
      <c r="F4279" t="s">
        <v>9920</v>
      </c>
      <c r="G4279" t="s">
        <v>3890</v>
      </c>
      <c r="H4279" t="s">
        <v>109</v>
      </c>
      <c r="I4279" t="s">
        <v>108</v>
      </c>
      <c r="J4279">
        <v>2</v>
      </c>
      <c r="K4279">
        <v>42937.004999999997</v>
      </c>
      <c r="L4279">
        <v>39972.089</v>
      </c>
      <c r="M4279">
        <v>47160.224000000002</v>
      </c>
      <c r="N4279">
        <v>48233.159</v>
      </c>
      <c r="O4279">
        <v>47662.413</v>
      </c>
      <c r="P4279">
        <v>47791.322</v>
      </c>
      <c r="Q4279">
        <v>49214.786999999997</v>
      </c>
      <c r="R4279">
        <v>50588.029000000002</v>
      </c>
      <c r="S4279">
        <v>51562.633999999998</v>
      </c>
      <c r="T4279">
        <v>52455.711000000003</v>
      </c>
      <c r="U4279">
        <v>53341.033000000003</v>
      </c>
      <c r="V4279">
        <v>54330.874000000003</v>
      </c>
      <c r="W4279">
        <v>55415.646999999997</v>
      </c>
      <c r="X4279">
        <v>56649.675999999999</v>
      </c>
      <c r="Y4279">
        <v>57964.957000000002</v>
      </c>
      <c r="Z4279">
        <v>60417.841</v>
      </c>
      <c r="AA4279">
        <v>62748.203000000001</v>
      </c>
      <c r="AB4279">
        <v>65673.198000000004</v>
      </c>
      <c r="AC4279">
        <v>69090.148000000001</v>
      </c>
      <c r="AD4279">
        <v>72896.035999999993</v>
      </c>
    </row>
    <row r="4280" spans="2:30" x14ac:dyDescent="0.25">
      <c r="B4280" t="s">
        <v>133</v>
      </c>
      <c r="C4280" t="s">
        <v>3265</v>
      </c>
      <c r="D4280" t="s">
        <v>5154</v>
      </c>
      <c r="E4280" t="s">
        <v>5155</v>
      </c>
      <c r="F4280" t="s">
        <v>9921</v>
      </c>
      <c r="G4280" t="s">
        <v>3890</v>
      </c>
      <c r="H4280" t="s">
        <v>109</v>
      </c>
      <c r="I4280" t="s">
        <v>108</v>
      </c>
      <c r="J4280">
        <v>2</v>
      </c>
      <c r="K4280">
        <v>7688.0550000000003</v>
      </c>
      <c r="L4280">
        <v>7378.8829999999998</v>
      </c>
      <c r="M4280">
        <v>7817.37</v>
      </c>
      <c r="N4280">
        <v>9960.232</v>
      </c>
      <c r="O4280">
        <v>9985.7199999999993</v>
      </c>
      <c r="P4280">
        <v>10027.691000000001</v>
      </c>
      <c r="Q4280">
        <v>10091.909</v>
      </c>
      <c r="R4280">
        <v>10155.694</v>
      </c>
      <c r="S4280">
        <v>10214.388000000001</v>
      </c>
      <c r="T4280">
        <v>10279.092000000001</v>
      </c>
      <c r="U4280">
        <v>10352.521000000001</v>
      </c>
      <c r="V4280">
        <v>10436.394</v>
      </c>
      <c r="W4280">
        <v>10533.995999999999</v>
      </c>
      <c r="X4280">
        <v>10648.814</v>
      </c>
      <c r="Y4280">
        <v>10786.08</v>
      </c>
      <c r="Z4280">
        <v>10935.120999999999</v>
      </c>
      <c r="AA4280">
        <v>11116.433999999999</v>
      </c>
      <c r="AB4280">
        <v>11314.346</v>
      </c>
      <c r="AC4280">
        <v>11534.743</v>
      </c>
      <c r="AD4280">
        <v>11774.564</v>
      </c>
    </row>
    <row r="4281" spans="2:30" x14ac:dyDescent="0.25">
      <c r="B4281" t="s">
        <v>133</v>
      </c>
      <c r="C4281" t="s">
        <v>3265</v>
      </c>
      <c r="D4281" t="s">
        <v>5157</v>
      </c>
      <c r="E4281" t="s">
        <v>5158</v>
      </c>
      <c r="F4281" t="s">
        <v>9922</v>
      </c>
      <c r="G4281" t="s">
        <v>3890</v>
      </c>
      <c r="H4281" t="s">
        <v>109</v>
      </c>
      <c r="I4281" t="s">
        <v>108</v>
      </c>
      <c r="J4281">
        <v>2</v>
      </c>
      <c r="K4281">
        <v>7404.3140000000003</v>
      </c>
      <c r="L4281">
        <v>7147.93</v>
      </c>
      <c r="M4281">
        <v>7001.1750000000002</v>
      </c>
      <c r="N4281">
        <v>6753.6639999999998</v>
      </c>
      <c r="O4281">
        <v>6886.5370000000003</v>
      </c>
      <c r="P4281">
        <v>7548.8450000000003</v>
      </c>
      <c r="Q4281">
        <v>8264.5689999999995</v>
      </c>
      <c r="R4281">
        <v>9039.0759999999991</v>
      </c>
      <c r="S4281">
        <v>9962.9140000000007</v>
      </c>
      <c r="T4281">
        <v>11055.142</v>
      </c>
      <c r="U4281">
        <v>12235.485000000001</v>
      </c>
      <c r="V4281">
        <v>13497.953</v>
      </c>
      <c r="W4281">
        <v>14836.333000000001</v>
      </c>
      <c r="X4281">
        <v>16243.861999999999</v>
      </c>
      <c r="Y4281">
        <v>17711.63</v>
      </c>
      <c r="Z4281">
        <v>19253.150000000001</v>
      </c>
      <c r="AA4281">
        <v>20865.21</v>
      </c>
      <c r="AB4281">
        <v>22545.3</v>
      </c>
      <c r="AC4281">
        <v>24291.404999999999</v>
      </c>
      <c r="AD4281">
        <v>26069.816999999999</v>
      </c>
    </row>
    <row r="4282" spans="2:30" x14ac:dyDescent="0.25">
      <c r="B4282" t="s">
        <v>133</v>
      </c>
      <c r="C4282" t="s">
        <v>3265</v>
      </c>
      <c r="D4282" t="s">
        <v>5160</v>
      </c>
      <c r="E4282" t="s">
        <v>5161</v>
      </c>
      <c r="F4282" t="s">
        <v>9923</v>
      </c>
      <c r="G4282" t="s">
        <v>3890</v>
      </c>
      <c r="H4282" t="s">
        <v>109</v>
      </c>
      <c r="I4282" t="s">
        <v>108</v>
      </c>
      <c r="J4282">
        <v>2</v>
      </c>
      <c r="K4282">
        <v>15214.834999999999</v>
      </c>
      <c r="L4282">
        <v>16168.272999999999</v>
      </c>
      <c r="M4282">
        <v>17468.254000000001</v>
      </c>
      <c r="N4282">
        <v>17210.601999999999</v>
      </c>
      <c r="O4282">
        <v>17931.196</v>
      </c>
      <c r="P4282">
        <v>19045.128000000001</v>
      </c>
      <c r="Q4282">
        <v>20275.215</v>
      </c>
      <c r="R4282">
        <v>21586.073</v>
      </c>
      <c r="S4282">
        <v>23101.156999999999</v>
      </c>
      <c r="T4282">
        <v>24867.718000000001</v>
      </c>
      <c r="U4282">
        <v>26778.760999999999</v>
      </c>
      <c r="V4282">
        <v>28824.987000000001</v>
      </c>
      <c r="W4282">
        <v>30982.321</v>
      </c>
      <c r="X4282">
        <v>33256.112999999998</v>
      </c>
      <c r="Y4282">
        <v>35640.146999999997</v>
      </c>
      <c r="Z4282">
        <v>38146.788999999997</v>
      </c>
      <c r="AA4282">
        <v>40775.434000000001</v>
      </c>
      <c r="AB4282">
        <v>43530.521999999997</v>
      </c>
      <c r="AC4282">
        <v>46417.802000000003</v>
      </c>
      <c r="AD4282">
        <v>49429.086000000003</v>
      </c>
    </row>
    <row r="4283" spans="2:30" x14ac:dyDescent="0.25">
      <c r="B4283" t="s">
        <v>133</v>
      </c>
      <c r="C4283" t="s">
        <v>3265</v>
      </c>
      <c r="D4283" t="s">
        <v>5163</v>
      </c>
      <c r="E4283" t="s">
        <v>5164</v>
      </c>
      <c r="F4283" t="s">
        <v>9924</v>
      </c>
      <c r="G4283" t="s">
        <v>3890</v>
      </c>
      <c r="H4283" t="s">
        <v>109</v>
      </c>
      <c r="I4283" t="s">
        <v>108</v>
      </c>
      <c r="J4283">
        <v>2</v>
      </c>
      <c r="K4283">
        <v>5389.2640000000001</v>
      </c>
      <c r="L4283">
        <v>6059.357</v>
      </c>
      <c r="M4283">
        <v>7304.8469999999998</v>
      </c>
      <c r="N4283">
        <v>7485.0290000000005</v>
      </c>
      <c r="O4283">
        <v>7660.826</v>
      </c>
      <c r="P4283">
        <v>7867.7740000000003</v>
      </c>
      <c r="Q4283">
        <v>8112.866</v>
      </c>
      <c r="R4283">
        <v>8347.7049999999999</v>
      </c>
      <c r="S4283">
        <v>8567.5120000000006</v>
      </c>
      <c r="T4283">
        <v>8789.0930000000008</v>
      </c>
      <c r="U4283">
        <v>9013.08</v>
      </c>
      <c r="V4283">
        <v>9239.3439999999991</v>
      </c>
      <c r="W4283">
        <v>9467.9840000000004</v>
      </c>
      <c r="X4283">
        <v>9699.3250000000007</v>
      </c>
      <c r="Y4283">
        <v>9933.85</v>
      </c>
      <c r="Z4283">
        <v>10171.898999999999</v>
      </c>
      <c r="AA4283">
        <v>10415.200999999999</v>
      </c>
      <c r="AB4283">
        <v>10664.657999999999</v>
      </c>
      <c r="AC4283">
        <v>10921.513000000001</v>
      </c>
      <c r="AD4283">
        <v>11186.069</v>
      </c>
    </row>
    <row r="4284" spans="2:30" x14ac:dyDescent="0.25">
      <c r="B4284" t="s">
        <v>133</v>
      </c>
      <c r="C4284" t="s">
        <v>3265</v>
      </c>
      <c r="D4284" t="s">
        <v>5166</v>
      </c>
      <c r="E4284" t="s">
        <v>5167</v>
      </c>
      <c r="F4284" t="s">
        <v>9925</v>
      </c>
      <c r="G4284" t="s">
        <v>3890</v>
      </c>
      <c r="H4284" t="s">
        <v>109</v>
      </c>
      <c r="I4284" t="s">
        <v>108</v>
      </c>
      <c r="J4284">
        <v>2</v>
      </c>
      <c r="K4284">
        <v>659.322</v>
      </c>
      <c r="L4284">
        <v>771.90700000000004</v>
      </c>
      <c r="M4284">
        <v>857.73800000000006</v>
      </c>
      <c r="N4284">
        <v>889.11699999999996</v>
      </c>
      <c r="O4284">
        <v>920.298</v>
      </c>
      <c r="P4284">
        <v>957.94299999999998</v>
      </c>
      <c r="Q4284">
        <v>1003.823</v>
      </c>
      <c r="R4284">
        <v>1048.8420000000001</v>
      </c>
      <c r="S4284">
        <v>1091.8889999999999</v>
      </c>
      <c r="T4284">
        <v>1136.105</v>
      </c>
      <c r="U4284">
        <v>1181.46</v>
      </c>
      <c r="V4284">
        <v>1227.9349999999999</v>
      </c>
      <c r="W4284">
        <v>1275.5550000000001</v>
      </c>
      <c r="X4284">
        <v>1324.4</v>
      </c>
      <c r="Y4284">
        <v>1374.587</v>
      </c>
      <c r="Z4284">
        <v>1426.2059999999999</v>
      </c>
      <c r="AA4284">
        <v>1479.6679999999999</v>
      </c>
      <c r="AB4284">
        <v>1535.2190000000001</v>
      </c>
      <c r="AC4284">
        <v>1593.1890000000001</v>
      </c>
      <c r="AD4284">
        <v>1653.6990000000001</v>
      </c>
    </row>
    <row r="4285" spans="2:30" x14ac:dyDescent="0.25">
      <c r="B4285" t="s">
        <v>133</v>
      </c>
      <c r="C4285" t="s">
        <v>3265</v>
      </c>
      <c r="D4285" t="s">
        <v>5169</v>
      </c>
      <c r="E4285" t="s">
        <v>5170</v>
      </c>
      <c r="F4285" t="s">
        <v>9926</v>
      </c>
      <c r="G4285" t="s">
        <v>3890</v>
      </c>
      <c r="H4285" t="s">
        <v>109</v>
      </c>
      <c r="I4285" t="s">
        <v>108</v>
      </c>
      <c r="J4285">
        <v>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</row>
    <row r="4286" spans="2:30" x14ac:dyDescent="0.25">
      <c r="B4286" t="s">
        <v>133</v>
      </c>
      <c r="C4286" t="s">
        <v>3265</v>
      </c>
      <c r="D4286" t="s">
        <v>5172</v>
      </c>
      <c r="E4286" t="s">
        <v>5173</v>
      </c>
      <c r="F4286" t="s">
        <v>9927</v>
      </c>
      <c r="G4286" t="s">
        <v>3890</v>
      </c>
      <c r="H4286" t="s">
        <v>109</v>
      </c>
      <c r="I4286" t="s">
        <v>108</v>
      </c>
      <c r="J4286">
        <v>2</v>
      </c>
      <c r="K4286">
        <v>2179.63</v>
      </c>
      <c r="L4286">
        <v>2352.3209999999999</v>
      </c>
      <c r="M4286">
        <v>2313.9140000000002</v>
      </c>
      <c r="N4286">
        <v>3842.66</v>
      </c>
      <c r="O4286">
        <v>5517.1859999999997</v>
      </c>
      <c r="P4286">
        <v>6139.4759999999997</v>
      </c>
      <c r="Q4286">
        <v>6450.6589999999997</v>
      </c>
      <c r="R4286">
        <v>6918.5230000000001</v>
      </c>
      <c r="S4286">
        <v>7483.8549999999996</v>
      </c>
      <c r="T4286">
        <v>8042.3789999999999</v>
      </c>
      <c r="U4286">
        <v>8587.9709999999995</v>
      </c>
      <c r="V4286">
        <v>9134.509</v>
      </c>
      <c r="W4286">
        <v>9717.0419999999995</v>
      </c>
      <c r="X4286">
        <v>10352.672</v>
      </c>
      <c r="Y4286">
        <v>11066.281999999999</v>
      </c>
      <c r="Z4286">
        <v>11855.861999999999</v>
      </c>
      <c r="AA4286">
        <v>12920.142</v>
      </c>
      <c r="AB4286">
        <v>14071.352999999999</v>
      </c>
      <c r="AC4286">
        <v>15288.214</v>
      </c>
      <c r="AD4286">
        <v>16590.876</v>
      </c>
    </row>
    <row r="4287" spans="2:30" x14ac:dyDescent="0.25">
      <c r="B4287" t="s">
        <v>133</v>
      </c>
      <c r="C4287" t="s">
        <v>3265</v>
      </c>
      <c r="D4287" t="s">
        <v>5175</v>
      </c>
      <c r="E4287" t="s">
        <v>5176</v>
      </c>
      <c r="F4287" t="s">
        <v>9928</v>
      </c>
      <c r="G4287" t="s">
        <v>3890</v>
      </c>
      <c r="H4287" t="s">
        <v>109</v>
      </c>
      <c r="I4287" t="s">
        <v>108</v>
      </c>
      <c r="J4287">
        <v>2</v>
      </c>
      <c r="K4287">
        <v>1529.27</v>
      </c>
      <c r="L4287">
        <v>1206.73</v>
      </c>
      <c r="M4287">
        <v>1313.405</v>
      </c>
      <c r="N4287">
        <v>1308.827</v>
      </c>
      <c r="O4287">
        <v>1304.2660000000001</v>
      </c>
      <c r="P4287">
        <v>1299.72</v>
      </c>
      <c r="Q4287">
        <v>1295.19</v>
      </c>
      <c r="R4287">
        <v>1290.6759999999999</v>
      </c>
      <c r="S4287">
        <v>1286.1780000000001</v>
      </c>
      <c r="T4287">
        <v>1281.6949999999999</v>
      </c>
      <c r="U4287">
        <v>1277.2280000000001</v>
      </c>
      <c r="V4287">
        <v>1272.777</v>
      </c>
      <c r="W4287">
        <v>1268.3409999999999</v>
      </c>
      <c r="X4287">
        <v>1263.921</v>
      </c>
      <c r="Y4287">
        <v>1259.5160000000001</v>
      </c>
      <c r="Z4287">
        <v>1255.126</v>
      </c>
      <c r="AA4287">
        <v>1250.752</v>
      </c>
      <c r="AB4287">
        <v>1246.393</v>
      </c>
      <c r="AC4287">
        <v>1242.049</v>
      </c>
      <c r="AD4287">
        <v>1237.72</v>
      </c>
    </row>
    <row r="4288" spans="2:30" x14ac:dyDescent="0.25">
      <c r="B4288" t="s">
        <v>133</v>
      </c>
      <c r="C4288" t="s">
        <v>3265</v>
      </c>
      <c r="D4288" t="s">
        <v>5178</v>
      </c>
      <c r="E4288" t="s">
        <v>5116</v>
      </c>
      <c r="F4288" t="s">
        <v>9908</v>
      </c>
      <c r="G4288" t="s">
        <v>3890</v>
      </c>
      <c r="H4288" t="s">
        <v>109</v>
      </c>
      <c r="I4288" t="s">
        <v>108</v>
      </c>
      <c r="J4288">
        <v>1</v>
      </c>
      <c r="K4288">
        <v>1651.0930000000001</v>
      </c>
      <c r="L4288">
        <v>1545.134</v>
      </c>
      <c r="M4288">
        <v>1836.8230000000001</v>
      </c>
      <c r="N4288">
        <v>1975.171</v>
      </c>
      <c r="O4288">
        <v>2006.8579999999999</v>
      </c>
      <c r="P4288">
        <v>2038.454</v>
      </c>
      <c r="Q4288">
        <v>2090.7600000000002</v>
      </c>
      <c r="R4288">
        <v>2141.0300000000002</v>
      </c>
      <c r="S4288">
        <v>2188.41</v>
      </c>
      <c r="T4288">
        <v>2235.8040000000001</v>
      </c>
      <c r="U4288">
        <v>2278.1129999999998</v>
      </c>
      <c r="V4288">
        <v>2320.529</v>
      </c>
      <c r="W4288">
        <v>2363.0390000000002</v>
      </c>
      <c r="X4288">
        <v>2405.6320000000001</v>
      </c>
      <c r="Y4288">
        <v>2448.2950000000001</v>
      </c>
      <c r="Z4288">
        <v>2491.0169999999998</v>
      </c>
      <c r="AA4288">
        <v>2533.7860000000001</v>
      </c>
      <c r="AB4288">
        <v>2576.5909999999999</v>
      </c>
      <c r="AC4288">
        <v>2619.4189999999999</v>
      </c>
      <c r="AD4288">
        <v>2662.26</v>
      </c>
    </row>
    <row r="4289" spans="2:30" x14ac:dyDescent="0.25">
      <c r="B4289" t="s">
        <v>133</v>
      </c>
      <c r="C4289" t="s">
        <v>3265</v>
      </c>
      <c r="D4289" t="s">
        <v>5179</v>
      </c>
      <c r="E4289" t="s">
        <v>5180</v>
      </c>
      <c r="F4289" t="s">
        <v>9929</v>
      </c>
      <c r="G4289" t="s">
        <v>3890</v>
      </c>
      <c r="H4289" t="s">
        <v>109</v>
      </c>
      <c r="I4289" t="s">
        <v>108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</row>
    <row r="4290" spans="2:30" x14ac:dyDescent="0.25">
      <c r="B4290" t="s">
        <v>133</v>
      </c>
      <c r="C4290" t="s">
        <v>3265</v>
      </c>
      <c r="D4290" t="s">
        <v>5182</v>
      </c>
      <c r="E4290" t="s">
        <v>5183</v>
      </c>
      <c r="F4290" t="s">
        <v>9930</v>
      </c>
      <c r="G4290" t="s">
        <v>3890</v>
      </c>
      <c r="H4290" t="s">
        <v>109</v>
      </c>
      <c r="I4290" t="s">
        <v>108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</row>
    <row r="4291" spans="2:30" x14ac:dyDescent="0.25">
      <c r="B4291" t="s">
        <v>133</v>
      </c>
      <c r="C4291" t="s">
        <v>3265</v>
      </c>
      <c r="D4291" t="s">
        <v>5185</v>
      </c>
      <c r="E4291" t="s">
        <v>5186</v>
      </c>
      <c r="F4291" t="s">
        <v>9931</v>
      </c>
      <c r="G4291" t="s">
        <v>3890</v>
      </c>
      <c r="H4291" t="s">
        <v>109</v>
      </c>
      <c r="I4291" t="s">
        <v>108</v>
      </c>
      <c r="J4291">
        <v>1</v>
      </c>
      <c r="K4291">
        <v>1.6379999999999999</v>
      </c>
      <c r="L4291">
        <v>1.6379999999999999</v>
      </c>
      <c r="M4291">
        <v>1.8740000000000001</v>
      </c>
      <c r="N4291">
        <v>1.978</v>
      </c>
      <c r="O4291">
        <v>1.994</v>
      </c>
      <c r="P4291">
        <v>2.008</v>
      </c>
      <c r="Q4291">
        <v>2.0369999999999999</v>
      </c>
      <c r="R4291">
        <v>2.0640000000000001</v>
      </c>
      <c r="S4291">
        <v>2.09</v>
      </c>
      <c r="T4291">
        <v>2.1150000000000002</v>
      </c>
      <c r="U4291">
        <v>2.1360000000000001</v>
      </c>
      <c r="V4291">
        <v>2.157</v>
      </c>
      <c r="W4291">
        <v>2.177</v>
      </c>
      <c r="X4291">
        <v>2.198</v>
      </c>
      <c r="Y4291">
        <v>2.218</v>
      </c>
      <c r="Z4291">
        <v>2.238</v>
      </c>
      <c r="AA4291">
        <v>2.258</v>
      </c>
      <c r="AB4291">
        <v>2.2770000000000001</v>
      </c>
      <c r="AC4291">
        <v>2.2970000000000002</v>
      </c>
      <c r="AD4291">
        <v>2.3159999999999998</v>
      </c>
    </row>
    <row r="4292" spans="2:30" x14ac:dyDescent="0.25">
      <c r="B4292" t="s">
        <v>133</v>
      </c>
      <c r="C4292" t="s">
        <v>3265</v>
      </c>
      <c r="D4292" t="s">
        <v>5188</v>
      </c>
      <c r="E4292" t="s">
        <v>5189</v>
      </c>
      <c r="F4292" t="s">
        <v>9932</v>
      </c>
      <c r="G4292" t="s">
        <v>3890</v>
      </c>
      <c r="H4292" t="s">
        <v>109</v>
      </c>
      <c r="I4292" t="s">
        <v>108</v>
      </c>
      <c r="J4292">
        <v>1</v>
      </c>
      <c r="K4292">
        <v>1649.4549999999999</v>
      </c>
      <c r="L4292">
        <v>1543.4960000000001</v>
      </c>
      <c r="M4292">
        <v>1834.9490000000001</v>
      </c>
      <c r="N4292">
        <v>1973.192</v>
      </c>
      <c r="O4292">
        <v>2004.864</v>
      </c>
      <c r="P4292">
        <v>2036.4459999999999</v>
      </c>
      <c r="Q4292">
        <v>2088.723</v>
      </c>
      <c r="R4292">
        <v>2138.9659999999999</v>
      </c>
      <c r="S4292">
        <v>2186.3200000000002</v>
      </c>
      <c r="T4292">
        <v>2233.6889999999999</v>
      </c>
      <c r="U4292">
        <v>2275.9769999999999</v>
      </c>
      <c r="V4292">
        <v>2318.3719999999998</v>
      </c>
      <c r="W4292">
        <v>2360.8620000000001</v>
      </c>
      <c r="X4292">
        <v>2403.4340000000002</v>
      </c>
      <c r="Y4292">
        <v>2446.0770000000002</v>
      </c>
      <c r="Z4292">
        <v>2488.779</v>
      </c>
      <c r="AA4292">
        <v>2531.529</v>
      </c>
      <c r="AB4292">
        <v>2574.3130000000001</v>
      </c>
      <c r="AC4292">
        <v>2617.1219999999998</v>
      </c>
      <c r="AD4292">
        <v>2659.944</v>
      </c>
    </row>
    <row r="4293" spans="2:30" x14ac:dyDescent="0.25">
      <c r="B4293" t="s">
        <v>133</v>
      </c>
      <c r="C4293" t="s">
        <v>3265</v>
      </c>
      <c r="D4293" t="s">
        <v>5191</v>
      </c>
      <c r="E4293" t="s">
        <v>5192</v>
      </c>
      <c r="F4293" t="s">
        <v>9933</v>
      </c>
      <c r="G4293" t="s">
        <v>3890</v>
      </c>
      <c r="H4293" t="s">
        <v>109</v>
      </c>
      <c r="I4293" t="s">
        <v>108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</row>
    <row r="4294" spans="2:30" x14ac:dyDescent="0.25">
      <c r="B4294" t="s">
        <v>133</v>
      </c>
      <c r="C4294" t="s">
        <v>3265</v>
      </c>
      <c r="D4294" t="s">
        <v>5194</v>
      </c>
      <c r="E4294" t="s">
        <v>5119</v>
      </c>
      <c r="F4294" t="s">
        <v>9909</v>
      </c>
      <c r="G4294" t="s">
        <v>3890</v>
      </c>
      <c r="H4294" t="s">
        <v>109</v>
      </c>
      <c r="I4294" t="s">
        <v>108</v>
      </c>
      <c r="J4294">
        <v>1</v>
      </c>
      <c r="K4294">
        <v>42937.004999999997</v>
      </c>
      <c r="L4294">
        <v>39972.089</v>
      </c>
      <c r="M4294">
        <v>47160.224000000002</v>
      </c>
      <c r="N4294">
        <v>48233.159</v>
      </c>
      <c r="O4294">
        <v>47662.413</v>
      </c>
      <c r="P4294">
        <v>47791.322</v>
      </c>
      <c r="Q4294">
        <v>49278.682000000001</v>
      </c>
      <c r="R4294">
        <v>50899.313000000002</v>
      </c>
      <c r="S4294">
        <v>52357.773000000001</v>
      </c>
      <c r="T4294">
        <v>53867.593000000001</v>
      </c>
      <c r="U4294">
        <v>55466.71</v>
      </c>
      <c r="V4294">
        <v>57238.966</v>
      </c>
      <c r="W4294">
        <v>59179.911999999997</v>
      </c>
      <c r="X4294">
        <v>61338.946000000004</v>
      </c>
      <c r="Y4294">
        <v>63721.597999999998</v>
      </c>
      <c r="Z4294">
        <v>66384.604000000007</v>
      </c>
      <c r="AA4294">
        <v>69370.457999999999</v>
      </c>
      <c r="AB4294">
        <v>72742.524000000005</v>
      </c>
      <c r="AC4294">
        <v>76574.815000000002</v>
      </c>
      <c r="AD4294">
        <v>80432.479999999996</v>
      </c>
    </row>
    <row r="4295" spans="2:30" x14ac:dyDescent="0.25">
      <c r="B4295" t="s">
        <v>133</v>
      </c>
      <c r="C4295" t="s">
        <v>3265</v>
      </c>
      <c r="D4295" t="s">
        <v>5195</v>
      </c>
      <c r="E4295" t="s">
        <v>5196</v>
      </c>
      <c r="F4295" t="s">
        <v>9934</v>
      </c>
      <c r="G4295" t="s">
        <v>3890</v>
      </c>
      <c r="H4295" t="s">
        <v>109</v>
      </c>
      <c r="I4295" t="s">
        <v>108</v>
      </c>
      <c r="J4295">
        <v>1</v>
      </c>
      <c r="K4295">
        <v>29443.696</v>
      </c>
      <c r="L4295">
        <v>28005.066999999999</v>
      </c>
      <c r="M4295">
        <v>33518.292000000001</v>
      </c>
      <c r="N4295">
        <v>34175.911</v>
      </c>
      <c r="O4295">
        <v>33169.455999999998</v>
      </c>
      <c r="P4295">
        <v>32743.57</v>
      </c>
      <c r="Q4295">
        <v>33568.620000000003</v>
      </c>
      <c r="R4295">
        <v>34541.167000000001</v>
      </c>
      <c r="S4295">
        <v>35373.313000000002</v>
      </c>
      <c r="T4295">
        <v>36233.796999999999</v>
      </c>
      <c r="U4295">
        <v>37163.767</v>
      </c>
      <c r="V4295">
        <v>38247.43</v>
      </c>
      <c r="W4295">
        <v>39480.813999999998</v>
      </c>
      <c r="X4295">
        <v>40913.796999999999</v>
      </c>
      <c r="Y4295">
        <v>42552.561999999998</v>
      </c>
      <c r="Z4295">
        <v>44452.915000000001</v>
      </c>
      <c r="AA4295">
        <v>46657.525999999998</v>
      </c>
      <c r="AB4295">
        <v>49229.945</v>
      </c>
      <c r="AC4295">
        <v>52244.328999999998</v>
      </c>
      <c r="AD4295">
        <v>55268.156000000003</v>
      </c>
    </row>
    <row r="4296" spans="2:30" x14ac:dyDescent="0.25">
      <c r="B4296" t="s">
        <v>133</v>
      </c>
      <c r="C4296" t="s">
        <v>3265</v>
      </c>
      <c r="D4296" t="s">
        <v>5198</v>
      </c>
      <c r="E4296" t="s">
        <v>5199</v>
      </c>
      <c r="F4296" t="s">
        <v>9935</v>
      </c>
      <c r="G4296" t="s">
        <v>3890</v>
      </c>
      <c r="H4296" t="s">
        <v>109</v>
      </c>
      <c r="I4296" t="s">
        <v>108</v>
      </c>
      <c r="J4296">
        <v>1</v>
      </c>
      <c r="K4296">
        <v>495.238</v>
      </c>
      <c r="L4296">
        <v>484.52</v>
      </c>
      <c r="M4296">
        <v>472.24900000000002</v>
      </c>
      <c r="N4296">
        <v>454.66399999999999</v>
      </c>
      <c r="O4296">
        <v>463.9</v>
      </c>
      <c r="P4296">
        <v>509.44099999999997</v>
      </c>
      <c r="Q4296">
        <v>559.21799999999996</v>
      </c>
      <c r="R4296">
        <v>613.43499999999995</v>
      </c>
      <c r="S4296">
        <v>678.10400000000004</v>
      </c>
      <c r="T4296">
        <v>754.60400000000004</v>
      </c>
      <c r="U4296">
        <v>837.58299999999997</v>
      </c>
      <c r="V4296">
        <v>926.67499999999995</v>
      </c>
      <c r="W4296">
        <v>1021.414</v>
      </c>
      <c r="X4296">
        <v>1121.3399999999999</v>
      </c>
      <c r="Y4296">
        <v>1225.8320000000001</v>
      </c>
      <c r="Z4296">
        <v>1335.8589999999999</v>
      </c>
      <c r="AA4296">
        <v>1451.3009999999999</v>
      </c>
      <c r="AB4296">
        <v>1572.0319999999999</v>
      </c>
      <c r="AC4296">
        <v>1697.9849999999999</v>
      </c>
      <c r="AD4296">
        <v>1826.915</v>
      </c>
    </row>
    <row r="4297" spans="2:30" x14ac:dyDescent="0.25">
      <c r="B4297" t="s">
        <v>133</v>
      </c>
      <c r="C4297" t="s">
        <v>3265</v>
      </c>
      <c r="D4297" t="s">
        <v>5201</v>
      </c>
      <c r="E4297" t="s">
        <v>5202</v>
      </c>
      <c r="F4297" t="s">
        <v>9936</v>
      </c>
      <c r="G4297" t="s">
        <v>3890</v>
      </c>
      <c r="H4297" t="s">
        <v>109</v>
      </c>
      <c r="I4297" t="s">
        <v>108</v>
      </c>
      <c r="J4297">
        <v>1</v>
      </c>
      <c r="K4297">
        <v>1921.182</v>
      </c>
      <c r="L4297">
        <v>1978.2729999999999</v>
      </c>
      <c r="M4297">
        <v>2706.33</v>
      </c>
      <c r="N4297">
        <v>2725.7469999999998</v>
      </c>
      <c r="O4297">
        <v>2743.748</v>
      </c>
      <c r="P4297">
        <v>2766.3090000000002</v>
      </c>
      <c r="Q4297">
        <v>2794.2820000000002</v>
      </c>
      <c r="R4297">
        <v>2819.5949999999998</v>
      </c>
      <c r="S4297">
        <v>2841.6509999999998</v>
      </c>
      <c r="T4297">
        <v>2863.2159999999999</v>
      </c>
      <c r="U4297">
        <v>2884.4180000000001</v>
      </c>
      <c r="V4297">
        <v>2905.2550000000001</v>
      </c>
      <c r="W4297">
        <v>2925.7260000000001</v>
      </c>
      <c r="X4297">
        <v>2945.8290000000002</v>
      </c>
      <c r="Y4297">
        <v>2965.5630000000001</v>
      </c>
      <c r="Z4297">
        <v>2984.9279999999999</v>
      </c>
      <c r="AA4297">
        <v>3003.922</v>
      </c>
      <c r="AB4297">
        <v>3022.5450000000001</v>
      </c>
      <c r="AC4297">
        <v>3040.7950000000001</v>
      </c>
      <c r="AD4297">
        <v>3058.674</v>
      </c>
    </row>
    <row r="4298" spans="2:30" x14ac:dyDescent="0.25">
      <c r="B4298" t="s">
        <v>133</v>
      </c>
      <c r="C4298" t="s">
        <v>3265</v>
      </c>
      <c r="D4298" t="s">
        <v>5204</v>
      </c>
      <c r="E4298" t="s">
        <v>5205</v>
      </c>
      <c r="F4298" t="s">
        <v>9937</v>
      </c>
      <c r="G4298" t="s">
        <v>3890</v>
      </c>
      <c r="H4298" t="s">
        <v>109</v>
      </c>
      <c r="I4298" t="s">
        <v>108</v>
      </c>
      <c r="J4298">
        <v>1</v>
      </c>
      <c r="K4298">
        <v>11076.89</v>
      </c>
      <c r="L4298">
        <v>9504.23</v>
      </c>
      <c r="M4298">
        <v>10463.352999999999</v>
      </c>
      <c r="N4298">
        <v>10876.838</v>
      </c>
      <c r="O4298">
        <v>11285.308000000001</v>
      </c>
      <c r="P4298">
        <v>11772.002</v>
      </c>
      <c r="Q4298">
        <v>12356.561</v>
      </c>
      <c r="R4298">
        <v>12925.117</v>
      </c>
      <c r="S4298">
        <v>13464.705</v>
      </c>
      <c r="T4298">
        <v>14015.976000000001</v>
      </c>
      <c r="U4298">
        <v>14580.942999999999</v>
      </c>
      <c r="V4298">
        <v>15159.606</v>
      </c>
      <c r="W4298">
        <v>15751.958000000001</v>
      </c>
      <c r="X4298">
        <v>16357.98</v>
      </c>
      <c r="Y4298">
        <v>16977.641</v>
      </c>
      <c r="Z4298">
        <v>17610.901000000002</v>
      </c>
      <c r="AA4298">
        <v>18257.708999999999</v>
      </c>
      <c r="AB4298">
        <v>18918.002</v>
      </c>
      <c r="AC4298">
        <v>19591.705999999998</v>
      </c>
      <c r="AD4298">
        <v>20278.735000000001</v>
      </c>
    </row>
    <row r="4299" spans="2:30" x14ac:dyDescent="0.25">
      <c r="B4299" t="s">
        <v>133</v>
      </c>
      <c r="C4299" t="s">
        <v>3265</v>
      </c>
      <c r="D4299" t="s">
        <v>5207</v>
      </c>
      <c r="E4299" t="s">
        <v>5208</v>
      </c>
      <c r="F4299" t="s">
        <v>9938</v>
      </c>
      <c r="G4299" t="s">
        <v>3890</v>
      </c>
      <c r="H4299" t="s">
        <v>109</v>
      </c>
      <c r="I4299" t="s">
        <v>108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</row>
    <row r="4300" spans="2:30" x14ac:dyDescent="0.25">
      <c r="B4300" t="s">
        <v>133</v>
      </c>
      <c r="C4300" t="s">
        <v>3265</v>
      </c>
      <c r="D4300" t="s">
        <v>5210</v>
      </c>
      <c r="E4300" t="s">
        <v>5125</v>
      </c>
      <c r="F4300" t="s">
        <v>9911</v>
      </c>
      <c r="G4300" t="s">
        <v>3890</v>
      </c>
      <c r="H4300" t="s">
        <v>109</v>
      </c>
      <c r="I4300" t="s">
        <v>108</v>
      </c>
      <c r="J4300">
        <v>1</v>
      </c>
      <c r="K4300">
        <v>7404.3140000000003</v>
      </c>
      <c r="L4300">
        <v>7147.93</v>
      </c>
      <c r="M4300">
        <v>7001.1750000000002</v>
      </c>
      <c r="N4300">
        <v>6753.6639999999998</v>
      </c>
      <c r="O4300">
        <v>6886.5370000000003</v>
      </c>
      <c r="P4300">
        <v>7548.8450000000003</v>
      </c>
      <c r="Q4300">
        <v>8264.5689999999995</v>
      </c>
      <c r="R4300">
        <v>9039.0759999999991</v>
      </c>
      <c r="S4300">
        <v>9962.8960000000006</v>
      </c>
      <c r="T4300">
        <v>11054.998</v>
      </c>
      <c r="U4300">
        <v>12234.905000000001</v>
      </c>
      <c r="V4300">
        <v>13496.28</v>
      </c>
      <c r="W4300">
        <v>14832.477999999999</v>
      </c>
      <c r="X4300">
        <v>16236.264999999999</v>
      </c>
      <c r="Y4300">
        <v>17698.236000000001</v>
      </c>
      <c r="Z4300">
        <v>19231.580999999998</v>
      </c>
      <c r="AA4300">
        <v>20833.865000000002</v>
      </c>
      <c r="AB4300">
        <v>22502.576000000001</v>
      </c>
      <c r="AC4300">
        <v>24236.007000000001</v>
      </c>
      <c r="AD4300">
        <v>26000.738000000001</v>
      </c>
    </row>
    <row r="4301" spans="2:30" x14ac:dyDescent="0.25">
      <c r="B4301" t="s">
        <v>133</v>
      </c>
      <c r="C4301" t="s">
        <v>3265</v>
      </c>
      <c r="D4301" t="s">
        <v>5211</v>
      </c>
      <c r="E4301" t="s">
        <v>5212</v>
      </c>
      <c r="F4301" t="s">
        <v>9939</v>
      </c>
      <c r="G4301" t="s">
        <v>3890</v>
      </c>
      <c r="H4301" t="s">
        <v>109</v>
      </c>
      <c r="I4301" t="s">
        <v>108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</row>
    <row r="4302" spans="2:30" x14ac:dyDescent="0.25">
      <c r="B4302" t="s">
        <v>133</v>
      </c>
      <c r="C4302" t="s">
        <v>3265</v>
      </c>
      <c r="D4302" t="s">
        <v>5214</v>
      </c>
      <c r="E4302" t="s">
        <v>5215</v>
      </c>
      <c r="F4302" t="s">
        <v>9940</v>
      </c>
      <c r="G4302" t="s">
        <v>3890</v>
      </c>
      <c r="H4302" t="s">
        <v>109</v>
      </c>
      <c r="I4302" t="s">
        <v>108</v>
      </c>
      <c r="J4302">
        <v>1</v>
      </c>
      <c r="K4302">
        <v>7404.3140000000003</v>
      </c>
      <c r="L4302">
        <v>7147.93</v>
      </c>
      <c r="M4302">
        <v>7001.1750000000002</v>
      </c>
      <c r="N4302">
        <v>6753.6639999999998</v>
      </c>
      <c r="O4302">
        <v>6886.5370000000003</v>
      </c>
      <c r="P4302">
        <v>7548.8450000000003</v>
      </c>
      <c r="Q4302">
        <v>8264.5689999999995</v>
      </c>
      <c r="R4302">
        <v>9039.0759999999991</v>
      </c>
      <c r="S4302">
        <v>9962.8960000000006</v>
      </c>
      <c r="T4302">
        <v>11054.998</v>
      </c>
      <c r="U4302">
        <v>12234.905000000001</v>
      </c>
      <c r="V4302">
        <v>13496.28</v>
      </c>
      <c r="W4302">
        <v>14832.477999999999</v>
      </c>
      <c r="X4302">
        <v>16236.264999999999</v>
      </c>
      <c r="Y4302">
        <v>17698.236000000001</v>
      </c>
      <c r="Z4302">
        <v>19231.580999999998</v>
      </c>
      <c r="AA4302">
        <v>20833.865000000002</v>
      </c>
      <c r="AB4302">
        <v>22502.576000000001</v>
      </c>
      <c r="AC4302">
        <v>24236.007000000001</v>
      </c>
      <c r="AD4302">
        <v>26000.738000000001</v>
      </c>
    </row>
    <row r="4303" spans="2:30" x14ac:dyDescent="0.25">
      <c r="B4303" t="s">
        <v>133</v>
      </c>
      <c r="C4303" t="s">
        <v>3265</v>
      </c>
      <c r="D4303" t="s">
        <v>5217</v>
      </c>
      <c r="E4303" t="s">
        <v>5218</v>
      </c>
      <c r="F4303" t="s">
        <v>9941</v>
      </c>
      <c r="G4303" t="s">
        <v>3890</v>
      </c>
      <c r="H4303" t="s">
        <v>109</v>
      </c>
      <c r="I4303" t="s">
        <v>108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</row>
    <row r="4304" spans="2:30" x14ac:dyDescent="0.25">
      <c r="B4304" t="s">
        <v>133</v>
      </c>
      <c r="C4304" t="s">
        <v>3265</v>
      </c>
      <c r="D4304" t="s">
        <v>5220</v>
      </c>
      <c r="E4304" t="s">
        <v>5221</v>
      </c>
      <c r="F4304" t="s">
        <v>9942</v>
      </c>
      <c r="G4304" t="s">
        <v>3890</v>
      </c>
      <c r="H4304" t="s">
        <v>109</v>
      </c>
      <c r="I4304" t="s">
        <v>108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</row>
    <row r="4305" spans="2:30" x14ac:dyDescent="0.25">
      <c r="B4305" t="s">
        <v>133</v>
      </c>
      <c r="C4305" t="s">
        <v>3265</v>
      </c>
      <c r="D4305" t="s">
        <v>5223</v>
      </c>
      <c r="E4305" t="s">
        <v>5224</v>
      </c>
      <c r="F4305" t="s">
        <v>9943</v>
      </c>
      <c r="G4305" t="s">
        <v>3890</v>
      </c>
      <c r="H4305" t="s">
        <v>109</v>
      </c>
      <c r="I4305" t="s">
        <v>108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</row>
    <row r="4306" spans="2:30" x14ac:dyDescent="0.25">
      <c r="B4306" t="s">
        <v>133</v>
      </c>
      <c r="C4306" t="s">
        <v>3265</v>
      </c>
      <c r="D4306" t="s">
        <v>5226</v>
      </c>
      <c r="E4306" t="s">
        <v>5128</v>
      </c>
      <c r="F4306" t="s">
        <v>9912</v>
      </c>
      <c r="G4306" t="s">
        <v>3890</v>
      </c>
      <c r="H4306" t="s">
        <v>109</v>
      </c>
      <c r="I4306" t="s">
        <v>108</v>
      </c>
      <c r="J4306">
        <v>1</v>
      </c>
      <c r="K4306">
        <v>15214.834999999999</v>
      </c>
      <c r="L4306">
        <v>16168.272999999999</v>
      </c>
      <c r="M4306">
        <v>17468.254000000001</v>
      </c>
      <c r="N4306">
        <v>17210.601999999999</v>
      </c>
      <c r="O4306">
        <v>17931.196</v>
      </c>
      <c r="P4306">
        <v>19045.128000000001</v>
      </c>
      <c r="Q4306">
        <v>20275.215</v>
      </c>
      <c r="R4306">
        <v>21586.026999999998</v>
      </c>
      <c r="S4306">
        <v>23101.032999999999</v>
      </c>
      <c r="T4306">
        <v>24867.491999999998</v>
      </c>
      <c r="U4306">
        <v>26778.222000000002</v>
      </c>
      <c r="V4306">
        <v>28823.22</v>
      </c>
      <c r="W4306">
        <v>30976.742999999999</v>
      </c>
      <c r="X4306">
        <v>33242.675999999999</v>
      </c>
      <c r="Y4306">
        <v>35613.025999999998</v>
      </c>
      <c r="Z4306">
        <v>38098.741000000002</v>
      </c>
      <c r="AA4306">
        <v>40699.917000000001</v>
      </c>
      <c r="AB4306">
        <v>43420.819000000003</v>
      </c>
      <c r="AC4306">
        <v>46267.131999999998</v>
      </c>
      <c r="AD4306">
        <v>49230.773999999998</v>
      </c>
    </row>
    <row r="4307" spans="2:30" x14ac:dyDescent="0.25">
      <c r="B4307" t="s">
        <v>133</v>
      </c>
      <c r="C4307" t="s">
        <v>3265</v>
      </c>
      <c r="D4307" t="s">
        <v>5227</v>
      </c>
      <c r="E4307" t="s">
        <v>5228</v>
      </c>
      <c r="F4307" t="s">
        <v>9944</v>
      </c>
      <c r="G4307" t="s">
        <v>3890</v>
      </c>
      <c r="H4307" t="s">
        <v>109</v>
      </c>
      <c r="I4307" t="s">
        <v>108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</row>
    <row r="4308" spans="2:30" x14ac:dyDescent="0.25">
      <c r="B4308" t="s">
        <v>133</v>
      </c>
      <c r="C4308" t="s">
        <v>3265</v>
      </c>
      <c r="D4308" t="s">
        <v>5230</v>
      </c>
      <c r="E4308" t="s">
        <v>5231</v>
      </c>
      <c r="F4308" t="s">
        <v>9945</v>
      </c>
      <c r="G4308" t="s">
        <v>3890</v>
      </c>
      <c r="H4308" t="s">
        <v>109</v>
      </c>
      <c r="I4308" t="s">
        <v>108</v>
      </c>
      <c r="J4308">
        <v>1</v>
      </c>
      <c r="K4308">
        <v>10010.589</v>
      </c>
      <c r="L4308">
        <v>9837.6170000000002</v>
      </c>
      <c r="M4308">
        <v>9543.0020000000004</v>
      </c>
      <c r="N4308">
        <v>9122.26</v>
      </c>
      <c r="O4308">
        <v>9684.2070000000003</v>
      </c>
      <c r="P4308">
        <v>10613.831</v>
      </c>
      <c r="Q4308">
        <v>11628.550999999999</v>
      </c>
      <c r="R4308">
        <v>12733.902</v>
      </c>
      <c r="S4308">
        <v>14057.06</v>
      </c>
      <c r="T4308">
        <v>15631.087</v>
      </c>
      <c r="U4308">
        <v>17348.157999999999</v>
      </c>
      <c r="V4308">
        <v>19198.316999999999</v>
      </c>
      <c r="W4308">
        <v>21155.867999999999</v>
      </c>
      <c r="X4308">
        <v>23224.74</v>
      </c>
      <c r="Y4308">
        <v>25396.985000000001</v>
      </c>
      <c r="Z4308">
        <v>27683.598000000002</v>
      </c>
      <c r="AA4308">
        <v>30084.718000000001</v>
      </c>
      <c r="AB4308">
        <v>32604.657999999999</v>
      </c>
      <c r="AC4308">
        <v>35249.146999999997</v>
      </c>
      <c r="AD4308">
        <v>38010.150999999998</v>
      </c>
    </row>
    <row r="4309" spans="2:30" x14ac:dyDescent="0.25">
      <c r="B4309" t="s">
        <v>133</v>
      </c>
      <c r="C4309" t="s">
        <v>3265</v>
      </c>
      <c r="D4309" t="s">
        <v>5233</v>
      </c>
      <c r="E4309" t="s">
        <v>5234</v>
      </c>
      <c r="F4309" t="s">
        <v>9946</v>
      </c>
      <c r="G4309" t="s">
        <v>3890</v>
      </c>
      <c r="H4309" t="s">
        <v>109</v>
      </c>
      <c r="I4309" t="s">
        <v>108</v>
      </c>
      <c r="J4309">
        <v>1</v>
      </c>
      <c r="K4309">
        <v>875.27200000000005</v>
      </c>
      <c r="L4309">
        <v>1064.7159999999999</v>
      </c>
      <c r="M4309">
        <v>1332.902</v>
      </c>
      <c r="N4309">
        <v>1360.3309999999999</v>
      </c>
      <c r="O4309">
        <v>1387.0129999999999</v>
      </c>
      <c r="P4309">
        <v>1418.011</v>
      </c>
      <c r="Q4309">
        <v>1454.232</v>
      </c>
      <c r="R4309">
        <v>1488.788</v>
      </c>
      <c r="S4309">
        <v>1521.0530000000001</v>
      </c>
      <c r="T4309">
        <v>1553.4179999999999</v>
      </c>
      <c r="U4309">
        <v>1585.9880000000001</v>
      </c>
      <c r="V4309">
        <v>1618.7570000000001</v>
      </c>
      <c r="W4309">
        <v>1651.7159999999999</v>
      </c>
      <c r="X4309">
        <v>1684.8589999999999</v>
      </c>
      <c r="Y4309">
        <v>1718.1769999999999</v>
      </c>
      <c r="Z4309">
        <v>1751.663</v>
      </c>
      <c r="AA4309">
        <v>1785.309</v>
      </c>
      <c r="AB4309">
        <v>1819.1079999999999</v>
      </c>
      <c r="AC4309">
        <v>1853.0509999999999</v>
      </c>
      <c r="AD4309">
        <v>1887.1320000000001</v>
      </c>
    </row>
    <row r="4310" spans="2:30" x14ac:dyDescent="0.25">
      <c r="B4310" t="s">
        <v>133</v>
      </c>
      <c r="C4310" t="s">
        <v>3265</v>
      </c>
      <c r="D4310" t="s">
        <v>5236</v>
      </c>
      <c r="E4310" t="s">
        <v>5237</v>
      </c>
      <c r="F4310" t="s">
        <v>9947</v>
      </c>
      <c r="G4310" t="s">
        <v>3890</v>
      </c>
      <c r="H4310" t="s">
        <v>109</v>
      </c>
      <c r="I4310" t="s">
        <v>108</v>
      </c>
      <c r="J4310">
        <v>1</v>
      </c>
      <c r="K4310">
        <v>4328.9740000000002</v>
      </c>
      <c r="L4310">
        <v>5265.94</v>
      </c>
      <c r="M4310">
        <v>6592.35</v>
      </c>
      <c r="N4310">
        <v>6728.01</v>
      </c>
      <c r="O4310">
        <v>6859.9750000000004</v>
      </c>
      <c r="P4310">
        <v>7013.2860000000001</v>
      </c>
      <c r="Q4310">
        <v>7192.4309999999996</v>
      </c>
      <c r="R4310">
        <v>7363.3370000000004</v>
      </c>
      <c r="S4310">
        <v>7522.9189999999999</v>
      </c>
      <c r="T4310">
        <v>7682.9880000000003</v>
      </c>
      <c r="U4310">
        <v>7844.076</v>
      </c>
      <c r="V4310">
        <v>8006.1459999999997</v>
      </c>
      <c r="W4310">
        <v>8169.1589999999997</v>
      </c>
      <c r="X4310">
        <v>8333.0769999999993</v>
      </c>
      <c r="Y4310">
        <v>8497.8639999999996</v>
      </c>
      <c r="Z4310">
        <v>8663.4809999999998</v>
      </c>
      <c r="AA4310">
        <v>8829.89</v>
      </c>
      <c r="AB4310">
        <v>8997.0540000000001</v>
      </c>
      <c r="AC4310">
        <v>9164.9339999999993</v>
      </c>
      <c r="AD4310">
        <v>9333.4920000000002</v>
      </c>
    </row>
    <row r="4311" spans="2:30" x14ac:dyDescent="0.25">
      <c r="B4311" t="s">
        <v>133</v>
      </c>
      <c r="C4311" t="s">
        <v>3265</v>
      </c>
      <c r="D4311" t="s">
        <v>5239</v>
      </c>
      <c r="E4311" t="s">
        <v>5240</v>
      </c>
      <c r="F4311" t="s">
        <v>9948</v>
      </c>
      <c r="G4311" t="s">
        <v>3890</v>
      </c>
      <c r="H4311" t="s">
        <v>109</v>
      </c>
      <c r="I4311" t="s">
        <v>108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</row>
    <row r="4312" spans="2:30" x14ac:dyDescent="0.25">
      <c r="B4312" t="s">
        <v>133</v>
      </c>
      <c r="C4312" t="s">
        <v>3265</v>
      </c>
      <c r="D4312" t="s">
        <v>5242</v>
      </c>
      <c r="E4312" t="s">
        <v>5131</v>
      </c>
      <c r="F4312" t="s">
        <v>9913</v>
      </c>
      <c r="G4312" t="s">
        <v>3890</v>
      </c>
      <c r="H4312" t="s">
        <v>109</v>
      </c>
      <c r="I4312" t="s">
        <v>108</v>
      </c>
      <c r="J4312">
        <v>1</v>
      </c>
      <c r="K4312">
        <v>5389.2640000000001</v>
      </c>
      <c r="L4312">
        <v>6059.357</v>
      </c>
      <c r="M4312">
        <v>7304.8469999999998</v>
      </c>
      <c r="N4312">
        <v>7485.0290000000005</v>
      </c>
      <c r="O4312">
        <v>7660.826</v>
      </c>
      <c r="P4312">
        <v>7867.7740000000003</v>
      </c>
      <c r="Q4312">
        <v>8112.866</v>
      </c>
      <c r="R4312">
        <v>8347.6450000000004</v>
      </c>
      <c r="S4312">
        <v>8567.366</v>
      </c>
      <c r="T4312">
        <v>8788.9699999999993</v>
      </c>
      <c r="U4312">
        <v>9013.2360000000008</v>
      </c>
      <c r="V4312">
        <v>9240.1190000000006</v>
      </c>
      <c r="W4312">
        <v>9469.5740000000005</v>
      </c>
      <c r="X4312">
        <v>9701.5529999999999</v>
      </c>
      <c r="Y4312">
        <v>9936.0069999999996</v>
      </c>
      <c r="Z4312">
        <v>10172.888000000001</v>
      </c>
      <c r="AA4312">
        <v>10412.143</v>
      </c>
      <c r="AB4312">
        <v>10653.721</v>
      </c>
      <c r="AC4312">
        <v>10897.566999999999</v>
      </c>
      <c r="AD4312">
        <v>11143.626</v>
      </c>
    </row>
    <row r="4313" spans="2:30" x14ac:dyDescent="0.25">
      <c r="B4313" t="s">
        <v>133</v>
      </c>
      <c r="C4313" t="s">
        <v>3265</v>
      </c>
      <c r="D4313" t="s">
        <v>5243</v>
      </c>
      <c r="E4313" t="s">
        <v>5244</v>
      </c>
      <c r="F4313" t="s">
        <v>9949</v>
      </c>
      <c r="G4313" t="s">
        <v>3890</v>
      </c>
      <c r="H4313" t="s">
        <v>109</v>
      </c>
      <c r="I4313" t="s">
        <v>108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</row>
    <row r="4314" spans="2:30" x14ac:dyDescent="0.25">
      <c r="B4314" t="s">
        <v>133</v>
      </c>
      <c r="C4314" t="s">
        <v>3265</v>
      </c>
      <c r="D4314" t="s">
        <v>5246</v>
      </c>
      <c r="E4314" t="s">
        <v>5247</v>
      </c>
      <c r="F4314" t="s">
        <v>9950</v>
      </c>
      <c r="G4314" t="s">
        <v>3890</v>
      </c>
      <c r="H4314" t="s">
        <v>109</v>
      </c>
      <c r="I4314" t="s">
        <v>108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</row>
    <row r="4315" spans="2:30" x14ac:dyDescent="0.25">
      <c r="B4315" t="s">
        <v>133</v>
      </c>
      <c r="C4315" t="s">
        <v>3265</v>
      </c>
      <c r="D4315" t="s">
        <v>5249</v>
      </c>
      <c r="E4315" t="s">
        <v>5250</v>
      </c>
      <c r="F4315" t="s">
        <v>9951</v>
      </c>
      <c r="G4315" t="s">
        <v>3890</v>
      </c>
      <c r="H4315" t="s">
        <v>109</v>
      </c>
      <c r="I4315" t="s">
        <v>108</v>
      </c>
      <c r="J4315">
        <v>1</v>
      </c>
      <c r="K4315">
        <v>3107.4549999999999</v>
      </c>
      <c r="L4315">
        <v>3427.6979999999999</v>
      </c>
      <c r="M4315">
        <v>4102.9210000000003</v>
      </c>
      <c r="N4315">
        <v>4179.0079999999998</v>
      </c>
      <c r="O4315">
        <v>4252.4840000000004</v>
      </c>
      <c r="P4315">
        <v>4338.8559999999998</v>
      </c>
      <c r="Q4315">
        <v>4440.8180000000002</v>
      </c>
      <c r="R4315">
        <v>4537.2790000000005</v>
      </c>
      <c r="S4315">
        <v>4626.3739999999998</v>
      </c>
      <c r="T4315">
        <v>4715.3950000000004</v>
      </c>
      <c r="U4315">
        <v>4804.6670000000004</v>
      </c>
      <c r="V4315">
        <v>4894.165</v>
      </c>
      <c r="W4315">
        <v>4983.8620000000001</v>
      </c>
      <c r="X4315">
        <v>5073.7340000000004</v>
      </c>
      <c r="Y4315">
        <v>5163.7550000000001</v>
      </c>
      <c r="Z4315">
        <v>5253.9</v>
      </c>
      <c r="AA4315">
        <v>5344.1450000000004</v>
      </c>
      <c r="AB4315">
        <v>5434.4660000000003</v>
      </c>
      <c r="AC4315">
        <v>5524.8370000000004</v>
      </c>
      <c r="AD4315">
        <v>5615.2340000000004</v>
      </c>
    </row>
    <row r="4316" spans="2:30" x14ac:dyDescent="0.25">
      <c r="B4316" t="s">
        <v>133</v>
      </c>
      <c r="C4316" t="s">
        <v>3265</v>
      </c>
      <c r="D4316" t="s">
        <v>5252</v>
      </c>
      <c r="E4316" t="s">
        <v>5253</v>
      </c>
      <c r="F4316" t="s">
        <v>9952</v>
      </c>
      <c r="G4316" t="s">
        <v>3890</v>
      </c>
      <c r="H4316" t="s">
        <v>109</v>
      </c>
      <c r="I4316" t="s">
        <v>108</v>
      </c>
      <c r="J4316">
        <v>1</v>
      </c>
      <c r="K4316">
        <v>2281.8090000000002</v>
      </c>
      <c r="L4316">
        <v>2631.6590000000001</v>
      </c>
      <c r="M4316">
        <v>3201.9259999999999</v>
      </c>
      <c r="N4316">
        <v>3306.0210000000002</v>
      </c>
      <c r="O4316">
        <v>3408.3420000000001</v>
      </c>
      <c r="P4316">
        <v>3528.9180000000001</v>
      </c>
      <c r="Q4316">
        <v>3672.0479999999998</v>
      </c>
      <c r="R4316">
        <v>3810.3670000000002</v>
      </c>
      <c r="S4316">
        <v>3940.9920000000002</v>
      </c>
      <c r="T4316">
        <v>4073.5749999999998</v>
      </c>
      <c r="U4316">
        <v>4208.5680000000002</v>
      </c>
      <c r="V4316">
        <v>4345.9539999999997</v>
      </c>
      <c r="W4316">
        <v>4485.7120000000004</v>
      </c>
      <c r="X4316">
        <v>4627.8190000000004</v>
      </c>
      <c r="Y4316">
        <v>4772.2529999999997</v>
      </c>
      <c r="Z4316">
        <v>4918.9880000000003</v>
      </c>
      <c r="AA4316">
        <v>5067.9979999999996</v>
      </c>
      <c r="AB4316">
        <v>5219.2550000000001</v>
      </c>
      <c r="AC4316">
        <v>5372.73</v>
      </c>
      <c r="AD4316">
        <v>5528.3919999999998</v>
      </c>
    </row>
    <row r="4317" spans="2:30" x14ac:dyDescent="0.25">
      <c r="B4317" t="s">
        <v>133</v>
      </c>
      <c r="C4317" t="s">
        <v>3265</v>
      </c>
      <c r="D4317" t="s">
        <v>5255</v>
      </c>
      <c r="E4317" t="s">
        <v>5256</v>
      </c>
      <c r="F4317" t="s">
        <v>9953</v>
      </c>
      <c r="G4317" t="s">
        <v>3890</v>
      </c>
      <c r="H4317" t="s">
        <v>109</v>
      </c>
      <c r="I4317" t="s">
        <v>108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</row>
    <row r="4318" spans="2:30" x14ac:dyDescent="0.25">
      <c r="B4318" t="s">
        <v>133</v>
      </c>
      <c r="C4318" t="s">
        <v>3265</v>
      </c>
      <c r="D4318" t="s">
        <v>5258</v>
      </c>
      <c r="E4318" t="s">
        <v>5134</v>
      </c>
      <c r="F4318" t="s">
        <v>9914</v>
      </c>
      <c r="G4318" t="s">
        <v>3890</v>
      </c>
      <c r="H4318" t="s">
        <v>109</v>
      </c>
      <c r="I4318" t="s">
        <v>108</v>
      </c>
      <c r="J4318">
        <v>1</v>
      </c>
      <c r="K4318">
        <v>659.322</v>
      </c>
      <c r="L4318">
        <v>771.90700000000004</v>
      </c>
      <c r="M4318">
        <v>857.73800000000006</v>
      </c>
      <c r="N4318">
        <v>889.11699999999996</v>
      </c>
      <c r="O4318">
        <v>920.298</v>
      </c>
      <c r="P4318">
        <v>957.94299999999998</v>
      </c>
      <c r="Q4318">
        <v>1003.823</v>
      </c>
      <c r="R4318">
        <v>1048.83</v>
      </c>
      <c r="S4318">
        <v>1091.8589999999999</v>
      </c>
      <c r="T4318">
        <v>1136.079</v>
      </c>
      <c r="U4318">
        <v>1181.4929999999999</v>
      </c>
      <c r="V4318">
        <v>1228.1030000000001</v>
      </c>
      <c r="W4318">
        <v>1275.9059999999999</v>
      </c>
      <c r="X4318">
        <v>1324.8989999999999</v>
      </c>
      <c r="Y4318">
        <v>1375.079</v>
      </c>
      <c r="Z4318">
        <v>1426.4359999999999</v>
      </c>
      <c r="AA4318">
        <v>1478.963</v>
      </c>
      <c r="AB4318">
        <v>1532.6469999999999</v>
      </c>
      <c r="AC4318">
        <v>1587.4749999999999</v>
      </c>
      <c r="AD4318">
        <v>1643.43</v>
      </c>
    </row>
    <row r="4319" spans="2:30" x14ac:dyDescent="0.25">
      <c r="B4319" t="s">
        <v>133</v>
      </c>
      <c r="C4319" t="s">
        <v>3265</v>
      </c>
      <c r="D4319" t="s">
        <v>5259</v>
      </c>
      <c r="E4319" t="s">
        <v>5260</v>
      </c>
      <c r="F4319" t="s">
        <v>9954</v>
      </c>
      <c r="G4319" t="s">
        <v>3890</v>
      </c>
      <c r="H4319" t="s">
        <v>109</v>
      </c>
      <c r="I4319" t="s">
        <v>108</v>
      </c>
      <c r="J4319">
        <v>1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</row>
    <row r="4320" spans="2:30" x14ac:dyDescent="0.25">
      <c r="B4320" t="s">
        <v>133</v>
      </c>
      <c r="C4320" t="s">
        <v>3265</v>
      </c>
      <c r="D4320" t="s">
        <v>5262</v>
      </c>
      <c r="E4320" t="s">
        <v>5263</v>
      </c>
      <c r="F4320" t="s">
        <v>9955</v>
      </c>
      <c r="G4320" t="s">
        <v>3890</v>
      </c>
      <c r="H4320" t="s">
        <v>109</v>
      </c>
      <c r="I4320" t="s">
        <v>108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</row>
    <row r="4321" spans="2:30" x14ac:dyDescent="0.25">
      <c r="B4321" t="s">
        <v>133</v>
      </c>
      <c r="C4321" t="s">
        <v>3265</v>
      </c>
      <c r="D4321" t="s">
        <v>5265</v>
      </c>
      <c r="E4321" t="s">
        <v>5266</v>
      </c>
      <c r="F4321" t="s">
        <v>9956</v>
      </c>
      <c r="G4321" t="s">
        <v>3890</v>
      </c>
      <c r="H4321" t="s">
        <v>109</v>
      </c>
      <c r="I4321" t="s">
        <v>108</v>
      </c>
      <c r="J4321">
        <v>1</v>
      </c>
      <c r="K4321">
        <v>3</v>
      </c>
      <c r="L4321">
        <v>3.181</v>
      </c>
      <c r="M4321">
        <v>3.6320000000000001</v>
      </c>
      <c r="N4321">
        <v>3.7050000000000001</v>
      </c>
      <c r="O4321">
        <v>3.7759999999999998</v>
      </c>
      <c r="P4321">
        <v>3.859</v>
      </c>
      <c r="Q4321">
        <v>3.9569999999999999</v>
      </c>
      <c r="R4321">
        <v>4.0510000000000002</v>
      </c>
      <c r="S4321">
        <v>4.1369999999999996</v>
      </c>
      <c r="T4321">
        <v>4.2240000000000002</v>
      </c>
      <c r="U4321">
        <v>4.3120000000000003</v>
      </c>
      <c r="V4321">
        <v>4.399</v>
      </c>
      <c r="W4321">
        <v>4.4880000000000004</v>
      </c>
      <c r="X4321">
        <v>4.5759999999999996</v>
      </c>
      <c r="Y4321">
        <v>4.665</v>
      </c>
      <c r="Z4321">
        <v>4.7549999999999999</v>
      </c>
      <c r="AA4321">
        <v>4.8449999999999998</v>
      </c>
      <c r="AB4321">
        <v>4.9349999999999996</v>
      </c>
      <c r="AC4321">
        <v>5.0259999999999998</v>
      </c>
      <c r="AD4321">
        <v>5.117</v>
      </c>
    </row>
    <row r="4322" spans="2:30" x14ac:dyDescent="0.25">
      <c r="B4322" t="s">
        <v>133</v>
      </c>
      <c r="C4322" t="s">
        <v>3265</v>
      </c>
      <c r="D4322" t="s">
        <v>5268</v>
      </c>
      <c r="E4322" t="s">
        <v>5269</v>
      </c>
      <c r="F4322" t="s">
        <v>9957</v>
      </c>
      <c r="G4322" t="s">
        <v>3890</v>
      </c>
      <c r="H4322" t="s">
        <v>109</v>
      </c>
      <c r="I4322" t="s">
        <v>108</v>
      </c>
      <c r="J4322">
        <v>1</v>
      </c>
      <c r="K4322">
        <v>4</v>
      </c>
      <c r="L4322">
        <v>4.3959999999999999</v>
      </c>
      <c r="M4322">
        <v>5.07</v>
      </c>
      <c r="N4322">
        <v>5.234</v>
      </c>
      <c r="O4322">
        <v>5.3959999999999999</v>
      </c>
      <c r="P4322">
        <v>5.5869999999999997</v>
      </c>
      <c r="Q4322">
        <v>5.8140000000000001</v>
      </c>
      <c r="R4322">
        <v>6.0330000000000004</v>
      </c>
      <c r="S4322">
        <v>6.24</v>
      </c>
      <c r="T4322">
        <v>6.45</v>
      </c>
      <c r="U4322">
        <v>6.6630000000000003</v>
      </c>
      <c r="V4322">
        <v>6.8810000000000002</v>
      </c>
      <c r="W4322">
        <v>7.1020000000000003</v>
      </c>
      <c r="X4322">
        <v>7.327</v>
      </c>
      <c r="Y4322">
        <v>7.556</v>
      </c>
      <c r="Z4322">
        <v>7.7880000000000003</v>
      </c>
      <c r="AA4322">
        <v>8.0239999999999991</v>
      </c>
      <c r="AB4322">
        <v>8.2629999999999999</v>
      </c>
      <c r="AC4322">
        <v>8.5060000000000002</v>
      </c>
      <c r="AD4322">
        <v>8.7530000000000001</v>
      </c>
    </row>
    <row r="4323" spans="2:30" x14ac:dyDescent="0.25">
      <c r="B4323" t="s">
        <v>133</v>
      </c>
      <c r="C4323" t="s">
        <v>3265</v>
      </c>
      <c r="D4323" t="s">
        <v>5271</v>
      </c>
      <c r="E4323" t="s">
        <v>5272</v>
      </c>
      <c r="F4323" t="s">
        <v>9958</v>
      </c>
      <c r="G4323" t="s">
        <v>3890</v>
      </c>
      <c r="H4323" t="s">
        <v>109</v>
      </c>
      <c r="I4323" t="s">
        <v>108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</row>
    <row r="4324" spans="2:30" x14ac:dyDescent="0.25">
      <c r="B4324" t="s">
        <v>133</v>
      </c>
      <c r="C4324" t="s">
        <v>3265</v>
      </c>
      <c r="D4324" t="s">
        <v>5274</v>
      </c>
      <c r="E4324" t="s">
        <v>5122</v>
      </c>
      <c r="F4324" t="s">
        <v>9910</v>
      </c>
      <c r="G4324" t="s">
        <v>3890</v>
      </c>
      <c r="H4324" t="s">
        <v>109</v>
      </c>
      <c r="I4324" t="s">
        <v>108</v>
      </c>
      <c r="J4324">
        <v>1</v>
      </c>
      <c r="K4324">
        <v>7688.0550000000003</v>
      </c>
      <c r="L4324">
        <v>7378.8829999999998</v>
      </c>
      <c r="M4324">
        <v>7817.37</v>
      </c>
      <c r="N4324">
        <v>9960.232</v>
      </c>
      <c r="O4324">
        <v>9985.7199999999993</v>
      </c>
      <c r="P4324">
        <v>10027.691000000001</v>
      </c>
      <c r="Q4324">
        <v>10091.909</v>
      </c>
      <c r="R4324">
        <v>10158.418</v>
      </c>
      <c r="S4324">
        <v>10221.422</v>
      </c>
      <c r="T4324">
        <v>10290.624</v>
      </c>
      <c r="U4324">
        <v>10367.221</v>
      </c>
      <c r="V4324">
        <v>10451.206</v>
      </c>
      <c r="W4324">
        <v>10543.242</v>
      </c>
      <c r="X4324">
        <v>10643.495000000001</v>
      </c>
      <c r="Y4324">
        <v>10752.409</v>
      </c>
      <c r="Z4324">
        <v>10870.213</v>
      </c>
      <c r="AA4324">
        <v>10997.34</v>
      </c>
      <c r="AB4324">
        <v>11134.334000000001</v>
      </c>
      <c r="AC4324">
        <v>11281.462</v>
      </c>
      <c r="AD4324">
        <v>11439.184999999999</v>
      </c>
    </row>
    <row r="4325" spans="2:30" x14ac:dyDescent="0.25">
      <c r="B4325" t="s">
        <v>133</v>
      </c>
      <c r="C4325" t="s">
        <v>3265</v>
      </c>
      <c r="D4325" t="s">
        <v>5275</v>
      </c>
      <c r="E4325" t="s">
        <v>5276</v>
      </c>
      <c r="F4325" t="s">
        <v>9959</v>
      </c>
      <c r="G4325" t="s">
        <v>3890</v>
      </c>
      <c r="H4325" t="s">
        <v>109</v>
      </c>
      <c r="I4325" t="s">
        <v>108</v>
      </c>
      <c r="J4325">
        <v>1</v>
      </c>
      <c r="K4325">
        <v>4691.6719999999996</v>
      </c>
      <c r="L4325">
        <v>4563.5690000000004</v>
      </c>
      <c r="M4325">
        <v>4433.1809999999996</v>
      </c>
      <c r="N4325">
        <v>5360.8990000000003</v>
      </c>
      <c r="O4325">
        <v>5250.1549999999997</v>
      </c>
      <c r="P4325">
        <v>5131.3339999999998</v>
      </c>
      <c r="Q4325">
        <v>5004.4269999999997</v>
      </c>
      <c r="R4325">
        <v>4886.4279999999999</v>
      </c>
      <c r="S4325">
        <v>4775.4219999999996</v>
      </c>
      <c r="T4325">
        <v>4668.0879999999997</v>
      </c>
      <c r="U4325">
        <v>4565.0140000000001</v>
      </c>
      <c r="V4325">
        <v>4466.22</v>
      </c>
      <c r="W4325">
        <v>4372.3999999999996</v>
      </c>
      <c r="X4325">
        <v>4283.7539999999999</v>
      </c>
      <c r="Y4325">
        <v>4200.7560000000003</v>
      </c>
      <c r="Z4325">
        <v>4123.674</v>
      </c>
      <c r="AA4325">
        <v>4052.9780000000001</v>
      </c>
      <c r="AB4325">
        <v>3989.2510000000002</v>
      </c>
      <c r="AC4325">
        <v>3932.8040000000001</v>
      </c>
      <c r="AD4325">
        <v>3884.1390000000001</v>
      </c>
    </row>
    <row r="4326" spans="2:30" x14ac:dyDescent="0.25">
      <c r="B4326" t="s">
        <v>133</v>
      </c>
      <c r="C4326" t="s">
        <v>3265</v>
      </c>
      <c r="D4326" t="s">
        <v>5278</v>
      </c>
      <c r="E4326" t="s">
        <v>5279</v>
      </c>
      <c r="F4326" t="s">
        <v>9960</v>
      </c>
      <c r="G4326" t="s">
        <v>3890</v>
      </c>
      <c r="H4326" t="s">
        <v>109</v>
      </c>
      <c r="I4326" t="s">
        <v>108</v>
      </c>
      <c r="J4326">
        <v>1</v>
      </c>
      <c r="K4326">
        <v>271.34100000000001</v>
      </c>
      <c r="L4326">
        <v>251.108</v>
      </c>
      <c r="M4326">
        <v>298.85899999999998</v>
      </c>
      <c r="N4326">
        <v>395.57299999999998</v>
      </c>
      <c r="O4326">
        <v>406.19900000000001</v>
      </c>
      <c r="P4326">
        <v>418.90199999999999</v>
      </c>
      <c r="Q4326">
        <v>434.16399999999999</v>
      </c>
      <c r="R4326">
        <v>448.73200000000003</v>
      </c>
      <c r="S4326">
        <v>462.27499999999998</v>
      </c>
      <c r="T4326">
        <v>475.93200000000002</v>
      </c>
      <c r="U4326">
        <v>489.75400000000002</v>
      </c>
      <c r="V4326">
        <v>503.73700000000002</v>
      </c>
      <c r="W4326">
        <v>517.875</v>
      </c>
      <c r="X4326">
        <v>532.16300000000001</v>
      </c>
      <c r="Y4326">
        <v>546.59500000000003</v>
      </c>
      <c r="Z4326">
        <v>561.16800000000001</v>
      </c>
      <c r="AA4326">
        <v>575.875</v>
      </c>
      <c r="AB4326">
        <v>590.71100000000001</v>
      </c>
      <c r="AC4326">
        <v>605.66999999999996</v>
      </c>
      <c r="AD4326">
        <v>620.74699999999996</v>
      </c>
    </row>
    <row r="4327" spans="2:30" x14ac:dyDescent="0.25">
      <c r="B4327" t="s">
        <v>133</v>
      </c>
      <c r="C4327" t="s">
        <v>3265</v>
      </c>
      <c r="D4327" t="s">
        <v>5281</v>
      </c>
      <c r="E4327" t="s">
        <v>5282</v>
      </c>
      <c r="F4327" t="s">
        <v>9961</v>
      </c>
      <c r="G4327" t="s">
        <v>3890</v>
      </c>
      <c r="H4327" t="s">
        <v>109</v>
      </c>
      <c r="I4327" t="s">
        <v>108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</row>
    <row r="4328" spans="2:30" x14ac:dyDescent="0.25">
      <c r="B4328" t="s">
        <v>133</v>
      </c>
      <c r="C4328" t="s">
        <v>3265</v>
      </c>
      <c r="D4328" t="s">
        <v>5284</v>
      </c>
      <c r="E4328" t="s">
        <v>5285</v>
      </c>
      <c r="F4328" t="s">
        <v>9962</v>
      </c>
      <c r="G4328" t="s">
        <v>3890</v>
      </c>
      <c r="H4328" t="s">
        <v>109</v>
      </c>
      <c r="I4328" t="s">
        <v>108</v>
      </c>
      <c r="J4328">
        <v>1</v>
      </c>
      <c r="K4328">
        <v>2631.7759999999998</v>
      </c>
      <c r="L4328">
        <v>2478.98</v>
      </c>
      <c r="M4328">
        <v>2984.6860000000001</v>
      </c>
      <c r="N4328">
        <v>4071.1979999999999</v>
      </c>
      <c r="O4328">
        <v>4197.2</v>
      </c>
      <c r="P4328">
        <v>4345.6840000000002</v>
      </c>
      <c r="Q4328">
        <v>4521.9409999999998</v>
      </c>
      <c r="R4328">
        <v>4692.2730000000001</v>
      </c>
      <c r="S4328">
        <v>4853.1319999999996</v>
      </c>
      <c r="T4328">
        <v>5016.4009999999998</v>
      </c>
      <c r="U4328">
        <v>5182.6390000000001</v>
      </c>
      <c r="V4328">
        <v>5351.8220000000001</v>
      </c>
      <c r="W4328">
        <v>5523.9269999999997</v>
      </c>
      <c r="X4328">
        <v>5698.9250000000002</v>
      </c>
      <c r="Y4328">
        <v>5876.7870000000003</v>
      </c>
      <c r="Z4328">
        <v>6057.4840000000004</v>
      </c>
      <c r="AA4328">
        <v>6240.982</v>
      </c>
      <c r="AB4328">
        <v>6427.2479999999996</v>
      </c>
      <c r="AC4328">
        <v>6616.2449999999999</v>
      </c>
      <c r="AD4328">
        <v>6807.9340000000002</v>
      </c>
    </row>
    <row r="4329" spans="2:30" x14ac:dyDescent="0.25">
      <c r="B4329" t="s">
        <v>133</v>
      </c>
      <c r="C4329" t="s">
        <v>3265</v>
      </c>
      <c r="D4329" t="s">
        <v>5287</v>
      </c>
      <c r="E4329" t="s">
        <v>5288</v>
      </c>
      <c r="F4329" t="s">
        <v>9963</v>
      </c>
      <c r="G4329" t="s">
        <v>3890</v>
      </c>
      <c r="H4329" t="s">
        <v>109</v>
      </c>
      <c r="I4329" t="s">
        <v>108</v>
      </c>
      <c r="J4329">
        <v>1</v>
      </c>
      <c r="K4329">
        <v>93.265000000000001</v>
      </c>
      <c r="L4329">
        <v>85.225999999999999</v>
      </c>
      <c r="M4329">
        <v>100.645</v>
      </c>
      <c r="N4329">
        <v>132.56200000000001</v>
      </c>
      <c r="O4329">
        <v>132.166</v>
      </c>
      <c r="P4329">
        <v>131.77099999999999</v>
      </c>
      <c r="Q4329">
        <v>131.37799999999999</v>
      </c>
      <c r="R4329">
        <v>130.98500000000001</v>
      </c>
      <c r="S4329">
        <v>130.59399999999999</v>
      </c>
      <c r="T4329">
        <v>130.203</v>
      </c>
      <c r="U4329">
        <v>129.81399999999999</v>
      </c>
      <c r="V4329">
        <v>129.42599999999999</v>
      </c>
      <c r="W4329">
        <v>129.04</v>
      </c>
      <c r="X4329">
        <v>128.654</v>
      </c>
      <c r="Y4329">
        <v>128.27000000000001</v>
      </c>
      <c r="Z4329">
        <v>127.886</v>
      </c>
      <c r="AA4329">
        <v>127.504</v>
      </c>
      <c r="AB4329">
        <v>127.123</v>
      </c>
      <c r="AC4329">
        <v>126.74299999999999</v>
      </c>
      <c r="AD4329">
        <v>126.36499999999999</v>
      </c>
    </row>
    <row r="4330" spans="2:30" x14ac:dyDescent="0.25">
      <c r="B4330" t="s">
        <v>133</v>
      </c>
      <c r="C4330" t="s">
        <v>3265</v>
      </c>
      <c r="D4330" t="s">
        <v>5290</v>
      </c>
      <c r="E4330" t="s">
        <v>5291</v>
      </c>
      <c r="F4330" t="s">
        <v>9964</v>
      </c>
      <c r="G4330" t="s">
        <v>3890</v>
      </c>
      <c r="H4330" t="s">
        <v>109</v>
      </c>
      <c r="I4330" t="s">
        <v>108</v>
      </c>
      <c r="J4330">
        <v>1</v>
      </c>
      <c r="K4330">
        <v>80943.887000000002</v>
      </c>
      <c r="L4330">
        <v>79043.572</v>
      </c>
      <c r="M4330">
        <v>89446.432000000001</v>
      </c>
      <c r="N4330">
        <v>92506.974000000002</v>
      </c>
      <c r="O4330">
        <v>93053.847999999998</v>
      </c>
      <c r="P4330">
        <v>95277.157000000007</v>
      </c>
      <c r="Q4330">
        <v>99117.822</v>
      </c>
      <c r="R4330">
        <v>103220.34</v>
      </c>
      <c r="S4330">
        <v>107490.758</v>
      </c>
      <c r="T4330">
        <v>112241.56</v>
      </c>
      <c r="U4330">
        <v>117319.901</v>
      </c>
      <c r="V4330">
        <v>122798.42200000001</v>
      </c>
      <c r="W4330">
        <v>128640.893</v>
      </c>
      <c r="X4330">
        <v>134893.46599999999</v>
      </c>
      <c r="Y4330">
        <v>141544.65</v>
      </c>
      <c r="Z4330">
        <v>148675.48000000001</v>
      </c>
      <c r="AA4330">
        <v>156326.47200000001</v>
      </c>
      <c r="AB4330">
        <v>164563.21100000001</v>
      </c>
      <c r="AC4330">
        <v>173463.878</v>
      </c>
      <c r="AD4330">
        <v>182552.492</v>
      </c>
    </row>
    <row r="4331" spans="2:30" x14ac:dyDescent="0.25">
      <c r="B4331" t="s">
        <v>133</v>
      </c>
      <c r="C4331" t="s">
        <v>3265</v>
      </c>
      <c r="D4331" t="s">
        <v>5293</v>
      </c>
      <c r="E4331" t="s">
        <v>5143</v>
      </c>
      <c r="F4331" t="s">
        <v>9917</v>
      </c>
      <c r="G4331" t="s">
        <v>3890</v>
      </c>
      <c r="H4331" t="s">
        <v>109</v>
      </c>
      <c r="I4331" t="s">
        <v>108</v>
      </c>
      <c r="J4331">
        <v>1</v>
      </c>
      <c r="K4331">
        <v>1529.27</v>
      </c>
      <c r="L4331">
        <v>1206.73</v>
      </c>
      <c r="M4331">
        <v>1313.405</v>
      </c>
      <c r="N4331">
        <v>1308.827</v>
      </c>
      <c r="O4331">
        <v>1304.2660000000001</v>
      </c>
      <c r="P4331">
        <v>1299.72</v>
      </c>
      <c r="Q4331">
        <v>1295.19</v>
      </c>
      <c r="R4331">
        <v>1290.6759999999999</v>
      </c>
      <c r="S4331">
        <v>1286.1780000000001</v>
      </c>
      <c r="T4331">
        <v>1281.6949999999999</v>
      </c>
      <c r="U4331">
        <v>1277.2280000000001</v>
      </c>
      <c r="V4331">
        <v>1272.777</v>
      </c>
      <c r="W4331">
        <v>1268.3409999999999</v>
      </c>
      <c r="X4331">
        <v>1263.921</v>
      </c>
      <c r="Y4331">
        <v>1259.5160000000001</v>
      </c>
      <c r="Z4331">
        <v>1255.126</v>
      </c>
      <c r="AA4331">
        <v>1250.752</v>
      </c>
      <c r="AB4331">
        <v>1246.393</v>
      </c>
      <c r="AC4331">
        <v>1242.049</v>
      </c>
      <c r="AD4331">
        <v>1237.72</v>
      </c>
    </row>
    <row r="4332" spans="2:30" x14ac:dyDescent="0.25">
      <c r="B4332" t="s">
        <v>133</v>
      </c>
      <c r="C4332" t="s">
        <v>3265</v>
      </c>
      <c r="D4332" t="s">
        <v>5294</v>
      </c>
      <c r="E4332" t="s">
        <v>5295</v>
      </c>
      <c r="F4332" t="s">
        <v>9965</v>
      </c>
      <c r="G4332" t="s">
        <v>3890</v>
      </c>
      <c r="H4332" t="s">
        <v>109</v>
      </c>
      <c r="I4332" t="s">
        <v>108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</row>
    <row r="4333" spans="2:30" x14ac:dyDescent="0.25">
      <c r="B4333" t="s">
        <v>133</v>
      </c>
      <c r="C4333" t="s">
        <v>3265</v>
      </c>
      <c r="D4333" t="s">
        <v>5297</v>
      </c>
      <c r="E4333" t="s">
        <v>5298</v>
      </c>
      <c r="F4333" t="s">
        <v>9966</v>
      </c>
      <c r="G4333" t="s">
        <v>3890</v>
      </c>
      <c r="H4333" t="s">
        <v>109</v>
      </c>
      <c r="I4333" t="s">
        <v>108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</row>
    <row r="4334" spans="2:30" x14ac:dyDescent="0.25">
      <c r="B4334" t="s">
        <v>133</v>
      </c>
      <c r="C4334" t="s">
        <v>3265</v>
      </c>
      <c r="D4334" t="s">
        <v>5300</v>
      </c>
      <c r="E4334" t="s">
        <v>5301</v>
      </c>
      <c r="F4334" t="s">
        <v>9967</v>
      </c>
      <c r="G4334" t="s">
        <v>3890</v>
      </c>
      <c r="H4334" t="s">
        <v>109</v>
      </c>
      <c r="I4334" t="s">
        <v>108</v>
      </c>
      <c r="J4334">
        <v>1</v>
      </c>
      <c r="K4334">
        <v>1529.27</v>
      </c>
      <c r="L4334">
        <v>1206.73</v>
      </c>
      <c r="M4334">
        <v>1313.405</v>
      </c>
      <c r="N4334">
        <v>1308.827</v>
      </c>
      <c r="O4334">
        <v>1304.2660000000001</v>
      </c>
      <c r="P4334">
        <v>1299.72</v>
      </c>
      <c r="Q4334">
        <v>1295.19</v>
      </c>
      <c r="R4334">
        <v>1290.6759999999999</v>
      </c>
      <c r="S4334">
        <v>1286.1780000000001</v>
      </c>
      <c r="T4334">
        <v>1281.6949999999999</v>
      </c>
      <c r="U4334">
        <v>1277.2280000000001</v>
      </c>
      <c r="V4334">
        <v>1272.777</v>
      </c>
      <c r="W4334">
        <v>1268.3409999999999</v>
      </c>
      <c r="X4334">
        <v>1263.921</v>
      </c>
      <c r="Y4334">
        <v>1259.5160000000001</v>
      </c>
      <c r="Z4334">
        <v>1255.126</v>
      </c>
      <c r="AA4334">
        <v>1250.752</v>
      </c>
      <c r="AB4334">
        <v>1246.393</v>
      </c>
      <c r="AC4334">
        <v>1242.049</v>
      </c>
      <c r="AD4334">
        <v>1237.72</v>
      </c>
    </row>
    <row r="4335" spans="2:30" x14ac:dyDescent="0.25">
      <c r="B4335" t="s">
        <v>133</v>
      </c>
      <c r="C4335" t="s">
        <v>3265</v>
      </c>
      <c r="D4335" t="s">
        <v>5303</v>
      </c>
      <c r="E4335" t="s">
        <v>5304</v>
      </c>
      <c r="F4335" t="s">
        <v>9968</v>
      </c>
      <c r="G4335" t="s">
        <v>3890</v>
      </c>
      <c r="H4335" t="s">
        <v>109</v>
      </c>
      <c r="I4335" t="s">
        <v>108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</row>
    <row r="4336" spans="2:30" x14ac:dyDescent="0.25">
      <c r="B4336" t="s">
        <v>133</v>
      </c>
      <c r="C4336" t="s">
        <v>3265</v>
      </c>
      <c r="D4336" t="s">
        <v>5306</v>
      </c>
      <c r="E4336" t="s">
        <v>5307</v>
      </c>
      <c r="F4336" t="s">
        <v>9969</v>
      </c>
      <c r="G4336" t="s">
        <v>3890</v>
      </c>
      <c r="H4336" t="s">
        <v>109</v>
      </c>
      <c r="I4336" t="s">
        <v>108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</row>
    <row r="4337" spans="2:30" x14ac:dyDescent="0.25">
      <c r="B4337" t="s">
        <v>133</v>
      </c>
      <c r="C4337" t="s">
        <v>3265</v>
      </c>
      <c r="D4337" t="s">
        <v>5309</v>
      </c>
      <c r="E4337" t="s">
        <v>5113</v>
      </c>
      <c r="F4337" t="s">
        <v>9907</v>
      </c>
      <c r="G4337" t="s">
        <v>3890</v>
      </c>
      <c r="H4337" t="s">
        <v>109</v>
      </c>
      <c r="I4337" t="s">
        <v>108</v>
      </c>
      <c r="J4337">
        <v>1</v>
      </c>
      <c r="K4337">
        <v>84652.786999999997</v>
      </c>
      <c r="L4337">
        <v>82602.623000000007</v>
      </c>
      <c r="M4337">
        <v>93073.75</v>
      </c>
      <c r="N4337">
        <v>97658.462</v>
      </c>
      <c r="O4337">
        <v>99875.3</v>
      </c>
      <c r="P4337">
        <v>102716.353</v>
      </c>
      <c r="Q4337">
        <v>106863.671</v>
      </c>
      <c r="R4337">
        <v>111399.796</v>
      </c>
      <c r="S4337">
        <v>116199.088</v>
      </c>
      <c r="T4337">
        <v>121504.19100000001</v>
      </c>
      <c r="U4337">
        <v>127151.178</v>
      </c>
      <c r="V4337">
        <v>133218.09599999999</v>
      </c>
      <c r="W4337">
        <v>139690.15299999999</v>
      </c>
      <c r="X4337">
        <v>146624.323</v>
      </c>
      <c r="Y4337">
        <v>154026.609</v>
      </c>
      <c r="Z4337">
        <v>161987.94099999999</v>
      </c>
      <c r="AA4337">
        <v>170568.73300000001</v>
      </c>
      <c r="AB4337">
        <v>179854.755</v>
      </c>
      <c r="AC4337">
        <v>189930.576</v>
      </c>
      <c r="AD4337">
        <v>200449.89</v>
      </c>
    </row>
    <row r="4338" spans="2:30" x14ac:dyDescent="0.25">
      <c r="B4338" t="s">
        <v>133</v>
      </c>
      <c r="C4338" t="s">
        <v>3265</v>
      </c>
      <c r="D4338" t="s">
        <v>5310</v>
      </c>
      <c r="E4338" t="s">
        <v>5116</v>
      </c>
      <c r="F4338" t="s">
        <v>9908</v>
      </c>
      <c r="G4338" t="s">
        <v>3890</v>
      </c>
      <c r="H4338" t="s">
        <v>109</v>
      </c>
      <c r="I4338" t="s">
        <v>108</v>
      </c>
      <c r="J4338">
        <v>1</v>
      </c>
      <c r="K4338">
        <v>1651.0930000000001</v>
      </c>
      <c r="L4338">
        <v>1545.134</v>
      </c>
      <c r="M4338">
        <v>1836.8230000000001</v>
      </c>
      <c r="N4338">
        <v>1975.171</v>
      </c>
      <c r="O4338">
        <v>2006.8579999999999</v>
      </c>
      <c r="P4338">
        <v>2038.454</v>
      </c>
      <c r="Q4338">
        <v>2090.7600000000002</v>
      </c>
      <c r="R4338">
        <v>2141.0300000000002</v>
      </c>
      <c r="S4338">
        <v>2188.41</v>
      </c>
      <c r="T4338">
        <v>2235.8040000000001</v>
      </c>
      <c r="U4338">
        <v>2278.1129999999998</v>
      </c>
      <c r="V4338">
        <v>2320.529</v>
      </c>
      <c r="W4338">
        <v>2363.0390000000002</v>
      </c>
      <c r="X4338">
        <v>2405.6320000000001</v>
      </c>
      <c r="Y4338">
        <v>2448.2950000000001</v>
      </c>
      <c r="Z4338">
        <v>2491.0169999999998</v>
      </c>
      <c r="AA4338">
        <v>2533.7860000000001</v>
      </c>
      <c r="AB4338">
        <v>2576.5909999999999</v>
      </c>
      <c r="AC4338">
        <v>2619.4189999999999</v>
      </c>
      <c r="AD4338">
        <v>2662.26</v>
      </c>
    </row>
    <row r="4339" spans="2:30" x14ac:dyDescent="0.25">
      <c r="B4339" t="s">
        <v>133</v>
      </c>
      <c r="C4339" t="s">
        <v>3265</v>
      </c>
      <c r="D4339" t="s">
        <v>5311</v>
      </c>
      <c r="E4339" t="s">
        <v>5119</v>
      </c>
      <c r="F4339" t="s">
        <v>9909</v>
      </c>
      <c r="G4339" t="s">
        <v>3890</v>
      </c>
      <c r="H4339" t="s">
        <v>109</v>
      </c>
      <c r="I4339" t="s">
        <v>108</v>
      </c>
      <c r="J4339">
        <v>1</v>
      </c>
      <c r="K4339">
        <v>42937.004999999997</v>
      </c>
      <c r="L4339">
        <v>39972.089</v>
      </c>
      <c r="M4339">
        <v>47160.224000000002</v>
      </c>
      <c r="N4339">
        <v>48233.159</v>
      </c>
      <c r="O4339">
        <v>47662.413</v>
      </c>
      <c r="P4339">
        <v>47791.322</v>
      </c>
      <c r="Q4339">
        <v>49278.682000000001</v>
      </c>
      <c r="R4339">
        <v>50899.313000000002</v>
      </c>
      <c r="S4339">
        <v>52357.773000000001</v>
      </c>
      <c r="T4339">
        <v>53867.593000000001</v>
      </c>
      <c r="U4339">
        <v>55466.71</v>
      </c>
      <c r="V4339">
        <v>57238.966</v>
      </c>
      <c r="W4339">
        <v>59179.911999999997</v>
      </c>
      <c r="X4339">
        <v>61338.946000000004</v>
      </c>
      <c r="Y4339">
        <v>63721.597999999998</v>
      </c>
      <c r="Z4339">
        <v>66384.604000000007</v>
      </c>
      <c r="AA4339">
        <v>69370.457999999999</v>
      </c>
      <c r="AB4339">
        <v>72742.524000000005</v>
      </c>
      <c r="AC4339">
        <v>76574.815000000002</v>
      </c>
      <c r="AD4339">
        <v>80432.479999999996</v>
      </c>
    </row>
    <row r="4340" spans="2:30" x14ac:dyDescent="0.25">
      <c r="B4340" t="s">
        <v>133</v>
      </c>
      <c r="C4340" t="s">
        <v>3265</v>
      </c>
      <c r="D4340" t="s">
        <v>5312</v>
      </c>
      <c r="E4340" t="s">
        <v>5122</v>
      </c>
      <c r="F4340" t="s">
        <v>9910</v>
      </c>
      <c r="G4340" t="s">
        <v>3890</v>
      </c>
      <c r="H4340" t="s">
        <v>109</v>
      </c>
      <c r="I4340" t="s">
        <v>108</v>
      </c>
      <c r="J4340">
        <v>1</v>
      </c>
      <c r="K4340">
        <v>7688.0550000000003</v>
      </c>
      <c r="L4340">
        <v>7378.8829999999998</v>
      </c>
      <c r="M4340">
        <v>7817.37</v>
      </c>
      <c r="N4340">
        <v>9960.232</v>
      </c>
      <c r="O4340">
        <v>9985.7199999999993</v>
      </c>
      <c r="P4340">
        <v>10027.691000000001</v>
      </c>
      <c r="Q4340">
        <v>10091.909</v>
      </c>
      <c r="R4340">
        <v>10158.418</v>
      </c>
      <c r="S4340">
        <v>10221.422</v>
      </c>
      <c r="T4340">
        <v>10290.624</v>
      </c>
      <c r="U4340">
        <v>10367.221</v>
      </c>
      <c r="V4340">
        <v>10451.206</v>
      </c>
      <c r="W4340">
        <v>10543.242</v>
      </c>
      <c r="X4340">
        <v>10643.495000000001</v>
      </c>
      <c r="Y4340">
        <v>10752.409</v>
      </c>
      <c r="Z4340">
        <v>10870.213</v>
      </c>
      <c r="AA4340">
        <v>10997.34</v>
      </c>
      <c r="AB4340">
        <v>11134.334000000001</v>
      </c>
      <c r="AC4340">
        <v>11281.462</v>
      </c>
      <c r="AD4340">
        <v>11439.184999999999</v>
      </c>
    </row>
    <row r="4341" spans="2:30" x14ac:dyDescent="0.25">
      <c r="B4341" t="s">
        <v>133</v>
      </c>
      <c r="C4341" t="s">
        <v>3265</v>
      </c>
      <c r="D4341" t="s">
        <v>5313</v>
      </c>
      <c r="E4341" t="s">
        <v>5125</v>
      </c>
      <c r="F4341" t="s">
        <v>9911</v>
      </c>
      <c r="G4341" t="s">
        <v>3890</v>
      </c>
      <c r="H4341" t="s">
        <v>109</v>
      </c>
      <c r="I4341" t="s">
        <v>108</v>
      </c>
      <c r="J4341">
        <v>1</v>
      </c>
      <c r="K4341">
        <v>7404.3140000000003</v>
      </c>
      <c r="L4341">
        <v>7147.93</v>
      </c>
      <c r="M4341">
        <v>7001.1750000000002</v>
      </c>
      <c r="N4341">
        <v>6753.6639999999998</v>
      </c>
      <c r="O4341">
        <v>6886.5370000000003</v>
      </c>
      <c r="P4341">
        <v>7548.8450000000003</v>
      </c>
      <c r="Q4341">
        <v>8264.5689999999995</v>
      </c>
      <c r="R4341">
        <v>9039.0759999999991</v>
      </c>
      <c r="S4341">
        <v>9962.8960000000006</v>
      </c>
      <c r="T4341">
        <v>11054.998</v>
      </c>
      <c r="U4341">
        <v>12234.905000000001</v>
      </c>
      <c r="V4341">
        <v>13496.28</v>
      </c>
      <c r="W4341" s="190">
        <v>14832.477999999999</v>
      </c>
      <c r="X4341">
        <v>16236.264999999999</v>
      </c>
      <c r="Y4341">
        <v>17698.236000000001</v>
      </c>
      <c r="Z4341">
        <v>19231.580999999998</v>
      </c>
      <c r="AA4341">
        <v>20833.865000000002</v>
      </c>
      <c r="AB4341">
        <v>22502.576000000001</v>
      </c>
      <c r="AC4341">
        <v>24236.007000000001</v>
      </c>
      <c r="AD4341">
        <v>26000.738000000001</v>
      </c>
    </row>
    <row r="4342" spans="2:30" x14ac:dyDescent="0.25">
      <c r="B4342" t="s">
        <v>133</v>
      </c>
      <c r="C4342" t="s">
        <v>3265</v>
      </c>
      <c r="D4342" t="s">
        <v>5314</v>
      </c>
      <c r="E4342" t="s">
        <v>5128</v>
      </c>
      <c r="F4342" t="s">
        <v>9912</v>
      </c>
      <c r="G4342" t="s">
        <v>3890</v>
      </c>
      <c r="H4342" t="s">
        <v>109</v>
      </c>
      <c r="I4342" t="s">
        <v>108</v>
      </c>
      <c r="J4342">
        <v>1</v>
      </c>
      <c r="K4342">
        <v>15214.834999999999</v>
      </c>
      <c r="L4342">
        <v>16168.272999999999</v>
      </c>
      <c r="M4342">
        <v>17468.254000000001</v>
      </c>
      <c r="N4342">
        <v>17210.601999999999</v>
      </c>
      <c r="O4342">
        <v>17931.196</v>
      </c>
      <c r="P4342">
        <v>19045.128000000001</v>
      </c>
      <c r="Q4342">
        <v>20275.215</v>
      </c>
      <c r="R4342">
        <v>21586.026999999998</v>
      </c>
      <c r="S4342">
        <v>23101.032999999999</v>
      </c>
      <c r="T4342">
        <v>24867.491999999998</v>
      </c>
      <c r="U4342">
        <v>26778.222000000002</v>
      </c>
      <c r="V4342">
        <v>28823.22</v>
      </c>
      <c r="W4342">
        <v>30976.742999999999</v>
      </c>
      <c r="X4342">
        <v>33242.675999999999</v>
      </c>
      <c r="Y4342">
        <v>35613.025999999998</v>
      </c>
      <c r="Z4342">
        <v>38098.741000000002</v>
      </c>
      <c r="AA4342">
        <v>40699.917000000001</v>
      </c>
      <c r="AB4342">
        <v>43420.819000000003</v>
      </c>
      <c r="AC4342">
        <v>46267.131999999998</v>
      </c>
      <c r="AD4342">
        <v>49230.773999999998</v>
      </c>
    </row>
    <row r="4343" spans="2:30" x14ac:dyDescent="0.25">
      <c r="B4343" t="s">
        <v>133</v>
      </c>
      <c r="C4343" t="s">
        <v>3265</v>
      </c>
      <c r="D4343" t="s">
        <v>5315</v>
      </c>
      <c r="E4343" t="s">
        <v>5131</v>
      </c>
      <c r="F4343" t="s">
        <v>9913</v>
      </c>
      <c r="G4343" t="s">
        <v>3890</v>
      </c>
      <c r="H4343" t="s">
        <v>109</v>
      </c>
      <c r="I4343" t="s">
        <v>108</v>
      </c>
      <c r="J4343">
        <v>1</v>
      </c>
      <c r="K4343">
        <v>5389.2640000000001</v>
      </c>
      <c r="L4343">
        <v>6059.357</v>
      </c>
      <c r="M4343">
        <v>7304.8469999999998</v>
      </c>
      <c r="N4343">
        <v>7485.0290000000005</v>
      </c>
      <c r="O4343">
        <v>7660.826</v>
      </c>
      <c r="P4343">
        <v>7867.7740000000003</v>
      </c>
      <c r="Q4343">
        <v>8112.866</v>
      </c>
      <c r="R4343">
        <v>8347.6450000000004</v>
      </c>
      <c r="S4343">
        <v>8567.366</v>
      </c>
      <c r="T4343">
        <v>8788.9699999999993</v>
      </c>
      <c r="U4343">
        <v>9013.2360000000008</v>
      </c>
      <c r="V4343">
        <v>9240.1190000000006</v>
      </c>
      <c r="W4343">
        <v>9469.5740000000005</v>
      </c>
      <c r="X4343">
        <v>9701.5529999999999</v>
      </c>
      <c r="Y4343">
        <v>9936.0069999999996</v>
      </c>
      <c r="Z4343">
        <v>10172.888000000001</v>
      </c>
      <c r="AA4343">
        <v>10412.143</v>
      </c>
      <c r="AB4343">
        <v>10653.721</v>
      </c>
      <c r="AC4343">
        <v>10897.566999999999</v>
      </c>
      <c r="AD4343">
        <v>11143.626</v>
      </c>
    </row>
    <row r="4344" spans="2:30" x14ac:dyDescent="0.25">
      <c r="B4344" t="s">
        <v>133</v>
      </c>
      <c r="C4344" t="s">
        <v>3265</v>
      </c>
      <c r="D4344" t="s">
        <v>5316</v>
      </c>
      <c r="E4344" t="s">
        <v>5134</v>
      </c>
      <c r="F4344" t="s">
        <v>9914</v>
      </c>
      <c r="G4344" t="s">
        <v>3890</v>
      </c>
      <c r="H4344" t="s">
        <v>109</v>
      </c>
      <c r="I4344" t="s">
        <v>108</v>
      </c>
      <c r="J4344">
        <v>1</v>
      </c>
      <c r="K4344">
        <v>659.322</v>
      </c>
      <c r="L4344">
        <v>771.90700000000004</v>
      </c>
      <c r="M4344">
        <v>857.73800000000006</v>
      </c>
      <c r="N4344">
        <v>889.11699999999996</v>
      </c>
      <c r="O4344">
        <v>920.298</v>
      </c>
      <c r="P4344">
        <v>957.94299999999998</v>
      </c>
      <c r="Q4344">
        <v>1003.823</v>
      </c>
      <c r="R4344">
        <v>1048.83</v>
      </c>
      <c r="S4344">
        <v>1091.8589999999999</v>
      </c>
      <c r="T4344">
        <v>1136.079</v>
      </c>
      <c r="U4344">
        <v>1181.4929999999999</v>
      </c>
      <c r="V4344">
        <v>1228.1030000000001</v>
      </c>
      <c r="W4344">
        <v>1275.9059999999999</v>
      </c>
      <c r="X4344">
        <v>1324.8989999999999</v>
      </c>
      <c r="Y4344">
        <v>1375.079</v>
      </c>
      <c r="Z4344">
        <v>1426.4359999999999</v>
      </c>
      <c r="AA4344">
        <v>1478.963</v>
      </c>
      <c r="AB4344">
        <v>1532.6469999999999</v>
      </c>
      <c r="AC4344">
        <v>1587.4749999999999</v>
      </c>
      <c r="AD4344">
        <v>1643.43</v>
      </c>
    </row>
    <row r="4345" spans="2:30" x14ac:dyDescent="0.25">
      <c r="B4345" t="s">
        <v>133</v>
      </c>
      <c r="C4345" t="s">
        <v>3265</v>
      </c>
      <c r="D4345" t="s">
        <v>5317</v>
      </c>
      <c r="E4345" t="s">
        <v>5143</v>
      </c>
      <c r="F4345" t="s">
        <v>9917</v>
      </c>
      <c r="G4345" t="s">
        <v>3890</v>
      </c>
      <c r="H4345" t="s">
        <v>109</v>
      </c>
      <c r="I4345" t="s">
        <v>108</v>
      </c>
      <c r="J4345">
        <v>1</v>
      </c>
      <c r="K4345">
        <v>1529.27</v>
      </c>
      <c r="L4345">
        <v>1206.73</v>
      </c>
      <c r="M4345">
        <v>1313.405</v>
      </c>
      <c r="N4345">
        <v>1308.827</v>
      </c>
      <c r="O4345">
        <v>1304.2660000000001</v>
      </c>
      <c r="P4345">
        <v>1299.72</v>
      </c>
      <c r="Q4345">
        <v>1295.19</v>
      </c>
      <c r="R4345">
        <v>1290.6759999999999</v>
      </c>
      <c r="S4345">
        <v>1286.1780000000001</v>
      </c>
      <c r="T4345">
        <v>1281.6949999999999</v>
      </c>
      <c r="U4345">
        <v>1277.2280000000001</v>
      </c>
      <c r="V4345">
        <v>1272.777</v>
      </c>
      <c r="W4345">
        <v>1268.3409999999999</v>
      </c>
      <c r="X4345">
        <v>1263.921</v>
      </c>
      <c r="Y4345">
        <v>1259.5160000000001</v>
      </c>
      <c r="Z4345">
        <v>1255.126</v>
      </c>
      <c r="AA4345">
        <v>1250.752</v>
      </c>
      <c r="AB4345">
        <v>1246.393</v>
      </c>
      <c r="AC4345">
        <v>1242.049</v>
      </c>
      <c r="AD4345">
        <v>1237.72</v>
      </c>
    </row>
    <row r="4346" spans="2:30" x14ac:dyDescent="0.25">
      <c r="B4346" t="s">
        <v>133</v>
      </c>
      <c r="C4346" t="s">
        <v>3265</v>
      </c>
      <c r="D4346" t="s">
        <v>5318</v>
      </c>
      <c r="E4346" t="s">
        <v>5319</v>
      </c>
      <c r="F4346" t="s">
        <v>9970</v>
      </c>
      <c r="G4346" t="s">
        <v>3890</v>
      </c>
      <c r="H4346" t="s">
        <v>109</v>
      </c>
      <c r="I4346" t="s">
        <v>108</v>
      </c>
      <c r="J4346">
        <v>1</v>
      </c>
      <c r="K4346">
        <v>2179.63</v>
      </c>
      <c r="L4346">
        <v>2352.3209999999999</v>
      </c>
      <c r="M4346">
        <v>2313.9140000000002</v>
      </c>
      <c r="N4346">
        <v>3842.66</v>
      </c>
      <c r="O4346">
        <v>5517.1859999999997</v>
      </c>
      <c r="P4346">
        <v>6139.4759999999997</v>
      </c>
      <c r="Q4346">
        <v>6450.6589999999997</v>
      </c>
      <c r="R4346">
        <v>6888.7790000000005</v>
      </c>
      <c r="S4346">
        <v>7422.152</v>
      </c>
      <c r="T4346">
        <v>7980.9359999999997</v>
      </c>
      <c r="U4346">
        <v>8554.0490000000009</v>
      </c>
      <c r="V4346">
        <v>9146.8970000000008</v>
      </c>
      <c r="W4346">
        <v>9780.9179999999997</v>
      </c>
      <c r="X4346">
        <v>10466.936</v>
      </c>
      <c r="Y4346">
        <v>11222.444</v>
      </c>
      <c r="Z4346">
        <v>12057.334000000001</v>
      </c>
      <c r="AA4346">
        <v>12991.509</v>
      </c>
      <c r="AB4346">
        <v>14045.151</v>
      </c>
      <c r="AC4346">
        <v>15224.648999999999</v>
      </c>
      <c r="AD4346">
        <v>16659.678</v>
      </c>
    </row>
    <row r="4347" spans="2:30" x14ac:dyDescent="0.25">
      <c r="B4347" t="s">
        <v>133</v>
      </c>
      <c r="C4347" t="s">
        <v>3265</v>
      </c>
      <c r="D4347" t="s">
        <v>5321</v>
      </c>
      <c r="E4347" t="s">
        <v>5149</v>
      </c>
      <c r="F4347" t="s">
        <v>9919</v>
      </c>
      <c r="G4347" t="s">
        <v>3890</v>
      </c>
      <c r="H4347" t="s">
        <v>109</v>
      </c>
      <c r="I4347" t="s">
        <v>108</v>
      </c>
      <c r="J4347">
        <v>1</v>
      </c>
      <c r="K4347">
        <v>1651.0930000000001</v>
      </c>
      <c r="L4347">
        <v>1545.134</v>
      </c>
      <c r="M4347">
        <v>1836.8230000000001</v>
      </c>
      <c r="N4347">
        <v>1975.171</v>
      </c>
      <c r="O4347">
        <v>2006.8579999999999</v>
      </c>
      <c r="P4347">
        <v>2038.454</v>
      </c>
      <c r="Q4347">
        <v>2038.3720000000001</v>
      </c>
      <c r="R4347">
        <v>2060.415</v>
      </c>
      <c r="S4347">
        <v>2095.4839999999999</v>
      </c>
      <c r="T4347">
        <v>2142.4290000000001</v>
      </c>
      <c r="U4347">
        <v>2194.6909999999998</v>
      </c>
      <c r="V4347">
        <v>2255.9279999999999</v>
      </c>
      <c r="W4347">
        <v>2325.9560000000001</v>
      </c>
      <c r="X4347">
        <v>2405.2020000000002</v>
      </c>
      <c r="Y4347">
        <v>2447.8829999999998</v>
      </c>
      <c r="Z4347">
        <v>2490.8290000000002</v>
      </c>
      <c r="AA4347">
        <v>2534.3620000000001</v>
      </c>
      <c r="AB4347">
        <v>2578.634</v>
      </c>
      <c r="AC4347">
        <v>2623.8580000000002</v>
      </c>
      <c r="AD4347">
        <v>2670.0659999999998</v>
      </c>
    </row>
    <row r="4348" spans="2:30" x14ac:dyDescent="0.25">
      <c r="B4348" t="s">
        <v>133</v>
      </c>
      <c r="C4348" t="s">
        <v>3265</v>
      </c>
      <c r="D4348" t="s">
        <v>5322</v>
      </c>
      <c r="E4348" t="s">
        <v>5323</v>
      </c>
      <c r="F4348" t="s">
        <v>9971</v>
      </c>
      <c r="G4348" t="s">
        <v>3890</v>
      </c>
      <c r="H4348" t="s">
        <v>109</v>
      </c>
      <c r="I4348" t="s">
        <v>108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</row>
    <row r="4349" spans="2:30" x14ac:dyDescent="0.25">
      <c r="B4349" t="s">
        <v>133</v>
      </c>
      <c r="C4349" t="s">
        <v>3265</v>
      </c>
      <c r="D4349" t="s">
        <v>5325</v>
      </c>
      <c r="E4349" t="s">
        <v>5326</v>
      </c>
      <c r="F4349" t="s">
        <v>9972</v>
      </c>
      <c r="G4349" t="s">
        <v>3890</v>
      </c>
      <c r="H4349" t="s">
        <v>109</v>
      </c>
      <c r="I4349" t="s">
        <v>108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</row>
    <row r="4350" spans="2:30" x14ac:dyDescent="0.25">
      <c r="B4350" t="s">
        <v>133</v>
      </c>
      <c r="C4350" t="s">
        <v>3265</v>
      </c>
      <c r="D4350" t="s">
        <v>5328</v>
      </c>
      <c r="E4350" t="s">
        <v>5329</v>
      </c>
      <c r="F4350" t="s">
        <v>9973</v>
      </c>
      <c r="G4350" t="s">
        <v>3890</v>
      </c>
      <c r="H4350" t="s">
        <v>109</v>
      </c>
      <c r="I4350" t="s">
        <v>108</v>
      </c>
      <c r="J4350">
        <v>1</v>
      </c>
      <c r="K4350">
        <v>1.6379999999999999</v>
      </c>
      <c r="L4350">
        <v>1.6379999999999999</v>
      </c>
      <c r="M4350">
        <v>1.8740000000000001</v>
      </c>
      <c r="N4350">
        <v>1.978</v>
      </c>
      <c r="O4350">
        <v>1.994</v>
      </c>
      <c r="P4350">
        <v>2.008</v>
      </c>
      <c r="Q4350">
        <v>2.0369999999999999</v>
      </c>
      <c r="R4350">
        <v>2.0640000000000001</v>
      </c>
      <c r="S4350">
        <v>2.09</v>
      </c>
      <c r="T4350">
        <v>2.1150000000000002</v>
      </c>
      <c r="U4350">
        <v>2.1360000000000001</v>
      </c>
      <c r="V4350">
        <v>2.157</v>
      </c>
      <c r="W4350">
        <v>2.177</v>
      </c>
      <c r="X4350">
        <v>2.1970000000000001</v>
      </c>
      <c r="Y4350">
        <v>2.218</v>
      </c>
      <c r="Z4350">
        <v>2.238</v>
      </c>
      <c r="AA4350">
        <v>2.258</v>
      </c>
      <c r="AB4350">
        <v>2.278</v>
      </c>
      <c r="AC4350">
        <v>2.2989999999999999</v>
      </c>
      <c r="AD4350">
        <v>2.3199999999999998</v>
      </c>
    </row>
    <row r="4351" spans="2:30" x14ac:dyDescent="0.25">
      <c r="B4351" t="s">
        <v>133</v>
      </c>
      <c r="C4351" t="s">
        <v>3265</v>
      </c>
      <c r="D4351" t="s">
        <v>5331</v>
      </c>
      <c r="E4351" t="s">
        <v>5332</v>
      </c>
      <c r="F4351" t="s">
        <v>9974</v>
      </c>
      <c r="G4351" t="s">
        <v>3890</v>
      </c>
      <c r="H4351" t="s">
        <v>109</v>
      </c>
      <c r="I4351" t="s">
        <v>108</v>
      </c>
      <c r="J4351">
        <v>2</v>
      </c>
      <c r="K4351">
        <v>1649.4549999999999</v>
      </c>
      <c r="L4351">
        <v>1543.4960000000001</v>
      </c>
      <c r="M4351">
        <v>1834.9490000000001</v>
      </c>
      <c r="N4351">
        <v>1973.192</v>
      </c>
      <c r="O4351">
        <v>2004.864</v>
      </c>
      <c r="P4351">
        <v>2036.4459999999999</v>
      </c>
      <c r="Q4351">
        <v>2036.335</v>
      </c>
      <c r="R4351">
        <v>2058.3510000000001</v>
      </c>
      <c r="S4351">
        <v>2093.3939999999998</v>
      </c>
      <c r="T4351">
        <v>2140.3139999999999</v>
      </c>
      <c r="U4351">
        <v>2192.5549999999998</v>
      </c>
      <c r="V4351">
        <v>2253.7719999999999</v>
      </c>
      <c r="W4351">
        <v>2323.779</v>
      </c>
      <c r="X4351">
        <v>2403.0050000000001</v>
      </c>
      <c r="Y4351">
        <v>2445.665</v>
      </c>
      <c r="Z4351">
        <v>2488.5920000000001</v>
      </c>
      <c r="AA4351">
        <v>2532.1039999999998</v>
      </c>
      <c r="AB4351">
        <v>2576.3560000000002</v>
      </c>
      <c r="AC4351">
        <v>2621.5590000000002</v>
      </c>
      <c r="AD4351">
        <v>2667.7460000000001</v>
      </c>
    </row>
    <row r="4352" spans="2:30" x14ac:dyDescent="0.25">
      <c r="B4352" t="s">
        <v>133</v>
      </c>
      <c r="C4352" t="s">
        <v>3265</v>
      </c>
      <c r="D4352" t="s">
        <v>5334</v>
      </c>
      <c r="E4352" t="s">
        <v>5335</v>
      </c>
      <c r="F4352" t="s">
        <v>9975</v>
      </c>
      <c r="G4352" t="s">
        <v>3890</v>
      </c>
      <c r="H4352" t="s">
        <v>109</v>
      </c>
      <c r="I4352" t="s">
        <v>108</v>
      </c>
      <c r="J4352">
        <v>2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</row>
    <row r="4353" spans="2:30" x14ac:dyDescent="0.25">
      <c r="B4353" t="s">
        <v>133</v>
      </c>
      <c r="C4353" t="s">
        <v>3265</v>
      </c>
      <c r="D4353" t="s">
        <v>5337</v>
      </c>
      <c r="E4353" t="s">
        <v>5152</v>
      </c>
      <c r="F4353" t="s">
        <v>9920</v>
      </c>
      <c r="G4353" t="s">
        <v>3890</v>
      </c>
      <c r="H4353" t="s">
        <v>109</v>
      </c>
      <c r="I4353" t="s">
        <v>108</v>
      </c>
      <c r="J4353">
        <v>2</v>
      </c>
      <c r="K4353">
        <v>42937.004999999997</v>
      </c>
      <c r="L4353">
        <v>39972.089</v>
      </c>
      <c r="M4353">
        <v>47160.224000000002</v>
      </c>
      <c r="N4353">
        <v>48233.159</v>
      </c>
      <c r="O4353">
        <v>47662.413</v>
      </c>
      <c r="P4353">
        <v>47791.322</v>
      </c>
      <c r="Q4353">
        <v>49214.786999999997</v>
      </c>
      <c r="R4353">
        <v>50588.029000000002</v>
      </c>
      <c r="S4353">
        <v>51562.633999999998</v>
      </c>
      <c r="T4353">
        <v>52455.711000000003</v>
      </c>
      <c r="U4353">
        <v>53341.033000000003</v>
      </c>
      <c r="V4353">
        <v>54330.874000000003</v>
      </c>
      <c r="W4353">
        <v>55415.646999999997</v>
      </c>
      <c r="X4353">
        <v>56649.675999999999</v>
      </c>
      <c r="Y4353">
        <v>57964.957000000002</v>
      </c>
      <c r="Z4353">
        <v>60417.841</v>
      </c>
      <c r="AA4353">
        <v>62748.203000000001</v>
      </c>
      <c r="AB4353">
        <v>65673.198000000004</v>
      </c>
      <c r="AC4353">
        <v>69090.148000000001</v>
      </c>
      <c r="AD4353">
        <v>72896.035999999993</v>
      </c>
    </row>
    <row r="4354" spans="2:30" x14ac:dyDescent="0.25">
      <c r="B4354" t="s">
        <v>133</v>
      </c>
      <c r="C4354" t="s">
        <v>3265</v>
      </c>
      <c r="D4354" t="s">
        <v>5338</v>
      </c>
      <c r="E4354" t="s">
        <v>5339</v>
      </c>
      <c r="F4354" t="s">
        <v>9976</v>
      </c>
      <c r="G4354" t="s">
        <v>3890</v>
      </c>
      <c r="H4354" t="s">
        <v>109</v>
      </c>
      <c r="I4354" t="s">
        <v>108</v>
      </c>
      <c r="J4354">
        <v>2</v>
      </c>
      <c r="K4354">
        <v>29443.696</v>
      </c>
      <c r="L4354">
        <v>28005.066999999999</v>
      </c>
      <c r="M4354">
        <v>33518.292000000001</v>
      </c>
      <c r="N4354">
        <v>34175.911</v>
      </c>
      <c r="O4354">
        <v>33169.455999999998</v>
      </c>
      <c r="P4354">
        <v>32743.57</v>
      </c>
      <c r="Q4354">
        <v>33568.620000000003</v>
      </c>
      <c r="R4354">
        <v>34330.483</v>
      </c>
      <c r="S4354">
        <v>34696.027999999998</v>
      </c>
      <c r="T4354">
        <v>34942.123</v>
      </c>
      <c r="U4354">
        <v>35148.048000000003</v>
      </c>
      <c r="V4354">
        <v>35427.347000000002</v>
      </c>
      <c r="W4354">
        <v>35770.391000000003</v>
      </c>
      <c r="X4354">
        <v>36230.197</v>
      </c>
      <c r="Y4354">
        <v>36801.050999999999</v>
      </c>
      <c r="Z4354">
        <v>38487.468999999997</v>
      </c>
      <c r="AA4354">
        <v>40024.391000000003</v>
      </c>
      <c r="AB4354">
        <v>42126.163999999997</v>
      </c>
      <c r="AC4354">
        <v>44686.173999999999</v>
      </c>
      <c r="AD4354">
        <v>47602.262000000002</v>
      </c>
    </row>
    <row r="4355" spans="2:30" x14ac:dyDescent="0.25">
      <c r="B4355" t="s">
        <v>133</v>
      </c>
      <c r="C4355" t="s">
        <v>3265</v>
      </c>
      <c r="D4355" t="s">
        <v>5341</v>
      </c>
      <c r="E4355" t="s">
        <v>5342</v>
      </c>
      <c r="F4355" t="s">
        <v>9977</v>
      </c>
      <c r="G4355" t="s">
        <v>3890</v>
      </c>
      <c r="H4355" t="s">
        <v>109</v>
      </c>
      <c r="I4355" t="s">
        <v>108</v>
      </c>
      <c r="J4355">
        <v>2</v>
      </c>
      <c r="K4355">
        <v>495.238</v>
      </c>
      <c r="L4355">
        <v>484.52</v>
      </c>
      <c r="M4355">
        <v>472.24900000000002</v>
      </c>
      <c r="N4355">
        <v>454.66399999999999</v>
      </c>
      <c r="O4355">
        <v>463.9</v>
      </c>
      <c r="P4355">
        <v>509.44099999999997</v>
      </c>
      <c r="Q4355">
        <v>559.21799999999996</v>
      </c>
      <c r="R4355">
        <v>613.43299999999999</v>
      </c>
      <c r="S4355">
        <v>678.09799999999996</v>
      </c>
      <c r="T4355">
        <v>754.6</v>
      </c>
      <c r="U4355">
        <v>837.601</v>
      </c>
      <c r="V4355">
        <v>926.76099999999997</v>
      </c>
      <c r="W4355">
        <v>1021.645</v>
      </c>
      <c r="X4355">
        <v>1121.827</v>
      </c>
      <c r="Y4355">
        <v>1226.7239999999999</v>
      </c>
      <c r="Z4355">
        <v>1337.3309999999999</v>
      </c>
      <c r="AA4355">
        <v>1453.472</v>
      </c>
      <c r="AB4355">
        <v>1575.0229999999999</v>
      </c>
      <c r="AC4355">
        <v>1701.8979999999999</v>
      </c>
      <c r="AD4355">
        <v>1831.836</v>
      </c>
    </row>
    <row r="4356" spans="2:30" x14ac:dyDescent="0.25">
      <c r="B4356" t="s">
        <v>133</v>
      </c>
      <c r="C4356" t="s">
        <v>3265</v>
      </c>
      <c r="D4356" t="s">
        <v>5344</v>
      </c>
      <c r="E4356" t="s">
        <v>5345</v>
      </c>
      <c r="F4356" t="s">
        <v>9978</v>
      </c>
      <c r="G4356" t="s">
        <v>3890</v>
      </c>
      <c r="H4356" t="s">
        <v>109</v>
      </c>
      <c r="I4356" t="s">
        <v>108</v>
      </c>
      <c r="J4356">
        <v>2</v>
      </c>
      <c r="K4356">
        <v>1921.182</v>
      </c>
      <c r="L4356">
        <v>1978.2729999999999</v>
      </c>
      <c r="M4356">
        <v>2706.33</v>
      </c>
      <c r="N4356">
        <v>2725.7469999999998</v>
      </c>
      <c r="O4356">
        <v>2743.748</v>
      </c>
      <c r="P4356">
        <v>2766.3090000000002</v>
      </c>
      <c r="Q4356">
        <v>2794.2820000000002</v>
      </c>
      <c r="R4356">
        <v>2819.6039999999998</v>
      </c>
      <c r="S4356">
        <v>2841.674</v>
      </c>
      <c r="T4356">
        <v>2863.2350000000001</v>
      </c>
      <c r="U4356">
        <v>2884.3939999999998</v>
      </c>
      <c r="V4356">
        <v>2905.1410000000001</v>
      </c>
      <c r="W4356">
        <v>2925.4960000000001</v>
      </c>
      <c r="X4356">
        <v>2945.5129999999999</v>
      </c>
      <c r="Y4356">
        <v>2965.2629999999999</v>
      </c>
      <c r="Z4356">
        <v>2984.7930000000001</v>
      </c>
      <c r="AA4356">
        <v>3004.3319999999999</v>
      </c>
      <c r="AB4356">
        <v>3023.9830000000002</v>
      </c>
      <c r="AC4356">
        <v>3043.8870000000002</v>
      </c>
      <c r="AD4356">
        <v>3064.0540000000001</v>
      </c>
    </row>
    <row r="4357" spans="2:30" x14ac:dyDescent="0.25">
      <c r="B4357" t="s">
        <v>133</v>
      </c>
      <c r="C4357" t="s">
        <v>3265</v>
      </c>
      <c r="D4357" t="s">
        <v>5347</v>
      </c>
      <c r="E4357" t="s">
        <v>5348</v>
      </c>
      <c r="F4357" t="s">
        <v>9979</v>
      </c>
      <c r="G4357" t="s">
        <v>3890</v>
      </c>
      <c r="H4357" t="s">
        <v>109</v>
      </c>
      <c r="I4357" t="s">
        <v>108</v>
      </c>
      <c r="J4357">
        <v>2</v>
      </c>
      <c r="K4357">
        <v>11076.89</v>
      </c>
      <c r="L4357">
        <v>9504.23</v>
      </c>
      <c r="M4357">
        <v>10463.352999999999</v>
      </c>
      <c r="N4357">
        <v>10876.838</v>
      </c>
      <c r="O4357">
        <v>11285.308000000001</v>
      </c>
      <c r="P4357">
        <v>11772.002</v>
      </c>
      <c r="Q4357">
        <v>12292.665999999999</v>
      </c>
      <c r="R4357">
        <v>12824.509</v>
      </c>
      <c r="S4357">
        <v>13346.834000000001</v>
      </c>
      <c r="T4357">
        <v>13895.753000000001</v>
      </c>
      <c r="U4357">
        <v>14470.99</v>
      </c>
      <c r="V4357">
        <v>15071.625</v>
      </c>
      <c r="W4357">
        <v>15698.115</v>
      </c>
      <c r="X4357">
        <v>16352.138000000001</v>
      </c>
      <c r="Y4357">
        <v>16971.918000000001</v>
      </c>
      <c r="Z4357">
        <v>17608.246999999999</v>
      </c>
      <c r="AA4357">
        <v>18266.008999999998</v>
      </c>
      <c r="AB4357">
        <v>18948.027999999998</v>
      </c>
      <c r="AC4357">
        <v>19658.187999999998</v>
      </c>
      <c r="AD4357">
        <v>20397.883999999998</v>
      </c>
    </row>
    <row r="4358" spans="2:30" x14ac:dyDescent="0.25">
      <c r="B4358" t="s">
        <v>133</v>
      </c>
      <c r="C4358" t="s">
        <v>3265</v>
      </c>
      <c r="D4358" t="s">
        <v>5350</v>
      </c>
      <c r="E4358" t="s">
        <v>5351</v>
      </c>
      <c r="F4358" t="s">
        <v>9980</v>
      </c>
      <c r="G4358" t="s">
        <v>3890</v>
      </c>
      <c r="H4358" t="s">
        <v>109</v>
      </c>
      <c r="I4358" t="s">
        <v>108</v>
      </c>
      <c r="J4358">
        <v>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</row>
    <row r="4359" spans="2:30" x14ac:dyDescent="0.25">
      <c r="B4359" t="s">
        <v>133</v>
      </c>
      <c r="C4359" t="s">
        <v>3265</v>
      </c>
      <c r="D4359" t="s">
        <v>5353</v>
      </c>
      <c r="E4359" t="s">
        <v>5158</v>
      </c>
      <c r="F4359" t="s">
        <v>9922</v>
      </c>
      <c r="G4359" t="s">
        <v>3890</v>
      </c>
      <c r="H4359" t="s">
        <v>109</v>
      </c>
      <c r="I4359" t="s">
        <v>108</v>
      </c>
      <c r="J4359">
        <v>2</v>
      </c>
      <c r="K4359">
        <v>7404.3140000000003</v>
      </c>
      <c r="L4359">
        <v>7147.93</v>
      </c>
      <c r="M4359">
        <v>7001.1750000000002</v>
      </c>
      <c r="N4359">
        <v>6753.6639999999998</v>
      </c>
      <c r="O4359">
        <v>6886.5370000000003</v>
      </c>
      <c r="P4359">
        <v>7548.8450000000003</v>
      </c>
      <c r="Q4359">
        <v>8264.5689999999995</v>
      </c>
      <c r="R4359">
        <v>9039.0759999999991</v>
      </c>
      <c r="S4359">
        <v>9962.9140000000007</v>
      </c>
      <c r="T4359">
        <v>11055.142</v>
      </c>
      <c r="U4359">
        <v>12235.485000000001</v>
      </c>
      <c r="V4359">
        <v>13497.953</v>
      </c>
      <c r="W4359">
        <v>14836.333000000001</v>
      </c>
      <c r="X4359">
        <v>16243.861999999999</v>
      </c>
      <c r="Y4359">
        <v>17711.63</v>
      </c>
      <c r="Z4359">
        <v>19253.150000000001</v>
      </c>
      <c r="AA4359">
        <v>20865.21</v>
      </c>
      <c r="AB4359">
        <v>22545.3</v>
      </c>
      <c r="AC4359">
        <v>24291.404999999999</v>
      </c>
      <c r="AD4359">
        <v>26069.816999999999</v>
      </c>
    </row>
    <row r="4360" spans="2:30" x14ac:dyDescent="0.25">
      <c r="B4360" t="s">
        <v>133</v>
      </c>
      <c r="C4360" t="s">
        <v>3265</v>
      </c>
      <c r="D4360" t="s">
        <v>5354</v>
      </c>
      <c r="E4360" t="s">
        <v>5355</v>
      </c>
      <c r="F4360" t="s">
        <v>9981</v>
      </c>
      <c r="G4360" t="s">
        <v>3890</v>
      </c>
      <c r="H4360" t="s">
        <v>109</v>
      </c>
      <c r="I4360" t="s">
        <v>108</v>
      </c>
      <c r="J4360">
        <v>2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</row>
    <row r="4361" spans="2:30" x14ac:dyDescent="0.25">
      <c r="B4361" t="s">
        <v>133</v>
      </c>
      <c r="C4361" t="s">
        <v>3265</v>
      </c>
      <c r="D4361" t="s">
        <v>5357</v>
      </c>
      <c r="E4361" t="s">
        <v>5358</v>
      </c>
      <c r="F4361" t="s">
        <v>9982</v>
      </c>
      <c r="G4361" t="s">
        <v>3890</v>
      </c>
      <c r="H4361" t="s">
        <v>109</v>
      </c>
      <c r="I4361" t="s">
        <v>108</v>
      </c>
      <c r="J4361">
        <v>2</v>
      </c>
      <c r="K4361">
        <v>7404.3140000000003</v>
      </c>
      <c r="L4361">
        <v>7147.93</v>
      </c>
      <c r="M4361">
        <v>7001.1750000000002</v>
      </c>
      <c r="N4361">
        <v>6753.6639999999998</v>
      </c>
      <c r="O4361">
        <v>6886.5370000000003</v>
      </c>
      <c r="P4361">
        <v>7548.8450000000003</v>
      </c>
      <c r="Q4361">
        <v>8264.5689999999995</v>
      </c>
      <c r="R4361">
        <v>9039.0759999999991</v>
      </c>
      <c r="S4361">
        <v>9962.9140000000007</v>
      </c>
      <c r="T4361">
        <v>11055.142</v>
      </c>
      <c r="U4361">
        <v>12235.485000000001</v>
      </c>
      <c r="V4361">
        <v>13497.953</v>
      </c>
      <c r="W4361">
        <v>14836.333000000001</v>
      </c>
      <c r="X4361">
        <v>16243.861999999999</v>
      </c>
      <c r="Y4361">
        <v>17711.63</v>
      </c>
      <c r="Z4361">
        <v>19253.150000000001</v>
      </c>
      <c r="AA4361">
        <v>20865.21</v>
      </c>
      <c r="AB4361">
        <v>22545.3</v>
      </c>
      <c r="AC4361">
        <v>24291.404999999999</v>
      </c>
      <c r="AD4361">
        <v>26069.816999999999</v>
      </c>
    </row>
    <row r="4362" spans="2:30" x14ac:dyDescent="0.25">
      <c r="B4362" t="s">
        <v>133</v>
      </c>
      <c r="C4362" t="s">
        <v>3265</v>
      </c>
      <c r="D4362" t="s">
        <v>5360</v>
      </c>
      <c r="E4362" t="s">
        <v>5361</v>
      </c>
      <c r="F4362" t="s">
        <v>9983</v>
      </c>
      <c r="G4362" t="s">
        <v>3890</v>
      </c>
      <c r="H4362" t="s">
        <v>109</v>
      </c>
      <c r="I4362" t="s">
        <v>108</v>
      </c>
      <c r="J4362">
        <v>2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</row>
    <row r="4363" spans="2:30" x14ac:dyDescent="0.25">
      <c r="B4363" t="s">
        <v>133</v>
      </c>
      <c r="C4363" t="s">
        <v>3265</v>
      </c>
      <c r="D4363" t="s">
        <v>5363</v>
      </c>
      <c r="E4363" t="s">
        <v>5364</v>
      </c>
      <c r="F4363" t="s">
        <v>9984</v>
      </c>
      <c r="G4363" t="s">
        <v>3890</v>
      </c>
      <c r="H4363" t="s">
        <v>109</v>
      </c>
      <c r="I4363" t="s">
        <v>108</v>
      </c>
      <c r="J4363">
        <v>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</row>
    <row r="4364" spans="2:30" x14ac:dyDescent="0.25">
      <c r="B4364" t="s">
        <v>133</v>
      </c>
      <c r="C4364" t="s">
        <v>3265</v>
      </c>
      <c r="D4364" t="s">
        <v>5366</v>
      </c>
      <c r="E4364" t="s">
        <v>5367</v>
      </c>
      <c r="F4364" t="s">
        <v>9985</v>
      </c>
      <c r="G4364" t="s">
        <v>3890</v>
      </c>
      <c r="H4364" t="s">
        <v>109</v>
      </c>
      <c r="I4364" t="s">
        <v>108</v>
      </c>
      <c r="J4364">
        <v>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</row>
    <row r="4365" spans="2:30" x14ac:dyDescent="0.25">
      <c r="B4365" t="s">
        <v>133</v>
      </c>
      <c r="C4365" t="s">
        <v>3265</v>
      </c>
      <c r="D4365" t="s">
        <v>5369</v>
      </c>
      <c r="E4365" t="s">
        <v>5161</v>
      </c>
      <c r="F4365" t="s">
        <v>9923</v>
      </c>
      <c r="G4365" t="s">
        <v>3890</v>
      </c>
      <c r="H4365" t="s">
        <v>109</v>
      </c>
      <c r="I4365" t="s">
        <v>108</v>
      </c>
      <c r="J4365">
        <v>2</v>
      </c>
      <c r="K4365">
        <v>15214.834999999999</v>
      </c>
      <c r="L4365">
        <v>16168.272999999999</v>
      </c>
      <c r="M4365">
        <v>17468.254000000001</v>
      </c>
      <c r="N4365">
        <v>17210.601999999999</v>
      </c>
      <c r="O4365">
        <v>17931.196</v>
      </c>
      <c r="P4365">
        <v>19045.128000000001</v>
      </c>
      <c r="Q4365">
        <v>20275.215</v>
      </c>
      <c r="R4365">
        <v>21586.073</v>
      </c>
      <c r="S4365">
        <v>23101.156999999999</v>
      </c>
      <c r="T4365">
        <v>24867.718000000001</v>
      </c>
      <c r="U4365">
        <v>26778.760999999999</v>
      </c>
      <c r="V4365">
        <v>28824.987000000001</v>
      </c>
      <c r="W4365">
        <v>30982.321</v>
      </c>
      <c r="X4365">
        <v>33256.112999999998</v>
      </c>
      <c r="Y4365">
        <v>35640.146999999997</v>
      </c>
      <c r="Z4365">
        <v>38146.788999999997</v>
      </c>
      <c r="AA4365">
        <v>40775.434000000001</v>
      </c>
      <c r="AB4365">
        <v>43530.521999999997</v>
      </c>
      <c r="AC4365">
        <v>46417.802000000003</v>
      </c>
      <c r="AD4365">
        <v>49429.086000000003</v>
      </c>
    </row>
    <row r="4366" spans="2:30" x14ac:dyDescent="0.25">
      <c r="B4366" t="s">
        <v>133</v>
      </c>
      <c r="C4366" t="s">
        <v>3265</v>
      </c>
      <c r="D4366" t="s">
        <v>5370</v>
      </c>
      <c r="E4366" t="s">
        <v>5371</v>
      </c>
      <c r="F4366" t="s">
        <v>9986</v>
      </c>
      <c r="G4366" t="s">
        <v>3890</v>
      </c>
      <c r="H4366" t="s">
        <v>109</v>
      </c>
      <c r="I4366" t="s">
        <v>108</v>
      </c>
      <c r="J4366">
        <v>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</row>
    <row r="4367" spans="2:30" x14ac:dyDescent="0.25">
      <c r="B4367" t="s">
        <v>133</v>
      </c>
      <c r="C4367" t="s">
        <v>3265</v>
      </c>
      <c r="D4367" t="s">
        <v>5373</v>
      </c>
      <c r="E4367" t="s">
        <v>5374</v>
      </c>
      <c r="F4367" t="s">
        <v>9987</v>
      </c>
      <c r="G4367" t="s">
        <v>3890</v>
      </c>
      <c r="H4367" t="s">
        <v>109</v>
      </c>
      <c r="I4367" t="s">
        <v>108</v>
      </c>
      <c r="J4367">
        <v>2</v>
      </c>
      <c r="K4367">
        <v>10010.589</v>
      </c>
      <c r="L4367">
        <v>9837.6170000000002</v>
      </c>
      <c r="M4367">
        <v>9543.0020000000004</v>
      </c>
      <c r="N4367">
        <v>9122.26</v>
      </c>
      <c r="O4367">
        <v>9684.2070000000003</v>
      </c>
      <c r="P4367">
        <v>10613.831</v>
      </c>
      <c r="Q4367">
        <v>11628.550999999999</v>
      </c>
      <c r="R4367">
        <v>12733.898999999999</v>
      </c>
      <c r="S4367">
        <v>14057.065000000001</v>
      </c>
      <c r="T4367">
        <v>15631.210999999999</v>
      </c>
      <c r="U4367">
        <v>17348.824000000001</v>
      </c>
      <c r="V4367">
        <v>19200.715</v>
      </c>
      <c r="W4367">
        <v>21162.73</v>
      </c>
      <c r="X4367">
        <v>23239.966</v>
      </c>
      <c r="Y4367">
        <v>25425.829000000002</v>
      </c>
      <c r="Z4367">
        <v>27732.431</v>
      </c>
      <c r="AA4367">
        <v>30157.822</v>
      </c>
      <c r="AB4367">
        <v>32705.780999999999</v>
      </c>
      <c r="AC4367">
        <v>35381.139000000003</v>
      </c>
      <c r="AD4367">
        <v>38175.546999999999</v>
      </c>
    </row>
    <row r="4368" spans="2:30" x14ac:dyDescent="0.25">
      <c r="B4368" t="s">
        <v>133</v>
      </c>
      <c r="C4368" t="s">
        <v>3265</v>
      </c>
      <c r="D4368" t="s">
        <v>5376</v>
      </c>
      <c r="E4368" t="s">
        <v>5377</v>
      </c>
      <c r="F4368" t="s">
        <v>9988</v>
      </c>
      <c r="G4368" t="s">
        <v>3890</v>
      </c>
      <c r="H4368" t="s">
        <v>109</v>
      </c>
      <c r="I4368" t="s">
        <v>108</v>
      </c>
      <c r="J4368">
        <v>2</v>
      </c>
      <c r="K4368">
        <v>875.27200000000005</v>
      </c>
      <c r="L4368">
        <v>1064.7159999999999</v>
      </c>
      <c r="M4368">
        <v>1332.902</v>
      </c>
      <c r="N4368">
        <v>1360.3309999999999</v>
      </c>
      <c r="O4368">
        <v>1387.0129999999999</v>
      </c>
      <c r="P4368">
        <v>1418.011</v>
      </c>
      <c r="Q4368">
        <v>1454.232</v>
      </c>
      <c r="R4368">
        <v>1488.796</v>
      </c>
      <c r="S4368">
        <v>1521.0740000000001</v>
      </c>
      <c r="T4368">
        <v>1553.4349999999999</v>
      </c>
      <c r="U4368">
        <v>1585.9670000000001</v>
      </c>
      <c r="V4368">
        <v>1618.6510000000001</v>
      </c>
      <c r="W4368">
        <v>1651.5</v>
      </c>
      <c r="X4368">
        <v>1684.558</v>
      </c>
      <c r="Y4368">
        <v>1717.8869999999999</v>
      </c>
      <c r="Z4368">
        <v>1751.5309999999999</v>
      </c>
      <c r="AA4368">
        <v>1785.7149999999999</v>
      </c>
      <c r="AB4368">
        <v>1820.5509999999999</v>
      </c>
      <c r="AC4368">
        <v>1856.193</v>
      </c>
      <c r="AD4368">
        <v>1892.6679999999999</v>
      </c>
    </row>
    <row r="4369" spans="2:30" x14ac:dyDescent="0.25">
      <c r="B4369" t="s">
        <v>133</v>
      </c>
      <c r="C4369" t="s">
        <v>3265</v>
      </c>
      <c r="D4369" t="s">
        <v>5379</v>
      </c>
      <c r="E4369" t="s">
        <v>5380</v>
      </c>
      <c r="F4369" t="s">
        <v>9989</v>
      </c>
      <c r="G4369" t="s">
        <v>3890</v>
      </c>
      <c r="H4369" t="s">
        <v>109</v>
      </c>
      <c r="I4369" t="s">
        <v>108</v>
      </c>
      <c r="J4369">
        <v>2</v>
      </c>
      <c r="K4369">
        <v>4328.9740000000002</v>
      </c>
      <c r="L4369">
        <v>5265.94</v>
      </c>
      <c r="M4369">
        <v>6592.35</v>
      </c>
      <c r="N4369">
        <v>6728.01</v>
      </c>
      <c r="O4369">
        <v>6859.9750000000004</v>
      </c>
      <c r="P4369">
        <v>7013.2860000000001</v>
      </c>
      <c r="Q4369">
        <v>7192.4309999999996</v>
      </c>
      <c r="R4369">
        <v>7363.3779999999997</v>
      </c>
      <c r="S4369">
        <v>7523.0190000000002</v>
      </c>
      <c r="T4369">
        <v>7683.0720000000001</v>
      </c>
      <c r="U4369">
        <v>7843.97</v>
      </c>
      <c r="V4369">
        <v>8005.6220000000003</v>
      </c>
      <c r="W4369">
        <v>8168.0910000000003</v>
      </c>
      <c r="X4369">
        <v>8331.5889999999999</v>
      </c>
      <c r="Y4369">
        <v>8496.4320000000007</v>
      </c>
      <c r="Z4369">
        <v>8662.8279999999995</v>
      </c>
      <c r="AA4369">
        <v>8831.8970000000008</v>
      </c>
      <c r="AB4369">
        <v>9004.1910000000007</v>
      </c>
      <c r="AC4369">
        <v>9180.4709999999995</v>
      </c>
      <c r="AD4369">
        <v>9360.8709999999992</v>
      </c>
    </row>
    <row r="4370" spans="2:30" x14ac:dyDescent="0.25">
      <c r="B4370" t="s">
        <v>133</v>
      </c>
      <c r="C4370" t="s">
        <v>3265</v>
      </c>
      <c r="D4370" t="s">
        <v>5382</v>
      </c>
      <c r="E4370" t="s">
        <v>5383</v>
      </c>
      <c r="F4370" t="s">
        <v>9990</v>
      </c>
      <c r="G4370" t="s">
        <v>3890</v>
      </c>
      <c r="H4370" t="s">
        <v>109</v>
      </c>
      <c r="I4370" t="s">
        <v>108</v>
      </c>
      <c r="J4370">
        <v>2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</row>
    <row r="4371" spans="2:30" x14ac:dyDescent="0.25">
      <c r="B4371" t="s">
        <v>133</v>
      </c>
      <c r="C4371" t="s">
        <v>3265</v>
      </c>
      <c r="D4371" t="s">
        <v>5385</v>
      </c>
      <c r="E4371" t="s">
        <v>5164</v>
      </c>
      <c r="F4371" t="s">
        <v>9924</v>
      </c>
      <c r="G4371" t="s">
        <v>3890</v>
      </c>
      <c r="H4371" t="s">
        <v>109</v>
      </c>
      <c r="I4371" t="s">
        <v>108</v>
      </c>
      <c r="J4371">
        <v>2</v>
      </c>
      <c r="K4371">
        <v>5389.2640000000001</v>
      </c>
      <c r="L4371">
        <v>6059.357</v>
      </c>
      <c r="M4371">
        <v>7304.8469999999998</v>
      </c>
      <c r="N4371">
        <v>7485.0290000000005</v>
      </c>
      <c r="O4371">
        <v>7660.826</v>
      </c>
      <c r="P4371">
        <v>7867.7740000000003</v>
      </c>
      <c r="Q4371">
        <v>8112.866</v>
      </c>
      <c r="R4371">
        <v>8347.7049999999999</v>
      </c>
      <c r="S4371">
        <v>8567.5120000000006</v>
      </c>
      <c r="T4371">
        <v>8789.0930000000008</v>
      </c>
      <c r="U4371">
        <v>9013.08</v>
      </c>
      <c r="V4371">
        <v>9239.3439999999991</v>
      </c>
      <c r="W4371">
        <v>9467.9840000000004</v>
      </c>
      <c r="X4371">
        <v>9699.3250000000007</v>
      </c>
      <c r="Y4371">
        <v>9933.85</v>
      </c>
      <c r="Z4371">
        <v>10171.898999999999</v>
      </c>
      <c r="AA4371">
        <v>10415.200999999999</v>
      </c>
      <c r="AB4371">
        <v>10664.657999999999</v>
      </c>
      <c r="AC4371">
        <v>10921.513000000001</v>
      </c>
      <c r="AD4371">
        <v>11186.069</v>
      </c>
    </row>
    <row r="4372" spans="2:30" x14ac:dyDescent="0.25">
      <c r="B4372" t="s">
        <v>133</v>
      </c>
      <c r="C4372" t="s">
        <v>3265</v>
      </c>
      <c r="D4372" t="s">
        <v>5386</v>
      </c>
      <c r="E4372" t="s">
        <v>5387</v>
      </c>
      <c r="F4372" t="s">
        <v>9991</v>
      </c>
      <c r="G4372" t="s">
        <v>3890</v>
      </c>
      <c r="H4372" t="s">
        <v>109</v>
      </c>
      <c r="I4372" t="s">
        <v>108</v>
      </c>
      <c r="J4372">
        <v>2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</row>
    <row r="4373" spans="2:30" x14ac:dyDescent="0.25">
      <c r="B4373" t="s">
        <v>133</v>
      </c>
      <c r="C4373" t="s">
        <v>3265</v>
      </c>
      <c r="D4373" t="s">
        <v>5389</v>
      </c>
      <c r="E4373" t="s">
        <v>5390</v>
      </c>
      <c r="F4373" t="s">
        <v>9992</v>
      </c>
      <c r="G4373" t="s">
        <v>3890</v>
      </c>
      <c r="H4373" t="s">
        <v>109</v>
      </c>
      <c r="I4373" t="s">
        <v>108</v>
      </c>
      <c r="J4373">
        <v>2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</row>
    <row r="4374" spans="2:30" x14ac:dyDescent="0.25">
      <c r="B4374" t="s">
        <v>133</v>
      </c>
      <c r="C4374" t="s">
        <v>3265</v>
      </c>
      <c r="D4374" t="s">
        <v>5392</v>
      </c>
      <c r="E4374" t="s">
        <v>5393</v>
      </c>
      <c r="F4374" t="s">
        <v>9993</v>
      </c>
      <c r="G4374" t="s">
        <v>3890</v>
      </c>
      <c r="H4374" t="s">
        <v>109</v>
      </c>
      <c r="I4374" t="s">
        <v>108</v>
      </c>
      <c r="J4374">
        <v>2</v>
      </c>
      <c r="K4374">
        <v>3107.4549999999999</v>
      </c>
      <c r="L4374">
        <v>3427.6979999999999</v>
      </c>
      <c r="M4374">
        <v>4102.9210000000003</v>
      </c>
      <c r="N4374">
        <v>4179.0079999999998</v>
      </c>
      <c r="O4374">
        <v>4252.4840000000004</v>
      </c>
      <c r="P4374">
        <v>4338.8559999999998</v>
      </c>
      <c r="Q4374">
        <v>4440.8180000000002</v>
      </c>
      <c r="R4374">
        <v>4537.3040000000001</v>
      </c>
      <c r="S4374">
        <v>4626.4359999999997</v>
      </c>
      <c r="T4374">
        <v>4715.4470000000001</v>
      </c>
      <c r="U4374">
        <v>4804.6030000000001</v>
      </c>
      <c r="V4374">
        <v>4893.8440000000001</v>
      </c>
      <c r="W4374">
        <v>4983.2110000000002</v>
      </c>
      <c r="X4374">
        <v>5072.8280000000004</v>
      </c>
      <c r="Y4374">
        <v>5162.884</v>
      </c>
      <c r="Z4374">
        <v>5253.5039999999999</v>
      </c>
      <c r="AA4374">
        <v>5345.36</v>
      </c>
      <c r="AB4374">
        <v>5438.777</v>
      </c>
      <c r="AC4374">
        <v>5534.2030000000004</v>
      </c>
      <c r="AD4374">
        <v>5631.7060000000001</v>
      </c>
    </row>
    <row r="4375" spans="2:30" x14ac:dyDescent="0.25">
      <c r="B4375" t="s">
        <v>133</v>
      </c>
      <c r="C4375" t="s">
        <v>3265</v>
      </c>
      <c r="D4375" t="s">
        <v>5395</v>
      </c>
      <c r="E4375" t="s">
        <v>5396</v>
      </c>
      <c r="F4375" t="s">
        <v>9994</v>
      </c>
      <c r="G4375" t="s">
        <v>3890</v>
      </c>
      <c r="H4375" t="s">
        <v>109</v>
      </c>
      <c r="I4375" t="s">
        <v>108</v>
      </c>
      <c r="J4375">
        <v>2</v>
      </c>
      <c r="K4375">
        <v>2281.8090000000002</v>
      </c>
      <c r="L4375">
        <v>2631.6590000000001</v>
      </c>
      <c r="M4375">
        <v>3201.9259999999999</v>
      </c>
      <c r="N4375">
        <v>3306.0210000000002</v>
      </c>
      <c r="O4375">
        <v>3408.3420000000001</v>
      </c>
      <c r="P4375">
        <v>3528.9180000000001</v>
      </c>
      <c r="Q4375">
        <v>3672.0479999999998</v>
      </c>
      <c r="R4375">
        <v>3810.4009999999998</v>
      </c>
      <c r="S4375">
        <v>3941.076</v>
      </c>
      <c r="T4375">
        <v>4073.6460000000002</v>
      </c>
      <c r="U4375">
        <v>4208.4780000000001</v>
      </c>
      <c r="V4375">
        <v>4345.4989999999998</v>
      </c>
      <c r="W4375">
        <v>4484.7740000000003</v>
      </c>
      <c r="X4375">
        <v>4626.4970000000003</v>
      </c>
      <c r="Y4375">
        <v>4770.9660000000003</v>
      </c>
      <c r="Z4375">
        <v>4918.3950000000004</v>
      </c>
      <c r="AA4375">
        <v>5069.8410000000003</v>
      </c>
      <c r="AB4375">
        <v>5225.8810000000003</v>
      </c>
      <c r="AC4375">
        <v>5387.31</v>
      </c>
      <c r="AD4375">
        <v>5554.3620000000001</v>
      </c>
    </row>
    <row r="4376" spans="2:30" x14ac:dyDescent="0.25">
      <c r="B4376" t="s">
        <v>133</v>
      </c>
      <c r="C4376" t="s">
        <v>3265</v>
      </c>
      <c r="D4376" t="s">
        <v>5398</v>
      </c>
      <c r="E4376" t="s">
        <v>5399</v>
      </c>
      <c r="F4376" t="s">
        <v>9995</v>
      </c>
      <c r="G4376" t="s">
        <v>3890</v>
      </c>
      <c r="H4376" t="s">
        <v>109</v>
      </c>
      <c r="I4376" t="s">
        <v>108</v>
      </c>
      <c r="J4376">
        <v>2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</row>
    <row r="4377" spans="2:30" x14ac:dyDescent="0.25">
      <c r="B4377" t="s">
        <v>133</v>
      </c>
      <c r="C4377" t="s">
        <v>3265</v>
      </c>
      <c r="D4377" t="s">
        <v>5401</v>
      </c>
      <c r="E4377" t="s">
        <v>5167</v>
      </c>
      <c r="F4377" t="s">
        <v>9925</v>
      </c>
      <c r="G4377" t="s">
        <v>3890</v>
      </c>
      <c r="H4377" t="s">
        <v>109</v>
      </c>
      <c r="I4377" t="s">
        <v>108</v>
      </c>
      <c r="J4377">
        <v>2</v>
      </c>
      <c r="K4377">
        <v>659.322</v>
      </c>
      <c r="L4377">
        <v>771.90700000000004</v>
      </c>
      <c r="M4377">
        <v>857.73800000000006</v>
      </c>
      <c r="N4377">
        <v>889.11699999999996</v>
      </c>
      <c r="O4377">
        <v>920.298</v>
      </c>
      <c r="P4377">
        <v>957.94299999999998</v>
      </c>
      <c r="Q4377">
        <v>1003.823</v>
      </c>
      <c r="R4377">
        <v>1048.8420000000001</v>
      </c>
      <c r="S4377">
        <v>1091.8889999999999</v>
      </c>
      <c r="T4377">
        <v>1136.105</v>
      </c>
      <c r="U4377">
        <v>1181.46</v>
      </c>
      <c r="V4377">
        <v>1227.9349999999999</v>
      </c>
      <c r="W4377">
        <v>1275.5550000000001</v>
      </c>
      <c r="X4377">
        <v>1324.4</v>
      </c>
      <c r="Y4377">
        <v>1374.587</v>
      </c>
      <c r="Z4377">
        <v>1426.2059999999999</v>
      </c>
      <c r="AA4377">
        <v>1479.6679999999999</v>
      </c>
      <c r="AB4377">
        <v>1535.2190000000001</v>
      </c>
      <c r="AC4377">
        <v>1593.1890000000001</v>
      </c>
      <c r="AD4377">
        <v>1653.6990000000001</v>
      </c>
    </row>
    <row r="4378" spans="2:30" x14ac:dyDescent="0.25">
      <c r="B4378" t="s">
        <v>133</v>
      </c>
      <c r="C4378" t="s">
        <v>3265</v>
      </c>
      <c r="D4378" t="s">
        <v>5402</v>
      </c>
      <c r="E4378" t="s">
        <v>5403</v>
      </c>
      <c r="F4378" t="s">
        <v>9996</v>
      </c>
      <c r="G4378" t="s">
        <v>3890</v>
      </c>
      <c r="H4378" t="s">
        <v>109</v>
      </c>
      <c r="I4378" t="s">
        <v>108</v>
      </c>
      <c r="J4378">
        <v>2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</row>
    <row r="4379" spans="2:30" x14ac:dyDescent="0.25">
      <c r="B4379" t="s">
        <v>133</v>
      </c>
      <c r="C4379" t="s">
        <v>3265</v>
      </c>
      <c r="D4379" t="s">
        <v>5405</v>
      </c>
      <c r="E4379" t="s">
        <v>5406</v>
      </c>
      <c r="F4379" t="s">
        <v>9997</v>
      </c>
      <c r="G4379" t="s">
        <v>3890</v>
      </c>
      <c r="H4379" t="s">
        <v>109</v>
      </c>
      <c r="I4379" t="s">
        <v>108</v>
      </c>
      <c r="J4379">
        <v>2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</row>
    <row r="4380" spans="2:30" x14ac:dyDescent="0.25">
      <c r="B4380" t="s">
        <v>133</v>
      </c>
      <c r="C4380" t="s">
        <v>3265</v>
      </c>
      <c r="D4380" t="s">
        <v>5408</v>
      </c>
      <c r="E4380" t="s">
        <v>5409</v>
      </c>
      <c r="F4380" t="s">
        <v>9998</v>
      </c>
      <c r="G4380" t="s">
        <v>3890</v>
      </c>
      <c r="H4380" t="s">
        <v>109</v>
      </c>
      <c r="I4380" t="s">
        <v>108</v>
      </c>
      <c r="J4380">
        <v>2</v>
      </c>
      <c r="K4380">
        <v>3</v>
      </c>
      <c r="L4380">
        <v>3.181</v>
      </c>
      <c r="M4380">
        <v>3.6320000000000001</v>
      </c>
      <c r="N4380">
        <v>3.7050000000000001</v>
      </c>
      <c r="O4380">
        <v>3.7759999999999998</v>
      </c>
      <c r="P4380">
        <v>3.859</v>
      </c>
      <c r="Q4380">
        <v>3.9569999999999999</v>
      </c>
      <c r="R4380">
        <v>4.0510000000000002</v>
      </c>
      <c r="S4380">
        <v>4.1369999999999996</v>
      </c>
      <c r="T4380">
        <v>4.2240000000000002</v>
      </c>
      <c r="U4380">
        <v>4.3109999999999999</v>
      </c>
      <c r="V4380">
        <v>4.399</v>
      </c>
      <c r="W4380">
        <v>4.4870000000000001</v>
      </c>
      <c r="X4380">
        <v>4.5750000000000002</v>
      </c>
      <c r="Y4380">
        <v>4.665</v>
      </c>
      <c r="Z4380">
        <v>4.7549999999999999</v>
      </c>
      <c r="AA4380">
        <v>4.8460000000000001</v>
      </c>
      <c r="AB4380">
        <v>4.9390000000000001</v>
      </c>
      <c r="AC4380">
        <v>5.0350000000000001</v>
      </c>
      <c r="AD4380">
        <v>5.133</v>
      </c>
    </row>
    <row r="4381" spans="2:30" x14ac:dyDescent="0.25">
      <c r="B4381" t="s">
        <v>133</v>
      </c>
      <c r="C4381" t="s">
        <v>3265</v>
      </c>
      <c r="D4381" t="s">
        <v>5411</v>
      </c>
      <c r="E4381" t="s">
        <v>5412</v>
      </c>
      <c r="F4381" t="s">
        <v>9999</v>
      </c>
      <c r="G4381" t="s">
        <v>3890</v>
      </c>
      <c r="H4381" t="s">
        <v>109</v>
      </c>
      <c r="I4381" t="s">
        <v>108</v>
      </c>
      <c r="J4381">
        <v>2</v>
      </c>
      <c r="K4381">
        <v>4</v>
      </c>
      <c r="L4381">
        <v>4.3959999999999999</v>
      </c>
      <c r="M4381">
        <v>5.07</v>
      </c>
      <c r="N4381">
        <v>5.234</v>
      </c>
      <c r="O4381">
        <v>5.3959999999999999</v>
      </c>
      <c r="P4381">
        <v>5.5869999999999997</v>
      </c>
      <c r="Q4381">
        <v>5.8140000000000001</v>
      </c>
      <c r="R4381">
        <v>6.0330000000000004</v>
      </c>
      <c r="S4381">
        <v>6.24</v>
      </c>
      <c r="T4381">
        <v>6.45</v>
      </c>
      <c r="U4381">
        <v>6.6630000000000003</v>
      </c>
      <c r="V4381">
        <v>6.88</v>
      </c>
      <c r="W4381">
        <v>7.101</v>
      </c>
      <c r="X4381">
        <v>7.3250000000000002</v>
      </c>
      <c r="Y4381">
        <v>7.5540000000000003</v>
      </c>
      <c r="Z4381">
        <v>7.7869999999999999</v>
      </c>
      <c r="AA4381">
        <v>8.0269999999999992</v>
      </c>
      <c r="AB4381">
        <v>8.2739999999999991</v>
      </c>
      <c r="AC4381">
        <v>8.5299999999999994</v>
      </c>
      <c r="AD4381">
        <v>8.7940000000000005</v>
      </c>
    </row>
    <row r="4382" spans="2:30" x14ac:dyDescent="0.25">
      <c r="B4382" t="s">
        <v>133</v>
      </c>
      <c r="C4382" t="s">
        <v>3265</v>
      </c>
      <c r="D4382" t="s">
        <v>5414</v>
      </c>
      <c r="E4382" t="s">
        <v>5415</v>
      </c>
      <c r="F4382" t="s">
        <v>10000</v>
      </c>
      <c r="G4382" t="s">
        <v>3890</v>
      </c>
      <c r="H4382" t="s">
        <v>109</v>
      </c>
      <c r="I4382" t="s">
        <v>108</v>
      </c>
      <c r="J4382">
        <v>2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</row>
    <row r="4383" spans="2:30" x14ac:dyDescent="0.25">
      <c r="B4383" t="s">
        <v>133</v>
      </c>
      <c r="C4383" t="s">
        <v>3265</v>
      </c>
      <c r="D4383" t="s">
        <v>5417</v>
      </c>
      <c r="E4383" t="s">
        <v>5155</v>
      </c>
      <c r="F4383" t="s">
        <v>9921</v>
      </c>
      <c r="G4383" t="s">
        <v>3890</v>
      </c>
      <c r="H4383" t="s">
        <v>109</v>
      </c>
      <c r="I4383" t="s">
        <v>108</v>
      </c>
      <c r="J4383">
        <v>2</v>
      </c>
      <c r="K4383">
        <v>7688.0550000000003</v>
      </c>
      <c r="L4383">
        <v>7378.8829999999998</v>
      </c>
      <c r="M4383">
        <v>7817.37</v>
      </c>
      <c r="N4383">
        <v>9960.232</v>
      </c>
      <c r="O4383">
        <v>9985.7199999999993</v>
      </c>
      <c r="P4383">
        <v>10027.691000000001</v>
      </c>
      <c r="Q4383">
        <v>10091.909</v>
      </c>
      <c r="R4383">
        <v>10155.694</v>
      </c>
      <c r="S4383">
        <v>10214.388000000001</v>
      </c>
      <c r="T4383">
        <v>10279.092000000001</v>
      </c>
      <c r="U4383">
        <v>10352.521000000001</v>
      </c>
      <c r="V4383">
        <v>10436.394</v>
      </c>
      <c r="W4383">
        <v>10533.995999999999</v>
      </c>
      <c r="X4383">
        <v>10648.814</v>
      </c>
      <c r="Y4383">
        <v>10786.08</v>
      </c>
      <c r="Z4383">
        <v>10935.120999999999</v>
      </c>
      <c r="AA4383">
        <v>11116.433999999999</v>
      </c>
      <c r="AB4383">
        <v>11314.346</v>
      </c>
      <c r="AC4383">
        <v>11534.743</v>
      </c>
      <c r="AD4383">
        <v>11774.564</v>
      </c>
    </row>
    <row r="4384" spans="2:30" x14ac:dyDescent="0.25">
      <c r="B4384" t="s">
        <v>133</v>
      </c>
      <c r="C4384" t="s">
        <v>3265</v>
      </c>
      <c r="D4384" t="s">
        <v>5418</v>
      </c>
      <c r="E4384" t="s">
        <v>5419</v>
      </c>
      <c r="F4384" t="s">
        <v>10001</v>
      </c>
      <c r="G4384" t="s">
        <v>3890</v>
      </c>
      <c r="H4384" t="s">
        <v>109</v>
      </c>
      <c r="I4384" t="s">
        <v>108</v>
      </c>
      <c r="J4384">
        <v>2</v>
      </c>
      <c r="K4384">
        <v>4691.6719999999996</v>
      </c>
      <c r="L4384">
        <v>4563.5690000000004</v>
      </c>
      <c r="M4384">
        <v>4433.1809999999996</v>
      </c>
      <c r="N4384">
        <v>5360.8990000000003</v>
      </c>
      <c r="O4384">
        <v>5250.1549999999997</v>
      </c>
      <c r="P4384">
        <v>5131.3339999999998</v>
      </c>
      <c r="Q4384">
        <v>5004.4269999999997</v>
      </c>
      <c r="R4384">
        <v>4883.6580000000004</v>
      </c>
      <c r="S4384">
        <v>4768.2740000000003</v>
      </c>
      <c r="T4384">
        <v>4656.4589999999998</v>
      </c>
      <c r="U4384">
        <v>4550.4359999999997</v>
      </c>
      <c r="V4384">
        <v>4452.0219999999999</v>
      </c>
      <c r="W4384">
        <v>4364.4189999999999</v>
      </c>
      <c r="X4384">
        <v>4290.8530000000001</v>
      </c>
      <c r="Y4384">
        <v>4236.16</v>
      </c>
      <c r="Z4384">
        <v>4189.3810000000003</v>
      </c>
      <c r="AA4384">
        <v>4169.5929999999998</v>
      </c>
      <c r="AB4384">
        <v>4160.3549999999996</v>
      </c>
      <c r="AC4384">
        <v>4166.4859999999999</v>
      </c>
      <c r="AD4384">
        <v>4184.62</v>
      </c>
    </row>
    <row r="4385" spans="2:30" x14ac:dyDescent="0.25">
      <c r="B4385" t="s">
        <v>133</v>
      </c>
      <c r="C4385" t="s">
        <v>3265</v>
      </c>
      <c r="D4385" t="s">
        <v>5421</v>
      </c>
      <c r="E4385" t="s">
        <v>5422</v>
      </c>
      <c r="F4385" t="s">
        <v>10002</v>
      </c>
      <c r="G4385" t="s">
        <v>3890</v>
      </c>
      <c r="H4385" t="s">
        <v>109</v>
      </c>
      <c r="I4385" t="s">
        <v>108</v>
      </c>
      <c r="J4385">
        <v>2</v>
      </c>
      <c r="K4385">
        <v>271.34100000000001</v>
      </c>
      <c r="L4385">
        <v>251.108</v>
      </c>
      <c r="M4385">
        <v>298.85899999999998</v>
      </c>
      <c r="N4385">
        <v>395.57299999999998</v>
      </c>
      <c r="O4385">
        <v>406.19900000000001</v>
      </c>
      <c r="P4385">
        <v>418.90199999999999</v>
      </c>
      <c r="Q4385">
        <v>434.16399999999999</v>
      </c>
      <c r="R4385">
        <v>448.73599999999999</v>
      </c>
      <c r="S4385">
        <v>462.28500000000003</v>
      </c>
      <c r="T4385">
        <v>475.94</v>
      </c>
      <c r="U4385">
        <v>489.74400000000003</v>
      </c>
      <c r="V4385">
        <v>503.68400000000003</v>
      </c>
      <c r="W4385">
        <v>517.76599999999996</v>
      </c>
      <c r="X4385">
        <v>532.01099999999997</v>
      </c>
      <c r="Y4385">
        <v>546.44799999999998</v>
      </c>
      <c r="Z4385">
        <v>561.1</v>
      </c>
      <c r="AA4385">
        <v>576.08500000000004</v>
      </c>
      <c r="AB4385">
        <v>591.46100000000001</v>
      </c>
      <c r="AC4385">
        <v>607.31399999999996</v>
      </c>
      <c r="AD4385">
        <v>623.66300000000001</v>
      </c>
    </row>
    <row r="4386" spans="2:30" x14ac:dyDescent="0.25">
      <c r="B4386" t="s">
        <v>133</v>
      </c>
      <c r="C4386" t="s">
        <v>3265</v>
      </c>
      <c r="D4386" t="s">
        <v>5424</v>
      </c>
      <c r="E4386" t="s">
        <v>5425</v>
      </c>
      <c r="F4386" t="s">
        <v>10003</v>
      </c>
      <c r="G4386" t="s">
        <v>3890</v>
      </c>
      <c r="H4386" t="s">
        <v>109</v>
      </c>
      <c r="I4386" t="s">
        <v>108</v>
      </c>
      <c r="J4386">
        <v>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</row>
    <row r="4387" spans="2:30" x14ac:dyDescent="0.25">
      <c r="B4387" t="s">
        <v>133</v>
      </c>
      <c r="C4387" t="s">
        <v>3265</v>
      </c>
      <c r="D4387" t="s">
        <v>5427</v>
      </c>
      <c r="E4387" t="s">
        <v>5428</v>
      </c>
      <c r="F4387" t="s">
        <v>10004</v>
      </c>
      <c r="G4387" t="s">
        <v>3890</v>
      </c>
      <c r="H4387" t="s">
        <v>109</v>
      </c>
      <c r="I4387" t="s">
        <v>108</v>
      </c>
      <c r="J4387">
        <v>2</v>
      </c>
      <c r="K4387">
        <v>2631.7759999999998</v>
      </c>
      <c r="L4387">
        <v>2478.98</v>
      </c>
      <c r="M4387">
        <v>2984.6860000000001</v>
      </c>
      <c r="N4387">
        <v>4071.1979999999999</v>
      </c>
      <c r="O4387">
        <v>4197.2</v>
      </c>
      <c r="P4387">
        <v>4345.6840000000002</v>
      </c>
      <c r="Q4387">
        <v>4521.9409999999998</v>
      </c>
      <c r="R4387">
        <v>4692.3159999999998</v>
      </c>
      <c r="S4387">
        <v>4853.2359999999999</v>
      </c>
      <c r="T4387">
        <v>5016.4889999999996</v>
      </c>
      <c r="U4387">
        <v>5182.527</v>
      </c>
      <c r="V4387">
        <v>5351.2619999999997</v>
      </c>
      <c r="W4387">
        <v>5522.7719999999999</v>
      </c>
      <c r="X4387">
        <v>5697.2960000000003</v>
      </c>
      <c r="Y4387">
        <v>5875.2030000000004</v>
      </c>
      <c r="Z4387">
        <v>6056.7539999999999</v>
      </c>
      <c r="AA4387">
        <v>6243.2520000000004</v>
      </c>
      <c r="AB4387">
        <v>6435.4070000000002</v>
      </c>
      <c r="AC4387">
        <v>6634.2</v>
      </c>
      <c r="AD4387">
        <v>6839.9160000000002</v>
      </c>
    </row>
    <row r="4388" spans="2:30" x14ac:dyDescent="0.25">
      <c r="B4388" t="s">
        <v>133</v>
      </c>
      <c r="C4388" t="s">
        <v>3265</v>
      </c>
      <c r="D4388" t="s">
        <v>5430</v>
      </c>
      <c r="E4388" t="s">
        <v>5431</v>
      </c>
      <c r="F4388" t="s">
        <v>10005</v>
      </c>
      <c r="G4388" t="s">
        <v>3890</v>
      </c>
      <c r="H4388" t="s">
        <v>109</v>
      </c>
      <c r="I4388" t="s">
        <v>108</v>
      </c>
      <c r="J4388">
        <v>2</v>
      </c>
      <c r="K4388">
        <v>93.265000000000001</v>
      </c>
      <c r="L4388">
        <v>85.225999999999999</v>
      </c>
      <c r="M4388">
        <v>100.645</v>
      </c>
      <c r="N4388">
        <v>132.56200000000001</v>
      </c>
      <c r="O4388">
        <v>132.166</v>
      </c>
      <c r="P4388">
        <v>131.77099999999999</v>
      </c>
      <c r="Q4388">
        <v>131.37799999999999</v>
      </c>
      <c r="R4388">
        <v>130.98500000000001</v>
      </c>
      <c r="S4388">
        <v>130.59399999999999</v>
      </c>
      <c r="T4388">
        <v>130.203</v>
      </c>
      <c r="U4388">
        <v>129.81399999999999</v>
      </c>
      <c r="V4388">
        <v>129.42599999999999</v>
      </c>
      <c r="W4388">
        <v>129.04</v>
      </c>
      <c r="X4388">
        <v>128.654</v>
      </c>
      <c r="Y4388">
        <v>128.27000000000001</v>
      </c>
      <c r="Z4388">
        <v>127.886</v>
      </c>
      <c r="AA4388">
        <v>127.504</v>
      </c>
      <c r="AB4388">
        <v>127.123</v>
      </c>
      <c r="AC4388">
        <v>126.74299999999999</v>
      </c>
      <c r="AD4388">
        <v>126.36499999999999</v>
      </c>
    </row>
    <row r="4389" spans="2:30" x14ac:dyDescent="0.25">
      <c r="B4389" t="s">
        <v>133</v>
      </c>
      <c r="C4389" t="s">
        <v>3265</v>
      </c>
      <c r="D4389" t="s">
        <v>5433</v>
      </c>
      <c r="E4389" t="s">
        <v>5434</v>
      </c>
      <c r="F4389" t="s">
        <v>10006</v>
      </c>
      <c r="G4389" t="s">
        <v>3890</v>
      </c>
      <c r="H4389" t="s">
        <v>109</v>
      </c>
      <c r="I4389" t="s">
        <v>108</v>
      </c>
      <c r="J4389">
        <v>2</v>
      </c>
      <c r="K4389">
        <v>80943.887000000002</v>
      </c>
      <c r="L4389">
        <v>79043.572</v>
      </c>
      <c r="M4389">
        <v>89446.432000000001</v>
      </c>
      <c r="N4389">
        <v>92506.974000000002</v>
      </c>
      <c r="O4389">
        <v>93053.847999999998</v>
      </c>
      <c r="P4389">
        <v>95277.157000000007</v>
      </c>
      <c r="Q4389">
        <v>99001.54</v>
      </c>
      <c r="R4389">
        <v>102825.834</v>
      </c>
      <c r="S4389">
        <v>106595.978</v>
      </c>
      <c r="T4389">
        <v>110725.289</v>
      </c>
      <c r="U4389">
        <v>115097.031</v>
      </c>
      <c r="V4389">
        <v>119813.414</v>
      </c>
      <c r="W4389">
        <v>124837.79300000001</v>
      </c>
      <c r="X4389">
        <v>130227.39200000001</v>
      </c>
      <c r="Y4389">
        <v>135859.13399999999</v>
      </c>
      <c r="Z4389">
        <v>142841.83499999999</v>
      </c>
      <c r="AA4389">
        <v>149934.511</v>
      </c>
      <c r="AB4389">
        <v>157841.878</v>
      </c>
      <c r="AC4389">
        <v>166472.658</v>
      </c>
      <c r="AD4389">
        <v>175679.337</v>
      </c>
    </row>
    <row r="4390" spans="2:30" x14ac:dyDescent="0.25">
      <c r="B4390" t="s">
        <v>133</v>
      </c>
      <c r="C4390" t="s">
        <v>3265</v>
      </c>
      <c r="D4390" t="s">
        <v>5436</v>
      </c>
      <c r="E4390" t="s">
        <v>5176</v>
      </c>
      <c r="F4390" t="s">
        <v>9928</v>
      </c>
      <c r="G4390" t="s">
        <v>3890</v>
      </c>
      <c r="H4390" t="s">
        <v>109</v>
      </c>
      <c r="I4390" t="s">
        <v>108</v>
      </c>
      <c r="J4390">
        <v>2</v>
      </c>
      <c r="K4390">
        <v>1529.27</v>
      </c>
      <c r="L4390">
        <v>1206.73</v>
      </c>
      <c r="M4390">
        <v>1313.405</v>
      </c>
      <c r="N4390">
        <v>1308.827</v>
      </c>
      <c r="O4390">
        <v>1304.2660000000001</v>
      </c>
      <c r="P4390">
        <v>1299.72</v>
      </c>
      <c r="Q4390">
        <v>1295.19</v>
      </c>
      <c r="R4390">
        <v>1290.6759999999999</v>
      </c>
      <c r="S4390">
        <v>1286.1780000000001</v>
      </c>
      <c r="T4390">
        <v>1281.6949999999999</v>
      </c>
      <c r="U4390">
        <v>1277.2280000000001</v>
      </c>
      <c r="V4390">
        <v>1272.777</v>
      </c>
      <c r="W4390">
        <v>1268.3409999999999</v>
      </c>
      <c r="X4390">
        <v>1263.921</v>
      </c>
      <c r="Y4390">
        <v>1259.5160000000001</v>
      </c>
      <c r="Z4390">
        <v>1255.126</v>
      </c>
      <c r="AA4390">
        <v>1250.752</v>
      </c>
      <c r="AB4390">
        <v>1246.393</v>
      </c>
      <c r="AC4390">
        <v>1242.049</v>
      </c>
      <c r="AD4390">
        <v>1237.72</v>
      </c>
    </row>
    <row r="4391" spans="2:30" x14ac:dyDescent="0.25">
      <c r="B4391" t="s">
        <v>133</v>
      </c>
      <c r="C4391" t="s">
        <v>3265</v>
      </c>
      <c r="D4391" t="s">
        <v>5437</v>
      </c>
      <c r="E4391" t="s">
        <v>5438</v>
      </c>
      <c r="F4391" t="s">
        <v>10007</v>
      </c>
      <c r="G4391" t="s">
        <v>3890</v>
      </c>
      <c r="H4391" t="s">
        <v>109</v>
      </c>
      <c r="I4391" t="s">
        <v>108</v>
      </c>
      <c r="J4391">
        <v>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</row>
    <row r="4392" spans="2:30" x14ac:dyDescent="0.25">
      <c r="B4392" t="s">
        <v>133</v>
      </c>
      <c r="C4392" t="s">
        <v>3265</v>
      </c>
      <c r="D4392" t="s">
        <v>5440</v>
      </c>
      <c r="E4392" t="s">
        <v>5441</v>
      </c>
      <c r="F4392" t="s">
        <v>10008</v>
      </c>
      <c r="G4392" t="s">
        <v>3890</v>
      </c>
      <c r="H4392" t="s">
        <v>109</v>
      </c>
      <c r="I4392" t="s">
        <v>108</v>
      </c>
      <c r="J4392">
        <v>2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</row>
    <row r="4393" spans="2:30" x14ac:dyDescent="0.25">
      <c r="B4393" t="s">
        <v>133</v>
      </c>
      <c r="C4393" t="s">
        <v>3265</v>
      </c>
      <c r="D4393" t="s">
        <v>5443</v>
      </c>
      <c r="E4393" t="s">
        <v>5444</v>
      </c>
      <c r="F4393" t="s">
        <v>10009</v>
      </c>
      <c r="G4393" t="s">
        <v>3890</v>
      </c>
      <c r="H4393" t="s">
        <v>109</v>
      </c>
      <c r="I4393" t="s">
        <v>108</v>
      </c>
      <c r="J4393">
        <v>2</v>
      </c>
      <c r="K4393">
        <v>1529.27</v>
      </c>
      <c r="L4393">
        <v>1206.73</v>
      </c>
      <c r="M4393">
        <v>1313.405</v>
      </c>
      <c r="N4393">
        <v>1308.827</v>
      </c>
      <c r="O4393">
        <v>1304.2660000000001</v>
      </c>
      <c r="P4393">
        <v>1299.72</v>
      </c>
      <c r="Q4393">
        <v>1295.19</v>
      </c>
      <c r="R4393">
        <v>1290.6759999999999</v>
      </c>
      <c r="S4393">
        <v>1286.1780000000001</v>
      </c>
      <c r="T4393">
        <v>1281.6949999999999</v>
      </c>
      <c r="U4393">
        <v>1277.2280000000001</v>
      </c>
      <c r="V4393">
        <v>1272.777</v>
      </c>
      <c r="W4393">
        <v>1268.3409999999999</v>
      </c>
      <c r="X4393">
        <v>1263.921</v>
      </c>
      <c r="Y4393">
        <v>1259.5160000000001</v>
      </c>
      <c r="Z4393">
        <v>1255.126</v>
      </c>
      <c r="AA4393">
        <v>1250.752</v>
      </c>
      <c r="AB4393">
        <v>1246.393</v>
      </c>
      <c r="AC4393">
        <v>1242.049</v>
      </c>
      <c r="AD4393">
        <v>1237.72</v>
      </c>
    </row>
    <row r="4394" spans="2:30" x14ac:dyDescent="0.25">
      <c r="B4394" t="s">
        <v>133</v>
      </c>
      <c r="C4394" t="s">
        <v>3265</v>
      </c>
      <c r="D4394" t="s">
        <v>5446</v>
      </c>
      <c r="E4394" t="s">
        <v>5447</v>
      </c>
      <c r="F4394" t="s">
        <v>10010</v>
      </c>
      <c r="G4394" t="s">
        <v>3890</v>
      </c>
      <c r="H4394" t="s">
        <v>109</v>
      </c>
      <c r="I4394" t="s">
        <v>108</v>
      </c>
      <c r="J4394">
        <v>2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</row>
    <row r="4395" spans="2:30" x14ac:dyDescent="0.25">
      <c r="B4395" t="s">
        <v>133</v>
      </c>
      <c r="C4395" t="s">
        <v>3265</v>
      </c>
      <c r="D4395" t="s">
        <v>5449</v>
      </c>
      <c r="E4395" t="s">
        <v>5450</v>
      </c>
      <c r="F4395" t="s">
        <v>10011</v>
      </c>
      <c r="G4395" t="s">
        <v>3890</v>
      </c>
      <c r="H4395" t="s">
        <v>109</v>
      </c>
      <c r="I4395" t="s">
        <v>108</v>
      </c>
      <c r="J4395">
        <v>2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</row>
    <row r="4396" spans="2:30" x14ac:dyDescent="0.25">
      <c r="B4396" t="s">
        <v>133</v>
      </c>
      <c r="C4396" t="s">
        <v>3265</v>
      </c>
      <c r="D4396" t="s">
        <v>5452</v>
      </c>
      <c r="E4396" t="s">
        <v>5146</v>
      </c>
      <c r="F4396" t="s">
        <v>9918</v>
      </c>
      <c r="G4396" t="s">
        <v>3890</v>
      </c>
      <c r="H4396" t="s">
        <v>109</v>
      </c>
      <c r="I4396" t="s">
        <v>108</v>
      </c>
      <c r="J4396">
        <v>2</v>
      </c>
      <c r="K4396">
        <v>84652.786999999997</v>
      </c>
      <c r="L4396">
        <v>82602.623000000007</v>
      </c>
      <c r="M4396">
        <v>93073.75</v>
      </c>
      <c r="N4396">
        <v>97658.462</v>
      </c>
      <c r="O4396">
        <v>99875.3</v>
      </c>
      <c r="P4396">
        <v>102716.353</v>
      </c>
      <c r="Q4396">
        <v>106747.38800000001</v>
      </c>
      <c r="R4396">
        <v>111035.033</v>
      </c>
      <c r="S4396">
        <v>115366.011</v>
      </c>
      <c r="T4396">
        <v>120049.364</v>
      </c>
      <c r="U4396">
        <v>124962.23</v>
      </c>
      <c r="V4396">
        <v>130220.7</v>
      </c>
      <c r="W4396">
        <v>135823.17600000001</v>
      </c>
      <c r="X4396">
        <v>141843.984</v>
      </c>
      <c r="Y4396">
        <v>148184.932</v>
      </c>
      <c r="Z4396">
        <v>155952.823</v>
      </c>
      <c r="AA4396">
        <v>164105.405</v>
      </c>
      <c r="AB4396">
        <v>173159.62400000001</v>
      </c>
      <c r="AC4396">
        <v>183002.921</v>
      </c>
      <c r="AD4396">
        <v>193507.93400000001</v>
      </c>
    </row>
    <row r="4397" spans="2:30" x14ac:dyDescent="0.25">
      <c r="B4397" t="s">
        <v>133</v>
      </c>
      <c r="C4397" t="s">
        <v>3265</v>
      </c>
      <c r="D4397" t="s">
        <v>5453</v>
      </c>
      <c r="E4397" t="s">
        <v>5149</v>
      </c>
      <c r="F4397" t="s">
        <v>9919</v>
      </c>
      <c r="G4397" t="s">
        <v>3890</v>
      </c>
      <c r="H4397" t="s">
        <v>109</v>
      </c>
      <c r="I4397" t="s">
        <v>108</v>
      </c>
      <c r="J4397">
        <v>2</v>
      </c>
      <c r="K4397">
        <v>1651.0930000000001</v>
      </c>
      <c r="L4397">
        <v>1545.134</v>
      </c>
      <c r="M4397">
        <v>1836.8230000000001</v>
      </c>
      <c r="N4397">
        <v>1975.171</v>
      </c>
      <c r="O4397">
        <v>2006.8579999999999</v>
      </c>
      <c r="P4397">
        <v>2038.454</v>
      </c>
      <c r="Q4397">
        <v>2038.3720000000001</v>
      </c>
      <c r="R4397">
        <v>2060.415</v>
      </c>
      <c r="S4397">
        <v>2095.4839999999999</v>
      </c>
      <c r="T4397">
        <v>2142.4290000000001</v>
      </c>
      <c r="U4397">
        <v>2194.6909999999998</v>
      </c>
      <c r="V4397">
        <v>2255.9279999999999</v>
      </c>
      <c r="W4397">
        <v>2325.9560000000001</v>
      </c>
      <c r="X4397">
        <v>2405.2020000000002</v>
      </c>
      <c r="Y4397">
        <v>2447.8829999999998</v>
      </c>
      <c r="Z4397">
        <v>2490.8290000000002</v>
      </c>
      <c r="AA4397">
        <v>2534.3620000000001</v>
      </c>
      <c r="AB4397">
        <v>2578.634</v>
      </c>
      <c r="AC4397">
        <v>2623.8580000000002</v>
      </c>
      <c r="AD4397">
        <v>2670.0659999999998</v>
      </c>
    </row>
    <row r="4398" spans="2:30" x14ac:dyDescent="0.25">
      <c r="B4398" t="s">
        <v>133</v>
      </c>
      <c r="C4398" t="s">
        <v>3265</v>
      </c>
      <c r="D4398" t="s">
        <v>5454</v>
      </c>
      <c r="E4398" t="s">
        <v>5152</v>
      </c>
      <c r="F4398" t="s">
        <v>9920</v>
      </c>
      <c r="G4398" t="s">
        <v>3890</v>
      </c>
      <c r="H4398" t="s">
        <v>109</v>
      </c>
      <c r="I4398" t="s">
        <v>108</v>
      </c>
      <c r="J4398">
        <v>2</v>
      </c>
      <c r="K4398">
        <v>42937.004999999997</v>
      </c>
      <c r="L4398">
        <v>39972.089</v>
      </c>
      <c r="M4398">
        <v>47160.224000000002</v>
      </c>
      <c r="N4398">
        <v>48233.159</v>
      </c>
      <c r="O4398">
        <v>47662.413</v>
      </c>
      <c r="P4398">
        <v>47791.322</v>
      </c>
      <c r="Q4398">
        <v>49214.786999999997</v>
      </c>
      <c r="R4398">
        <v>50588.029000000002</v>
      </c>
      <c r="S4398">
        <v>51562.633999999998</v>
      </c>
      <c r="T4398">
        <v>52455.711000000003</v>
      </c>
      <c r="U4398">
        <v>53341.033000000003</v>
      </c>
      <c r="V4398">
        <v>54330.874000000003</v>
      </c>
      <c r="W4398">
        <v>55415.646999999997</v>
      </c>
      <c r="X4398">
        <v>56649.675999999999</v>
      </c>
      <c r="Y4398">
        <v>57964.957000000002</v>
      </c>
      <c r="Z4398">
        <v>60417.841</v>
      </c>
      <c r="AA4398">
        <v>62748.203000000001</v>
      </c>
      <c r="AB4398">
        <v>65673.198000000004</v>
      </c>
      <c r="AC4398">
        <v>69090.148000000001</v>
      </c>
      <c r="AD4398">
        <v>72896.035999999993</v>
      </c>
    </row>
    <row r="4399" spans="2:30" x14ac:dyDescent="0.25">
      <c r="B4399" t="s">
        <v>133</v>
      </c>
      <c r="C4399" t="s">
        <v>3265</v>
      </c>
      <c r="D4399" t="s">
        <v>5455</v>
      </c>
      <c r="E4399" t="s">
        <v>5155</v>
      </c>
      <c r="F4399" t="s">
        <v>9921</v>
      </c>
      <c r="G4399" t="s">
        <v>3890</v>
      </c>
      <c r="H4399" t="s">
        <v>109</v>
      </c>
      <c r="I4399" t="s">
        <v>108</v>
      </c>
      <c r="J4399">
        <v>2</v>
      </c>
      <c r="K4399">
        <v>7688.0550000000003</v>
      </c>
      <c r="L4399">
        <v>7378.8829999999998</v>
      </c>
      <c r="M4399">
        <v>7817.37</v>
      </c>
      <c r="N4399">
        <v>9960.232</v>
      </c>
      <c r="O4399">
        <v>9985.7199999999993</v>
      </c>
      <c r="P4399">
        <v>10027.691000000001</v>
      </c>
      <c r="Q4399">
        <v>10091.909</v>
      </c>
      <c r="R4399">
        <v>10155.694</v>
      </c>
      <c r="S4399">
        <v>10214.388000000001</v>
      </c>
      <c r="T4399">
        <v>10279.092000000001</v>
      </c>
      <c r="U4399">
        <v>10352.521000000001</v>
      </c>
      <c r="V4399">
        <v>10436.394</v>
      </c>
      <c r="W4399">
        <v>10533.995999999999</v>
      </c>
      <c r="X4399">
        <v>10648.814</v>
      </c>
      <c r="Y4399">
        <v>10786.08</v>
      </c>
      <c r="Z4399">
        <v>10935.120999999999</v>
      </c>
      <c r="AA4399">
        <v>11116.433999999999</v>
      </c>
      <c r="AB4399">
        <v>11314.346</v>
      </c>
      <c r="AC4399">
        <v>11534.743</v>
      </c>
      <c r="AD4399">
        <v>11774.564</v>
      </c>
    </row>
    <row r="4400" spans="2:30" x14ac:dyDescent="0.25">
      <c r="B4400" t="s">
        <v>133</v>
      </c>
      <c r="C4400" t="s">
        <v>3265</v>
      </c>
      <c r="D4400" t="s">
        <v>5456</v>
      </c>
      <c r="E4400" t="s">
        <v>5158</v>
      </c>
      <c r="F4400" t="s">
        <v>9922</v>
      </c>
      <c r="G4400" t="s">
        <v>3890</v>
      </c>
      <c r="H4400" t="s">
        <v>109</v>
      </c>
      <c r="I4400" t="s">
        <v>108</v>
      </c>
      <c r="J4400">
        <v>2</v>
      </c>
      <c r="K4400">
        <v>7404.3140000000003</v>
      </c>
      <c r="L4400">
        <v>7147.93</v>
      </c>
      <c r="M4400">
        <v>7001.1750000000002</v>
      </c>
      <c r="N4400">
        <v>6753.6639999999998</v>
      </c>
      <c r="O4400">
        <v>6886.5370000000003</v>
      </c>
      <c r="P4400">
        <v>7548.8450000000003</v>
      </c>
      <c r="Q4400">
        <v>8264.5689999999995</v>
      </c>
      <c r="R4400">
        <v>9039.0759999999991</v>
      </c>
      <c r="S4400">
        <v>9962.9140000000007</v>
      </c>
      <c r="T4400">
        <v>11055.142</v>
      </c>
      <c r="U4400">
        <v>12235.485000000001</v>
      </c>
      <c r="V4400">
        <v>13497.953</v>
      </c>
      <c r="W4400">
        <v>14836.333000000001</v>
      </c>
      <c r="X4400">
        <v>16243.861999999999</v>
      </c>
      <c r="Y4400">
        <v>17711.63</v>
      </c>
      <c r="Z4400">
        <v>19253.150000000001</v>
      </c>
      <c r="AA4400">
        <v>20865.21</v>
      </c>
      <c r="AB4400">
        <v>22545.3</v>
      </c>
      <c r="AC4400">
        <v>24291.404999999999</v>
      </c>
      <c r="AD4400">
        <v>26069.816999999999</v>
      </c>
    </row>
    <row r="4401" spans="2:30" x14ac:dyDescent="0.25">
      <c r="B4401" t="s">
        <v>133</v>
      </c>
      <c r="C4401" t="s">
        <v>3265</v>
      </c>
      <c r="D4401" t="s">
        <v>5457</v>
      </c>
      <c r="E4401" t="s">
        <v>5161</v>
      </c>
      <c r="F4401" t="s">
        <v>9923</v>
      </c>
      <c r="G4401" t="s">
        <v>3890</v>
      </c>
      <c r="H4401" t="s">
        <v>109</v>
      </c>
      <c r="I4401" t="s">
        <v>108</v>
      </c>
      <c r="J4401">
        <v>2</v>
      </c>
      <c r="K4401">
        <v>15214.834999999999</v>
      </c>
      <c r="L4401">
        <v>16168.272999999999</v>
      </c>
      <c r="M4401">
        <v>17468.254000000001</v>
      </c>
      <c r="N4401">
        <v>17210.601999999999</v>
      </c>
      <c r="O4401">
        <v>17931.196</v>
      </c>
      <c r="P4401">
        <v>19045.128000000001</v>
      </c>
      <c r="Q4401">
        <v>20275.215</v>
      </c>
      <c r="R4401">
        <v>21586.073</v>
      </c>
      <c r="S4401">
        <v>23101.156999999999</v>
      </c>
      <c r="T4401">
        <v>24867.718000000001</v>
      </c>
      <c r="U4401">
        <v>26778.760999999999</v>
      </c>
      <c r="V4401">
        <v>28824.987000000001</v>
      </c>
      <c r="W4401">
        <v>30982.321</v>
      </c>
      <c r="X4401">
        <v>33256.112999999998</v>
      </c>
      <c r="Y4401">
        <v>35640.146999999997</v>
      </c>
      <c r="Z4401">
        <v>38146.788999999997</v>
      </c>
      <c r="AA4401">
        <v>40775.434000000001</v>
      </c>
      <c r="AB4401">
        <v>43530.521999999997</v>
      </c>
      <c r="AC4401">
        <v>46417.802000000003</v>
      </c>
      <c r="AD4401">
        <v>49429.086000000003</v>
      </c>
    </row>
    <row r="4402" spans="2:30" x14ac:dyDescent="0.25">
      <c r="B4402" t="s">
        <v>133</v>
      </c>
      <c r="C4402" t="s">
        <v>3265</v>
      </c>
      <c r="D4402" t="s">
        <v>5458</v>
      </c>
      <c r="E4402" t="s">
        <v>5164</v>
      </c>
      <c r="F4402" t="s">
        <v>9924</v>
      </c>
      <c r="G4402" t="s">
        <v>3890</v>
      </c>
      <c r="H4402" t="s">
        <v>109</v>
      </c>
      <c r="I4402" t="s">
        <v>108</v>
      </c>
      <c r="J4402">
        <v>2</v>
      </c>
      <c r="K4402">
        <v>5389.2640000000001</v>
      </c>
      <c r="L4402">
        <v>6059.357</v>
      </c>
      <c r="M4402">
        <v>7304.8469999999998</v>
      </c>
      <c r="N4402">
        <v>7485.0290000000005</v>
      </c>
      <c r="O4402">
        <v>7660.826</v>
      </c>
      <c r="P4402">
        <v>7867.7740000000003</v>
      </c>
      <c r="Q4402">
        <v>8112.866</v>
      </c>
      <c r="R4402">
        <v>8347.7049999999999</v>
      </c>
      <c r="S4402">
        <v>8567.5120000000006</v>
      </c>
      <c r="T4402">
        <v>8789.0930000000008</v>
      </c>
      <c r="U4402">
        <v>9013.08</v>
      </c>
      <c r="V4402">
        <v>9239.3439999999991</v>
      </c>
      <c r="W4402">
        <v>9467.9840000000004</v>
      </c>
      <c r="X4402">
        <v>9699.3250000000007</v>
      </c>
      <c r="Y4402">
        <v>9933.85</v>
      </c>
      <c r="Z4402">
        <v>10171.898999999999</v>
      </c>
      <c r="AA4402">
        <v>10415.200999999999</v>
      </c>
      <c r="AB4402">
        <v>10664.657999999999</v>
      </c>
      <c r="AC4402">
        <v>10921.513000000001</v>
      </c>
      <c r="AD4402">
        <v>11186.069</v>
      </c>
    </row>
    <row r="4403" spans="2:30" x14ac:dyDescent="0.25">
      <c r="B4403" t="s">
        <v>133</v>
      </c>
      <c r="C4403" t="s">
        <v>3265</v>
      </c>
      <c r="D4403" t="s">
        <v>5459</v>
      </c>
      <c r="E4403" t="s">
        <v>5167</v>
      </c>
      <c r="F4403" t="s">
        <v>9925</v>
      </c>
      <c r="G4403" t="s">
        <v>3890</v>
      </c>
      <c r="H4403" t="s">
        <v>109</v>
      </c>
      <c r="I4403" t="s">
        <v>108</v>
      </c>
      <c r="J4403">
        <v>2</v>
      </c>
      <c r="K4403">
        <v>659.322</v>
      </c>
      <c r="L4403">
        <v>771.90700000000004</v>
      </c>
      <c r="M4403">
        <v>857.73800000000006</v>
      </c>
      <c r="N4403">
        <v>889.11699999999996</v>
      </c>
      <c r="O4403">
        <v>920.298</v>
      </c>
      <c r="P4403">
        <v>957.94299999999998</v>
      </c>
      <c r="Q4403">
        <v>1003.823</v>
      </c>
      <c r="R4403">
        <v>1048.8420000000001</v>
      </c>
      <c r="S4403">
        <v>1091.8889999999999</v>
      </c>
      <c r="T4403">
        <v>1136.105</v>
      </c>
      <c r="U4403">
        <v>1181.46</v>
      </c>
      <c r="V4403">
        <v>1227.9349999999999</v>
      </c>
      <c r="W4403">
        <v>1275.5550000000001</v>
      </c>
      <c r="X4403">
        <v>1324.4</v>
      </c>
      <c r="Y4403">
        <v>1374.587</v>
      </c>
      <c r="Z4403">
        <v>1426.2059999999999</v>
      </c>
      <c r="AA4403">
        <v>1479.6679999999999</v>
      </c>
      <c r="AB4403">
        <v>1535.2190000000001</v>
      </c>
      <c r="AC4403">
        <v>1593.1890000000001</v>
      </c>
      <c r="AD4403">
        <v>1653.6990000000001</v>
      </c>
    </row>
    <row r="4404" spans="2:30" x14ac:dyDescent="0.25">
      <c r="B4404" t="s">
        <v>133</v>
      </c>
      <c r="C4404" t="s">
        <v>3265</v>
      </c>
      <c r="D4404" t="s">
        <v>5460</v>
      </c>
      <c r="E4404" t="s">
        <v>5176</v>
      </c>
      <c r="F4404" t="s">
        <v>9928</v>
      </c>
      <c r="G4404" t="s">
        <v>3890</v>
      </c>
      <c r="H4404" t="s">
        <v>109</v>
      </c>
      <c r="I4404" t="s">
        <v>108</v>
      </c>
      <c r="J4404">
        <v>2</v>
      </c>
      <c r="K4404">
        <v>1529.27</v>
      </c>
      <c r="L4404">
        <v>1206.73</v>
      </c>
      <c r="M4404">
        <v>1313.405</v>
      </c>
      <c r="N4404">
        <v>1308.827</v>
      </c>
      <c r="O4404">
        <v>1304.2660000000001</v>
      </c>
      <c r="P4404">
        <v>1299.72</v>
      </c>
      <c r="Q4404">
        <v>1295.19</v>
      </c>
      <c r="R4404">
        <v>1290.6759999999999</v>
      </c>
      <c r="S4404">
        <v>1286.1780000000001</v>
      </c>
      <c r="T4404">
        <v>1281.6949999999999</v>
      </c>
      <c r="U4404">
        <v>1277.2280000000001</v>
      </c>
      <c r="V4404">
        <v>1272.777</v>
      </c>
      <c r="W4404">
        <v>1268.3409999999999</v>
      </c>
      <c r="X4404">
        <v>1263.921</v>
      </c>
      <c r="Y4404">
        <v>1259.5160000000001</v>
      </c>
      <c r="Z4404">
        <v>1255.126</v>
      </c>
      <c r="AA4404">
        <v>1250.752</v>
      </c>
      <c r="AB4404">
        <v>1246.393</v>
      </c>
      <c r="AC4404">
        <v>1242.049</v>
      </c>
      <c r="AD4404">
        <v>1237.72</v>
      </c>
    </row>
    <row r="4405" spans="2:30" x14ac:dyDescent="0.25">
      <c r="B4405" t="s">
        <v>133</v>
      </c>
      <c r="C4405" t="s">
        <v>3265</v>
      </c>
      <c r="D4405" t="s">
        <v>5461</v>
      </c>
      <c r="E4405" t="s">
        <v>5462</v>
      </c>
      <c r="F4405" t="s">
        <v>10012</v>
      </c>
      <c r="G4405" t="s">
        <v>3890</v>
      </c>
      <c r="H4405" t="s">
        <v>109</v>
      </c>
      <c r="I4405" t="s">
        <v>108</v>
      </c>
      <c r="J4405">
        <v>2</v>
      </c>
      <c r="K4405">
        <v>2179.63</v>
      </c>
      <c r="L4405">
        <v>2352.3209999999999</v>
      </c>
      <c r="M4405">
        <v>2313.9140000000002</v>
      </c>
      <c r="N4405">
        <v>3842.66</v>
      </c>
      <c r="O4405">
        <v>5517.1859999999997</v>
      </c>
      <c r="P4405">
        <v>6139.4759999999997</v>
      </c>
      <c r="Q4405">
        <v>6450.6589999999997</v>
      </c>
      <c r="R4405">
        <v>6918.5230000000001</v>
      </c>
      <c r="S4405">
        <v>7483.8549999999996</v>
      </c>
      <c r="T4405">
        <v>8042.3789999999999</v>
      </c>
      <c r="U4405">
        <v>8587.9709999999995</v>
      </c>
      <c r="V4405">
        <v>9134.509</v>
      </c>
      <c r="W4405">
        <v>9717.0419999999995</v>
      </c>
      <c r="X4405">
        <v>10352.672</v>
      </c>
      <c r="Y4405">
        <v>11066.281999999999</v>
      </c>
      <c r="Z4405">
        <v>11855.861999999999</v>
      </c>
      <c r="AA4405">
        <v>12920.142</v>
      </c>
      <c r="AB4405">
        <v>14071.352999999999</v>
      </c>
      <c r="AC4405">
        <v>15288.214</v>
      </c>
      <c r="AD4405">
        <v>16590.876</v>
      </c>
    </row>
    <row r="4406" spans="2:30" x14ac:dyDescent="0.25">
      <c r="B4406" t="s">
        <v>133</v>
      </c>
      <c r="C4406" t="s">
        <v>3265</v>
      </c>
      <c r="D4406" t="s">
        <v>5464</v>
      </c>
      <c r="E4406" t="s">
        <v>5465</v>
      </c>
      <c r="F4406" t="s">
        <v>10013</v>
      </c>
      <c r="G4406" t="s">
        <v>3890</v>
      </c>
      <c r="H4406" t="s">
        <v>5467</v>
      </c>
      <c r="I4406" t="s">
        <v>5468</v>
      </c>
      <c r="J4406">
        <v>1</v>
      </c>
      <c r="K4406">
        <v>208.74</v>
      </c>
      <c r="L4406">
        <v>202.17599999999999</v>
      </c>
      <c r="M4406">
        <v>232.196</v>
      </c>
      <c r="N4406">
        <v>257.23</v>
      </c>
      <c r="O4406">
        <v>270.62599999999998</v>
      </c>
      <c r="P4406">
        <v>275.01499999999999</v>
      </c>
      <c r="Q4406">
        <v>282.78199999999998</v>
      </c>
      <c r="R4406">
        <v>292.887</v>
      </c>
      <c r="S4406">
        <v>303.33800000000002</v>
      </c>
      <c r="T4406">
        <v>314.25799999999998</v>
      </c>
      <c r="U4406">
        <v>325.75200000000001</v>
      </c>
      <c r="V4406">
        <v>338.35399999999998</v>
      </c>
      <c r="W4406">
        <v>352.29599999999999</v>
      </c>
      <c r="X4406">
        <v>367.983</v>
      </c>
      <c r="Y4406">
        <v>385.65600000000001</v>
      </c>
      <c r="Z4406">
        <v>405.74400000000003</v>
      </c>
      <c r="AA4406">
        <v>428.72</v>
      </c>
      <c r="AB4406">
        <v>455.17899999999997</v>
      </c>
      <c r="AC4406">
        <v>485.61099999999999</v>
      </c>
      <c r="AD4406">
        <v>519.09900000000005</v>
      </c>
    </row>
    <row r="4407" spans="2:30" x14ac:dyDescent="0.25">
      <c r="B4407" t="s">
        <v>133</v>
      </c>
      <c r="C4407" t="s">
        <v>3265</v>
      </c>
      <c r="D4407" t="s">
        <v>5469</v>
      </c>
      <c r="E4407" t="s">
        <v>5470</v>
      </c>
      <c r="F4407" t="s">
        <v>10014</v>
      </c>
      <c r="G4407" t="s">
        <v>3890</v>
      </c>
      <c r="H4407" t="s">
        <v>5467</v>
      </c>
      <c r="I4407" t="s">
        <v>5468</v>
      </c>
      <c r="J4407">
        <v>1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</row>
    <row r="4408" spans="2:30" x14ac:dyDescent="0.25">
      <c r="B4408" t="s">
        <v>133</v>
      </c>
      <c r="C4408" t="s">
        <v>3265</v>
      </c>
      <c r="D4408" t="s">
        <v>5472</v>
      </c>
      <c r="E4408" t="s">
        <v>5473</v>
      </c>
      <c r="F4408" t="s">
        <v>10015</v>
      </c>
      <c r="G4408" t="s">
        <v>3890</v>
      </c>
      <c r="H4408" t="s">
        <v>5467</v>
      </c>
      <c r="I4408" t="s">
        <v>5468</v>
      </c>
      <c r="J4408">
        <v>1</v>
      </c>
      <c r="K4408">
        <v>165.38399999999999</v>
      </c>
      <c r="L4408">
        <v>157.304</v>
      </c>
      <c r="M4408">
        <v>188.27099999999999</v>
      </c>
      <c r="N4408">
        <v>191.965</v>
      </c>
      <c r="O4408">
        <v>186.31200000000001</v>
      </c>
      <c r="P4408">
        <v>183.92</v>
      </c>
      <c r="Q4408">
        <v>188.554</v>
      </c>
      <c r="R4408">
        <v>194.017</v>
      </c>
      <c r="S4408">
        <v>198.691</v>
      </c>
      <c r="T4408">
        <v>203.524</v>
      </c>
      <c r="U4408">
        <v>208.74799999999999</v>
      </c>
      <c r="V4408">
        <v>214.83500000000001</v>
      </c>
      <c r="W4408">
        <v>221.76300000000001</v>
      </c>
      <c r="X4408">
        <v>229.81200000000001</v>
      </c>
      <c r="Y4408">
        <v>239.017</v>
      </c>
      <c r="Z4408">
        <v>249.691</v>
      </c>
      <c r="AA4408">
        <v>262.07400000000001</v>
      </c>
      <c r="AB4408">
        <v>276.52300000000002</v>
      </c>
      <c r="AC4408">
        <v>293.45499999999998</v>
      </c>
      <c r="AD4408">
        <v>310.44</v>
      </c>
    </row>
    <row r="4409" spans="2:30" x14ac:dyDescent="0.25">
      <c r="B4409" t="s">
        <v>133</v>
      </c>
      <c r="C4409" t="s">
        <v>3265</v>
      </c>
      <c r="D4409" t="s">
        <v>5475</v>
      </c>
      <c r="E4409" t="s">
        <v>5476</v>
      </c>
      <c r="F4409" t="s">
        <v>10016</v>
      </c>
      <c r="G4409" t="s">
        <v>3890</v>
      </c>
      <c r="H4409" t="s">
        <v>5467</v>
      </c>
      <c r="I4409" t="s">
        <v>5468</v>
      </c>
      <c r="J4409">
        <v>1</v>
      </c>
      <c r="K4409">
        <v>18.006</v>
      </c>
      <c r="L4409">
        <v>17.515000000000001</v>
      </c>
      <c r="M4409">
        <v>17.013999999999999</v>
      </c>
      <c r="N4409">
        <v>20.574999999999999</v>
      </c>
      <c r="O4409">
        <v>20.149999999999999</v>
      </c>
      <c r="P4409">
        <v>19.693999999999999</v>
      </c>
      <c r="Q4409">
        <v>19.206</v>
      </c>
      <c r="R4409">
        <v>18.754000000000001</v>
      </c>
      <c r="S4409">
        <v>18.327999999999999</v>
      </c>
      <c r="T4409">
        <v>17.916</v>
      </c>
      <c r="U4409">
        <v>17.52</v>
      </c>
      <c r="V4409">
        <v>17.140999999999998</v>
      </c>
      <c r="W4409">
        <v>16.780999999999999</v>
      </c>
      <c r="X4409">
        <v>16.440999999999999</v>
      </c>
      <c r="Y4409">
        <v>16.122</v>
      </c>
      <c r="Z4409">
        <v>15.826000000000001</v>
      </c>
      <c r="AA4409">
        <v>15.555</v>
      </c>
      <c r="AB4409">
        <v>15.31</v>
      </c>
      <c r="AC4409">
        <v>15.093999999999999</v>
      </c>
      <c r="AD4409">
        <v>14.907</v>
      </c>
    </row>
    <row r="4410" spans="2:30" x14ac:dyDescent="0.25">
      <c r="B4410" t="s">
        <v>133</v>
      </c>
      <c r="C4410" t="s">
        <v>3265</v>
      </c>
      <c r="D4410" t="s">
        <v>5478</v>
      </c>
      <c r="E4410" t="s">
        <v>5479</v>
      </c>
      <c r="F4410" t="s">
        <v>10017</v>
      </c>
      <c r="G4410" t="s">
        <v>3890</v>
      </c>
      <c r="H4410" t="s">
        <v>5467</v>
      </c>
      <c r="I4410" t="s">
        <v>5468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</row>
    <row r="4411" spans="2:30" x14ac:dyDescent="0.25">
      <c r="B4411" t="s">
        <v>133</v>
      </c>
      <c r="C4411" t="s">
        <v>3265</v>
      </c>
      <c r="D4411" t="s">
        <v>5481</v>
      </c>
      <c r="E4411" t="s">
        <v>5482</v>
      </c>
      <c r="F4411" t="s">
        <v>10018</v>
      </c>
      <c r="G4411" t="s">
        <v>3890</v>
      </c>
      <c r="H4411" t="s">
        <v>5467</v>
      </c>
      <c r="I4411" t="s">
        <v>5468</v>
      </c>
      <c r="J4411">
        <v>1</v>
      </c>
      <c r="K4411">
        <v>5.8109999999999999</v>
      </c>
      <c r="L4411">
        <v>7.2009999999999996</v>
      </c>
      <c r="M4411">
        <v>6.9610000000000003</v>
      </c>
      <c r="N4411">
        <v>10.776</v>
      </c>
      <c r="O4411">
        <v>14.987</v>
      </c>
      <c r="P4411">
        <v>19.532</v>
      </c>
      <c r="Q4411">
        <v>21.751000000000001</v>
      </c>
      <c r="R4411">
        <v>24.719000000000001</v>
      </c>
      <c r="S4411">
        <v>28.161000000000001</v>
      </c>
      <c r="T4411">
        <v>31.591999999999999</v>
      </c>
      <c r="U4411">
        <v>35.063000000000002</v>
      </c>
      <c r="V4411">
        <v>38.604999999999997</v>
      </c>
      <c r="W4411">
        <v>42.351999999999997</v>
      </c>
      <c r="X4411">
        <v>46.356999999999999</v>
      </c>
      <c r="Y4411">
        <v>50.72</v>
      </c>
      <c r="Z4411">
        <v>55.493000000000002</v>
      </c>
      <c r="AA4411">
        <v>60.78</v>
      </c>
      <c r="AB4411">
        <v>66.694999999999993</v>
      </c>
      <c r="AC4411">
        <v>72.971999999999994</v>
      </c>
      <c r="AD4411">
        <v>79.569999999999993</v>
      </c>
    </row>
    <row r="4412" spans="2:30" x14ac:dyDescent="0.25">
      <c r="B4412" t="s">
        <v>133</v>
      </c>
      <c r="C4412" t="s">
        <v>3265</v>
      </c>
      <c r="D4412" t="s">
        <v>5484</v>
      </c>
      <c r="E4412" t="s">
        <v>5485</v>
      </c>
      <c r="F4412" t="s">
        <v>10019</v>
      </c>
      <c r="G4412" t="s">
        <v>3890</v>
      </c>
      <c r="H4412" t="s">
        <v>5467</v>
      </c>
      <c r="I4412" t="s">
        <v>5468</v>
      </c>
      <c r="J4412">
        <v>1</v>
      </c>
      <c r="K4412">
        <v>4.8929999999999998</v>
      </c>
      <c r="L4412">
        <v>5.1660000000000004</v>
      </c>
      <c r="M4412">
        <v>4.9589999999999996</v>
      </c>
      <c r="N4412">
        <v>8.8070000000000004</v>
      </c>
      <c r="O4412">
        <v>13.025</v>
      </c>
      <c r="P4412">
        <v>14.676</v>
      </c>
      <c r="Q4412">
        <v>15.471</v>
      </c>
      <c r="R4412">
        <v>16.832000000000001</v>
      </c>
      <c r="S4412">
        <v>18.715</v>
      </c>
      <c r="T4412">
        <v>20.888999999999999</v>
      </c>
      <c r="U4412">
        <v>23.152999999999999</v>
      </c>
      <c r="V4412">
        <v>25.533999999999999</v>
      </c>
      <c r="W4412">
        <v>28.125</v>
      </c>
      <c r="X4412">
        <v>30.984000000000002</v>
      </c>
      <c r="Y4412">
        <v>34.198</v>
      </c>
      <c r="Z4412">
        <v>37.817999999999998</v>
      </c>
      <c r="AA4412">
        <v>41.948999999999998</v>
      </c>
      <c r="AB4412">
        <v>46.689</v>
      </c>
      <c r="AC4412">
        <v>52.363</v>
      </c>
      <c r="AD4412">
        <v>59.298000000000002</v>
      </c>
    </row>
    <row r="4413" spans="2:30" x14ac:dyDescent="0.25">
      <c r="B4413" t="s">
        <v>133</v>
      </c>
      <c r="C4413" t="s">
        <v>3265</v>
      </c>
      <c r="D4413" t="s">
        <v>5487</v>
      </c>
      <c r="E4413" t="s">
        <v>5488</v>
      </c>
      <c r="F4413" t="s">
        <v>10020</v>
      </c>
      <c r="G4413" t="s">
        <v>3890</v>
      </c>
      <c r="H4413" t="s">
        <v>5467</v>
      </c>
      <c r="I4413" t="s">
        <v>5468</v>
      </c>
      <c r="J4413">
        <v>1</v>
      </c>
      <c r="K4413">
        <v>14.646000000000001</v>
      </c>
      <c r="L4413">
        <v>14.99</v>
      </c>
      <c r="M4413">
        <v>14.99</v>
      </c>
      <c r="N4413">
        <v>25.106999999999999</v>
      </c>
      <c r="O4413">
        <v>36.152999999999999</v>
      </c>
      <c r="P4413">
        <v>37.194000000000003</v>
      </c>
      <c r="Q4413">
        <v>37.798999999999999</v>
      </c>
      <c r="R4413">
        <v>38.566000000000003</v>
      </c>
      <c r="S4413">
        <v>39.444000000000003</v>
      </c>
      <c r="T4413">
        <v>40.337000000000003</v>
      </c>
      <c r="U4413">
        <v>41.267000000000003</v>
      </c>
      <c r="V4413">
        <v>42.238</v>
      </c>
      <c r="W4413">
        <v>43.276000000000003</v>
      </c>
      <c r="X4413">
        <v>44.389000000000003</v>
      </c>
      <c r="Y4413">
        <v>45.597999999999999</v>
      </c>
      <c r="Z4413">
        <v>46.915999999999997</v>
      </c>
      <c r="AA4413">
        <v>48.363</v>
      </c>
      <c r="AB4413">
        <v>49.960999999999999</v>
      </c>
      <c r="AC4413">
        <v>51.726999999999997</v>
      </c>
      <c r="AD4413">
        <v>54.884</v>
      </c>
    </row>
    <row r="4414" spans="2:30" x14ac:dyDescent="0.25">
      <c r="B4414" t="s">
        <v>133</v>
      </c>
      <c r="C4414" t="s">
        <v>3265</v>
      </c>
      <c r="D4414" t="s">
        <v>5490</v>
      </c>
      <c r="E4414" t="s">
        <v>5491</v>
      </c>
      <c r="F4414" t="s">
        <v>10021</v>
      </c>
      <c r="G4414" t="s">
        <v>3890</v>
      </c>
      <c r="H4414" t="s">
        <v>5467</v>
      </c>
      <c r="I4414" t="s">
        <v>5468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</row>
    <row r="4415" spans="2:30" x14ac:dyDescent="0.25">
      <c r="B4415" t="s">
        <v>133</v>
      </c>
      <c r="C4415" t="s">
        <v>3265</v>
      </c>
      <c r="D4415" t="s">
        <v>5493</v>
      </c>
      <c r="E4415" t="s">
        <v>5494</v>
      </c>
      <c r="F4415" t="s">
        <v>10022</v>
      </c>
      <c r="G4415" t="s">
        <v>3890</v>
      </c>
      <c r="H4415" t="s">
        <v>5467</v>
      </c>
      <c r="I4415" t="s">
        <v>5468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</row>
    <row r="4416" spans="2:30" x14ac:dyDescent="0.25">
      <c r="B4416" t="s">
        <v>133</v>
      </c>
      <c r="C4416" t="s">
        <v>3265</v>
      </c>
      <c r="D4416" t="s">
        <v>5496</v>
      </c>
      <c r="E4416" t="s">
        <v>5497</v>
      </c>
      <c r="F4416" t="s">
        <v>10023</v>
      </c>
      <c r="G4416" t="s">
        <v>3890</v>
      </c>
      <c r="H4416" t="s">
        <v>5467</v>
      </c>
      <c r="I4416" t="s">
        <v>5468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</row>
    <row r="4417" spans="2:30" x14ac:dyDescent="0.25">
      <c r="B4417" t="s">
        <v>133</v>
      </c>
      <c r="C4417" t="s">
        <v>3265</v>
      </c>
      <c r="D4417" t="s">
        <v>5499</v>
      </c>
      <c r="E4417" t="s">
        <v>5500</v>
      </c>
      <c r="F4417" t="s">
        <v>10024</v>
      </c>
      <c r="G4417" t="s">
        <v>3890</v>
      </c>
      <c r="H4417" t="s">
        <v>5467</v>
      </c>
      <c r="I4417" t="s">
        <v>5468</v>
      </c>
      <c r="J4417">
        <v>2</v>
      </c>
      <c r="K4417">
        <v>208.74</v>
      </c>
      <c r="L4417">
        <v>202.17599999999999</v>
      </c>
      <c r="M4417">
        <v>232.196</v>
      </c>
      <c r="N4417">
        <v>257.23</v>
      </c>
      <c r="O4417">
        <v>270.62599999999998</v>
      </c>
      <c r="P4417">
        <v>275.01499999999999</v>
      </c>
      <c r="Q4417">
        <v>282.78199999999998</v>
      </c>
      <c r="R4417">
        <v>292.03899999999999</v>
      </c>
      <c r="S4417">
        <v>300.22399999999999</v>
      </c>
      <c r="T4417">
        <v>307.673</v>
      </c>
      <c r="U4417">
        <v>314.76799999999997</v>
      </c>
      <c r="V4417">
        <v>322.315</v>
      </c>
      <c r="W4417">
        <v>330.68099999999998</v>
      </c>
      <c r="X4417">
        <v>340.37400000000002</v>
      </c>
      <c r="Y4417">
        <v>351.66899999999998</v>
      </c>
      <c r="Z4417">
        <v>370.14499999999998</v>
      </c>
      <c r="AA4417">
        <v>391.08</v>
      </c>
      <c r="AB4417">
        <v>416.238</v>
      </c>
      <c r="AC4417">
        <v>444.79399999999998</v>
      </c>
      <c r="AD4417">
        <v>476.39299999999997</v>
      </c>
    </row>
    <row r="4418" spans="2:30" x14ac:dyDescent="0.25">
      <c r="B4418" t="s">
        <v>133</v>
      </c>
      <c r="C4418" t="s">
        <v>3265</v>
      </c>
      <c r="D4418" t="s">
        <v>5502</v>
      </c>
      <c r="E4418" t="s">
        <v>5503</v>
      </c>
      <c r="F4418" t="s">
        <v>10025</v>
      </c>
      <c r="G4418" t="s">
        <v>3890</v>
      </c>
      <c r="H4418" t="s">
        <v>5467</v>
      </c>
      <c r="I4418" t="s">
        <v>5468</v>
      </c>
      <c r="J4418">
        <v>2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</row>
    <row r="4419" spans="2:30" x14ac:dyDescent="0.25">
      <c r="B4419" t="s">
        <v>133</v>
      </c>
      <c r="C4419" t="s">
        <v>3265</v>
      </c>
      <c r="D4419" t="s">
        <v>5505</v>
      </c>
      <c r="E4419" t="s">
        <v>5506</v>
      </c>
      <c r="F4419" t="s">
        <v>10026</v>
      </c>
      <c r="G4419" t="s">
        <v>3890</v>
      </c>
      <c r="H4419" t="s">
        <v>5467</v>
      </c>
      <c r="I4419" t="s">
        <v>5468</v>
      </c>
      <c r="J4419">
        <v>2</v>
      </c>
      <c r="K4419">
        <v>165.38399999999999</v>
      </c>
      <c r="L4419">
        <v>157.304</v>
      </c>
      <c r="M4419">
        <v>188.27099999999999</v>
      </c>
      <c r="N4419">
        <v>191.965</v>
      </c>
      <c r="O4419">
        <v>186.31200000000001</v>
      </c>
      <c r="P4419">
        <v>183.92</v>
      </c>
      <c r="Q4419">
        <v>188.554</v>
      </c>
      <c r="R4419">
        <v>192.833</v>
      </c>
      <c r="S4419">
        <v>194.887</v>
      </c>
      <c r="T4419">
        <v>196.26900000000001</v>
      </c>
      <c r="U4419">
        <v>197.42599999999999</v>
      </c>
      <c r="V4419">
        <v>198.994</v>
      </c>
      <c r="W4419">
        <v>200.92099999999999</v>
      </c>
      <c r="X4419">
        <v>203.50399999999999</v>
      </c>
      <c r="Y4419">
        <v>206.71100000000001</v>
      </c>
      <c r="Z4419">
        <v>216.18299999999999</v>
      </c>
      <c r="AA4419">
        <v>224.816</v>
      </c>
      <c r="AB4419">
        <v>236.62200000000001</v>
      </c>
      <c r="AC4419">
        <v>251.001</v>
      </c>
      <c r="AD4419">
        <v>267.38099999999997</v>
      </c>
    </row>
    <row r="4420" spans="2:30" x14ac:dyDescent="0.25">
      <c r="B4420" t="s">
        <v>133</v>
      </c>
      <c r="C4420" t="s">
        <v>3265</v>
      </c>
      <c r="D4420" t="s">
        <v>5508</v>
      </c>
      <c r="E4420" t="s">
        <v>5509</v>
      </c>
      <c r="F4420" t="s">
        <v>10027</v>
      </c>
      <c r="G4420" t="s">
        <v>3890</v>
      </c>
      <c r="H4420" t="s">
        <v>5467</v>
      </c>
      <c r="I4420" t="s">
        <v>5468</v>
      </c>
      <c r="J4420">
        <v>2</v>
      </c>
      <c r="K4420">
        <v>18.006</v>
      </c>
      <c r="L4420">
        <v>17.515000000000001</v>
      </c>
      <c r="M4420">
        <v>17.013999999999999</v>
      </c>
      <c r="N4420">
        <v>20.574999999999999</v>
      </c>
      <c r="O4420">
        <v>20.149999999999999</v>
      </c>
      <c r="P4420">
        <v>19.693999999999999</v>
      </c>
      <c r="Q4420">
        <v>19.206</v>
      </c>
      <c r="R4420">
        <v>18.742999999999999</v>
      </c>
      <c r="S4420">
        <v>18.3</v>
      </c>
      <c r="T4420">
        <v>17.870999999999999</v>
      </c>
      <c r="U4420">
        <v>17.463999999999999</v>
      </c>
      <c r="V4420">
        <v>17.085999999999999</v>
      </c>
      <c r="W4420">
        <v>16.75</v>
      </c>
      <c r="X4420">
        <v>16.468</v>
      </c>
      <c r="Y4420">
        <v>16.257999999999999</v>
      </c>
      <c r="Z4420">
        <v>16.077999999999999</v>
      </c>
      <c r="AA4420">
        <v>16.001999999999999</v>
      </c>
      <c r="AB4420">
        <v>15.967000000000001</v>
      </c>
      <c r="AC4420">
        <v>15.991</v>
      </c>
      <c r="AD4420">
        <v>16.059999999999999</v>
      </c>
    </row>
    <row r="4421" spans="2:30" x14ac:dyDescent="0.25">
      <c r="B4421" t="s">
        <v>133</v>
      </c>
      <c r="C4421" t="s">
        <v>3265</v>
      </c>
      <c r="D4421" t="s">
        <v>5511</v>
      </c>
      <c r="E4421" t="s">
        <v>5512</v>
      </c>
      <c r="F4421" t="s">
        <v>10028</v>
      </c>
      <c r="G4421" t="s">
        <v>3890</v>
      </c>
      <c r="H4421" t="s">
        <v>5467</v>
      </c>
      <c r="I4421" t="s">
        <v>5468</v>
      </c>
      <c r="J4421">
        <v>2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</row>
    <row r="4422" spans="2:30" x14ac:dyDescent="0.25">
      <c r="B4422" t="s">
        <v>133</v>
      </c>
      <c r="C4422" t="s">
        <v>3265</v>
      </c>
      <c r="D4422" t="s">
        <v>5514</v>
      </c>
      <c r="E4422" t="s">
        <v>5515</v>
      </c>
      <c r="F4422" t="s">
        <v>10029</v>
      </c>
      <c r="G4422" t="s">
        <v>3890</v>
      </c>
      <c r="H4422" t="s">
        <v>5467</v>
      </c>
      <c r="I4422" t="s">
        <v>5468</v>
      </c>
      <c r="J4422">
        <v>2</v>
      </c>
      <c r="K4422">
        <v>5.8109999999999999</v>
      </c>
      <c r="L4422">
        <v>7.2009999999999996</v>
      </c>
      <c r="M4422">
        <v>6.9610000000000003</v>
      </c>
      <c r="N4422">
        <v>10.776</v>
      </c>
      <c r="O4422">
        <v>14.987</v>
      </c>
      <c r="P4422">
        <v>19.532</v>
      </c>
      <c r="Q4422">
        <v>21.751000000000001</v>
      </c>
      <c r="R4422">
        <v>24.92</v>
      </c>
      <c r="S4422">
        <v>28.552</v>
      </c>
      <c r="T4422">
        <v>31.939</v>
      </c>
      <c r="U4422">
        <v>35.162999999999997</v>
      </c>
      <c r="V4422">
        <v>38.308</v>
      </c>
      <c r="W4422">
        <v>41.582000000000001</v>
      </c>
      <c r="X4422">
        <v>45.070999999999998</v>
      </c>
      <c r="Y4422">
        <v>48.908000000000001</v>
      </c>
      <c r="Z4422">
        <v>53.121000000000002</v>
      </c>
      <c r="AA4422">
        <v>58.31</v>
      </c>
      <c r="AB4422">
        <v>63.695</v>
      </c>
      <c r="AC4422">
        <v>69.319999999999993</v>
      </c>
      <c r="AD4422">
        <v>75.260000000000005</v>
      </c>
    </row>
    <row r="4423" spans="2:30" x14ac:dyDescent="0.25">
      <c r="B4423" t="s">
        <v>133</v>
      </c>
      <c r="C4423" t="s">
        <v>3265</v>
      </c>
      <c r="D4423" t="s">
        <v>5517</v>
      </c>
      <c r="E4423" t="s">
        <v>5518</v>
      </c>
      <c r="F4423" t="s">
        <v>10030</v>
      </c>
      <c r="G4423" t="s">
        <v>3890</v>
      </c>
      <c r="H4423" t="s">
        <v>5467</v>
      </c>
      <c r="I4423" t="s">
        <v>5468</v>
      </c>
      <c r="J4423">
        <v>2</v>
      </c>
      <c r="K4423">
        <v>4.8929999999999998</v>
      </c>
      <c r="L4423">
        <v>5.1660000000000004</v>
      </c>
      <c r="M4423">
        <v>4.9589999999999996</v>
      </c>
      <c r="N4423">
        <v>8.8070000000000004</v>
      </c>
      <c r="O4423">
        <v>13.025</v>
      </c>
      <c r="P4423">
        <v>14.676</v>
      </c>
      <c r="Q4423">
        <v>15.471</v>
      </c>
      <c r="R4423">
        <v>16.937000000000001</v>
      </c>
      <c r="S4423">
        <v>18.946000000000002</v>
      </c>
      <c r="T4423">
        <v>21.122</v>
      </c>
      <c r="U4423">
        <v>23.274999999999999</v>
      </c>
      <c r="V4423">
        <v>25.463999999999999</v>
      </c>
      <c r="W4423">
        <v>27.834</v>
      </c>
      <c r="X4423">
        <v>30.466000000000001</v>
      </c>
      <c r="Y4423">
        <v>33.472999999999999</v>
      </c>
      <c r="Z4423">
        <v>36.848999999999997</v>
      </c>
      <c r="AA4423">
        <v>41.895000000000003</v>
      </c>
      <c r="AB4423">
        <v>47.54</v>
      </c>
      <c r="AC4423">
        <v>53.387</v>
      </c>
      <c r="AD4423">
        <v>59.502000000000002</v>
      </c>
    </row>
    <row r="4424" spans="2:30" x14ac:dyDescent="0.25">
      <c r="B4424" t="s">
        <v>133</v>
      </c>
      <c r="C4424" t="s">
        <v>3265</v>
      </c>
      <c r="D4424" t="s">
        <v>5520</v>
      </c>
      <c r="E4424" t="s">
        <v>5521</v>
      </c>
      <c r="F4424" t="s">
        <v>10031</v>
      </c>
      <c r="G4424" t="s">
        <v>3890</v>
      </c>
      <c r="H4424" t="s">
        <v>5467</v>
      </c>
      <c r="I4424" t="s">
        <v>5468</v>
      </c>
      <c r="J4424">
        <v>2</v>
      </c>
      <c r="K4424">
        <v>14.646000000000001</v>
      </c>
      <c r="L4424">
        <v>14.99</v>
      </c>
      <c r="M4424">
        <v>14.99</v>
      </c>
      <c r="N4424">
        <v>25.106999999999999</v>
      </c>
      <c r="O4424">
        <v>36.152999999999999</v>
      </c>
      <c r="P4424">
        <v>37.194000000000003</v>
      </c>
      <c r="Q4424">
        <v>37.798999999999999</v>
      </c>
      <c r="R4424">
        <v>38.604999999999997</v>
      </c>
      <c r="S4424">
        <v>39.539000000000001</v>
      </c>
      <c r="T4424">
        <v>40.472000000000001</v>
      </c>
      <c r="U4424">
        <v>41.44</v>
      </c>
      <c r="V4424">
        <v>42.462000000000003</v>
      </c>
      <c r="W4424">
        <v>43.594000000000001</v>
      </c>
      <c r="X4424">
        <v>44.863999999999997</v>
      </c>
      <c r="Y4424">
        <v>46.320999999999998</v>
      </c>
      <c r="Z4424">
        <v>47.914000000000001</v>
      </c>
      <c r="AA4424">
        <v>50.057000000000002</v>
      </c>
      <c r="AB4424">
        <v>52.414000000000001</v>
      </c>
      <c r="AC4424">
        <v>55.094999999999999</v>
      </c>
      <c r="AD4424">
        <v>58.189</v>
      </c>
    </row>
    <row r="4425" spans="2:30" x14ac:dyDescent="0.25">
      <c r="B4425" t="s">
        <v>133</v>
      </c>
      <c r="C4425" t="s">
        <v>3265</v>
      </c>
      <c r="D4425" t="s">
        <v>5523</v>
      </c>
      <c r="E4425" t="s">
        <v>5524</v>
      </c>
      <c r="F4425" t="s">
        <v>10032</v>
      </c>
      <c r="G4425" t="s">
        <v>3890</v>
      </c>
      <c r="H4425" t="s">
        <v>5467</v>
      </c>
      <c r="I4425" t="s">
        <v>5468</v>
      </c>
      <c r="J4425">
        <v>2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</row>
    <row r="4426" spans="2:30" x14ac:dyDescent="0.25">
      <c r="B4426" t="s">
        <v>133</v>
      </c>
      <c r="C4426" t="s">
        <v>3265</v>
      </c>
      <c r="D4426" t="s">
        <v>5526</v>
      </c>
      <c r="E4426" t="s">
        <v>5527</v>
      </c>
      <c r="F4426" t="s">
        <v>10033</v>
      </c>
      <c r="G4426" t="s">
        <v>3890</v>
      </c>
      <c r="H4426" t="s">
        <v>5467</v>
      </c>
      <c r="I4426" t="s">
        <v>5468</v>
      </c>
      <c r="J4426">
        <v>2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</row>
    <row r="4427" spans="2:30" x14ac:dyDescent="0.25">
      <c r="B4427" t="s">
        <v>133</v>
      </c>
      <c r="C4427" t="s">
        <v>3265</v>
      </c>
      <c r="D4427" t="s">
        <v>5529</v>
      </c>
      <c r="E4427" t="s">
        <v>5530</v>
      </c>
      <c r="F4427" t="s">
        <v>10034</v>
      </c>
      <c r="G4427" t="s">
        <v>3890</v>
      </c>
      <c r="H4427" t="s">
        <v>5467</v>
      </c>
      <c r="I4427" t="s">
        <v>5468</v>
      </c>
      <c r="J4427">
        <v>2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</row>
    <row r="4428" spans="2:30" x14ac:dyDescent="0.25">
      <c r="B4428" t="s">
        <v>133</v>
      </c>
      <c r="C4428" t="s">
        <v>3265</v>
      </c>
      <c r="D4428" t="s">
        <v>5532</v>
      </c>
      <c r="E4428" t="s">
        <v>5533</v>
      </c>
      <c r="F4428" t="s">
        <v>10035</v>
      </c>
      <c r="G4428" t="s">
        <v>3890</v>
      </c>
      <c r="H4428" t="s">
        <v>109</v>
      </c>
      <c r="I4428" t="s">
        <v>108</v>
      </c>
      <c r="J4428">
        <v>2</v>
      </c>
      <c r="K4428">
        <v>0.33900000000000002</v>
      </c>
      <c r="L4428">
        <v>0.32700000000000001</v>
      </c>
      <c r="M4428">
        <v>0.32</v>
      </c>
      <c r="N4428">
        <v>0.309</v>
      </c>
      <c r="O4428">
        <v>0.315</v>
      </c>
      <c r="P4428">
        <v>0.34499999999999997</v>
      </c>
      <c r="Q4428">
        <v>0.378</v>
      </c>
      <c r="R4428">
        <v>0.41399999999999998</v>
      </c>
      <c r="S4428">
        <v>0.45700000000000002</v>
      </c>
      <c r="T4428">
        <v>0.50700000000000001</v>
      </c>
      <c r="U4428">
        <v>0.56100000000000005</v>
      </c>
      <c r="V4428">
        <v>0.61899999999999999</v>
      </c>
      <c r="W4428">
        <v>0.68100000000000005</v>
      </c>
      <c r="X4428">
        <v>0.746</v>
      </c>
      <c r="Y4428">
        <v>0.81299999999999994</v>
      </c>
      <c r="Z4428">
        <v>0.88300000000000001</v>
      </c>
      <c r="AA4428">
        <v>0.95699999999999996</v>
      </c>
      <c r="AB4428">
        <v>1.034</v>
      </c>
      <c r="AC4428">
        <v>1.113</v>
      </c>
      <c r="AD4428">
        <v>1.194</v>
      </c>
    </row>
    <row r="4429" spans="2:30" x14ac:dyDescent="0.25">
      <c r="B4429" t="s">
        <v>133</v>
      </c>
      <c r="C4429" t="s">
        <v>3265</v>
      </c>
      <c r="D4429" t="s">
        <v>5535</v>
      </c>
      <c r="E4429" t="s">
        <v>5536</v>
      </c>
      <c r="F4429" t="s">
        <v>10036</v>
      </c>
      <c r="G4429" t="s">
        <v>3890</v>
      </c>
      <c r="H4429" t="s">
        <v>109</v>
      </c>
      <c r="I4429" t="s">
        <v>108</v>
      </c>
      <c r="J4429">
        <v>2</v>
      </c>
      <c r="K4429">
        <v>495.238</v>
      </c>
      <c r="L4429">
        <v>484.52</v>
      </c>
      <c r="M4429">
        <v>472.24900000000002</v>
      </c>
      <c r="N4429">
        <v>454.66399999999999</v>
      </c>
      <c r="O4429">
        <v>463.9</v>
      </c>
      <c r="P4429">
        <v>509.44099999999997</v>
      </c>
      <c r="Q4429">
        <v>559.21799999999996</v>
      </c>
      <c r="R4429">
        <v>613.43299999999999</v>
      </c>
      <c r="S4429">
        <v>678.09799999999996</v>
      </c>
      <c r="T4429">
        <v>754.6</v>
      </c>
      <c r="U4429">
        <v>837.601</v>
      </c>
      <c r="V4429">
        <v>926.76099999999997</v>
      </c>
      <c r="W4429">
        <v>1021.645</v>
      </c>
      <c r="X4429">
        <v>1121.827</v>
      </c>
      <c r="Y4429">
        <v>1226.7239999999999</v>
      </c>
      <c r="Z4429">
        <v>1337.3309999999999</v>
      </c>
      <c r="AA4429">
        <v>1453.472</v>
      </c>
      <c r="AB4429">
        <v>1575.0229999999999</v>
      </c>
      <c r="AC4429">
        <v>1701.8979999999999</v>
      </c>
      <c r="AD4429">
        <v>1831.836</v>
      </c>
    </row>
    <row r="4430" spans="2:30" x14ac:dyDescent="0.25">
      <c r="B4430" t="s">
        <v>133</v>
      </c>
      <c r="C4430" t="s">
        <v>3265</v>
      </c>
      <c r="D4430" t="s">
        <v>5538</v>
      </c>
      <c r="E4430">
        <v>0</v>
      </c>
      <c r="F4430" t="s">
        <v>10037</v>
      </c>
      <c r="G4430" t="s">
        <v>3890</v>
      </c>
      <c r="H4430" t="s">
        <v>109</v>
      </c>
      <c r="I4430" t="s">
        <v>108</v>
      </c>
      <c r="J4430">
        <v>2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</row>
    <row r="4431" spans="2:30" x14ac:dyDescent="0.25">
      <c r="B4431" t="s">
        <v>133</v>
      </c>
      <c r="C4431" t="s">
        <v>3265</v>
      </c>
      <c r="D4431" t="s">
        <v>5540</v>
      </c>
      <c r="E4431">
        <v>0</v>
      </c>
      <c r="F4431" t="s">
        <v>10037</v>
      </c>
      <c r="G4431" t="s">
        <v>3890</v>
      </c>
      <c r="H4431" t="s">
        <v>109</v>
      </c>
      <c r="I4431" t="s">
        <v>108</v>
      </c>
      <c r="J4431">
        <v>2</v>
      </c>
      <c r="K4431">
        <v>0.02</v>
      </c>
      <c r="L4431">
        <v>2.5000000000000001E-2</v>
      </c>
      <c r="M4431">
        <v>3.4000000000000002E-2</v>
      </c>
      <c r="N4431">
        <v>4.3999999999999997E-2</v>
      </c>
      <c r="O4431">
        <v>6.9000000000000006E-2</v>
      </c>
      <c r="P4431">
        <v>0.12</v>
      </c>
      <c r="Q4431">
        <v>0.221</v>
      </c>
      <c r="R4431">
        <v>0.41499999999999998</v>
      </c>
      <c r="S4431">
        <v>0.79700000000000004</v>
      </c>
      <c r="T4431">
        <v>1.494</v>
      </c>
      <c r="U4431">
        <v>2.6819999999999999</v>
      </c>
      <c r="V4431">
        <v>4.5999999999999996</v>
      </c>
      <c r="W4431">
        <v>7.4379999999999997</v>
      </c>
      <c r="X4431">
        <v>11.444000000000001</v>
      </c>
      <c r="Y4431">
        <v>16.79</v>
      </c>
      <c r="Z4431">
        <v>23.893999999999998</v>
      </c>
      <c r="AA4431">
        <v>33.049999999999997</v>
      </c>
      <c r="AB4431">
        <v>44.737000000000002</v>
      </c>
      <c r="AC4431">
        <v>59.256999999999998</v>
      </c>
      <c r="AD4431">
        <v>75.884</v>
      </c>
    </row>
    <row r="4432" spans="2:30" x14ac:dyDescent="0.25">
      <c r="B4432" t="s">
        <v>133</v>
      </c>
      <c r="C4432" t="s">
        <v>3265</v>
      </c>
      <c r="D4432" t="s">
        <v>5541</v>
      </c>
      <c r="E4432" t="s">
        <v>5542</v>
      </c>
      <c r="F4432" t="s">
        <v>10038</v>
      </c>
      <c r="G4432" t="s">
        <v>3890</v>
      </c>
      <c r="H4432" t="s">
        <v>109</v>
      </c>
      <c r="I4432" t="s">
        <v>108</v>
      </c>
      <c r="J4432">
        <v>2</v>
      </c>
      <c r="K4432">
        <v>1.6890000000000001</v>
      </c>
      <c r="L4432">
        <v>2.1659999999999999</v>
      </c>
      <c r="M4432">
        <v>2.9460000000000002</v>
      </c>
      <c r="N4432">
        <v>3.7509999999999999</v>
      </c>
      <c r="O4432">
        <v>5.9260000000000002</v>
      </c>
      <c r="P4432">
        <v>10.311999999999999</v>
      </c>
      <c r="Q4432">
        <v>19.004999999999999</v>
      </c>
      <c r="R4432">
        <v>35.718000000000004</v>
      </c>
      <c r="S4432">
        <v>68.510999999999996</v>
      </c>
      <c r="T4432">
        <v>128.45599999999999</v>
      </c>
      <c r="U4432">
        <v>230.577</v>
      </c>
      <c r="V4432">
        <v>395.48700000000002</v>
      </c>
      <c r="W4432">
        <v>639.54100000000005</v>
      </c>
      <c r="X4432">
        <v>984.02700000000004</v>
      </c>
      <c r="Y4432">
        <v>1443.7139999999999</v>
      </c>
      <c r="Z4432">
        <v>2054.5129999999999</v>
      </c>
      <c r="AA4432">
        <v>2841.826</v>
      </c>
      <c r="AB4432">
        <v>3846.6729999999998</v>
      </c>
      <c r="AC4432">
        <v>5095.1850000000004</v>
      </c>
      <c r="AD4432">
        <v>6524.86</v>
      </c>
    </row>
    <row r="4433" spans="2:30" x14ac:dyDescent="0.25">
      <c r="B4433" t="s">
        <v>133</v>
      </c>
      <c r="C4433" t="s">
        <v>3265</v>
      </c>
      <c r="D4433" t="s">
        <v>5544</v>
      </c>
      <c r="E4433">
        <v>0</v>
      </c>
      <c r="F4433" t="s">
        <v>10037</v>
      </c>
      <c r="G4433" t="s">
        <v>3890</v>
      </c>
      <c r="H4433" t="s">
        <v>109</v>
      </c>
      <c r="I4433" t="s">
        <v>108</v>
      </c>
      <c r="J4433">
        <v>2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</row>
    <row r="4434" spans="2:30" x14ac:dyDescent="0.25">
      <c r="B4434" t="s">
        <v>133</v>
      </c>
      <c r="C4434" t="s">
        <v>3265</v>
      </c>
      <c r="D4434" t="s">
        <v>5545</v>
      </c>
      <c r="E4434" t="s">
        <v>5546</v>
      </c>
      <c r="F4434" t="s">
        <v>10039</v>
      </c>
      <c r="G4434" t="s">
        <v>3890</v>
      </c>
      <c r="H4434" t="s">
        <v>109</v>
      </c>
      <c r="I4434" t="s">
        <v>108</v>
      </c>
      <c r="J4434">
        <v>2</v>
      </c>
      <c r="K4434">
        <v>197.274</v>
      </c>
      <c r="L4434">
        <v>195.66</v>
      </c>
      <c r="M4434">
        <v>189.69</v>
      </c>
      <c r="N4434">
        <v>181.21199999999999</v>
      </c>
      <c r="O4434">
        <v>185.57499999999999</v>
      </c>
      <c r="P4434">
        <v>204.697</v>
      </c>
      <c r="Q4434">
        <v>225.94</v>
      </c>
      <c r="R4434">
        <v>249.613</v>
      </c>
      <c r="S4434">
        <v>278.59399999999999</v>
      </c>
      <c r="T4434">
        <v>314.05599999999998</v>
      </c>
      <c r="U4434">
        <v>354.57299999999998</v>
      </c>
      <c r="V4434">
        <v>400.904</v>
      </c>
      <c r="W4434">
        <v>453.90199999999999</v>
      </c>
      <c r="X4434">
        <v>514.62800000000004</v>
      </c>
      <c r="Y4434">
        <v>583.69000000000005</v>
      </c>
      <c r="Z4434">
        <v>663.75599999999997</v>
      </c>
      <c r="AA4434">
        <v>756.34100000000001</v>
      </c>
      <c r="AB4434">
        <v>864.08600000000001</v>
      </c>
      <c r="AC4434">
        <v>988.76599999999996</v>
      </c>
      <c r="AD4434">
        <v>1125.9090000000001</v>
      </c>
    </row>
    <row r="4435" spans="2:30" x14ac:dyDescent="0.25">
      <c r="B4435" t="s">
        <v>133</v>
      </c>
      <c r="C4435" t="s">
        <v>3265</v>
      </c>
      <c r="D4435" t="s">
        <v>5548</v>
      </c>
      <c r="E4435" t="s">
        <v>5549</v>
      </c>
      <c r="F4435" t="s">
        <v>10040</v>
      </c>
      <c r="G4435" t="s">
        <v>3890</v>
      </c>
      <c r="H4435" t="s">
        <v>109</v>
      </c>
      <c r="I4435" t="s">
        <v>108</v>
      </c>
      <c r="J4435">
        <v>2</v>
      </c>
      <c r="K4435">
        <v>11.728</v>
      </c>
      <c r="L4435">
        <v>11.728</v>
      </c>
      <c r="M4435">
        <v>11.37</v>
      </c>
      <c r="N4435">
        <v>10.861000000000001</v>
      </c>
      <c r="O4435">
        <v>11.95</v>
      </c>
      <c r="P4435">
        <v>13.175000000000001</v>
      </c>
      <c r="Q4435">
        <v>14.529</v>
      </c>
      <c r="R4435">
        <v>16.026</v>
      </c>
      <c r="S4435">
        <v>17.841999999999999</v>
      </c>
      <c r="T4435">
        <v>20.045999999999999</v>
      </c>
      <c r="U4435">
        <v>22.542999999999999</v>
      </c>
      <c r="V4435">
        <v>25.388999999999999</v>
      </c>
      <c r="W4435">
        <v>28.555</v>
      </c>
      <c r="X4435">
        <v>32.1</v>
      </c>
      <c r="Y4435">
        <v>36.064999999999998</v>
      </c>
      <c r="Z4435">
        <v>40.526000000000003</v>
      </c>
      <c r="AA4435">
        <v>45.531999999999996</v>
      </c>
      <c r="AB4435">
        <v>51.167000000000002</v>
      </c>
      <c r="AC4435">
        <v>57.518000000000001</v>
      </c>
      <c r="AD4435">
        <v>64.617999999999995</v>
      </c>
    </row>
    <row r="4436" spans="2:30" x14ac:dyDescent="0.25">
      <c r="B4436" t="s">
        <v>133</v>
      </c>
      <c r="C4436" t="s">
        <v>3265</v>
      </c>
      <c r="D4436" t="s">
        <v>5551</v>
      </c>
      <c r="E4436" t="s">
        <v>5552</v>
      </c>
      <c r="F4436" t="s">
        <v>10041</v>
      </c>
      <c r="G4436" t="s">
        <v>3890</v>
      </c>
      <c r="H4436" t="s">
        <v>109</v>
      </c>
      <c r="I4436" t="s">
        <v>108</v>
      </c>
      <c r="J4436">
        <v>2</v>
      </c>
      <c r="K4436">
        <v>6.758</v>
      </c>
      <c r="L4436">
        <v>7.0880000000000001</v>
      </c>
      <c r="M4436">
        <v>7.0940000000000003</v>
      </c>
      <c r="N4436">
        <v>7.0309999999999997</v>
      </c>
      <c r="O4436">
        <v>7.61</v>
      </c>
      <c r="P4436">
        <v>8.2579999999999991</v>
      </c>
      <c r="Q4436">
        <v>8.5350000000000001</v>
      </c>
      <c r="R4436">
        <v>8.6359999999999992</v>
      </c>
      <c r="S4436">
        <v>8.8510000000000009</v>
      </c>
      <c r="T4436">
        <v>9.202</v>
      </c>
      <c r="U4436">
        <v>9.5779999999999994</v>
      </c>
      <c r="V4436">
        <v>9.9860000000000007</v>
      </c>
      <c r="W4436">
        <v>10.427</v>
      </c>
      <c r="X4436">
        <v>10.907</v>
      </c>
      <c r="Y4436">
        <v>11.439</v>
      </c>
      <c r="Z4436">
        <v>12.089</v>
      </c>
      <c r="AA4436">
        <v>12.826000000000001</v>
      </c>
      <c r="AB4436">
        <v>13.685</v>
      </c>
      <c r="AC4436">
        <v>14.664999999999999</v>
      </c>
      <c r="AD4436">
        <v>15.784000000000001</v>
      </c>
    </row>
    <row r="4437" spans="2:30" x14ac:dyDescent="0.25">
      <c r="B4437" t="s">
        <v>133</v>
      </c>
      <c r="C4437" t="s">
        <v>3265</v>
      </c>
      <c r="D4437" t="s">
        <v>5554</v>
      </c>
      <c r="E4437">
        <v>0</v>
      </c>
      <c r="F4437" t="s">
        <v>10037</v>
      </c>
      <c r="G4437" t="s">
        <v>3890</v>
      </c>
      <c r="H4437" t="s">
        <v>109</v>
      </c>
      <c r="I4437" t="s">
        <v>108</v>
      </c>
      <c r="J4437">
        <v>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</row>
    <row r="4438" spans="2:30" x14ac:dyDescent="0.25">
      <c r="B4438" t="s">
        <v>133</v>
      </c>
      <c r="C4438" t="s">
        <v>3265</v>
      </c>
      <c r="D4438" t="s">
        <v>5555</v>
      </c>
      <c r="E4438">
        <v>0</v>
      </c>
      <c r="F4438" t="s">
        <v>10037</v>
      </c>
      <c r="G4438" t="s">
        <v>3890</v>
      </c>
      <c r="H4438" t="s">
        <v>109</v>
      </c>
      <c r="I4438" t="s">
        <v>108</v>
      </c>
      <c r="J4438">
        <v>2</v>
      </c>
      <c r="K4438">
        <v>12.917999999999999</v>
      </c>
      <c r="L4438">
        <v>13.292</v>
      </c>
      <c r="M4438">
        <v>13.16</v>
      </c>
      <c r="N4438">
        <v>13.037000000000001</v>
      </c>
      <c r="O4438">
        <v>13.037000000000001</v>
      </c>
      <c r="P4438">
        <v>13.096</v>
      </c>
      <c r="Q4438">
        <v>13.161</v>
      </c>
      <c r="R4438">
        <v>13.231</v>
      </c>
      <c r="S4438">
        <v>13.305999999999999</v>
      </c>
      <c r="T4438">
        <v>13.387</v>
      </c>
      <c r="U4438">
        <v>13.472</v>
      </c>
      <c r="V4438">
        <v>13.561999999999999</v>
      </c>
      <c r="W4438">
        <v>13.656000000000001</v>
      </c>
      <c r="X4438">
        <v>13.754</v>
      </c>
      <c r="Y4438">
        <v>13.856</v>
      </c>
      <c r="Z4438">
        <v>13.961</v>
      </c>
      <c r="AA4438">
        <v>14.07</v>
      </c>
      <c r="AB4438">
        <v>14.183</v>
      </c>
      <c r="AC4438">
        <v>14.298</v>
      </c>
      <c r="AD4438">
        <v>14.417</v>
      </c>
    </row>
    <row r="4439" spans="2:30" x14ac:dyDescent="0.25">
      <c r="B4439" t="s">
        <v>133</v>
      </c>
      <c r="C4439" t="s">
        <v>3265</v>
      </c>
      <c r="D4439" t="s">
        <v>5556</v>
      </c>
      <c r="E4439">
        <v>0</v>
      </c>
      <c r="F4439" t="s">
        <v>10037</v>
      </c>
      <c r="G4439" t="s">
        <v>3890</v>
      </c>
      <c r="H4439" t="s">
        <v>109</v>
      </c>
      <c r="I4439" t="s">
        <v>108</v>
      </c>
      <c r="J4439">
        <v>2</v>
      </c>
      <c r="K4439">
        <v>1.83</v>
      </c>
      <c r="L4439">
        <v>1.84</v>
      </c>
      <c r="M4439">
        <v>1.85</v>
      </c>
      <c r="N4439">
        <v>1.86</v>
      </c>
      <c r="O4439">
        <v>1.86</v>
      </c>
      <c r="P4439">
        <v>1.871</v>
      </c>
      <c r="Q4439">
        <v>1.883</v>
      </c>
      <c r="R4439">
        <v>1.8959999999999999</v>
      </c>
      <c r="S4439">
        <v>1.91</v>
      </c>
      <c r="T4439">
        <v>1.9239999999999999</v>
      </c>
      <c r="U4439">
        <v>1.9390000000000001</v>
      </c>
      <c r="V4439">
        <v>1.9550000000000001</v>
      </c>
      <c r="W4439">
        <v>1.9710000000000001</v>
      </c>
      <c r="X4439">
        <v>1.9870000000000001</v>
      </c>
      <c r="Y4439">
        <v>2.004</v>
      </c>
      <c r="Z4439">
        <v>2.0219999999999998</v>
      </c>
      <c r="AA4439">
        <v>2.0390000000000001</v>
      </c>
      <c r="AB4439">
        <v>2.0579999999999998</v>
      </c>
      <c r="AC4439">
        <v>2.077</v>
      </c>
      <c r="AD4439">
        <v>2.0960000000000001</v>
      </c>
    </row>
    <row r="4440" spans="2:30" x14ac:dyDescent="0.25">
      <c r="B4440" t="s">
        <v>133</v>
      </c>
      <c r="C4440" t="s">
        <v>3265</v>
      </c>
      <c r="D4440" t="s">
        <v>5557</v>
      </c>
      <c r="E4440" t="s">
        <v>5558</v>
      </c>
      <c r="F4440" t="s">
        <v>10042</v>
      </c>
      <c r="G4440" t="s">
        <v>3890</v>
      </c>
      <c r="H4440" t="s">
        <v>109</v>
      </c>
      <c r="I4440" t="s">
        <v>108</v>
      </c>
      <c r="J4440">
        <v>2</v>
      </c>
      <c r="K4440">
        <v>6.327</v>
      </c>
      <c r="L4440">
        <v>6.3979999999999997</v>
      </c>
      <c r="M4440">
        <v>6.3920000000000003</v>
      </c>
      <c r="N4440">
        <v>6.3879999999999999</v>
      </c>
      <c r="O4440">
        <v>6.1989999999999998</v>
      </c>
      <c r="P4440">
        <v>6.2309999999999999</v>
      </c>
      <c r="Q4440">
        <v>6.266</v>
      </c>
      <c r="R4440">
        <v>6.3019999999999996</v>
      </c>
      <c r="S4440">
        <v>6.3380000000000001</v>
      </c>
      <c r="T4440">
        <v>6.3730000000000002</v>
      </c>
      <c r="U4440">
        <v>6.407</v>
      </c>
      <c r="V4440">
        <v>6.44</v>
      </c>
      <c r="W4440">
        <v>6.4779999999999998</v>
      </c>
      <c r="X4440">
        <v>6.5149999999999997</v>
      </c>
      <c r="Y4440">
        <v>6.5519999999999996</v>
      </c>
      <c r="Z4440">
        <v>6.5890000000000004</v>
      </c>
      <c r="AA4440">
        <v>6.6280000000000001</v>
      </c>
      <c r="AB4440">
        <v>6.6660000000000004</v>
      </c>
      <c r="AC4440">
        <v>6.7039999999999997</v>
      </c>
      <c r="AD4440">
        <v>6.7359999999999998</v>
      </c>
    </row>
    <row r="4441" spans="2:30" x14ac:dyDescent="0.25">
      <c r="B4441" t="s">
        <v>133</v>
      </c>
      <c r="C4441" t="s">
        <v>3265</v>
      </c>
      <c r="D4441" t="s">
        <v>5560</v>
      </c>
      <c r="E4441">
        <v>0</v>
      </c>
      <c r="F4441" t="s">
        <v>10037</v>
      </c>
      <c r="G4441" t="s">
        <v>3890</v>
      </c>
      <c r="H4441" t="s">
        <v>109</v>
      </c>
      <c r="I4441" t="s">
        <v>108</v>
      </c>
      <c r="J4441">
        <v>2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</row>
    <row r="4442" spans="2:30" x14ac:dyDescent="0.25">
      <c r="B4442" t="s">
        <v>133</v>
      </c>
      <c r="C4442" t="s">
        <v>3265</v>
      </c>
      <c r="D4442" t="s">
        <v>5561</v>
      </c>
      <c r="E4442">
        <v>0</v>
      </c>
      <c r="F4442" t="s">
        <v>10037</v>
      </c>
      <c r="G4442" t="s">
        <v>3890</v>
      </c>
      <c r="H4442" t="s">
        <v>109</v>
      </c>
      <c r="I4442" t="s">
        <v>108</v>
      </c>
      <c r="J4442">
        <v>2</v>
      </c>
      <c r="K4442">
        <v>11.183999999999999</v>
      </c>
      <c r="L4442">
        <v>11.509</v>
      </c>
      <c r="M4442">
        <v>11.387</v>
      </c>
      <c r="N4442">
        <v>11.282999999999999</v>
      </c>
      <c r="O4442">
        <v>11.282999999999999</v>
      </c>
      <c r="P4442">
        <v>11.334</v>
      </c>
      <c r="Q4442">
        <v>11.39</v>
      </c>
      <c r="R4442">
        <v>11.451000000000001</v>
      </c>
      <c r="S4442">
        <v>11.516</v>
      </c>
      <c r="T4442">
        <v>11.586</v>
      </c>
      <c r="U4442">
        <v>11.659000000000001</v>
      </c>
      <c r="V4442">
        <v>11.737</v>
      </c>
      <c r="W4442">
        <v>11.818</v>
      </c>
      <c r="X4442">
        <v>11.903</v>
      </c>
      <c r="Y4442">
        <v>11.991</v>
      </c>
      <c r="Z4442">
        <v>12.083</v>
      </c>
      <c r="AA4442">
        <v>12.177</v>
      </c>
      <c r="AB4442">
        <v>12.273999999999999</v>
      </c>
      <c r="AC4442">
        <v>12.374000000000001</v>
      </c>
      <c r="AD4442">
        <v>12.477</v>
      </c>
    </row>
    <row r="4443" spans="2:30" x14ac:dyDescent="0.25">
      <c r="B4443" t="s">
        <v>133</v>
      </c>
      <c r="C4443" t="s">
        <v>3265</v>
      </c>
      <c r="D4443" t="s">
        <v>5562</v>
      </c>
      <c r="E4443">
        <v>0</v>
      </c>
      <c r="F4443" t="s">
        <v>10037</v>
      </c>
      <c r="G4443" t="s">
        <v>3890</v>
      </c>
      <c r="H4443" t="s">
        <v>109</v>
      </c>
      <c r="I4443" t="s">
        <v>108</v>
      </c>
      <c r="J4443">
        <v>2</v>
      </c>
      <c r="K4443">
        <v>1.31</v>
      </c>
      <c r="L4443">
        <v>1.32</v>
      </c>
      <c r="M4443">
        <v>1.32</v>
      </c>
      <c r="N4443">
        <v>1.33</v>
      </c>
      <c r="O4443">
        <v>1.33</v>
      </c>
      <c r="P4443">
        <v>1.3380000000000001</v>
      </c>
      <c r="Q4443">
        <v>1.347</v>
      </c>
      <c r="R4443">
        <v>1.3560000000000001</v>
      </c>
      <c r="S4443">
        <v>1.3660000000000001</v>
      </c>
      <c r="T4443">
        <v>1.3759999999999999</v>
      </c>
      <c r="U4443">
        <v>1.387</v>
      </c>
      <c r="V4443">
        <v>1.3979999999999999</v>
      </c>
      <c r="W4443">
        <v>1.409</v>
      </c>
      <c r="X4443">
        <v>1.421</v>
      </c>
      <c r="Y4443">
        <v>1.4330000000000001</v>
      </c>
      <c r="Z4443">
        <v>1.446</v>
      </c>
      <c r="AA4443">
        <v>1.458</v>
      </c>
      <c r="AB4443">
        <v>1.4710000000000001</v>
      </c>
      <c r="AC4443">
        <v>1.4850000000000001</v>
      </c>
      <c r="AD4443">
        <v>1.498</v>
      </c>
    </row>
    <row r="4444" spans="2:30" x14ac:dyDescent="0.25">
      <c r="B4444" t="s">
        <v>133</v>
      </c>
      <c r="C4444" t="s">
        <v>3265</v>
      </c>
      <c r="D4444" t="s">
        <v>5563</v>
      </c>
      <c r="E4444" t="s">
        <v>5564</v>
      </c>
      <c r="F4444" t="s">
        <v>10043</v>
      </c>
      <c r="G4444" t="s">
        <v>3890</v>
      </c>
      <c r="H4444" t="s">
        <v>109</v>
      </c>
      <c r="I4444" t="s">
        <v>108</v>
      </c>
      <c r="J4444">
        <v>2</v>
      </c>
      <c r="K4444">
        <v>6.2469999999999999</v>
      </c>
      <c r="L4444">
        <v>6.415</v>
      </c>
      <c r="M4444">
        <v>6.3540000000000001</v>
      </c>
      <c r="N4444">
        <v>6.3070000000000004</v>
      </c>
      <c r="O4444">
        <v>6.3070000000000004</v>
      </c>
      <c r="P4444">
        <v>6.3360000000000003</v>
      </c>
      <c r="Q4444">
        <v>6.3680000000000003</v>
      </c>
      <c r="R4444">
        <v>6.4029999999999996</v>
      </c>
      <c r="S4444">
        <v>6.4409999999999998</v>
      </c>
      <c r="T4444">
        <v>6.4809999999999999</v>
      </c>
      <c r="U4444">
        <v>6.5229999999999997</v>
      </c>
      <c r="V4444">
        <v>6.5670000000000002</v>
      </c>
      <c r="W4444">
        <v>6.6139999999999999</v>
      </c>
      <c r="X4444">
        <v>6.6619999999999999</v>
      </c>
      <c r="Y4444">
        <v>6.7119999999999997</v>
      </c>
      <c r="Z4444">
        <v>6.7640000000000002</v>
      </c>
      <c r="AA4444">
        <v>6.8179999999999996</v>
      </c>
      <c r="AB4444">
        <v>6.8730000000000002</v>
      </c>
      <c r="AC4444">
        <v>6.93</v>
      </c>
      <c r="AD4444">
        <v>6.9880000000000004</v>
      </c>
    </row>
    <row r="4445" spans="2:30" x14ac:dyDescent="0.25">
      <c r="B4445" t="s">
        <v>133</v>
      </c>
      <c r="C4445" t="s">
        <v>3265</v>
      </c>
      <c r="D4445" t="s">
        <v>5566</v>
      </c>
      <c r="E4445">
        <v>0</v>
      </c>
      <c r="F4445" t="s">
        <v>10037</v>
      </c>
      <c r="G4445" t="s">
        <v>3890</v>
      </c>
      <c r="H4445" t="s">
        <v>109</v>
      </c>
      <c r="I4445" t="s">
        <v>108</v>
      </c>
      <c r="J4445">
        <v>2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</row>
    <row r="4446" spans="2:30" x14ac:dyDescent="0.25">
      <c r="B4446" t="s">
        <v>133</v>
      </c>
      <c r="C4446" t="s">
        <v>3265</v>
      </c>
      <c r="D4446" t="s">
        <v>5567</v>
      </c>
      <c r="E4446">
        <v>0</v>
      </c>
      <c r="F4446" t="s">
        <v>10037</v>
      </c>
      <c r="G4446" t="s">
        <v>3890</v>
      </c>
      <c r="H4446" t="s">
        <v>109</v>
      </c>
      <c r="I4446" t="s">
        <v>108</v>
      </c>
      <c r="J4446">
        <v>2</v>
      </c>
      <c r="K4446">
        <v>12.163</v>
      </c>
      <c r="L4446">
        <v>12.509</v>
      </c>
      <c r="M4446">
        <v>12.385999999999999</v>
      </c>
      <c r="N4446">
        <v>12.263</v>
      </c>
      <c r="O4446">
        <v>12.263</v>
      </c>
      <c r="P4446">
        <v>12.319000000000001</v>
      </c>
      <c r="Q4446">
        <v>12.379</v>
      </c>
      <c r="R4446">
        <v>12.445</v>
      </c>
      <c r="S4446">
        <v>12.516999999999999</v>
      </c>
      <c r="T4446">
        <v>12.592000000000001</v>
      </c>
      <c r="U4446">
        <v>12.672000000000001</v>
      </c>
      <c r="V4446">
        <v>12.757</v>
      </c>
      <c r="W4446">
        <v>12.845000000000001</v>
      </c>
      <c r="X4446">
        <v>12.936999999999999</v>
      </c>
      <c r="Y4446">
        <v>13.032999999999999</v>
      </c>
      <c r="Z4446">
        <v>13.132</v>
      </c>
      <c r="AA4446">
        <v>13.234999999999999</v>
      </c>
      <c r="AB4446">
        <v>13.340999999999999</v>
      </c>
      <c r="AC4446">
        <v>13.45</v>
      </c>
      <c r="AD4446">
        <v>13.561</v>
      </c>
    </row>
    <row r="4447" spans="2:30" x14ac:dyDescent="0.25">
      <c r="B4447" t="s">
        <v>133</v>
      </c>
      <c r="C4447" t="s">
        <v>3265</v>
      </c>
      <c r="D4447" t="s">
        <v>5568</v>
      </c>
      <c r="E4447">
        <v>0</v>
      </c>
      <c r="F4447" t="s">
        <v>10037</v>
      </c>
      <c r="G4447" t="s">
        <v>3890</v>
      </c>
      <c r="H4447" t="s">
        <v>109</v>
      </c>
      <c r="I4447" t="s">
        <v>108</v>
      </c>
      <c r="J4447">
        <v>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</row>
    <row r="4448" spans="2:30" x14ac:dyDescent="0.25">
      <c r="B4448" t="s">
        <v>133</v>
      </c>
      <c r="C4448" t="s">
        <v>3265</v>
      </c>
      <c r="D4448" t="s">
        <v>5569</v>
      </c>
      <c r="E4448">
        <v>0</v>
      </c>
      <c r="F4448" t="s">
        <v>10037</v>
      </c>
      <c r="G4448" t="s">
        <v>3890</v>
      </c>
      <c r="H4448" t="s">
        <v>109</v>
      </c>
      <c r="I4448" t="s">
        <v>108</v>
      </c>
      <c r="J4448">
        <v>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</row>
    <row r="4449" spans="2:30" x14ac:dyDescent="0.25">
      <c r="B4449" t="s">
        <v>133</v>
      </c>
      <c r="C4449" t="s">
        <v>3265</v>
      </c>
      <c r="D4449" t="s">
        <v>5570</v>
      </c>
      <c r="E4449">
        <v>0</v>
      </c>
      <c r="F4449" t="s">
        <v>10037</v>
      </c>
      <c r="G4449" t="s">
        <v>3890</v>
      </c>
      <c r="H4449" t="s">
        <v>109</v>
      </c>
      <c r="I4449" t="s">
        <v>108</v>
      </c>
      <c r="J4449">
        <v>2</v>
      </c>
      <c r="K4449">
        <v>17910.141</v>
      </c>
      <c r="L4449">
        <v>17964.946</v>
      </c>
      <c r="M4449">
        <v>21786.334999999999</v>
      </c>
      <c r="N4449">
        <v>22261.268</v>
      </c>
      <c r="O4449">
        <v>22719.177</v>
      </c>
      <c r="P4449">
        <v>23266.445</v>
      </c>
      <c r="Q4449">
        <v>23922.679</v>
      </c>
      <c r="R4449">
        <v>24543.038</v>
      </c>
      <c r="S4449">
        <v>25113.852999999999</v>
      </c>
      <c r="T4449">
        <v>25685.072</v>
      </c>
      <c r="U4449">
        <v>26258.489000000001</v>
      </c>
      <c r="V4449">
        <v>26833.654999999999</v>
      </c>
      <c r="W4449">
        <v>27410.793000000001</v>
      </c>
      <c r="X4449">
        <v>27990.760999999999</v>
      </c>
      <c r="Y4449">
        <v>28574.874</v>
      </c>
      <c r="Z4449">
        <v>29163.994999999999</v>
      </c>
      <c r="AA4449">
        <v>29762.933000000001</v>
      </c>
      <c r="AB4449">
        <v>30374.062000000002</v>
      </c>
      <c r="AC4449">
        <v>31000.673999999999</v>
      </c>
      <c r="AD4449">
        <v>31643.350999999999</v>
      </c>
    </row>
    <row r="4450" spans="2:30" x14ac:dyDescent="0.25">
      <c r="B4450" t="s">
        <v>133</v>
      </c>
      <c r="C4450" t="s">
        <v>3265</v>
      </c>
      <c r="D4450" t="s">
        <v>5571</v>
      </c>
      <c r="E4450">
        <v>0</v>
      </c>
      <c r="F4450" t="s">
        <v>10037</v>
      </c>
      <c r="G4450" t="s">
        <v>3890</v>
      </c>
      <c r="H4450" t="s">
        <v>109</v>
      </c>
      <c r="I4450" t="s">
        <v>108</v>
      </c>
      <c r="J4450">
        <v>2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</row>
    <row r="4451" spans="2:30" x14ac:dyDescent="0.25">
      <c r="B4451" t="s">
        <v>133</v>
      </c>
      <c r="C4451" t="s">
        <v>3265</v>
      </c>
      <c r="D4451" t="s">
        <v>5572</v>
      </c>
      <c r="E4451" t="s">
        <v>38</v>
      </c>
      <c r="F4451" t="s">
        <v>10044</v>
      </c>
      <c r="G4451" t="s">
        <v>3890</v>
      </c>
      <c r="H4451" t="s">
        <v>109</v>
      </c>
      <c r="I4451" t="s">
        <v>108</v>
      </c>
      <c r="J4451">
        <v>2</v>
      </c>
      <c r="K4451">
        <v>2022</v>
      </c>
      <c r="L4451">
        <v>2023</v>
      </c>
      <c r="M4451">
        <v>2024</v>
      </c>
      <c r="N4451">
        <v>2025</v>
      </c>
      <c r="O4451">
        <v>2026</v>
      </c>
      <c r="P4451">
        <v>2027</v>
      </c>
      <c r="Q4451">
        <v>2028</v>
      </c>
      <c r="R4451">
        <v>2029</v>
      </c>
      <c r="S4451">
        <v>2030</v>
      </c>
      <c r="T4451">
        <v>2031</v>
      </c>
      <c r="U4451">
        <v>2032</v>
      </c>
      <c r="V4451">
        <v>2033</v>
      </c>
      <c r="W4451">
        <v>2034</v>
      </c>
      <c r="X4451">
        <v>2035</v>
      </c>
      <c r="Y4451">
        <v>2036</v>
      </c>
      <c r="Z4451">
        <v>2037</v>
      </c>
      <c r="AA4451">
        <v>2038</v>
      </c>
      <c r="AB4451">
        <v>2039</v>
      </c>
      <c r="AC4451">
        <v>2040</v>
      </c>
      <c r="AD4451">
        <v>2041</v>
      </c>
    </row>
    <row r="4452" spans="2:30" x14ac:dyDescent="0.25">
      <c r="B4452" t="s">
        <v>133</v>
      </c>
      <c r="C4452" t="s">
        <v>3265</v>
      </c>
      <c r="D4452" t="s">
        <v>5574</v>
      </c>
      <c r="E4452">
        <v>0</v>
      </c>
      <c r="F4452" t="s">
        <v>10037</v>
      </c>
      <c r="G4452" t="s">
        <v>3890</v>
      </c>
      <c r="H4452" t="s">
        <v>109</v>
      </c>
      <c r="I4452" t="s">
        <v>108</v>
      </c>
      <c r="J4452">
        <v>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</row>
    <row r="4453" spans="2:30" x14ac:dyDescent="0.25">
      <c r="B4453" t="s">
        <v>133</v>
      </c>
      <c r="C4453" t="s">
        <v>3265</v>
      </c>
      <c r="D4453" t="s">
        <v>5575</v>
      </c>
      <c r="E4453" t="s">
        <v>5576</v>
      </c>
      <c r="F4453" t="s">
        <v>10045</v>
      </c>
      <c r="G4453" t="s">
        <v>3890</v>
      </c>
      <c r="H4453" t="s">
        <v>109</v>
      </c>
      <c r="I4453" t="s">
        <v>108</v>
      </c>
      <c r="J4453">
        <v>2</v>
      </c>
      <c r="K4453">
        <v>23.399000000000001</v>
      </c>
      <c r="L4453">
        <v>15.864000000000001</v>
      </c>
      <c r="M4453">
        <v>14.744</v>
      </c>
      <c r="N4453">
        <v>13.651999999999999</v>
      </c>
      <c r="O4453">
        <v>13.680999999999999</v>
      </c>
      <c r="P4453">
        <v>13.768000000000001</v>
      </c>
      <c r="Q4453">
        <v>13.727</v>
      </c>
      <c r="R4453">
        <v>13.683</v>
      </c>
      <c r="S4453">
        <v>13.635999999999999</v>
      </c>
      <c r="T4453">
        <v>13.59</v>
      </c>
      <c r="U4453">
        <v>13.59</v>
      </c>
      <c r="V4453">
        <v>13.59</v>
      </c>
      <c r="W4453">
        <v>13.59</v>
      </c>
      <c r="X4453">
        <v>13.59</v>
      </c>
      <c r="Y4453">
        <v>13.59</v>
      </c>
      <c r="Z4453">
        <v>13.59</v>
      </c>
      <c r="AA4453">
        <v>13.59</v>
      </c>
      <c r="AB4453">
        <v>13.59</v>
      </c>
      <c r="AC4453">
        <v>13.59</v>
      </c>
      <c r="AD4453">
        <v>13.59</v>
      </c>
    </row>
    <row r="4454" spans="2:30" x14ac:dyDescent="0.25">
      <c r="B4454" t="s">
        <v>133</v>
      </c>
      <c r="C4454" t="s">
        <v>3265</v>
      </c>
      <c r="D4454" t="s">
        <v>5578</v>
      </c>
      <c r="E4454" t="s">
        <v>5579</v>
      </c>
      <c r="F4454" t="s">
        <v>10046</v>
      </c>
      <c r="G4454" t="s">
        <v>3890</v>
      </c>
      <c r="H4454" t="s">
        <v>109</v>
      </c>
      <c r="I4454" t="s">
        <v>108</v>
      </c>
      <c r="J4454">
        <v>2</v>
      </c>
      <c r="K4454">
        <v>4.6340000000000003</v>
      </c>
      <c r="L4454">
        <v>3.2090000000000001</v>
      </c>
      <c r="M4454">
        <v>2.331</v>
      </c>
      <c r="N4454">
        <v>2.331</v>
      </c>
      <c r="O4454">
        <v>2.331</v>
      </c>
      <c r="P4454">
        <v>2.331</v>
      </c>
      <c r="Q4454">
        <v>2.331</v>
      </c>
      <c r="R4454">
        <v>2.331</v>
      </c>
      <c r="S4454">
        <v>2.331</v>
      </c>
      <c r="T4454">
        <v>2.331</v>
      </c>
      <c r="U4454">
        <v>2.331</v>
      </c>
      <c r="V4454">
        <v>2.331</v>
      </c>
      <c r="W4454">
        <v>2.331</v>
      </c>
      <c r="X4454">
        <v>2.331</v>
      </c>
      <c r="Y4454">
        <v>2.331</v>
      </c>
      <c r="Z4454">
        <v>2.331</v>
      </c>
      <c r="AA4454">
        <v>2.331</v>
      </c>
      <c r="AB4454">
        <v>2.331</v>
      </c>
      <c r="AC4454">
        <v>2.331</v>
      </c>
      <c r="AD4454">
        <v>2.331</v>
      </c>
    </row>
    <row r="4455" spans="2:30" x14ac:dyDescent="0.25">
      <c r="B4455" t="s">
        <v>133</v>
      </c>
      <c r="C4455" t="s">
        <v>3265</v>
      </c>
      <c r="D4455" t="s">
        <v>5581</v>
      </c>
      <c r="E4455" t="s">
        <v>5582</v>
      </c>
      <c r="F4455" t="s">
        <v>10047</v>
      </c>
      <c r="G4455" t="s">
        <v>3890</v>
      </c>
      <c r="H4455" t="s">
        <v>109</v>
      </c>
      <c r="I4455" t="s">
        <v>108</v>
      </c>
      <c r="J4455">
        <v>2</v>
      </c>
      <c r="K4455">
        <v>0.6</v>
      </c>
      <c r="L4455">
        <v>0.41099999999999998</v>
      </c>
      <c r="M4455">
        <v>0.33500000000000002</v>
      </c>
      <c r="N4455">
        <v>0.33500000000000002</v>
      </c>
      <c r="O4455">
        <v>0.33500000000000002</v>
      </c>
      <c r="P4455">
        <v>0.33500000000000002</v>
      </c>
      <c r="Q4455">
        <v>0.33500000000000002</v>
      </c>
      <c r="R4455">
        <v>0.33500000000000002</v>
      </c>
      <c r="S4455">
        <v>0.33500000000000002</v>
      </c>
      <c r="T4455">
        <v>0.33500000000000002</v>
      </c>
      <c r="U4455">
        <v>0.33500000000000002</v>
      </c>
      <c r="V4455">
        <v>0.33500000000000002</v>
      </c>
      <c r="W4455">
        <v>0.33500000000000002</v>
      </c>
      <c r="X4455">
        <v>0.33500000000000002</v>
      </c>
      <c r="Y4455">
        <v>0.33500000000000002</v>
      </c>
      <c r="Z4455">
        <v>0.33500000000000002</v>
      </c>
      <c r="AA4455">
        <v>0.33500000000000002</v>
      </c>
      <c r="AB4455">
        <v>0.33500000000000002</v>
      </c>
      <c r="AC4455">
        <v>0.33500000000000002</v>
      </c>
      <c r="AD4455">
        <v>0.33500000000000002</v>
      </c>
    </row>
    <row r="4456" spans="2:30" x14ac:dyDescent="0.25">
      <c r="B4456" t="s">
        <v>133</v>
      </c>
      <c r="C4456" t="s">
        <v>3265</v>
      </c>
      <c r="D4456" t="s">
        <v>5584</v>
      </c>
      <c r="E4456">
        <v>0</v>
      </c>
      <c r="F4456" t="s">
        <v>10037</v>
      </c>
      <c r="G4456" t="s">
        <v>3890</v>
      </c>
      <c r="H4456" t="s">
        <v>109</v>
      </c>
      <c r="I4456" t="s">
        <v>108</v>
      </c>
      <c r="J4456">
        <v>2</v>
      </c>
      <c r="K4456">
        <v>4.6340000000000003</v>
      </c>
      <c r="L4456">
        <v>3.2090000000000001</v>
      </c>
      <c r="M4456">
        <v>2.331</v>
      </c>
      <c r="N4456">
        <v>2.331</v>
      </c>
      <c r="O4456">
        <v>2.331</v>
      </c>
      <c r="P4456">
        <v>2.331</v>
      </c>
      <c r="Q4456">
        <v>2.331</v>
      </c>
      <c r="R4456">
        <v>2.331</v>
      </c>
      <c r="S4456">
        <v>2.331</v>
      </c>
      <c r="T4456">
        <v>2.331</v>
      </c>
      <c r="U4456">
        <v>2.331</v>
      </c>
      <c r="V4456">
        <v>2.331</v>
      </c>
      <c r="W4456">
        <v>2.331</v>
      </c>
      <c r="X4456">
        <v>2.331</v>
      </c>
      <c r="Y4456">
        <v>2.331</v>
      </c>
      <c r="Z4456">
        <v>2.331</v>
      </c>
      <c r="AA4456">
        <v>2.331</v>
      </c>
      <c r="AB4456">
        <v>2.331</v>
      </c>
      <c r="AC4456">
        <v>2.331</v>
      </c>
      <c r="AD4456">
        <v>2.331</v>
      </c>
    </row>
    <row r="4457" spans="2:30" x14ac:dyDescent="0.25">
      <c r="B4457" t="s">
        <v>133</v>
      </c>
      <c r="C4457" t="s">
        <v>3265</v>
      </c>
      <c r="D4457" t="s">
        <v>5585</v>
      </c>
      <c r="E4457">
        <v>0</v>
      </c>
      <c r="F4457" t="s">
        <v>10037</v>
      </c>
      <c r="G4457" t="s">
        <v>3890</v>
      </c>
      <c r="H4457" t="s">
        <v>109</v>
      </c>
      <c r="I4457" t="s">
        <v>108</v>
      </c>
      <c r="J4457">
        <v>2</v>
      </c>
      <c r="K4457">
        <v>0.6</v>
      </c>
      <c r="L4457">
        <v>0.41099999999999998</v>
      </c>
      <c r="M4457">
        <v>0.33500000000000002</v>
      </c>
      <c r="N4457">
        <v>0.33500000000000002</v>
      </c>
      <c r="O4457">
        <v>0.33500000000000002</v>
      </c>
      <c r="P4457">
        <v>0.33500000000000002</v>
      </c>
      <c r="Q4457">
        <v>0.33500000000000002</v>
      </c>
      <c r="R4457">
        <v>0.33500000000000002</v>
      </c>
      <c r="S4457">
        <v>0.33500000000000002</v>
      </c>
      <c r="T4457">
        <v>0.33500000000000002</v>
      </c>
      <c r="U4457">
        <v>0.33500000000000002</v>
      </c>
      <c r="V4457">
        <v>0.33500000000000002</v>
      </c>
      <c r="W4457">
        <v>0.33500000000000002</v>
      </c>
      <c r="X4457">
        <v>0.33500000000000002</v>
      </c>
      <c r="Y4457">
        <v>0.33500000000000002</v>
      </c>
      <c r="Z4457">
        <v>0.33500000000000002</v>
      </c>
      <c r="AA4457">
        <v>0.33500000000000002</v>
      </c>
      <c r="AB4457">
        <v>0.33500000000000002</v>
      </c>
      <c r="AC4457">
        <v>0.33500000000000002</v>
      </c>
      <c r="AD4457">
        <v>0.33500000000000002</v>
      </c>
    </row>
    <row r="4458" spans="2:30" x14ac:dyDescent="0.25">
      <c r="B4458" t="s">
        <v>133</v>
      </c>
      <c r="C4458" t="s">
        <v>3265</v>
      </c>
      <c r="D4458" t="s">
        <v>5586</v>
      </c>
      <c r="E4458">
        <v>0</v>
      </c>
      <c r="F4458" t="s">
        <v>10037</v>
      </c>
      <c r="G4458" t="s">
        <v>3890</v>
      </c>
      <c r="H4458" t="s">
        <v>109</v>
      </c>
      <c r="I4458" t="s">
        <v>108</v>
      </c>
      <c r="J4458">
        <v>2</v>
      </c>
      <c r="K4458">
        <v>0.41399999999999998</v>
      </c>
      <c r="L4458">
        <v>0.28100000000000003</v>
      </c>
      <c r="M4458">
        <v>0.249</v>
      </c>
      <c r="N4458">
        <v>0.249</v>
      </c>
      <c r="O4458">
        <v>0.249</v>
      </c>
      <c r="P4458">
        <v>0.249</v>
      </c>
      <c r="Q4458">
        <v>0.249</v>
      </c>
      <c r="R4458">
        <v>0.249</v>
      </c>
      <c r="S4458">
        <v>0.249</v>
      </c>
      <c r="T4458">
        <v>0.249</v>
      </c>
      <c r="U4458">
        <v>0.249</v>
      </c>
      <c r="V4458">
        <v>0.249</v>
      </c>
      <c r="W4458">
        <v>0.249</v>
      </c>
      <c r="X4458">
        <v>0.249</v>
      </c>
      <c r="Y4458">
        <v>0.249</v>
      </c>
      <c r="Z4458">
        <v>0.249</v>
      </c>
      <c r="AA4458">
        <v>0.249</v>
      </c>
      <c r="AB4458">
        <v>0.249</v>
      </c>
      <c r="AC4458">
        <v>0.249</v>
      </c>
      <c r="AD4458">
        <v>0.249</v>
      </c>
    </row>
    <row r="4459" spans="2:30" x14ac:dyDescent="0.25">
      <c r="B4459" t="s">
        <v>133</v>
      </c>
      <c r="C4459" t="s">
        <v>3265</v>
      </c>
      <c r="D4459" t="s">
        <v>5587</v>
      </c>
      <c r="E4459">
        <v>0</v>
      </c>
      <c r="F4459" t="s">
        <v>10037</v>
      </c>
      <c r="G4459" t="s">
        <v>3890</v>
      </c>
      <c r="H4459" t="s">
        <v>109</v>
      </c>
      <c r="I4459" t="s">
        <v>108</v>
      </c>
      <c r="J4459">
        <v>2</v>
      </c>
      <c r="K4459">
        <v>0.17499999999999999</v>
      </c>
      <c r="L4459">
        <v>0.10199999999999999</v>
      </c>
      <c r="M4459">
        <v>8.7999999999999995E-2</v>
      </c>
      <c r="N4459">
        <v>8.7999999999999995E-2</v>
      </c>
      <c r="O4459">
        <v>8.7999999999999995E-2</v>
      </c>
      <c r="P4459">
        <v>8.7999999999999995E-2</v>
      </c>
      <c r="Q4459">
        <v>8.7999999999999995E-2</v>
      </c>
      <c r="R4459">
        <v>8.7999999999999995E-2</v>
      </c>
      <c r="S4459">
        <v>8.7999999999999995E-2</v>
      </c>
      <c r="T4459">
        <v>8.7999999999999995E-2</v>
      </c>
      <c r="U4459">
        <v>8.7999999999999995E-2</v>
      </c>
      <c r="V4459">
        <v>8.7999999999999995E-2</v>
      </c>
      <c r="W4459">
        <v>8.7999999999999995E-2</v>
      </c>
      <c r="X4459">
        <v>8.7999999999999995E-2</v>
      </c>
      <c r="Y4459">
        <v>8.7999999999999995E-2</v>
      </c>
      <c r="Z4459">
        <v>8.7999999999999995E-2</v>
      </c>
      <c r="AA4459">
        <v>8.7999999999999995E-2</v>
      </c>
      <c r="AB4459">
        <v>8.7999999999999995E-2</v>
      </c>
      <c r="AC4459">
        <v>8.7999999999999995E-2</v>
      </c>
      <c r="AD4459">
        <v>8.7999999999999995E-2</v>
      </c>
    </row>
    <row r="4460" spans="2:30" x14ac:dyDescent="0.25">
      <c r="B4460" t="s">
        <v>133</v>
      </c>
      <c r="C4460" t="s">
        <v>3265</v>
      </c>
      <c r="D4460" t="s">
        <v>5588</v>
      </c>
      <c r="E4460">
        <v>0</v>
      </c>
      <c r="F4460" t="s">
        <v>10037</v>
      </c>
      <c r="G4460" t="s">
        <v>3890</v>
      </c>
      <c r="H4460" t="s">
        <v>109</v>
      </c>
      <c r="I4460" t="s">
        <v>108</v>
      </c>
      <c r="J4460">
        <v>2</v>
      </c>
      <c r="K4460">
        <v>0.41399999999999998</v>
      </c>
      <c r="L4460">
        <v>0.25900000000000001</v>
      </c>
      <c r="M4460">
        <v>0.24399999999999999</v>
      </c>
      <c r="N4460">
        <v>0.24399999999999999</v>
      </c>
      <c r="O4460">
        <v>0.24399999999999999</v>
      </c>
      <c r="P4460">
        <v>0.24399999999999999</v>
      </c>
      <c r="Q4460">
        <v>0.24399999999999999</v>
      </c>
      <c r="R4460">
        <v>0.24399999999999999</v>
      </c>
      <c r="S4460">
        <v>0.24399999999999999</v>
      </c>
      <c r="T4460">
        <v>0.24399999999999999</v>
      </c>
      <c r="U4460">
        <v>0.24399999999999999</v>
      </c>
      <c r="V4460">
        <v>0.24399999999999999</v>
      </c>
      <c r="W4460">
        <v>0.24399999999999999</v>
      </c>
      <c r="X4460">
        <v>0.24399999999999999</v>
      </c>
      <c r="Y4460">
        <v>0.24399999999999999</v>
      </c>
      <c r="Z4460">
        <v>0.24399999999999999</v>
      </c>
      <c r="AA4460">
        <v>0.24399999999999999</v>
      </c>
      <c r="AB4460">
        <v>0.24399999999999999</v>
      </c>
      <c r="AC4460">
        <v>0.24399999999999999</v>
      </c>
      <c r="AD4460">
        <v>0.24399999999999999</v>
      </c>
    </row>
    <row r="4461" spans="2:30" x14ac:dyDescent="0.25">
      <c r="B4461" t="s">
        <v>133</v>
      </c>
      <c r="C4461" t="s">
        <v>3265</v>
      </c>
      <c r="D4461" t="s">
        <v>5589</v>
      </c>
      <c r="E4461">
        <v>0</v>
      </c>
      <c r="F4461" t="s">
        <v>10037</v>
      </c>
      <c r="G4461" t="s">
        <v>3890</v>
      </c>
      <c r="H4461" t="s">
        <v>109</v>
      </c>
      <c r="I4461" t="s">
        <v>108</v>
      </c>
      <c r="J4461">
        <v>2</v>
      </c>
      <c r="K4461">
        <v>33.051000000000002</v>
      </c>
      <c r="L4461">
        <v>26.300999999999998</v>
      </c>
      <c r="M4461">
        <v>23.175999999999998</v>
      </c>
      <c r="N4461">
        <v>15</v>
      </c>
      <c r="O4461">
        <v>15</v>
      </c>
      <c r="P4461">
        <v>15</v>
      </c>
      <c r="Q4461">
        <v>15</v>
      </c>
      <c r="R4461">
        <v>15</v>
      </c>
      <c r="S4461">
        <v>15</v>
      </c>
      <c r="T4461">
        <v>15</v>
      </c>
      <c r="U4461">
        <v>15</v>
      </c>
      <c r="V4461">
        <v>15</v>
      </c>
      <c r="W4461">
        <v>15</v>
      </c>
      <c r="X4461">
        <v>15</v>
      </c>
      <c r="Y4461">
        <v>15</v>
      </c>
      <c r="Z4461">
        <v>15</v>
      </c>
      <c r="AA4461">
        <v>15</v>
      </c>
      <c r="AB4461">
        <v>15</v>
      </c>
      <c r="AC4461">
        <v>15</v>
      </c>
      <c r="AD4461">
        <v>15</v>
      </c>
    </row>
    <row r="4462" spans="2:30" x14ac:dyDescent="0.25">
      <c r="B4462" t="s">
        <v>133</v>
      </c>
      <c r="C4462" t="s">
        <v>3265</v>
      </c>
      <c r="D4462" t="s">
        <v>5590</v>
      </c>
      <c r="E4462">
        <v>0</v>
      </c>
      <c r="F4462" t="s">
        <v>10037</v>
      </c>
      <c r="G4462" t="s">
        <v>3890</v>
      </c>
      <c r="H4462" t="s">
        <v>109</v>
      </c>
      <c r="I4462" t="s">
        <v>108</v>
      </c>
      <c r="J4462">
        <v>2</v>
      </c>
      <c r="K4462">
        <v>14.471</v>
      </c>
      <c r="L4462">
        <v>14.471</v>
      </c>
      <c r="M4462">
        <v>14.476000000000001</v>
      </c>
      <c r="N4462">
        <v>14.476000000000001</v>
      </c>
      <c r="O4462">
        <v>14.476000000000001</v>
      </c>
      <c r="P4462">
        <v>14.476000000000001</v>
      </c>
      <c r="Q4462">
        <v>14.476000000000001</v>
      </c>
      <c r="R4462">
        <v>14.476000000000001</v>
      </c>
      <c r="S4462">
        <v>14.476000000000001</v>
      </c>
      <c r="T4462">
        <v>14.476000000000001</v>
      </c>
      <c r="U4462">
        <v>14.476000000000001</v>
      </c>
      <c r="V4462">
        <v>14.476000000000001</v>
      </c>
      <c r="W4462">
        <v>14.476000000000001</v>
      </c>
      <c r="X4462">
        <v>14.476000000000001</v>
      </c>
      <c r="Y4462">
        <v>14.476000000000001</v>
      </c>
      <c r="Z4462">
        <v>14.476000000000001</v>
      </c>
      <c r="AA4462">
        <v>14.476000000000001</v>
      </c>
      <c r="AB4462">
        <v>14.476000000000001</v>
      </c>
      <c r="AC4462">
        <v>14.476000000000001</v>
      </c>
      <c r="AD4462">
        <v>14.476000000000001</v>
      </c>
    </row>
    <row r="4463" spans="2:30" x14ac:dyDescent="0.25">
      <c r="B4463" t="s">
        <v>133</v>
      </c>
      <c r="C4463" t="s">
        <v>3265</v>
      </c>
      <c r="D4463" t="s">
        <v>5591</v>
      </c>
      <c r="E4463">
        <v>0</v>
      </c>
      <c r="F4463" t="s">
        <v>10037</v>
      </c>
      <c r="G4463" t="s">
        <v>3890</v>
      </c>
      <c r="H4463" t="s">
        <v>109</v>
      </c>
      <c r="I4463" t="s">
        <v>108</v>
      </c>
      <c r="J4463">
        <v>2</v>
      </c>
      <c r="K4463">
        <v>0.6</v>
      </c>
      <c r="L4463">
        <v>0.41099999999999998</v>
      </c>
      <c r="M4463">
        <v>0.33500000000000002</v>
      </c>
      <c r="N4463">
        <v>0.33500000000000002</v>
      </c>
      <c r="O4463">
        <v>0.33500000000000002</v>
      </c>
      <c r="P4463">
        <v>0.33500000000000002</v>
      </c>
      <c r="Q4463">
        <v>0.33500000000000002</v>
      </c>
      <c r="R4463">
        <v>0.33500000000000002</v>
      </c>
      <c r="S4463">
        <v>0.33500000000000002</v>
      </c>
      <c r="T4463">
        <v>0.33500000000000002</v>
      </c>
      <c r="U4463">
        <v>0.33500000000000002</v>
      </c>
      <c r="V4463">
        <v>0.33500000000000002</v>
      </c>
      <c r="W4463">
        <v>0.33500000000000002</v>
      </c>
      <c r="X4463">
        <v>0.33500000000000002</v>
      </c>
      <c r="Y4463">
        <v>0.33500000000000002</v>
      </c>
      <c r="Z4463">
        <v>0.33500000000000002</v>
      </c>
      <c r="AA4463">
        <v>0.33500000000000002</v>
      </c>
      <c r="AB4463">
        <v>0.33500000000000002</v>
      </c>
      <c r="AC4463">
        <v>0.33500000000000002</v>
      </c>
      <c r="AD4463">
        <v>0.33500000000000002</v>
      </c>
    </row>
    <row r="4464" spans="2:30" x14ac:dyDescent="0.25">
      <c r="B4464" t="s">
        <v>133</v>
      </c>
      <c r="C4464" t="s">
        <v>3265</v>
      </c>
      <c r="D4464" t="s">
        <v>5592</v>
      </c>
      <c r="E4464">
        <v>0</v>
      </c>
      <c r="F4464" t="s">
        <v>10037</v>
      </c>
      <c r="G4464" t="s">
        <v>3890</v>
      </c>
      <c r="H4464" t="s">
        <v>109</v>
      </c>
      <c r="I4464" t="s">
        <v>108</v>
      </c>
      <c r="J4464">
        <v>2</v>
      </c>
      <c r="K4464">
        <v>0.41399999999999998</v>
      </c>
      <c r="L4464">
        <v>0.28100000000000003</v>
      </c>
      <c r="M4464">
        <v>0.249</v>
      </c>
      <c r="N4464">
        <v>0.249</v>
      </c>
      <c r="O4464">
        <v>0.249</v>
      </c>
      <c r="P4464">
        <v>0.249</v>
      </c>
      <c r="Q4464">
        <v>0.249</v>
      </c>
      <c r="R4464">
        <v>0.249</v>
      </c>
      <c r="S4464">
        <v>0.249</v>
      </c>
      <c r="T4464">
        <v>0.249</v>
      </c>
      <c r="U4464">
        <v>0.249</v>
      </c>
      <c r="V4464">
        <v>0.249</v>
      </c>
      <c r="W4464">
        <v>0.249</v>
      </c>
      <c r="X4464">
        <v>0.249</v>
      </c>
      <c r="Y4464">
        <v>0.249</v>
      </c>
      <c r="Z4464">
        <v>0.249</v>
      </c>
      <c r="AA4464">
        <v>0.249</v>
      </c>
      <c r="AB4464">
        <v>0.249</v>
      </c>
      <c r="AC4464">
        <v>0.249</v>
      </c>
      <c r="AD4464">
        <v>0.249</v>
      </c>
    </row>
    <row r="4465" spans="2:30" x14ac:dyDescent="0.25">
      <c r="B4465" t="s">
        <v>133</v>
      </c>
      <c r="C4465" t="s">
        <v>3265</v>
      </c>
      <c r="D4465" t="s">
        <v>5593</v>
      </c>
      <c r="E4465">
        <v>0</v>
      </c>
      <c r="F4465" t="s">
        <v>10037</v>
      </c>
      <c r="G4465" t="s">
        <v>3890</v>
      </c>
      <c r="H4465" t="s">
        <v>109</v>
      </c>
      <c r="I4465" t="s">
        <v>108</v>
      </c>
      <c r="J4465">
        <v>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</row>
    <row r="4466" spans="2:30" x14ac:dyDescent="0.25">
      <c r="B4466" t="s">
        <v>133</v>
      </c>
      <c r="C4466" t="s">
        <v>3265</v>
      </c>
      <c r="D4466" t="s">
        <v>5594</v>
      </c>
      <c r="E4466">
        <v>0</v>
      </c>
      <c r="F4466" t="s">
        <v>10037</v>
      </c>
      <c r="G4466" t="s">
        <v>3890</v>
      </c>
      <c r="H4466" t="s">
        <v>109</v>
      </c>
      <c r="I4466" t="s">
        <v>108</v>
      </c>
      <c r="J4466">
        <v>2</v>
      </c>
      <c r="K4466">
        <v>6562.2219999999998</v>
      </c>
      <c r="L4466">
        <v>6617.1670000000004</v>
      </c>
      <c r="M4466">
        <v>8127.7539999999999</v>
      </c>
      <c r="N4466">
        <v>8218.8449999999993</v>
      </c>
      <c r="O4466">
        <v>8305.8330000000005</v>
      </c>
      <c r="P4466">
        <v>8410.3019999999997</v>
      </c>
      <c r="Q4466">
        <v>8535.8169999999991</v>
      </c>
      <c r="R4466">
        <v>8653.2150000000001</v>
      </c>
      <c r="S4466">
        <v>8760.0130000000008</v>
      </c>
      <c r="T4466">
        <v>8866.1980000000003</v>
      </c>
      <c r="U4466">
        <v>8972.1370000000006</v>
      </c>
      <c r="V4466">
        <v>9077.7649999999994</v>
      </c>
      <c r="W4466">
        <v>9183.1409999999996</v>
      </c>
      <c r="X4466">
        <v>9288.4459999999999</v>
      </c>
      <c r="Y4466">
        <v>9393.9390000000003</v>
      </c>
      <c r="Z4466">
        <v>9499.7900000000009</v>
      </c>
      <c r="AA4466">
        <v>9606.902</v>
      </c>
      <c r="AB4466">
        <v>9715.7049999999999</v>
      </c>
      <c r="AC4466">
        <v>9826.7870000000003</v>
      </c>
      <c r="AD4466">
        <v>9940.2260000000006</v>
      </c>
    </row>
    <row r="4467" spans="2:30" x14ac:dyDescent="0.25">
      <c r="B4467" t="s">
        <v>133</v>
      </c>
      <c r="C4467" t="s">
        <v>3265</v>
      </c>
      <c r="D4467" t="s">
        <v>5595</v>
      </c>
      <c r="E4467" t="s">
        <v>5596</v>
      </c>
      <c r="F4467" t="s">
        <v>10048</v>
      </c>
      <c r="G4467" t="s">
        <v>3890</v>
      </c>
      <c r="H4467" t="s">
        <v>109</v>
      </c>
      <c r="I4467" t="s">
        <v>108</v>
      </c>
      <c r="J4467">
        <v>2</v>
      </c>
      <c r="K4467">
        <v>33.051000000000002</v>
      </c>
      <c r="L4467">
        <v>26.300999999999998</v>
      </c>
      <c r="M4467">
        <v>23.175999999999998</v>
      </c>
      <c r="N4467">
        <v>15</v>
      </c>
      <c r="O4467">
        <v>15</v>
      </c>
      <c r="P4467">
        <v>15</v>
      </c>
      <c r="Q4467">
        <v>15</v>
      </c>
      <c r="R4467">
        <v>15</v>
      </c>
      <c r="S4467">
        <v>15</v>
      </c>
      <c r="T4467">
        <v>15</v>
      </c>
      <c r="U4467">
        <v>15</v>
      </c>
      <c r="V4467">
        <v>15</v>
      </c>
      <c r="W4467">
        <v>15</v>
      </c>
      <c r="X4467">
        <v>15</v>
      </c>
      <c r="Y4467">
        <v>15</v>
      </c>
      <c r="Z4467">
        <v>15</v>
      </c>
      <c r="AA4467">
        <v>15</v>
      </c>
      <c r="AB4467">
        <v>15</v>
      </c>
      <c r="AC4467">
        <v>15</v>
      </c>
      <c r="AD4467">
        <v>15</v>
      </c>
    </row>
    <row r="4468" spans="2:30" x14ac:dyDescent="0.25">
      <c r="B4468" t="s">
        <v>133</v>
      </c>
      <c r="C4468" t="s">
        <v>3265</v>
      </c>
      <c r="D4468" t="s">
        <v>5598</v>
      </c>
      <c r="E4468" t="s">
        <v>5599</v>
      </c>
      <c r="F4468" t="s">
        <v>10049</v>
      </c>
      <c r="G4468" t="s">
        <v>3890</v>
      </c>
      <c r="H4468" t="s">
        <v>109</v>
      </c>
      <c r="I4468" t="s">
        <v>108</v>
      </c>
      <c r="J4468">
        <v>2</v>
      </c>
      <c r="K4468">
        <v>14.471</v>
      </c>
      <c r="L4468">
        <v>14.471</v>
      </c>
      <c r="M4468">
        <v>14.476000000000001</v>
      </c>
      <c r="N4468">
        <v>14.476000000000001</v>
      </c>
      <c r="O4468">
        <v>14.476000000000001</v>
      </c>
      <c r="P4468">
        <v>14.476000000000001</v>
      </c>
      <c r="Q4468">
        <v>14.476000000000001</v>
      </c>
      <c r="R4468">
        <v>14.476000000000001</v>
      </c>
      <c r="S4468">
        <v>14.476000000000001</v>
      </c>
      <c r="T4468">
        <v>14.476000000000001</v>
      </c>
      <c r="U4468">
        <v>14.476000000000001</v>
      </c>
      <c r="V4468">
        <v>14.476000000000001</v>
      </c>
      <c r="W4468">
        <v>14.476000000000001</v>
      </c>
      <c r="X4468">
        <v>14.476000000000001</v>
      </c>
      <c r="Y4468">
        <v>14.476000000000001</v>
      </c>
      <c r="Z4468">
        <v>14.476000000000001</v>
      </c>
      <c r="AA4468">
        <v>14.476000000000001</v>
      </c>
      <c r="AB4468">
        <v>14.476000000000001</v>
      </c>
      <c r="AC4468">
        <v>14.476000000000001</v>
      </c>
      <c r="AD4468">
        <v>14.476000000000001</v>
      </c>
    </row>
    <row r="4469" spans="2:30" x14ac:dyDescent="0.25">
      <c r="B4469" t="s">
        <v>133</v>
      </c>
      <c r="C4469" t="s">
        <v>3265</v>
      </c>
      <c r="D4469" t="s">
        <v>5601</v>
      </c>
      <c r="E4469" t="s">
        <v>5602</v>
      </c>
      <c r="F4469" t="s">
        <v>10050</v>
      </c>
      <c r="G4469" t="s">
        <v>3890</v>
      </c>
      <c r="H4469" t="s">
        <v>109</v>
      </c>
      <c r="I4469" t="s">
        <v>108</v>
      </c>
      <c r="J4469">
        <v>2</v>
      </c>
      <c r="K4469">
        <v>0.14299999999999999</v>
      </c>
      <c r="L4469">
        <v>0.13800000000000001</v>
      </c>
      <c r="M4469">
        <v>0.13200000000000001</v>
      </c>
      <c r="N4469">
        <v>0.129</v>
      </c>
      <c r="O4469">
        <v>0.127</v>
      </c>
      <c r="P4469">
        <v>0.123</v>
      </c>
      <c r="Q4469">
        <v>0.11899999999999999</v>
      </c>
      <c r="R4469">
        <v>0.115</v>
      </c>
      <c r="S4469">
        <v>0.111</v>
      </c>
      <c r="T4469">
        <v>0.111</v>
      </c>
      <c r="U4469">
        <v>0.111</v>
      </c>
      <c r="V4469">
        <v>0.111</v>
      </c>
      <c r="W4469">
        <v>0.111</v>
      </c>
      <c r="X4469">
        <v>0.11</v>
      </c>
      <c r="Y4469">
        <v>0.109</v>
      </c>
      <c r="Z4469">
        <v>0.108</v>
      </c>
      <c r="AA4469">
        <v>0.107</v>
      </c>
      <c r="AB4469">
        <v>0.105</v>
      </c>
      <c r="AC4469">
        <v>0.10299999999999999</v>
      </c>
      <c r="AD4469">
        <v>0.10100000000000001</v>
      </c>
    </row>
    <row r="4470" spans="2:30" x14ac:dyDescent="0.25">
      <c r="B4470" t="s">
        <v>133</v>
      </c>
      <c r="C4470" t="s">
        <v>3265</v>
      </c>
      <c r="D4470" t="s">
        <v>5604</v>
      </c>
      <c r="E4470">
        <v>0</v>
      </c>
      <c r="F4470" t="s">
        <v>10037</v>
      </c>
      <c r="G4470" t="s">
        <v>3890</v>
      </c>
      <c r="H4470" t="s">
        <v>109</v>
      </c>
      <c r="I4470" t="s">
        <v>108</v>
      </c>
      <c r="J4470">
        <v>2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</row>
    <row r="4471" spans="2:30" x14ac:dyDescent="0.25">
      <c r="B4471" t="s">
        <v>133</v>
      </c>
      <c r="C4471" t="s">
        <v>3265</v>
      </c>
      <c r="D4471" t="s">
        <v>5605</v>
      </c>
      <c r="E4471">
        <v>0</v>
      </c>
      <c r="F4471" t="s">
        <v>10037</v>
      </c>
      <c r="G4471" t="s">
        <v>3890</v>
      </c>
      <c r="H4471" t="s">
        <v>109</v>
      </c>
      <c r="I4471" t="s">
        <v>108</v>
      </c>
      <c r="J4471">
        <v>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</row>
    <row r="4472" spans="2:30" x14ac:dyDescent="0.25">
      <c r="B4472" t="s">
        <v>133</v>
      </c>
      <c r="C4472" t="s">
        <v>3265</v>
      </c>
      <c r="D4472" t="s">
        <v>5606</v>
      </c>
      <c r="E4472" t="s">
        <v>5607</v>
      </c>
      <c r="F4472" t="s">
        <v>10051</v>
      </c>
      <c r="G4472" t="s">
        <v>3890</v>
      </c>
      <c r="H4472" t="s">
        <v>109</v>
      </c>
      <c r="I4472" t="s">
        <v>108</v>
      </c>
      <c r="J4472">
        <v>2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</row>
    <row r="4473" spans="2:30" x14ac:dyDescent="0.25">
      <c r="B4473" t="s">
        <v>133</v>
      </c>
      <c r="C4473" t="s">
        <v>3265</v>
      </c>
      <c r="D4473" t="s">
        <v>5609</v>
      </c>
      <c r="E4473" t="s">
        <v>5610</v>
      </c>
      <c r="F4473" t="s">
        <v>10052</v>
      </c>
      <c r="G4473" t="s">
        <v>3890</v>
      </c>
      <c r="H4473" t="s">
        <v>109</v>
      </c>
      <c r="I4473" t="s">
        <v>108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</row>
    <row r="4474" spans="2:30" x14ac:dyDescent="0.25">
      <c r="B4474" t="s">
        <v>133</v>
      </c>
      <c r="C4474" t="s">
        <v>3265</v>
      </c>
      <c r="D4474" t="s">
        <v>5612</v>
      </c>
      <c r="E4474" t="s">
        <v>5613</v>
      </c>
      <c r="F4474" t="s">
        <v>10053</v>
      </c>
      <c r="G4474" t="s">
        <v>3890</v>
      </c>
      <c r="H4474" t="s">
        <v>109</v>
      </c>
      <c r="I4474" t="s">
        <v>108</v>
      </c>
      <c r="J4474">
        <v>2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</row>
    <row r="4475" spans="2:30" x14ac:dyDescent="0.25">
      <c r="B4475" t="s">
        <v>133</v>
      </c>
      <c r="C4475" t="s">
        <v>3265</v>
      </c>
      <c r="D4475" t="s">
        <v>5615</v>
      </c>
      <c r="E4475" t="s">
        <v>5616</v>
      </c>
      <c r="F4475" t="s">
        <v>10054</v>
      </c>
      <c r="G4475" t="s">
        <v>3890</v>
      </c>
      <c r="H4475" t="s">
        <v>109</v>
      </c>
      <c r="I4475" t="s">
        <v>108</v>
      </c>
      <c r="J4475">
        <v>2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</row>
    <row r="4476" spans="2:30" x14ac:dyDescent="0.25">
      <c r="B4476" t="s">
        <v>133</v>
      </c>
      <c r="C4476" t="s">
        <v>3265</v>
      </c>
      <c r="D4476" t="s">
        <v>5618</v>
      </c>
      <c r="E4476" t="s">
        <v>5619</v>
      </c>
      <c r="F4476" t="s">
        <v>10055</v>
      </c>
      <c r="G4476" t="s">
        <v>3890</v>
      </c>
      <c r="H4476" t="s">
        <v>109</v>
      </c>
      <c r="I4476" t="s">
        <v>108</v>
      </c>
      <c r="J4476">
        <v>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</row>
    <row r="4477" spans="2:30" x14ac:dyDescent="0.25">
      <c r="B4477" t="s">
        <v>133</v>
      </c>
      <c r="C4477" t="s">
        <v>3265</v>
      </c>
      <c r="D4477" t="s">
        <v>5621</v>
      </c>
      <c r="E4477" t="s">
        <v>5622</v>
      </c>
      <c r="F4477" t="s">
        <v>10056</v>
      </c>
      <c r="G4477" t="s">
        <v>3890</v>
      </c>
      <c r="H4477" t="s">
        <v>109</v>
      </c>
      <c r="I4477" t="s">
        <v>108</v>
      </c>
      <c r="J4477">
        <v>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</row>
    <row r="4478" spans="2:30" x14ac:dyDescent="0.25">
      <c r="B4478" t="s">
        <v>133</v>
      </c>
      <c r="C4478" t="s">
        <v>3265</v>
      </c>
      <c r="D4478" t="s">
        <v>5624</v>
      </c>
      <c r="E4478" t="s">
        <v>5625</v>
      </c>
      <c r="F4478" t="s">
        <v>10057</v>
      </c>
      <c r="G4478" t="s">
        <v>3890</v>
      </c>
      <c r="H4478" t="s">
        <v>109</v>
      </c>
      <c r="I4478" t="s">
        <v>108</v>
      </c>
      <c r="J4478">
        <v>2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</row>
    <row r="4479" spans="2:30" x14ac:dyDescent="0.25">
      <c r="B4479" t="s">
        <v>133</v>
      </c>
      <c r="C4479" t="s">
        <v>3265</v>
      </c>
      <c r="D4479" t="s">
        <v>5627</v>
      </c>
      <c r="E4479" t="s">
        <v>5628</v>
      </c>
      <c r="F4479" t="s">
        <v>10058</v>
      </c>
      <c r="G4479" t="s">
        <v>3890</v>
      </c>
      <c r="H4479" t="s">
        <v>109</v>
      </c>
      <c r="I4479" t="s">
        <v>108</v>
      </c>
      <c r="J4479">
        <v>2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</row>
    <row r="4480" spans="2:30" x14ac:dyDescent="0.25">
      <c r="B4480" t="s">
        <v>133</v>
      </c>
      <c r="C4480" t="s">
        <v>3265</v>
      </c>
      <c r="D4480" t="s">
        <v>5630</v>
      </c>
      <c r="E4480" t="s">
        <v>5631</v>
      </c>
      <c r="F4480" t="s">
        <v>10059</v>
      </c>
      <c r="G4480" t="s">
        <v>3890</v>
      </c>
      <c r="H4480" t="s">
        <v>109</v>
      </c>
      <c r="I4480" t="s">
        <v>108</v>
      </c>
      <c r="J4480">
        <v>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</row>
    <row r="4481" spans="2:30" x14ac:dyDescent="0.25">
      <c r="B4481" t="s">
        <v>133</v>
      </c>
      <c r="C4481" t="s">
        <v>3265</v>
      </c>
      <c r="D4481" t="s">
        <v>5633</v>
      </c>
      <c r="E4481" t="s">
        <v>5634</v>
      </c>
      <c r="F4481" t="s">
        <v>10060</v>
      </c>
      <c r="G4481" t="s">
        <v>3890</v>
      </c>
      <c r="H4481" t="s">
        <v>109</v>
      </c>
      <c r="I4481" t="s">
        <v>108</v>
      </c>
      <c r="J4481">
        <v>2</v>
      </c>
      <c r="K4481">
        <v>271.34100000000001</v>
      </c>
      <c r="L4481">
        <v>251.108</v>
      </c>
      <c r="M4481">
        <v>298.85899999999998</v>
      </c>
      <c r="N4481">
        <v>395.57299999999998</v>
      </c>
      <c r="O4481">
        <v>406.19900000000001</v>
      </c>
      <c r="P4481">
        <v>418.90199999999999</v>
      </c>
      <c r="Q4481">
        <v>434.16399999999999</v>
      </c>
      <c r="R4481">
        <v>448.73599999999999</v>
      </c>
      <c r="S4481">
        <v>462.28500000000003</v>
      </c>
      <c r="T4481">
        <v>475.94</v>
      </c>
      <c r="U4481">
        <v>489.74400000000003</v>
      </c>
      <c r="V4481">
        <v>503.68400000000003</v>
      </c>
      <c r="W4481">
        <v>517.76599999999996</v>
      </c>
      <c r="X4481">
        <v>532.01099999999997</v>
      </c>
      <c r="Y4481">
        <v>546.44799999999998</v>
      </c>
      <c r="Z4481">
        <v>561.1</v>
      </c>
      <c r="AA4481">
        <v>576.08500000000004</v>
      </c>
      <c r="AB4481">
        <v>591.46100000000001</v>
      </c>
      <c r="AC4481">
        <v>607.31399999999996</v>
      </c>
      <c r="AD4481">
        <v>623.66300000000001</v>
      </c>
    </row>
    <row r="4482" spans="2:30" x14ac:dyDescent="0.25">
      <c r="B4482" t="s">
        <v>133</v>
      </c>
      <c r="C4482" t="s">
        <v>3265</v>
      </c>
      <c r="D4482" t="s">
        <v>5636</v>
      </c>
      <c r="E4482" t="s">
        <v>5637</v>
      </c>
      <c r="F4482" t="s">
        <v>10061</v>
      </c>
      <c r="G4482" t="s">
        <v>3890</v>
      </c>
      <c r="H4482" t="s">
        <v>109</v>
      </c>
      <c r="I4482" t="s">
        <v>108</v>
      </c>
      <c r="J4482">
        <v>2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</row>
    <row r="4483" spans="2:30" x14ac:dyDescent="0.25">
      <c r="B4483" t="s">
        <v>133</v>
      </c>
      <c r="C4483" t="s">
        <v>3265</v>
      </c>
      <c r="D4483" t="s">
        <v>5639</v>
      </c>
      <c r="E4483" t="s">
        <v>5640</v>
      </c>
      <c r="F4483" t="s">
        <v>10062</v>
      </c>
      <c r="G4483" t="s">
        <v>3890</v>
      </c>
      <c r="H4483" t="s">
        <v>109</v>
      </c>
      <c r="I4483" t="s">
        <v>108</v>
      </c>
      <c r="J4483">
        <v>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</row>
    <row r="4484" spans="2:30" x14ac:dyDescent="0.25">
      <c r="B4484" t="s">
        <v>133</v>
      </c>
      <c r="C4484" t="s">
        <v>3265</v>
      </c>
      <c r="D4484" t="s">
        <v>5642</v>
      </c>
      <c r="E4484" t="s">
        <v>5643</v>
      </c>
      <c r="F4484" t="s">
        <v>10063</v>
      </c>
      <c r="G4484" t="s">
        <v>3890</v>
      </c>
      <c r="H4484" t="s">
        <v>109</v>
      </c>
      <c r="I4484" t="s">
        <v>108</v>
      </c>
      <c r="J4484">
        <v>2</v>
      </c>
      <c r="K4484">
        <v>271.34100000000001</v>
      </c>
      <c r="L4484">
        <v>251.108</v>
      </c>
      <c r="M4484">
        <v>298.85899999999998</v>
      </c>
      <c r="N4484">
        <v>395.57299999999998</v>
      </c>
      <c r="O4484">
        <v>406.19900000000001</v>
      </c>
      <c r="P4484">
        <v>418.90199999999999</v>
      </c>
      <c r="Q4484">
        <v>434.16399999999999</v>
      </c>
      <c r="R4484">
        <v>448.73599999999999</v>
      </c>
      <c r="S4484">
        <v>462.28500000000003</v>
      </c>
      <c r="T4484">
        <v>475.94</v>
      </c>
      <c r="U4484">
        <v>489.74400000000003</v>
      </c>
      <c r="V4484">
        <v>503.68400000000003</v>
      </c>
      <c r="W4484">
        <v>517.76599999999996</v>
      </c>
      <c r="X4484">
        <v>532.01099999999997</v>
      </c>
      <c r="Y4484">
        <v>546.44799999999998</v>
      </c>
      <c r="Z4484">
        <v>561.1</v>
      </c>
      <c r="AA4484">
        <v>576.08500000000004</v>
      </c>
      <c r="AB4484">
        <v>591.46100000000001</v>
      </c>
      <c r="AC4484">
        <v>607.31399999999996</v>
      </c>
      <c r="AD4484">
        <v>623.66300000000001</v>
      </c>
    </row>
    <row r="4485" spans="2:30" x14ac:dyDescent="0.25">
      <c r="B4485" t="s">
        <v>133</v>
      </c>
      <c r="C4485" t="s">
        <v>3265</v>
      </c>
      <c r="D4485" t="s">
        <v>5645</v>
      </c>
      <c r="E4485" t="s">
        <v>5646</v>
      </c>
      <c r="F4485" t="s">
        <v>10064</v>
      </c>
      <c r="G4485" t="s">
        <v>3890</v>
      </c>
      <c r="H4485" t="s">
        <v>109</v>
      </c>
      <c r="I4485" t="s">
        <v>108</v>
      </c>
      <c r="J4485">
        <v>2</v>
      </c>
      <c r="K4485">
        <v>18833.804</v>
      </c>
      <c r="L4485">
        <v>18487.669999999998</v>
      </c>
      <c r="M4485">
        <v>18167.267</v>
      </c>
      <c r="N4485">
        <v>17610.09</v>
      </c>
      <c r="O4485">
        <v>18357.896000000001</v>
      </c>
      <c r="P4485">
        <v>20049.828000000001</v>
      </c>
      <c r="Q4485">
        <v>21899.559000000001</v>
      </c>
      <c r="R4485">
        <v>23909.62</v>
      </c>
      <c r="S4485">
        <v>26310.384999999998</v>
      </c>
      <c r="T4485">
        <v>29170.78</v>
      </c>
      <c r="U4485">
        <v>32312.717000000001</v>
      </c>
      <c r="V4485">
        <v>35741.254999999997</v>
      </c>
      <c r="W4485">
        <v>39441.983</v>
      </c>
      <c r="X4485">
        <v>43434.192999999999</v>
      </c>
      <c r="Y4485">
        <v>47716.713000000003</v>
      </c>
      <c r="Z4485">
        <v>52352.19</v>
      </c>
      <c r="AA4485">
        <v>57361.21</v>
      </c>
      <c r="AB4485">
        <v>62786.243999999999</v>
      </c>
      <c r="AC4485">
        <v>68656.566000000006</v>
      </c>
      <c r="AD4485">
        <v>74865.494999999995</v>
      </c>
    </row>
    <row r="4486" spans="2:30" x14ac:dyDescent="0.25">
      <c r="B4486" t="s">
        <v>133</v>
      </c>
      <c r="C4486" t="s">
        <v>3265</v>
      </c>
      <c r="D4486" t="s">
        <v>5648</v>
      </c>
      <c r="E4486">
        <v>0</v>
      </c>
      <c r="F4486" t="s">
        <v>10037</v>
      </c>
      <c r="G4486" t="s">
        <v>3890</v>
      </c>
      <c r="H4486" t="s">
        <v>109</v>
      </c>
      <c r="I4486" t="s">
        <v>108</v>
      </c>
      <c r="J4486">
        <v>2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</row>
    <row r="4487" spans="2:30" x14ac:dyDescent="0.25">
      <c r="B4487" t="s">
        <v>133</v>
      </c>
      <c r="C4487" t="s">
        <v>3265</v>
      </c>
      <c r="D4487" t="s">
        <v>5649</v>
      </c>
      <c r="E4487">
        <v>0</v>
      </c>
      <c r="F4487" t="s">
        <v>10037</v>
      </c>
      <c r="G4487" t="s">
        <v>3890</v>
      </c>
      <c r="H4487" t="s">
        <v>109</v>
      </c>
      <c r="I4487" t="s">
        <v>108</v>
      </c>
      <c r="J4487">
        <v>2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</row>
    <row r="4488" spans="2:30" x14ac:dyDescent="0.25">
      <c r="B4488" t="s">
        <v>133</v>
      </c>
      <c r="C4488" t="s">
        <v>3265</v>
      </c>
      <c r="D4488" t="s">
        <v>5650</v>
      </c>
      <c r="E4488" t="s">
        <v>5646</v>
      </c>
      <c r="F4488" t="s">
        <v>10064</v>
      </c>
      <c r="G4488" t="s">
        <v>3890</v>
      </c>
      <c r="H4488" t="s">
        <v>109</v>
      </c>
      <c r="I4488" t="s">
        <v>108</v>
      </c>
      <c r="J4488">
        <v>2</v>
      </c>
      <c r="K4488">
        <v>18833.804</v>
      </c>
      <c r="L4488">
        <v>18487.669999999998</v>
      </c>
      <c r="M4488">
        <v>18167.267</v>
      </c>
      <c r="N4488">
        <v>17610.09</v>
      </c>
      <c r="O4488">
        <v>18357.896000000001</v>
      </c>
      <c r="P4488">
        <v>20049.828000000001</v>
      </c>
      <c r="Q4488">
        <v>21899.559000000001</v>
      </c>
      <c r="R4488">
        <v>23909.62</v>
      </c>
      <c r="S4488">
        <v>26310.384999999998</v>
      </c>
      <c r="T4488">
        <v>29170.78</v>
      </c>
      <c r="U4488">
        <v>32312.717000000001</v>
      </c>
      <c r="V4488">
        <v>35741.254999999997</v>
      </c>
      <c r="W4488">
        <v>39441.983</v>
      </c>
      <c r="X4488">
        <v>43434.192999999999</v>
      </c>
      <c r="Y4488">
        <v>47716.713000000003</v>
      </c>
      <c r="Z4488">
        <v>52352.19</v>
      </c>
      <c r="AA4488">
        <v>57361.21</v>
      </c>
      <c r="AB4488">
        <v>62786.243999999999</v>
      </c>
      <c r="AC4488">
        <v>68656.566000000006</v>
      </c>
      <c r="AD4488">
        <v>74865.494999999995</v>
      </c>
    </row>
    <row r="4489" spans="2:30" x14ac:dyDescent="0.25">
      <c r="B4489" t="s">
        <v>133</v>
      </c>
      <c r="C4489" t="s">
        <v>3265</v>
      </c>
      <c r="D4489" t="s">
        <v>5651</v>
      </c>
      <c r="E4489">
        <v>0</v>
      </c>
      <c r="F4489" t="s">
        <v>10037</v>
      </c>
      <c r="G4489" t="s">
        <v>3890</v>
      </c>
      <c r="H4489" t="s">
        <v>109</v>
      </c>
      <c r="I4489" t="s">
        <v>108</v>
      </c>
      <c r="J4489">
        <v>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</row>
    <row r="4490" spans="2:30" x14ac:dyDescent="0.25">
      <c r="B4490" t="s">
        <v>133</v>
      </c>
      <c r="C4490" t="s">
        <v>3265</v>
      </c>
      <c r="D4490" t="s">
        <v>5652</v>
      </c>
      <c r="E4490">
        <v>0</v>
      </c>
      <c r="F4490" t="s">
        <v>10037</v>
      </c>
      <c r="G4490" t="s">
        <v>3890</v>
      </c>
      <c r="H4490" t="s">
        <v>109</v>
      </c>
      <c r="I4490" t="s">
        <v>108</v>
      </c>
      <c r="J4490">
        <v>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</row>
    <row r="4491" spans="2:30" x14ac:dyDescent="0.25">
      <c r="B4491" t="s">
        <v>133</v>
      </c>
      <c r="C4491" t="s">
        <v>3265</v>
      </c>
      <c r="D4491" t="s">
        <v>5653</v>
      </c>
      <c r="E4491" t="s">
        <v>38</v>
      </c>
      <c r="F4491" t="s">
        <v>10044</v>
      </c>
      <c r="G4491" t="s">
        <v>3890</v>
      </c>
      <c r="H4491" t="s">
        <v>109</v>
      </c>
      <c r="I4491" t="s">
        <v>108</v>
      </c>
      <c r="J4491">
        <v>2</v>
      </c>
      <c r="K4491">
        <v>2022</v>
      </c>
      <c r="L4491">
        <v>2023</v>
      </c>
      <c r="M4491">
        <v>2024</v>
      </c>
      <c r="N4491">
        <v>2025</v>
      </c>
      <c r="O4491">
        <v>2026</v>
      </c>
      <c r="P4491">
        <v>2027</v>
      </c>
      <c r="Q4491">
        <v>2028</v>
      </c>
      <c r="R4491">
        <v>2029</v>
      </c>
      <c r="S4491">
        <v>2030</v>
      </c>
      <c r="T4491">
        <v>2031</v>
      </c>
      <c r="U4491">
        <v>2032</v>
      </c>
      <c r="V4491">
        <v>2033</v>
      </c>
      <c r="W4491">
        <v>2034</v>
      </c>
      <c r="X4491">
        <v>2035</v>
      </c>
      <c r="Y4491">
        <v>2036</v>
      </c>
      <c r="Z4491">
        <v>2037</v>
      </c>
      <c r="AA4491">
        <v>2038</v>
      </c>
      <c r="AB4491">
        <v>2039</v>
      </c>
      <c r="AC4491">
        <v>2040</v>
      </c>
      <c r="AD4491">
        <v>2041</v>
      </c>
    </row>
    <row r="4492" spans="2:30" x14ac:dyDescent="0.25">
      <c r="B4492" t="s">
        <v>133</v>
      </c>
      <c r="C4492" t="s">
        <v>3265</v>
      </c>
      <c r="D4492" t="s">
        <v>5654</v>
      </c>
      <c r="E4492">
        <v>0</v>
      </c>
      <c r="F4492" t="s">
        <v>10037</v>
      </c>
      <c r="G4492" t="s">
        <v>3890</v>
      </c>
      <c r="H4492" t="s">
        <v>109</v>
      </c>
      <c r="I4492" t="s">
        <v>108</v>
      </c>
      <c r="J4492">
        <v>2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</row>
    <row r="4493" spans="2:30" x14ac:dyDescent="0.25">
      <c r="B4493" t="s">
        <v>133</v>
      </c>
      <c r="C4493" t="s">
        <v>3265</v>
      </c>
      <c r="D4493" t="s">
        <v>5655</v>
      </c>
      <c r="E4493" t="s">
        <v>5656</v>
      </c>
      <c r="F4493" t="s">
        <v>10065</v>
      </c>
      <c r="G4493" t="s">
        <v>3890</v>
      </c>
      <c r="H4493" t="s">
        <v>109</v>
      </c>
      <c r="I4493" t="s">
        <v>108</v>
      </c>
      <c r="J4493">
        <v>2</v>
      </c>
      <c r="K4493">
        <v>23.399000000000001</v>
      </c>
      <c r="L4493">
        <v>15.864000000000001</v>
      </c>
      <c r="M4493">
        <v>14.744</v>
      </c>
      <c r="N4493">
        <v>13.651999999999999</v>
      </c>
      <c r="O4493">
        <v>13.680999999999999</v>
      </c>
      <c r="P4493">
        <v>13.768000000000001</v>
      </c>
      <c r="Q4493">
        <v>13.727</v>
      </c>
      <c r="R4493">
        <v>13.683</v>
      </c>
      <c r="S4493">
        <v>13.635999999999999</v>
      </c>
      <c r="T4493">
        <v>13.59</v>
      </c>
      <c r="U4493">
        <v>13.59</v>
      </c>
      <c r="V4493">
        <v>13.59</v>
      </c>
      <c r="W4493">
        <v>13.59</v>
      </c>
      <c r="X4493">
        <v>13.59</v>
      </c>
      <c r="Y4493">
        <v>13.59</v>
      </c>
      <c r="Z4493">
        <v>13.59</v>
      </c>
      <c r="AA4493">
        <v>13.59</v>
      </c>
      <c r="AB4493">
        <v>13.59</v>
      </c>
      <c r="AC4493">
        <v>13.59</v>
      </c>
      <c r="AD4493">
        <v>13.59</v>
      </c>
    </row>
    <row r="4494" spans="2:30" x14ac:dyDescent="0.25">
      <c r="B4494" t="s">
        <v>133</v>
      </c>
      <c r="C4494" t="s">
        <v>3265</v>
      </c>
      <c r="D4494" t="s">
        <v>5658</v>
      </c>
      <c r="E4494">
        <v>0</v>
      </c>
      <c r="F4494" t="s">
        <v>10037</v>
      </c>
      <c r="G4494" t="s">
        <v>3890</v>
      </c>
      <c r="H4494" t="s">
        <v>109</v>
      </c>
      <c r="I4494" t="s">
        <v>108</v>
      </c>
      <c r="J4494">
        <v>2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</row>
    <row r="4495" spans="2:30" x14ac:dyDescent="0.25">
      <c r="B4495" t="s">
        <v>133</v>
      </c>
      <c r="C4495" t="s">
        <v>3265</v>
      </c>
      <c r="D4495" t="s">
        <v>5659</v>
      </c>
      <c r="E4495">
        <v>0</v>
      </c>
      <c r="F4495" t="s">
        <v>10037</v>
      </c>
      <c r="G4495" t="s">
        <v>3890</v>
      </c>
      <c r="H4495" t="s">
        <v>109</v>
      </c>
      <c r="I4495" t="s">
        <v>108</v>
      </c>
      <c r="J4495">
        <v>2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</row>
    <row r="4496" spans="2:30" x14ac:dyDescent="0.25">
      <c r="B4496" t="s">
        <v>133</v>
      </c>
      <c r="C4496" t="s">
        <v>3265</v>
      </c>
      <c r="D4496" t="s">
        <v>5660</v>
      </c>
      <c r="E4496">
        <v>0</v>
      </c>
      <c r="F4496" t="s">
        <v>10037</v>
      </c>
      <c r="G4496" t="s">
        <v>3890</v>
      </c>
      <c r="H4496" t="s">
        <v>109</v>
      </c>
      <c r="I4496" t="s">
        <v>108</v>
      </c>
      <c r="J4496">
        <v>2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</row>
    <row r="4497" spans="2:30" x14ac:dyDescent="0.25">
      <c r="B4497" t="s">
        <v>133</v>
      </c>
      <c r="C4497" t="s">
        <v>3265</v>
      </c>
      <c r="D4497" t="s">
        <v>5661</v>
      </c>
      <c r="E4497">
        <v>0</v>
      </c>
      <c r="F4497" t="s">
        <v>10037</v>
      </c>
      <c r="G4497" t="s">
        <v>3890</v>
      </c>
      <c r="H4497" t="s">
        <v>109</v>
      </c>
      <c r="I4497" t="s">
        <v>108</v>
      </c>
      <c r="J4497">
        <v>2</v>
      </c>
      <c r="K4497">
        <v>0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</row>
    <row r="4498" spans="2:30" x14ac:dyDescent="0.25">
      <c r="B4498" t="s">
        <v>133</v>
      </c>
      <c r="C4498" t="s">
        <v>3265</v>
      </c>
      <c r="D4498" t="s">
        <v>5662</v>
      </c>
      <c r="E4498">
        <v>0</v>
      </c>
      <c r="F4498" t="s">
        <v>10037</v>
      </c>
      <c r="G4498" t="s">
        <v>3890</v>
      </c>
      <c r="H4498" t="s">
        <v>109</v>
      </c>
      <c r="I4498" t="s">
        <v>108</v>
      </c>
      <c r="J4498">
        <v>2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</row>
    <row r="4499" spans="2:30" x14ac:dyDescent="0.25">
      <c r="B4499" t="s">
        <v>133</v>
      </c>
      <c r="C4499" t="s">
        <v>3265</v>
      </c>
      <c r="D4499" t="s">
        <v>5663</v>
      </c>
      <c r="E4499">
        <v>0</v>
      </c>
      <c r="F4499" t="s">
        <v>10037</v>
      </c>
      <c r="G4499" t="s">
        <v>3890</v>
      </c>
      <c r="H4499" t="s">
        <v>109</v>
      </c>
      <c r="I4499" t="s">
        <v>108</v>
      </c>
      <c r="J4499">
        <v>2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</row>
    <row r="4500" spans="2:30" x14ac:dyDescent="0.25">
      <c r="B4500" t="s">
        <v>133</v>
      </c>
      <c r="C4500" t="s">
        <v>3265</v>
      </c>
      <c r="D4500" t="s">
        <v>5664</v>
      </c>
      <c r="E4500">
        <v>0</v>
      </c>
      <c r="F4500" t="s">
        <v>10037</v>
      </c>
      <c r="G4500" t="s">
        <v>3890</v>
      </c>
      <c r="H4500" t="s">
        <v>109</v>
      </c>
      <c r="I4500" t="s">
        <v>108</v>
      </c>
      <c r="J4500">
        <v>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</row>
    <row r="4501" spans="2:30" x14ac:dyDescent="0.25">
      <c r="B4501" t="s">
        <v>133</v>
      </c>
      <c r="C4501" t="s">
        <v>3265</v>
      </c>
      <c r="D4501" t="s">
        <v>5665</v>
      </c>
      <c r="E4501">
        <v>0</v>
      </c>
      <c r="F4501" t="s">
        <v>10037</v>
      </c>
      <c r="G4501" t="s">
        <v>3890</v>
      </c>
      <c r="H4501" t="s">
        <v>109</v>
      </c>
      <c r="I4501" t="s">
        <v>108</v>
      </c>
      <c r="J4501">
        <v>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</row>
    <row r="4502" spans="2:30" x14ac:dyDescent="0.25">
      <c r="B4502" t="s">
        <v>133</v>
      </c>
      <c r="C4502" t="s">
        <v>3265</v>
      </c>
      <c r="D4502" t="s">
        <v>5666</v>
      </c>
      <c r="E4502">
        <v>0</v>
      </c>
      <c r="F4502" t="s">
        <v>10037</v>
      </c>
      <c r="G4502" t="s">
        <v>3890</v>
      </c>
      <c r="H4502" t="s">
        <v>109</v>
      </c>
      <c r="I4502" t="s">
        <v>108</v>
      </c>
      <c r="J4502">
        <v>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</row>
    <row r="4503" spans="2:30" x14ac:dyDescent="0.25">
      <c r="B4503" t="s">
        <v>133</v>
      </c>
      <c r="C4503" t="s">
        <v>3265</v>
      </c>
      <c r="D4503" t="s">
        <v>5667</v>
      </c>
      <c r="E4503">
        <v>0</v>
      </c>
      <c r="F4503" t="s">
        <v>10037</v>
      </c>
      <c r="G4503" t="s">
        <v>3890</v>
      </c>
      <c r="H4503" t="s">
        <v>109</v>
      </c>
      <c r="I4503" t="s">
        <v>108</v>
      </c>
      <c r="J4503">
        <v>2</v>
      </c>
      <c r="K4503">
        <v>0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1</v>
      </c>
      <c r="AA4503">
        <v>1</v>
      </c>
      <c r="AB4503">
        <v>1</v>
      </c>
      <c r="AC4503">
        <v>1</v>
      </c>
      <c r="AD4503">
        <v>1</v>
      </c>
    </row>
    <row r="4504" spans="2:30" x14ac:dyDescent="0.25">
      <c r="B4504" t="s">
        <v>133</v>
      </c>
      <c r="C4504" t="s">
        <v>3265</v>
      </c>
      <c r="D4504" t="s">
        <v>5668</v>
      </c>
      <c r="E4504" t="s">
        <v>5669</v>
      </c>
      <c r="F4504" t="s">
        <v>10066</v>
      </c>
      <c r="G4504" t="s">
        <v>3890</v>
      </c>
      <c r="H4504" t="s">
        <v>109</v>
      </c>
      <c r="I4504" t="s">
        <v>108</v>
      </c>
      <c r="J4504">
        <v>2</v>
      </c>
      <c r="K4504">
        <v>33.051000000000002</v>
      </c>
      <c r="L4504">
        <v>26.300999999999998</v>
      </c>
      <c r="M4504">
        <v>23.175999999999998</v>
      </c>
      <c r="N4504">
        <v>15</v>
      </c>
      <c r="O4504">
        <v>15</v>
      </c>
      <c r="P4504">
        <v>15</v>
      </c>
      <c r="Q4504">
        <v>15</v>
      </c>
      <c r="R4504">
        <v>15</v>
      </c>
      <c r="S4504">
        <v>15</v>
      </c>
      <c r="T4504">
        <v>15</v>
      </c>
      <c r="U4504">
        <v>15</v>
      </c>
      <c r="V4504">
        <v>15</v>
      </c>
      <c r="W4504">
        <v>15</v>
      </c>
      <c r="X4504">
        <v>15</v>
      </c>
      <c r="Y4504">
        <v>15</v>
      </c>
      <c r="Z4504">
        <v>15</v>
      </c>
      <c r="AA4504">
        <v>15</v>
      </c>
      <c r="AB4504">
        <v>15</v>
      </c>
      <c r="AC4504">
        <v>15</v>
      </c>
      <c r="AD4504">
        <v>15</v>
      </c>
    </row>
    <row r="4505" spans="2:30" x14ac:dyDescent="0.25">
      <c r="B4505" t="s">
        <v>133</v>
      </c>
      <c r="C4505" t="s">
        <v>3265</v>
      </c>
      <c r="D4505" t="s">
        <v>5671</v>
      </c>
      <c r="E4505" t="s">
        <v>5672</v>
      </c>
      <c r="F4505" t="s">
        <v>10067</v>
      </c>
      <c r="G4505" t="s">
        <v>3890</v>
      </c>
      <c r="H4505" t="s">
        <v>109</v>
      </c>
      <c r="I4505" t="s">
        <v>108</v>
      </c>
      <c r="J4505">
        <v>2</v>
      </c>
      <c r="K4505">
        <v>14.471</v>
      </c>
      <c r="L4505">
        <v>14.471</v>
      </c>
      <c r="M4505">
        <v>14.476000000000001</v>
      </c>
      <c r="N4505">
        <v>14.476000000000001</v>
      </c>
      <c r="O4505">
        <v>14.476000000000001</v>
      </c>
      <c r="P4505">
        <v>14.476000000000001</v>
      </c>
      <c r="Q4505">
        <v>14.476000000000001</v>
      </c>
      <c r="R4505">
        <v>14.476000000000001</v>
      </c>
      <c r="S4505">
        <v>14.476000000000001</v>
      </c>
      <c r="T4505">
        <v>14.476000000000001</v>
      </c>
      <c r="U4505">
        <v>14.476000000000001</v>
      </c>
      <c r="V4505">
        <v>14.476000000000001</v>
      </c>
      <c r="W4505">
        <v>14.476000000000001</v>
      </c>
      <c r="X4505">
        <v>14.476000000000001</v>
      </c>
      <c r="Y4505">
        <v>14.476000000000001</v>
      </c>
      <c r="Z4505">
        <v>14.476000000000001</v>
      </c>
      <c r="AA4505">
        <v>14.476000000000001</v>
      </c>
      <c r="AB4505">
        <v>14.476000000000001</v>
      </c>
      <c r="AC4505">
        <v>14.476000000000001</v>
      </c>
      <c r="AD4505">
        <v>14.476000000000001</v>
      </c>
    </row>
    <row r="4506" spans="2:30" x14ac:dyDescent="0.25">
      <c r="B4506" t="s">
        <v>133</v>
      </c>
      <c r="C4506" t="s">
        <v>3265</v>
      </c>
      <c r="D4506" t="s">
        <v>5674</v>
      </c>
      <c r="E4506" t="s">
        <v>5675</v>
      </c>
      <c r="F4506" t="s">
        <v>10068</v>
      </c>
      <c r="G4506" t="s">
        <v>3890</v>
      </c>
      <c r="H4506" t="s">
        <v>109</v>
      </c>
      <c r="I4506" t="s">
        <v>108</v>
      </c>
      <c r="J4506">
        <v>2</v>
      </c>
      <c r="K4506">
        <v>0.14299999999999999</v>
      </c>
      <c r="L4506">
        <v>0.13800000000000001</v>
      </c>
      <c r="M4506">
        <v>0.13200000000000001</v>
      </c>
      <c r="N4506">
        <v>0.129</v>
      </c>
      <c r="O4506">
        <v>0.127</v>
      </c>
      <c r="P4506">
        <v>0.123</v>
      </c>
      <c r="Q4506">
        <v>0.11899999999999999</v>
      </c>
      <c r="R4506">
        <v>0.115</v>
      </c>
      <c r="S4506">
        <v>0.111</v>
      </c>
      <c r="T4506">
        <v>0.111</v>
      </c>
      <c r="U4506">
        <v>0.111</v>
      </c>
      <c r="V4506">
        <v>0.111</v>
      </c>
      <c r="W4506">
        <v>0.111</v>
      </c>
      <c r="X4506">
        <v>0.11</v>
      </c>
      <c r="Y4506">
        <v>0.109</v>
      </c>
      <c r="Z4506">
        <v>0.108</v>
      </c>
      <c r="AA4506">
        <v>0.107</v>
      </c>
      <c r="AB4506">
        <v>0.105</v>
      </c>
      <c r="AC4506">
        <v>0.10299999999999999</v>
      </c>
      <c r="AD4506">
        <v>0.10100000000000001</v>
      </c>
    </row>
    <row r="4507" spans="2:30" x14ac:dyDescent="0.25">
      <c r="B4507" t="s">
        <v>133</v>
      </c>
      <c r="C4507" t="s">
        <v>3265</v>
      </c>
      <c r="D4507" t="s">
        <v>5677</v>
      </c>
      <c r="E4507">
        <v>0</v>
      </c>
      <c r="F4507" t="s">
        <v>10037</v>
      </c>
      <c r="G4507" t="s">
        <v>3890</v>
      </c>
      <c r="H4507" t="s">
        <v>109</v>
      </c>
      <c r="I4507" t="s">
        <v>108</v>
      </c>
      <c r="J4507">
        <v>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</row>
    <row r="4508" spans="2:30" x14ac:dyDescent="0.25">
      <c r="B4508" t="s">
        <v>133</v>
      </c>
      <c r="C4508" t="s">
        <v>3265</v>
      </c>
      <c r="D4508" t="s">
        <v>5678</v>
      </c>
      <c r="E4508">
        <v>0</v>
      </c>
      <c r="F4508" t="s">
        <v>10037</v>
      </c>
      <c r="G4508" t="s">
        <v>3890</v>
      </c>
      <c r="H4508" t="s">
        <v>109</v>
      </c>
      <c r="I4508" t="s">
        <v>108</v>
      </c>
      <c r="J4508">
        <v>2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</row>
    <row r="4509" spans="2:30" x14ac:dyDescent="0.25">
      <c r="B4509" t="s">
        <v>133</v>
      </c>
      <c r="C4509" t="s">
        <v>3265</v>
      </c>
      <c r="D4509" t="s">
        <v>5679</v>
      </c>
      <c r="E4509" t="s">
        <v>5680</v>
      </c>
      <c r="F4509" t="s">
        <v>10069</v>
      </c>
      <c r="G4509" t="s">
        <v>3890</v>
      </c>
      <c r="H4509" t="s">
        <v>109</v>
      </c>
      <c r="I4509" t="s">
        <v>108</v>
      </c>
      <c r="J4509">
        <v>2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</row>
    <row r="4510" spans="2:30" x14ac:dyDescent="0.25">
      <c r="B4510" t="s">
        <v>133</v>
      </c>
      <c r="C4510" t="s">
        <v>3265</v>
      </c>
      <c r="D4510" t="s">
        <v>5682</v>
      </c>
      <c r="E4510" t="s">
        <v>5683</v>
      </c>
      <c r="F4510" t="s">
        <v>10070</v>
      </c>
      <c r="G4510" t="s">
        <v>3890</v>
      </c>
      <c r="H4510" t="s">
        <v>109</v>
      </c>
      <c r="I4510" t="s">
        <v>108</v>
      </c>
      <c r="J4510">
        <v>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</row>
    <row r="4511" spans="2:30" x14ac:dyDescent="0.25">
      <c r="B4511" t="s">
        <v>133</v>
      </c>
      <c r="C4511" t="s">
        <v>3265</v>
      </c>
      <c r="D4511" t="s">
        <v>5685</v>
      </c>
      <c r="E4511" t="s">
        <v>5686</v>
      </c>
      <c r="F4511" t="s">
        <v>10071</v>
      </c>
      <c r="G4511" t="s">
        <v>3890</v>
      </c>
      <c r="H4511" t="s">
        <v>109</v>
      </c>
      <c r="I4511" t="s">
        <v>108</v>
      </c>
      <c r="J4511">
        <v>2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</row>
    <row r="4512" spans="2:30" x14ac:dyDescent="0.25">
      <c r="B4512" t="s">
        <v>133</v>
      </c>
      <c r="C4512" t="s">
        <v>3265</v>
      </c>
      <c r="D4512" t="s">
        <v>5688</v>
      </c>
      <c r="E4512" t="s">
        <v>5689</v>
      </c>
      <c r="F4512" t="s">
        <v>10072</v>
      </c>
      <c r="G4512" t="s">
        <v>3890</v>
      </c>
      <c r="H4512" t="s">
        <v>109</v>
      </c>
      <c r="I4512" t="s">
        <v>108</v>
      </c>
      <c r="J4512">
        <v>2</v>
      </c>
      <c r="K4512">
        <v>875.27200000000005</v>
      </c>
      <c r="L4512">
        <v>1064.7159999999999</v>
      </c>
      <c r="M4512">
        <v>1332.902</v>
      </c>
      <c r="N4512">
        <v>1360.3309999999999</v>
      </c>
      <c r="O4512">
        <v>1387.0129999999999</v>
      </c>
      <c r="P4512">
        <v>1418.011</v>
      </c>
      <c r="Q4512">
        <v>1454.232</v>
      </c>
      <c r="R4512">
        <v>1488.796</v>
      </c>
      <c r="S4512">
        <v>1521.0740000000001</v>
      </c>
      <c r="T4512">
        <v>1553.4349999999999</v>
      </c>
      <c r="U4512">
        <v>1585.9670000000001</v>
      </c>
      <c r="V4512">
        <v>1618.6510000000001</v>
      </c>
      <c r="W4512">
        <v>1651.5</v>
      </c>
      <c r="X4512">
        <v>1684.558</v>
      </c>
      <c r="Y4512">
        <v>1717.8869999999999</v>
      </c>
      <c r="Z4512">
        <v>1751.5309999999999</v>
      </c>
      <c r="AA4512">
        <v>1785.7149999999999</v>
      </c>
      <c r="AB4512">
        <v>1820.5509999999999</v>
      </c>
      <c r="AC4512">
        <v>1856.193</v>
      </c>
      <c r="AD4512">
        <v>1892.6679999999999</v>
      </c>
    </row>
    <row r="4513" spans="2:30" x14ac:dyDescent="0.25">
      <c r="B4513" t="s">
        <v>133</v>
      </c>
      <c r="C4513" t="s">
        <v>3265</v>
      </c>
      <c r="D4513" t="s">
        <v>5691</v>
      </c>
      <c r="E4513" t="s">
        <v>5692</v>
      </c>
      <c r="F4513" t="s">
        <v>10073</v>
      </c>
      <c r="G4513" t="s">
        <v>3890</v>
      </c>
      <c r="H4513" t="s">
        <v>109</v>
      </c>
      <c r="I4513" t="s">
        <v>108</v>
      </c>
      <c r="J4513">
        <v>2</v>
      </c>
      <c r="K4513">
        <v>33.051000000000002</v>
      </c>
      <c r="L4513">
        <v>26.300999999999998</v>
      </c>
      <c r="M4513">
        <v>23.175999999999998</v>
      </c>
      <c r="N4513">
        <v>15</v>
      </c>
      <c r="O4513">
        <v>15</v>
      </c>
      <c r="P4513">
        <v>15</v>
      </c>
      <c r="Q4513">
        <v>15</v>
      </c>
      <c r="R4513">
        <v>15</v>
      </c>
      <c r="S4513">
        <v>15</v>
      </c>
      <c r="T4513">
        <v>15</v>
      </c>
      <c r="U4513">
        <v>15</v>
      </c>
      <c r="V4513">
        <v>15</v>
      </c>
      <c r="W4513">
        <v>15</v>
      </c>
      <c r="X4513">
        <v>15</v>
      </c>
      <c r="Y4513">
        <v>15</v>
      </c>
      <c r="Z4513">
        <v>15</v>
      </c>
      <c r="AA4513">
        <v>15</v>
      </c>
      <c r="AB4513">
        <v>15</v>
      </c>
      <c r="AC4513">
        <v>15</v>
      </c>
      <c r="AD4513">
        <v>15</v>
      </c>
    </row>
    <row r="4514" spans="2:30" x14ac:dyDescent="0.25">
      <c r="B4514" t="s">
        <v>133</v>
      </c>
      <c r="C4514" t="s">
        <v>3265</v>
      </c>
      <c r="D4514" t="s">
        <v>5694</v>
      </c>
      <c r="E4514" t="s">
        <v>5695</v>
      </c>
      <c r="F4514" t="s">
        <v>10074</v>
      </c>
      <c r="G4514" t="s">
        <v>3890</v>
      </c>
      <c r="H4514" t="s">
        <v>109</v>
      </c>
      <c r="I4514" t="s">
        <v>108</v>
      </c>
      <c r="J4514">
        <v>2</v>
      </c>
      <c r="K4514">
        <v>14.471</v>
      </c>
      <c r="L4514">
        <v>14.471</v>
      </c>
      <c r="M4514">
        <v>14.476000000000001</v>
      </c>
      <c r="N4514">
        <v>14.476000000000001</v>
      </c>
      <c r="O4514">
        <v>14.476000000000001</v>
      </c>
      <c r="P4514">
        <v>14.476000000000001</v>
      </c>
      <c r="Q4514">
        <v>14.476000000000001</v>
      </c>
      <c r="R4514">
        <v>14.476000000000001</v>
      </c>
      <c r="S4514">
        <v>14.476000000000001</v>
      </c>
      <c r="T4514">
        <v>14.476000000000001</v>
      </c>
      <c r="U4514">
        <v>14.476000000000001</v>
      </c>
      <c r="V4514">
        <v>14.476000000000001</v>
      </c>
      <c r="W4514">
        <v>14.476000000000001</v>
      </c>
      <c r="X4514">
        <v>14.476000000000001</v>
      </c>
      <c r="Y4514">
        <v>14.476000000000001</v>
      </c>
      <c r="Z4514">
        <v>14.476000000000001</v>
      </c>
      <c r="AA4514">
        <v>14.476000000000001</v>
      </c>
      <c r="AB4514">
        <v>14.476000000000001</v>
      </c>
      <c r="AC4514">
        <v>14.476000000000001</v>
      </c>
      <c r="AD4514">
        <v>14.476000000000001</v>
      </c>
    </row>
    <row r="4515" spans="2:30" x14ac:dyDescent="0.25">
      <c r="B4515" t="s">
        <v>133</v>
      </c>
      <c r="C4515" t="s">
        <v>3265</v>
      </c>
      <c r="D4515" t="s">
        <v>5697</v>
      </c>
      <c r="E4515" t="s">
        <v>5698</v>
      </c>
      <c r="F4515" t="s">
        <v>10075</v>
      </c>
      <c r="G4515" t="s">
        <v>3890</v>
      </c>
      <c r="H4515" t="s">
        <v>109</v>
      </c>
      <c r="I4515" t="s">
        <v>108</v>
      </c>
      <c r="J4515">
        <v>2</v>
      </c>
      <c r="K4515">
        <v>0.14299999999999999</v>
      </c>
      <c r="L4515">
        <v>0.13800000000000001</v>
      </c>
      <c r="M4515">
        <v>0.13200000000000001</v>
      </c>
      <c r="N4515">
        <v>0.129</v>
      </c>
      <c r="O4515">
        <v>0.127</v>
      </c>
      <c r="P4515">
        <v>0.123</v>
      </c>
      <c r="Q4515">
        <v>0.11899999999999999</v>
      </c>
      <c r="R4515">
        <v>0.115</v>
      </c>
      <c r="S4515">
        <v>0.111</v>
      </c>
      <c r="T4515">
        <v>0.111</v>
      </c>
      <c r="U4515">
        <v>0.111</v>
      </c>
      <c r="V4515">
        <v>0.111</v>
      </c>
      <c r="W4515">
        <v>0.111</v>
      </c>
      <c r="X4515">
        <v>0.11</v>
      </c>
      <c r="Y4515">
        <v>0.109</v>
      </c>
      <c r="Z4515">
        <v>0.108</v>
      </c>
      <c r="AA4515">
        <v>0.107</v>
      </c>
      <c r="AB4515">
        <v>0.105</v>
      </c>
      <c r="AC4515">
        <v>0.10299999999999999</v>
      </c>
      <c r="AD4515">
        <v>0.10100000000000001</v>
      </c>
    </row>
    <row r="4516" spans="2:30" x14ac:dyDescent="0.25">
      <c r="B4516" t="s">
        <v>133</v>
      </c>
      <c r="C4516" t="s">
        <v>3265</v>
      </c>
      <c r="D4516" t="s">
        <v>5700</v>
      </c>
      <c r="E4516">
        <v>0</v>
      </c>
      <c r="F4516" t="s">
        <v>10037</v>
      </c>
      <c r="G4516" t="s">
        <v>3890</v>
      </c>
      <c r="H4516" t="s">
        <v>109</v>
      </c>
      <c r="I4516" t="s">
        <v>108</v>
      </c>
      <c r="J4516">
        <v>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</row>
    <row r="4517" spans="2:30" x14ac:dyDescent="0.25">
      <c r="B4517" t="s">
        <v>133</v>
      </c>
      <c r="C4517" t="s">
        <v>3265</v>
      </c>
      <c r="D4517" t="s">
        <v>5701</v>
      </c>
      <c r="E4517">
        <v>0</v>
      </c>
      <c r="F4517" t="s">
        <v>10037</v>
      </c>
      <c r="G4517" t="s">
        <v>3890</v>
      </c>
      <c r="H4517" t="s">
        <v>109</v>
      </c>
      <c r="I4517" t="s">
        <v>108</v>
      </c>
      <c r="J4517">
        <v>2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</row>
    <row r="4518" spans="2:30" x14ac:dyDescent="0.25">
      <c r="B4518" t="s">
        <v>133</v>
      </c>
      <c r="C4518" t="s">
        <v>3265</v>
      </c>
      <c r="D4518" t="s">
        <v>5702</v>
      </c>
      <c r="E4518" t="s">
        <v>5703</v>
      </c>
      <c r="F4518" t="s">
        <v>10076</v>
      </c>
      <c r="G4518" t="s">
        <v>3890</v>
      </c>
      <c r="H4518" t="s">
        <v>109</v>
      </c>
      <c r="I4518" t="s">
        <v>108</v>
      </c>
      <c r="J4518">
        <v>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</row>
    <row r="4519" spans="2:30" x14ac:dyDescent="0.25">
      <c r="B4519" t="s">
        <v>133</v>
      </c>
      <c r="C4519" t="s">
        <v>3265</v>
      </c>
      <c r="D4519" t="s">
        <v>5705</v>
      </c>
      <c r="E4519" t="s">
        <v>5706</v>
      </c>
      <c r="F4519" t="s">
        <v>10077</v>
      </c>
      <c r="G4519" t="s">
        <v>3890</v>
      </c>
      <c r="H4519" t="s">
        <v>109</v>
      </c>
      <c r="I4519" t="s">
        <v>108</v>
      </c>
      <c r="J4519">
        <v>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</row>
    <row r="4520" spans="2:30" x14ac:dyDescent="0.25">
      <c r="B4520" t="s">
        <v>133</v>
      </c>
      <c r="C4520" t="s">
        <v>3265</v>
      </c>
      <c r="D4520" t="s">
        <v>5708</v>
      </c>
      <c r="E4520" t="s">
        <v>5709</v>
      </c>
      <c r="F4520" t="s">
        <v>10078</v>
      </c>
      <c r="G4520" t="s">
        <v>3890</v>
      </c>
      <c r="H4520" t="s">
        <v>109</v>
      </c>
      <c r="I4520" t="s">
        <v>108</v>
      </c>
      <c r="J4520">
        <v>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</row>
    <row r="4521" spans="2:30" x14ac:dyDescent="0.25">
      <c r="B4521" t="s">
        <v>133</v>
      </c>
      <c r="C4521" t="s">
        <v>3265</v>
      </c>
      <c r="D4521" t="s">
        <v>5711</v>
      </c>
      <c r="E4521" t="s">
        <v>5712</v>
      </c>
      <c r="F4521" t="s">
        <v>10079</v>
      </c>
      <c r="G4521" t="s">
        <v>3890</v>
      </c>
      <c r="H4521" t="s">
        <v>109</v>
      </c>
      <c r="I4521" t="s">
        <v>108</v>
      </c>
      <c r="J4521">
        <v>2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</row>
    <row r="4522" spans="2:30" x14ac:dyDescent="0.25">
      <c r="B4522" t="s">
        <v>133</v>
      </c>
      <c r="C4522" t="s">
        <v>3265</v>
      </c>
      <c r="D4522" t="s">
        <v>5714</v>
      </c>
      <c r="E4522">
        <v>0</v>
      </c>
      <c r="F4522" t="s">
        <v>10037</v>
      </c>
      <c r="G4522" t="s">
        <v>3890</v>
      </c>
      <c r="H4522" t="s">
        <v>109</v>
      </c>
      <c r="I4522" t="s">
        <v>108</v>
      </c>
      <c r="J4522">
        <v>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</row>
    <row r="4523" spans="2:30" x14ac:dyDescent="0.25">
      <c r="B4523" t="s">
        <v>133</v>
      </c>
      <c r="C4523" t="s">
        <v>3265</v>
      </c>
      <c r="D4523" t="s">
        <v>5715</v>
      </c>
      <c r="E4523">
        <v>0</v>
      </c>
      <c r="F4523" t="s">
        <v>10037</v>
      </c>
      <c r="G4523" t="s">
        <v>3890</v>
      </c>
      <c r="H4523" t="s">
        <v>109</v>
      </c>
      <c r="I4523" t="s">
        <v>108</v>
      </c>
      <c r="J4523">
        <v>2</v>
      </c>
      <c r="K4523">
        <v>7437.8159999999998</v>
      </c>
      <c r="L4523">
        <v>7682.2370000000001</v>
      </c>
      <c r="M4523">
        <v>9461.0640000000003</v>
      </c>
      <c r="N4523">
        <v>9579.5969999999998</v>
      </c>
      <c r="O4523">
        <v>9693.2800000000007</v>
      </c>
      <c r="P4523">
        <v>9828.7630000000008</v>
      </c>
      <c r="Q4523">
        <v>9990.5159999999996</v>
      </c>
      <c r="R4523">
        <v>10142.495999999999</v>
      </c>
      <c r="S4523">
        <v>10281.589</v>
      </c>
      <c r="T4523">
        <v>10420.151</v>
      </c>
      <c r="U4523">
        <v>10558.638999999999</v>
      </c>
      <c r="V4523">
        <v>10696.968999999999</v>
      </c>
      <c r="W4523">
        <v>10835.212</v>
      </c>
      <c r="X4523">
        <v>10973.592000000001</v>
      </c>
      <c r="Y4523">
        <v>11112.433000000001</v>
      </c>
      <c r="Z4523">
        <v>11251.947</v>
      </c>
      <c r="AA4523">
        <v>11393.262000000001</v>
      </c>
      <c r="AB4523">
        <v>11536.921</v>
      </c>
      <c r="AC4523">
        <v>11683.665999999999</v>
      </c>
      <c r="AD4523">
        <v>11833.601000000001</v>
      </c>
    </row>
    <row r="4524" spans="2:30" x14ac:dyDescent="0.25">
      <c r="B4524" t="s">
        <v>133</v>
      </c>
      <c r="C4524" t="s">
        <v>3265</v>
      </c>
      <c r="D4524" t="s">
        <v>5716</v>
      </c>
      <c r="E4524">
        <v>0</v>
      </c>
      <c r="F4524" t="s">
        <v>10037</v>
      </c>
      <c r="G4524" t="s">
        <v>3890</v>
      </c>
      <c r="H4524" t="s">
        <v>109</v>
      </c>
      <c r="I4524" t="s">
        <v>108</v>
      </c>
      <c r="J4524">
        <v>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</row>
    <row r="4525" spans="2:30" x14ac:dyDescent="0.25">
      <c r="B4525" t="s">
        <v>133</v>
      </c>
      <c r="C4525" t="s">
        <v>3265</v>
      </c>
      <c r="D4525" t="s">
        <v>5717</v>
      </c>
      <c r="E4525">
        <v>0</v>
      </c>
      <c r="F4525" t="s">
        <v>10037</v>
      </c>
      <c r="G4525" t="s">
        <v>3890</v>
      </c>
      <c r="H4525" t="s">
        <v>109</v>
      </c>
      <c r="I4525" t="s">
        <v>108</v>
      </c>
      <c r="J4525">
        <v>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</row>
    <row r="4526" spans="2:30" x14ac:dyDescent="0.25">
      <c r="B4526" t="s">
        <v>133</v>
      </c>
      <c r="C4526" t="s">
        <v>3265</v>
      </c>
      <c r="D4526" t="s">
        <v>5718</v>
      </c>
      <c r="E4526">
        <v>0</v>
      </c>
      <c r="F4526" t="s">
        <v>10037</v>
      </c>
      <c r="G4526" t="s">
        <v>3890</v>
      </c>
      <c r="H4526" t="s">
        <v>109</v>
      </c>
      <c r="I4526" t="s">
        <v>108</v>
      </c>
      <c r="J4526">
        <v>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</row>
    <row r="4527" spans="2:30" x14ac:dyDescent="0.25">
      <c r="B4527" t="s">
        <v>133</v>
      </c>
      <c r="C4527" t="s">
        <v>3265</v>
      </c>
      <c r="D4527" t="s">
        <v>5719</v>
      </c>
      <c r="E4527" t="s">
        <v>5720</v>
      </c>
      <c r="F4527" t="s">
        <v>10080</v>
      </c>
      <c r="G4527" t="s">
        <v>3890</v>
      </c>
      <c r="H4527" t="s">
        <v>109</v>
      </c>
      <c r="I4527" t="s">
        <v>108</v>
      </c>
      <c r="J4527">
        <v>2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</row>
    <row r="4528" spans="2:30" x14ac:dyDescent="0.25">
      <c r="B4528" t="s">
        <v>133</v>
      </c>
      <c r="C4528" t="s">
        <v>3265</v>
      </c>
      <c r="D4528" t="s">
        <v>5722</v>
      </c>
      <c r="E4528" t="s">
        <v>5723</v>
      </c>
      <c r="F4528" t="s">
        <v>10081</v>
      </c>
      <c r="G4528" t="s">
        <v>3890</v>
      </c>
      <c r="H4528" t="s">
        <v>109</v>
      </c>
      <c r="I4528" t="s">
        <v>108</v>
      </c>
      <c r="J4528">
        <v>2</v>
      </c>
      <c r="K4528">
        <v>6562.2219999999998</v>
      </c>
      <c r="L4528">
        <v>6617.1670000000004</v>
      </c>
      <c r="M4528">
        <v>8127.7539999999999</v>
      </c>
      <c r="N4528">
        <v>8218.8449999999993</v>
      </c>
      <c r="O4528">
        <v>8305.8330000000005</v>
      </c>
      <c r="P4528">
        <v>8410.3019999999997</v>
      </c>
      <c r="Q4528">
        <v>8535.8169999999991</v>
      </c>
      <c r="R4528">
        <v>8653.2150000000001</v>
      </c>
      <c r="S4528">
        <v>8760.0130000000008</v>
      </c>
      <c r="T4528">
        <v>8866.1980000000003</v>
      </c>
      <c r="U4528">
        <v>8972.1370000000006</v>
      </c>
      <c r="V4528">
        <v>9077.7649999999994</v>
      </c>
      <c r="W4528">
        <v>9183.1409999999996</v>
      </c>
      <c r="X4528">
        <v>9288.4459999999999</v>
      </c>
      <c r="Y4528">
        <v>9393.9390000000003</v>
      </c>
      <c r="Z4528">
        <v>9499.7900000000009</v>
      </c>
      <c r="AA4528">
        <v>9606.902</v>
      </c>
      <c r="AB4528">
        <v>9715.7049999999999</v>
      </c>
      <c r="AC4528">
        <v>9826.7870000000003</v>
      </c>
      <c r="AD4528">
        <v>9940.2260000000006</v>
      </c>
    </row>
    <row r="4529" spans="2:30" x14ac:dyDescent="0.25">
      <c r="B4529" t="s">
        <v>133</v>
      </c>
      <c r="C4529" t="s">
        <v>3265</v>
      </c>
      <c r="D4529" t="s">
        <v>5725</v>
      </c>
      <c r="E4529">
        <v>0</v>
      </c>
      <c r="F4529" t="s">
        <v>10037</v>
      </c>
      <c r="G4529" t="s">
        <v>3890</v>
      </c>
      <c r="H4529" t="s">
        <v>109</v>
      </c>
      <c r="I4529" t="s">
        <v>108</v>
      </c>
      <c r="J4529">
        <v>2</v>
      </c>
      <c r="K4529">
        <v>7437.8159999999998</v>
      </c>
      <c r="L4529">
        <v>7682.2370000000001</v>
      </c>
      <c r="M4529">
        <v>9461.0640000000003</v>
      </c>
      <c r="N4529">
        <v>9579.5969999999998</v>
      </c>
      <c r="O4529">
        <v>9693.2800000000007</v>
      </c>
      <c r="P4529">
        <v>9828.7630000000008</v>
      </c>
      <c r="Q4529">
        <v>9990.5159999999996</v>
      </c>
      <c r="R4529">
        <v>10142.495999999999</v>
      </c>
      <c r="S4529">
        <v>10281.589</v>
      </c>
      <c r="T4529">
        <v>10420.151</v>
      </c>
      <c r="U4529">
        <v>10558.638999999999</v>
      </c>
      <c r="V4529">
        <v>10696.968999999999</v>
      </c>
      <c r="W4529">
        <v>10835.212</v>
      </c>
      <c r="X4529">
        <v>10973.592000000001</v>
      </c>
      <c r="Y4529">
        <v>11112.433000000001</v>
      </c>
      <c r="Z4529">
        <v>11251.947</v>
      </c>
      <c r="AA4529">
        <v>11393.262000000001</v>
      </c>
      <c r="AB4529">
        <v>11536.921</v>
      </c>
      <c r="AC4529">
        <v>11683.665999999999</v>
      </c>
      <c r="AD4529">
        <v>11833.601000000001</v>
      </c>
    </row>
    <row r="4530" spans="2:30" x14ac:dyDescent="0.25">
      <c r="B4530" t="s">
        <v>133</v>
      </c>
      <c r="C4530" t="s">
        <v>3265</v>
      </c>
      <c r="D4530" t="s">
        <v>5726</v>
      </c>
      <c r="E4530">
        <v>0</v>
      </c>
      <c r="F4530" t="s">
        <v>10037</v>
      </c>
      <c r="G4530" t="s">
        <v>3890</v>
      </c>
      <c r="H4530" t="s">
        <v>109</v>
      </c>
      <c r="I4530" t="s">
        <v>108</v>
      </c>
      <c r="J4530">
        <v>2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</row>
    <row r="4531" spans="2:30" x14ac:dyDescent="0.25">
      <c r="B4531" t="s">
        <v>133</v>
      </c>
      <c r="C4531" t="s">
        <v>3265</v>
      </c>
      <c r="D4531" t="s">
        <v>5727</v>
      </c>
      <c r="E4531" t="s">
        <v>1224</v>
      </c>
      <c r="F4531" t="s">
        <v>10082</v>
      </c>
      <c r="G4531" t="s">
        <v>3890</v>
      </c>
      <c r="H4531" t="s">
        <v>109</v>
      </c>
      <c r="I4531" t="s">
        <v>108</v>
      </c>
      <c r="J4531">
        <v>2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</row>
    <row r="4532" spans="2:30" x14ac:dyDescent="0.25">
      <c r="B4532" t="s">
        <v>133</v>
      </c>
      <c r="C4532" t="s">
        <v>3265</v>
      </c>
      <c r="D4532" t="s">
        <v>5729</v>
      </c>
      <c r="E4532" t="s">
        <v>1225</v>
      </c>
      <c r="F4532" t="s">
        <v>10083</v>
      </c>
      <c r="G4532" t="s">
        <v>3890</v>
      </c>
      <c r="H4532" t="s">
        <v>109</v>
      </c>
      <c r="I4532" t="s">
        <v>108</v>
      </c>
      <c r="J4532">
        <v>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</row>
    <row r="4533" spans="2:30" x14ac:dyDescent="0.25">
      <c r="B4533" t="s">
        <v>133</v>
      </c>
      <c r="C4533" t="s">
        <v>3265</v>
      </c>
      <c r="D4533" t="s">
        <v>5731</v>
      </c>
      <c r="E4533" t="s">
        <v>1226</v>
      </c>
      <c r="F4533" t="s">
        <v>10084</v>
      </c>
      <c r="G4533" t="s">
        <v>3890</v>
      </c>
      <c r="H4533" t="s">
        <v>109</v>
      </c>
      <c r="I4533" t="s">
        <v>108</v>
      </c>
      <c r="J4533">
        <v>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</row>
    <row r="4534" spans="2:30" x14ac:dyDescent="0.25">
      <c r="B4534" t="s">
        <v>133</v>
      </c>
      <c r="C4534" t="s">
        <v>3265</v>
      </c>
      <c r="D4534" t="s">
        <v>5733</v>
      </c>
      <c r="E4534" t="s">
        <v>1227</v>
      </c>
      <c r="F4534" t="s">
        <v>10085</v>
      </c>
      <c r="G4534" t="s">
        <v>3890</v>
      </c>
      <c r="H4534" t="s">
        <v>109</v>
      </c>
      <c r="I4534" t="s">
        <v>108</v>
      </c>
      <c r="J4534">
        <v>2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</row>
    <row r="4535" spans="2:30" x14ac:dyDescent="0.25">
      <c r="B4535" t="s">
        <v>133</v>
      </c>
      <c r="C4535" t="s">
        <v>3265</v>
      </c>
      <c r="D4535" t="s">
        <v>5735</v>
      </c>
      <c r="E4535" t="s">
        <v>1228</v>
      </c>
      <c r="F4535" t="s">
        <v>10086</v>
      </c>
      <c r="G4535" t="s">
        <v>3890</v>
      </c>
      <c r="H4535" t="s">
        <v>109</v>
      </c>
      <c r="I4535" t="s">
        <v>108</v>
      </c>
      <c r="J4535">
        <v>2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</row>
    <row r="4536" spans="2:30" x14ac:dyDescent="0.25">
      <c r="B4536" t="s">
        <v>133</v>
      </c>
      <c r="C4536" t="s">
        <v>3265</v>
      </c>
      <c r="D4536" t="s">
        <v>5737</v>
      </c>
      <c r="E4536" t="s">
        <v>1229</v>
      </c>
      <c r="F4536" t="s">
        <v>10087</v>
      </c>
      <c r="G4536" t="s">
        <v>3890</v>
      </c>
      <c r="H4536" t="s">
        <v>109</v>
      </c>
      <c r="I4536" t="s">
        <v>108</v>
      </c>
      <c r="J4536">
        <v>2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</row>
    <row r="4537" spans="2:30" x14ac:dyDescent="0.25">
      <c r="B4537" t="s">
        <v>133</v>
      </c>
      <c r="C4537" t="s">
        <v>3265</v>
      </c>
      <c r="D4537" t="s">
        <v>5739</v>
      </c>
      <c r="E4537" t="s">
        <v>1230</v>
      </c>
      <c r="F4537" t="s">
        <v>10088</v>
      </c>
      <c r="G4537" t="s">
        <v>3890</v>
      </c>
      <c r="H4537" t="s">
        <v>109</v>
      </c>
      <c r="I4537" t="s">
        <v>108</v>
      </c>
      <c r="J4537">
        <v>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</row>
    <row r="4538" spans="2:30" x14ac:dyDescent="0.25">
      <c r="B4538" t="s">
        <v>133</v>
      </c>
      <c r="C4538" t="s">
        <v>3265</v>
      </c>
      <c r="D4538" t="s">
        <v>5741</v>
      </c>
      <c r="E4538" t="s">
        <v>1231</v>
      </c>
      <c r="F4538" t="s">
        <v>10089</v>
      </c>
      <c r="G4538" t="s">
        <v>3890</v>
      </c>
      <c r="H4538" t="s">
        <v>109</v>
      </c>
      <c r="I4538" t="s">
        <v>108</v>
      </c>
      <c r="J4538">
        <v>2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</row>
    <row r="4539" spans="2:30" x14ac:dyDescent="0.25">
      <c r="B4539" t="s">
        <v>133</v>
      </c>
      <c r="C4539" t="s">
        <v>3265</v>
      </c>
      <c r="D4539" t="s">
        <v>5743</v>
      </c>
      <c r="E4539" t="s">
        <v>1232</v>
      </c>
      <c r="F4539" t="s">
        <v>10090</v>
      </c>
      <c r="G4539" t="s">
        <v>3890</v>
      </c>
      <c r="H4539" t="s">
        <v>109</v>
      </c>
      <c r="I4539" t="s">
        <v>108</v>
      </c>
      <c r="J4539">
        <v>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</row>
    <row r="4540" spans="2:30" x14ac:dyDescent="0.25">
      <c r="B4540" t="s">
        <v>133</v>
      </c>
      <c r="C4540" t="s">
        <v>3265</v>
      </c>
      <c r="D4540" t="s">
        <v>5745</v>
      </c>
      <c r="E4540" t="s">
        <v>1197</v>
      </c>
      <c r="F4540" t="s">
        <v>10091</v>
      </c>
      <c r="G4540" t="s">
        <v>3890</v>
      </c>
      <c r="H4540" t="s">
        <v>109</v>
      </c>
      <c r="I4540" t="s">
        <v>108</v>
      </c>
      <c r="J4540">
        <v>2</v>
      </c>
      <c r="K4540">
        <v>227.214</v>
      </c>
      <c r="L4540">
        <v>212.61799999999999</v>
      </c>
      <c r="M4540">
        <v>252.76599999999999</v>
      </c>
      <c r="N4540">
        <v>271.80900000000003</v>
      </c>
      <c r="O4540">
        <v>276.17200000000003</v>
      </c>
      <c r="P4540">
        <v>280.52199999999999</v>
      </c>
      <c r="Q4540">
        <v>280.50700000000001</v>
      </c>
      <c r="R4540">
        <v>283.54000000000002</v>
      </c>
      <c r="S4540">
        <v>288.36700000000002</v>
      </c>
      <c r="T4540">
        <v>294.83</v>
      </c>
      <c r="U4540">
        <v>302.02600000000001</v>
      </c>
      <c r="V4540">
        <v>310.459</v>
      </c>
      <c r="W4540">
        <v>320.10300000000001</v>
      </c>
      <c r="X4540">
        <v>331.01600000000002</v>
      </c>
      <c r="Y4540">
        <v>336.892</v>
      </c>
      <c r="Z4540">
        <v>342.80599999999998</v>
      </c>
      <c r="AA4540">
        <v>348.8</v>
      </c>
      <c r="AB4540">
        <v>354.89499999999998</v>
      </c>
      <c r="AC4540">
        <v>361.12200000000001</v>
      </c>
      <c r="AD4540">
        <v>367.48399999999998</v>
      </c>
    </row>
    <row r="4541" spans="2:30" x14ac:dyDescent="0.25">
      <c r="B4541" t="s">
        <v>133</v>
      </c>
      <c r="C4541" t="s">
        <v>3265</v>
      </c>
      <c r="D4541" t="s">
        <v>5747</v>
      </c>
      <c r="E4541" t="s">
        <v>1198</v>
      </c>
      <c r="F4541" t="s">
        <v>10092</v>
      </c>
      <c r="G4541" t="s">
        <v>3890</v>
      </c>
      <c r="H4541" t="s">
        <v>109</v>
      </c>
      <c r="I4541" t="s">
        <v>108</v>
      </c>
      <c r="J4541">
        <v>2</v>
      </c>
      <c r="K4541">
        <v>1528.7239999999999</v>
      </c>
      <c r="L4541">
        <v>1311.681</v>
      </c>
      <c r="M4541">
        <v>1444.05</v>
      </c>
      <c r="N4541">
        <v>1501.115</v>
      </c>
      <c r="O4541">
        <v>1557.4880000000001</v>
      </c>
      <c r="P4541">
        <v>1624.6569999999999</v>
      </c>
      <c r="Q4541">
        <v>1675.18</v>
      </c>
      <c r="R4541">
        <v>1736.2729999999999</v>
      </c>
      <c r="S4541">
        <v>1802.5239999999999</v>
      </c>
      <c r="T4541">
        <v>1877.5119999999999</v>
      </c>
      <c r="U4541">
        <v>1960.5640000000001</v>
      </c>
      <c r="V4541">
        <v>2051.3249999999998</v>
      </c>
      <c r="W4541">
        <v>2149.8980000000001</v>
      </c>
      <c r="X4541">
        <v>2256.7629999999999</v>
      </c>
      <c r="Y4541">
        <v>2342.299</v>
      </c>
      <c r="Z4541">
        <v>2430.1190000000001</v>
      </c>
      <c r="AA4541">
        <v>2520.8960000000002</v>
      </c>
      <c r="AB4541">
        <v>2615.0219999999999</v>
      </c>
      <c r="AC4541">
        <v>2713.0309999999999</v>
      </c>
      <c r="AD4541">
        <v>2815.1170000000002</v>
      </c>
    </row>
    <row r="4542" spans="2:30" x14ac:dyDescent="0.25">
      <c r="B4542" t="s">
        <v>133</v>
      </c>
      <c r="C4542" t="s">
        <v>3265</v>
      </c>
      <c r="D4542" t="s">
        <v>5749</v>
      </c>
      <c r="E4542" t="s">
        <v>1199</v>
      </c>
      <c r="F4542" t="s">
        <v>10093</v>
      </c>
      <c r="G4542" t="s">
        <v>3890</v>
      </c>
      <c r="H4542" t="s">
        <v>109</v>
      </c>
      <c r="I4542" t="s">
        <v>108</v>
      </c>
      <c r="J4542">
        <v>2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</row>
    <row r="4543" spans="2:30" x14ac:dyDescent="0.25">
      <c r="B4543" t="s">
        <v>133</v>
      </c>
      <c r="C4543" t="s">
        <v>3265</v>
      </c>
      <c r="D4543" t="s">
        <v>5751</v>
      </c>
      <c r="E4543" t="s">
        <v>1200</v>
      </c>
      <c r="F4543" t="s">
        <v>10094</v>
      </c>
      <c r="G4543" t="s">
        <v>3890</v>
      </c>
      <c r="H4543" t="s">
        <v>109</v>
      </c>
      <c r="I4543" t="s">
        <v>108</v>
      </c>
      <c r="J4543">
        <v>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</row>
    <row r="4544" spans="2:30" x14ac:dyDescent="0.25">
      <c r="B4544" t="s">
        <v>133</v>
      </c>
      <c r="C4544" t="s">
        <v>3265</v>
      </c>
      <c r="D4544" t="s">
        <v>5753</v>
      </c>
      <c r="E4544" t="s">
        <v>1201</v>
      </c>
      <c r="F4544" t="s">
        <v>10095</v>
      </c>
      <c r="G4544" t="s">
        <v>3890</v>
      </c>
      <c r="H4544" t="s">
        <v>109</v>
      </c>
      <c r="I4544" t="s">
        <v>108</v>
      </c>
      <c r="J4544">
        <v>2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</row>
    <row r="4545" spans="2:30" x14ac:dyDescent="0.25">
      <c r="B4545" t="s">
        <v>133</v>
      </c>
      <c r="C4545" t="s">
        <v>3265</v>
      </c>
      <c r="D4545" t="s">
        <v>5755</v>
      </c>
      <c r="E4545" t="s">
        <v>1202</v>
      </c>
      <c r="F4545" t="s">
        <v>10096</v>
      </c>
      <c r="G4545" t="s">
        <v>3890</v>
      </c>
      <c r="H4545" t="s">
        <v>109</v>
      </c>
      <c r="I4545" t="s">
        <v>108</v>
      </c>
      <c r="J4545">
        <v>2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</row>
    <row r="4546" spans="2:30" x14ac:dyDescent="0.25">
      <c r="B4546" t="s">
        <v>133</v>
      </c>
      <c r="C4546" t="s">
        <v>3265</v>
      </c>
      <c r="D4546" t="s">
        <v>5757</v>
      </c>
      <c r="E4546" t="s">
        <v>1203</v>
      </c>
      <c r="F4546" t="s">
        <v>10097</v>
      </c>
      <c r="G4546" t="s">
        <v>3890</v>
      </c>
      <c r="H4546" t="s">
        <v>109</v>
      </c>
      <c r="I4546" t="s">
        <v>108</v>
      </c>
      <c r="J4546">
        <v>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</row>
    <row r="4547" spans="2:30" x14ac:dyDescent="0.25">
      <c r="B4547" t="s">
        <v>133</v>
      </c>
      <c r="C4547" t="s">
        <v>3265</v>
      </c>
      <c r="D4547" t="s">
        <v>5759</v>
      </c>
      <c r="E4547" t="s">
        <v>1204</v>
      </c>
      <c r="F4547" t="s">
        <v>10098</v>
      </c>
      <c r="G4547" t="s">
        <v>3890</v>
      </c>
      <c r="H4547" t="s">
        <v>109</v>
      </c>
      <c r="I4547" t="s">
        <v>108</v>
      </c>
      <c r="J4547">
        <v>2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</row>
    <row r="4548" spans="2:30" x14ac:dyDescent="0.25">
      <c r="B4548" t="s">
        <v>133</v>
      </c>
      <c r="C4548" t="s">
        <v>3265</v>
      </c>
      <c r="D4548" t="s">
        <v>5761</v>
      </c>
      <c r="E4548" t="s">
        <v>1205</v>
      </c>
      <c r="F4548" t="s">
        <v>10099</v>
      </c>
      <c r="G4548" t="s">
        <v>3890</v>
      </c>
      <c r="H4548" t="s">
        <v>109</v>
      </c>
      <c r="I4548" t="s">
        <v>108</v>
      </c>
      <c r="J4548">
        <v>2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</row>
    <row r="4549" spans="2:30" x14ac:dyDescent="0.25">
      <c r="B4549" t="s">
        <v>133</v>
      </c>
      <c r="C4549" t="s">
        <v>3265</v>
      </c>
      <c r="D4549" t="s">
        <v>5763</v>
      </c>
      <c r="E4549" t="s">
        <v>1215</v>
      </c>
      <c r="F4549" t="s">
        <v>10100</v>
      </c>
      <c r="G4549" t="s">
        <v>3890</v>
      </c>
      <c r="H4549" t="s">
        <v>109</v>
      </c>
      <c r="I4549" t="s">
        <v>108</v>
      </c>
      <c r="J4549">
        <v>2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</row>
    <row r="4550" spans="2:30" x14ac:dyDescent="0.25">
      <c r="B4550" t="s">
        <v>133</v>
      </c>
      <c r="C4550" t="s">
        <v>3265</v>
      </c>
      <c r="D4550" t="s">
        <v>5765</v>
      </c>
      <c r="E4550" t="s">
        <v>1216</v>
      </c>
      <c r="F4550" t="s">
        <v>10101</v>
      </c>
      <c r="G4550" t="s">
        <v>3890</v>
      </c>
      <c r="H4550" t="s">
        <v>109</v>
      </c>
      <c r="I4550" t="s">
        <v>108</v>
      </c>
      <c r="J4550">
        <v>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</row>
    <row r="4551" spans="2:30" x14ac:dyDescent="0.25">
      <c r="B4551" t="s">
        <v>133</v>
      </c>
      <c r="C4551" t="s">
        <v>3265</v>
      </c>
      <c r="D4551" t="s">
        <v>5767</v>
      </c>
      <c r="E4551" t="s">
        <v>1217</v>
      </c>
      <c r="F4551" t="s">
        <v>10102</v>
      </c>
      <c r="G4551" t="s">
        <v>3890</v>
      </c>
      <c r="H4551" t="s">
        <v>109</v>
      </c>
      <c r="I4551" t="s">
        <v>108</v>
      </c>
      <c r="J4551">
        <v>2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</row>
    <row r="4552" spans="2:30" x14ac:dyDescent="0.25">
      <c r="B4552" t="s">
        <v>133</v>
      </c>
      <c r="C4552" t="s">
        <v>3265</v>
      </c>
      <c r="D4552" t="s">
        <v>5769</v>
      </c>
      <c r="E4552" t="s">
        <v>1218</v>
      </c>
      <c r="F4552" t="s">
        <v>10103</v>
      </c>
      <c r="G4552" t="s">
        <v>3890</v>
      </c>
      <c r="H4552" t="s">
        <v>109</v>
      </c>
      <c r="I4552" t="s">
        <v>108</v>
      </c>
      <c r="J4552">
        <v>2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</row>
    <row r="4553" spans="2:30" x14ac:dyDescent="0.25">
      <c r="B4553" t="s">
        <v>133</v>
      </c>
      <c r="C4553" t="s">
        <v>3265</v>
      </c>
      <c r="D4553" t="s">
        <v>5771</v>
      </c>
      <c r="E4553" t="s">
        <v>1219</v>
      </c>
      <c r="F4553" t="s">
        <v>10104</v>
      </c>
      <c r="G4553" t="s">
        <v>3890</v>
      </c>
      <c r="H4553" t="s">
        <v>109</v>
      </c>
      <c r="I4553" t="s">
        <v>108</v>
      </c>
      <c r="J4553">
        <v>2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</row>
    <row r="4554" spans="2:30" x14ac:dyDescent="0.25">
      <c r="B4554" t="s">
        <v>133</v>
      </c>
      <c r="C4554" t="s">
        <v>3265</v>
      </c>
      <c r="D4554" t="s">
        <v>5773</v>
      </c>
      <c r="E4554" t="s">
        <v>1220</v>
      </c>
      <c r="F4554" t="s">
        <v>10105</v>
      </c>
      <c r="G4554" t="s">
        <v>3890</v>
      </c>
      <c r="H4554" t="s">
        <v>109</v>
      </c>
      <c r="I4554" t="s">
        <v>108</v>
      </c>
      <c r="J4554">
        <v>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</row>
    <row r="4555" spans="2:30" x14ac:dyDescent="0.25">
      <c r="B4555" t="s">
        <v>133</v>
      </c>
      <c r="C4555" t="s">
        <v>3265</v>
      </c>
      <c r="D4555" t="s">
        <v>5775</v>
      </c>
      <c r="E4555" t="s">
        <v>1221</v>
      </c>
      <c r="F4555" t="s">
        <v>10106</v>
      </c>
      <c r="G4555" t="s">
        <v>3890</v>
      </c>
      <c r="H4555" t="s">
        <v>109</v>
      </c>
      <c r="I4555" t="s">
        <v>108</v>
      </c>
      <c r="J4555">
        <v>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</row>
    <row r="4556" spans="2:30" x14ac:dyDescent="0.25">
      <c r="B4556" t="s">
        <v>133</v>
      </c>
      <c r="C4556" t="s">
        <v>3265</v>
      </c>
      <c r="D4556" t="s">
        <v>5777</v>
      </c>
      <c r="E4556" t="s">
        <v>1222</v>
      </c>
      <c r="F4556" t="s">
        <v>10107</v>
      </c>
      <c r="G4556" t="s">
        <v>3890</v>
      </c>
      <c r="H4556" t="s">
        <v>109</v>
      </c>
      <c r="I4556" t="s">
        <v>108</v>
      </c>
      <c r="J4556">
        <v>2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</row>
    <row r="4557" spans="2:30" x14ac:dyDescent="0.25">
      <c r="B4557" t="s">
        <v>133</v>
      </c>
      <c r="C4557" t="s">
        <v>3265</v>
      </c>
      <c r="D4557" t="s">
        <v>5779</v>
      </c>
      <c r="E4557" t="s">
        <v>1223</v>
      </c>
      <c r="F4557" t="s">
        <v>10108</v>
      </c>
      <c r="G4557" t="s">
        <v>3890</v>
      </c>
      <c r="H4557" t="s">
        <v>109</v>
      </c>
      <c r="I4557" t="s">
        <v>108</v>
      </c>
      <c r="J4557">
        <v>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</row>
    <row r="4558" spans="2:30" x14ac:dyDescent="0.25">
      <c r="B4558" t="s">
        <v>133</v>
      </c>
      <c r="C4558" t="s">
        <v>3265</v>
      </c>
      <c r="D4558" t="s">
        <v>5781</v>
      </c>
      <c r="E4558" t="s">
        <v>5782</v>
      </c>
      <c r="F4558" t="s">
        <v>10109</v>
      </c>
      <c r="G4558" t="s">
        <v>3890</v>
      </c>
      <c r="H4558" t="s">
        <v>109</v>
      </c>
      <c r="I4558" t="s">
        <v>108</v>
      </c>
      <c r="J4558">
        <v>2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</row>
    <row r="4559" spans="2:30" x14ac:dyDescent="0.25">
      <c r="B4559" t="s">
        <v>133</v>
      </c>
      <c r="C4559" t="s">
        <v>3265</v>
      </c>
      <c r="D4559" t="s">
        <v>5784</v>
      </c>
      <c r="E4559" t="s">
        <v>5785</v>
      </c>
      <c r="F4559" t="s">
        <v>10110</v>
      </c>
      <c r="G4559" t="s">
        <v>3890</v>
      </c>
      <c r="H4559" t="s">
        <v>109</v>
      </c>
      <c r="I4559" t="s">
        <v>108</v>
      </c>
      <c r="J4559">
        <v>2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</row>
    <row r="4560" spans="2:30" x14ac:dyDescent="0.25">
      <c r="B4560" t="s">
        <v>133</v>
      </c>
      <c r="C4560" t="s">
        <v>3265</v>
      </c>
      <c r="D4560" t="s">
        <v>5787</v>
      </c>
      <c r="E4560" t="s">
        <v>5788</v>
      </c>
      <c r="F4560" t="s">
        <v>10111</v>
      </c>
      <c r="G4560" t="s">
        <v>3890</v>
      </c>
      <c r="H4560" t="s">
        <v>109</v>
      </c>
      <c r="I4560" t="s">
        <v>108</v>
      </c>
      <c r="J4560">
        <v>2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</row>
    <row r="4561" spans="2:30" x14ac:dyDescent="0.25">
      <c r="B4561" t="s">
        <v>133</v>
      </c>
      <c r="C4561" t="s">
        <v>3265</v>
      </c>
      <c r="D4561" t="s">
        <v>5790</v>
      </c>
      <c r="E4561" t="s">
        <v>5791</v>
      </c>
      <c r="F4561" t="s">
        <v>10112</v>
      </c>
      <c r="G4561" t="s">
        <v>3890</v>
      </c>
      <c r="H4561" t="s">
        <v>109</v>
      </c>
      <c r="I4561" t="s">
        <v>108</v>
      </c>
      <c r="J4561">
        <v>2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</row>
    <row r="4562" spans="2:30" x14ac:dyDescent="0.25">
      <c r="B4562" t="s">
        <v>133</v>
      </c>
      <c r="C4562" t="s">
        <v>3265</v>
      </c>
      <c r="D4562" t="s">
        <v>5793</v>
      </c>
      <c r="E4562" t="s">
        <v>5794</v>
      </c>
      <c r="F4562" t="s">
        <v>10113</v>
      </c>
      <c r="G4562" t="s">
        <v>3890</v>
      </c>
      <c r="H4562" t="s">
        <v>109</v>
      </c>
      <c r="I4562" t="s">
        <v>108</v>
      </c>
      <c r="J4562">
        <v>2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</row>
    <row r="4563" spans="2:30" x14ac:dyDescent="0.25">
      <c r="B4563" t="s">
        <v>133</v>
      </c>
      <c r="C4563" t="s">
        <v>3265</v>
      </c>
      <c r="D4563" t="s">
        <v>5796</v>
      </c>
      <c r="E4563" t="s">
        <v>5797</v>
      </c>
      <c r="F4563" t="s">
        <v>10114</v>
      </c>
      <c r="G4563" t="s">
        <v>3890</v>
      </c>
      <c r="H4563" t="s">
        <v>109</v>
      </c>
      <c r="I4563" t="s">
        <v>108</v>
      </c>
      <c r="J4563">
        <v>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</row>
    <row r="4564" spans="2:30" x14ac:dyDescent="0.25">
      <c r="B4564" t="s">
        <v>133</v>
      </c>
      <c r="C4564" t="s">
        <v>3265</v>
      </c>
      <c r="D4564" t="s">
        <v>5799</v>
      </c>
      <c r="E4564" t="s">
        <v>5800</v>
      </c>
      <c r="F4564" t="s">
        <v>10115</v>
      </c>
      <c r="G4564" t="s">
        <v>3890</v>
      </c>
      <c r="H4564" t="s">
        <v>109</v>
      </c>
      <c r="I4564" t="s">
        <v>108</v>
      </c>
      <c r="J4564">
        <v>2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</row>
    <row r="4565" spans="2:30" x14ac:dyDescent="0.25">
      <c r="B4565" t="s">
        <v>133</v>
      </c>
      <c r="C4565" t="s">
        <v>3265</v>
      </c>
      <c r="D4565" t="s">
        <v>5802</v>
      </c>
      <c r="E4565" t="s">
        <v>5803</v>
      </c>
      <c r="F4565" t="s">
        <v>10116</v>
      </c>
      <c r="G4565" t="s">
        <v>3890</v>
      </c>
      <c r="H4565" t="s">
        <v>109</v>
      </c>
      <c r="I4565" t="s">
        <v>108</v>
      </c>
      <c r="J4565">
        <v>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</row>
    <row r="4566" spans="2:30" x14ac:dyDescent="0.25">
      <c r="B4566" t="s">
        <v>133</v>
      </c>
      <c r="C4566" t="s">
        <v>3265</v>
      </c>
      <c r="D4566" t="s">
        <v>5805</v>
      </c>
      <c r="E4566" t="s">
        <v>5806</v>
      </c>
      <c r="F4566" t="s">
        <v>10117</v>
      </c>
      <c r="G4566" t="s">
        <v>3890</v>
      </c>
      <c r="H4566" t="s">
        <v>109</v>
      </c>
      <c r="I4566" t="s">
        <v>108</v>
      </c>
      <c r="J4566">
        <v>2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</row>
    <row r="4567" spans="2:30" x14ac:dyDescent="0.25">
      <c r="B4567" t="s">
        <v>133</v>
      </c>
      <c r="C4567" t="s">
        <v>3265</v>
      </c>
      <c r="D4567" t="s">
        <v>5808</v>
      </c>
      <c r="E4567" t="s">
        <v>5809</v>
      </c>
      <c r="F4567" t="s">
        <v>10118</v>
      </c>
      <c r="G4567" t="s">
        <v>3890</v>
      </c>
      <c r="H4567" t="s">
        <v>109</v>
      </c>
      <c r="I4567" t="s">
        <v>108</v>
      </c>
      <c r="J4567">
        <v>2</v>
      </c>
      <c r="K4567">
        <v>1223.682</v>
      </c>
      <c r="L4567">
        <v>1135.251</v>
      </c>
      <c r="M4567">
        <v>1271.8219999999999</v>
      </c>
      <c r="N4567">
        <v>1419.712</v>
      </c>
      <c r="O4567">
        <v>1492.877</v>
      </c>
      <c r="P4567">
        <v>1517.13</v>
      </c>
      <c r="Q4567">
        <v>1559.789</v>
      </c>
      <c r="R4567">
        <v>1609.742</v>
      </c>
      <c r="S4567">
        <v>1652.6759999999999</v>
      </c>
      <c r="T4567">
        <v>1689.7139999999999</v>
      </c>
      <c r="U4567">
        <v>1721.7809999999999</v>
      </c>
      <c r="V4567">
        <v>1751.46</v>
      </c>
      <c r="W4567">
        <v>1779.4290000000001</v>
      </c>
      <c r="X4567">
        <v>1806.771</v>
      </c>
      <c r="Y4567">
        <v>1833.818</v>
      </c>
      <c r="Z4567">
        <v>1887.4010000000001</v>
      </c>
      <c r="AA4567">
        <v>1940.623</v>
      </c>
      <c r="AB4567">
        <v>1999.845</v>
      </c>
      <c r="AC4567">
        <v>2058.5309999999999</v>
      </c>
      <c r="AD4567">
        <v>2119.6750000000002</v>
      </c>
    </row>
    <row r="4568" spans="2:30" x14ac:dyDescent="0.25">
      <c r="B4568" t="s">
        <v>133</v>
      </c>
      <c r="C4568" t="s">
        <v>3265</v>
      </c>
      <c r="D4568" t="s">
        <v>5811</v>
      </c>
      <c r="E4568">
        <v>0</v>
      </c>
      <c r="F4568" t="s">
        <v>10037</v>
      </c>
      <c r="G4568" t="s">
        <v>3890</v>
      </c>
      <c r="H4568" t="s">
        <v>109</v>
      </c>
      <c r="I4568" t="s">
        <v>108</v>
      </c>
      <c r="J4568">
        <v>2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</row>
    <row r="4569" spans="2:30" x14ac:dyDescent="0.25">
      <c r="B4569" t="s">
        <v>133</v>
      </c>
      <c r="C4569" t="s">
        <v>3265</v>
      </c>
      <c r="D4569" t="s">
        <v>5812</v>
      </c>
      <c r="E4569">
        <v>0</v>
      </c>
      <c r="F4569" t="s">
        <v>10037</v>
      </c>
      <c r="G4569" t="s">
        <v>3890</v>
      </c>
      <c r="H4569" t="s">
        <v>109</v>
      </c>
      <c r="I4569" t="s">
        <v>108</v>
      </c>
      <c r="J4569">
        <v>2</v>
      </c>
      <c r="K4569">
        <v>0</v>
      </c>
      <c r="L4569">
        <v>0.96899999999999997</v>
      </c>
      <c r="M4569">
        <v>1.1479999999999999</v>
      </c>
      <c r="N4569">
        <v>1.1080000000000001</v>
      </c>
      <c r="O4569">
        <v>1.052</v>
      </c>
      <c r="P4569">
        <v>1.016</v>
      </c>
      <c r="Q4569">
        <v>1.028</v>
      </c>
      <c r="R4569">
        <v>1.0329999999999999</v>
      </c>
      <c r="S4569">
        <v>1.028</v>
      </c>
      <c r="T4569">
        <v>1.0249999999999999</v>
      </c>
      <c r="U4569">
        <v>1.0229999999999999</v>
      </c>
      <c r="V4569">
        <v>1.024</v>
      </c>
      <c r="W4569">
        <v>1.026</v>
      </c>
      <c r="X4569">
        <v>1.0289999999999999</v>
      </c>
      <c r="Y4569">
        <v>1.0329999999999999</v>
      </c>
      <c r="Z4569">
        <v>1.0529999999999999</v>
      </c>
      <c r="AA4569">
        <v>1.0569999999999999</v>
      </c>
      <c r="AB4569">
        <v>1.0640000000000001</v>
      </c>
      <c r="AC4569">
        <v>1.069</v>
      </c>
      <c r="AD4569">
        <v>1.071</v>
      </c>
    </row>
    <row r="4570" spans="2:30" x14ac:dyDescent="0.25">
      <c r="B4570" t="s">
        <v>133</v>
      </c>
      <c r="C4570" t="s">
        <v>3265</v>
      </c>
      <c r="D4570" t="s">
        <v>5813</v>
      </c>
      <c r="E4570">
        <v>0</v>
      </c>
      <c r="F4570" t="s">
        <v>10037</v>
      </c>
      <c r="G4570" t="s">
        <v>3890</v>
      </c>
      <c r="H4570" t="s">
        <v>109</v>
      </c>
      <c r="I4570" t="s">
        <v>108</v>
      </c>
      <c r="J4570">
        <v>2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</row>
    <row r="4571" spans="2:30" x14ac:dyDescent="0.25">
      <c r="B4571" t="s">
        <v>133</v>
      </c>
      <c r="C4571" t="s">
        <v>3265</v>
      </c>
      <c r="D4571" t="s">
        <v>5814</v>
      </c>
      <c r="E4571">
        <v>0</v>
      </c>
      <c r="F4571" t="s">
        <v>10037</v>
      </c>
      <c r="G4571" t="s">
        <v>3890</v>
      </c>
      <c r="H4571" t="s">
        <v>109</v>
      </c>
      <c r="I4571" t="s">
        <v>108</v>
      </c>
      <c r="J4571">
        <v>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</row>
    <row r="4572" spans="2:30" x14ac:dyDescent="0.25">
      <c r="B4572" t="s">
        <v>133</v>
      </c>
      <c r="C4572" t="s">
        <v>3265</v>
      </c>
      <c r="D4572" t="s">
        <v>5815</v>
      </c>
      <c r="E4572">
        <v>0</v>
      </c>
      <c r="F4572" t="s">
        <v>10037</v>
      </c>
      <c r="G4572" t="s">
        <v>3890</v>
      </c>
      <c r="H4572" t="s">
        <v>109</v>
      </c>
      <c r="I4572" t="s">
        <v>108</v>
      </c>
      <c r="J4572">
        <v>2</v>
      </c>
      <c r="K4572" t="e">
        <v>#VALUE!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</row>
    <row r="4573" spans="2:30" x14ac:dyDescent="0.25">
      <c r="B4573" t="s">
        <v>133</v>
      </c>
      <c r="C4573" t="s">
        <v>3265</v>
      </c>
      <c r="D4573" t="s">
        <v>5816</v>
      </c>
      <c r="E4573" t="s">
        <v>5817</v>
      </c>
      <c r="F4573" t="s">
        <v>10119</v>
      </c>
      <c r="G4573" t="s">
        <v>3890</v>
      </c>
      <c r="H4573" t="s">
        <v>109</v>
      </c>
      <c r="I4573" t="s">
        <v>108</v>
      </c>
      <c r="J4573">
        <v>2</v>
      </c>
      <c r="K4573" t="e">
        <v>#VALUE!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</row>
    <row r="4574" spans="2:30" x14ac:dyDescent="0.25">
      <c r="B4574" t="s">
        <v>133</v>
      </c>
      <c r="C4574" t="s">
        <v>3265</v>
      </c>
      <c r="D4574" t="s">
        <v>5819</v>
      </c>
      <c r="E4574" t="s">
        <v>5820</v>
      </c>
      <c r="F4574" t="s">
        <v>10120</v>
      </c>
      <c r="G4574" t="s">
        <v>3890</v>
      </c>
      <c r="H4574" t="s">
        <v>109</v>
      </c>
      <c r="I4574" t="s">
        <v>108</v>
      </c>
      <c r="J4574">
        <v>2</v>
      </c>
      <c r="K4574" t="e">
        <v>#VALUE!</v>
      </c>
      <c r="L4574">
        <v>2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</row>
    <row r="4575" spans="2:30" x14ac:dyDescent="0.25">
      <c r="B4575" t="s">
        <v>133</v>
      </c>
      <c r="C4575" t="s">
        <v>3265</v>
      </c>
      <c r="D4575" t="s">
        <v>5822</v>
      </c>
      <c r="E4575" t="s">
        <v>5823</v>
      </c>
      <c r="F4575" t="s">
        <v>10121</v>
      </c>
      <c r="G4575" t="s">
        <v>3890</v>
      </c>
      <c r="H4575" t="s">
        <v>109</v>
      </c>
      <c r="I4575" t="s">
        <v>108</v>
      </c>
      <c r="J4575">
        <v>2</v>
      </c>
      <c r="K4575" t="e">
        <v>#VALUE!</v>
      </c>
      <c r="L4575">
        <v>2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</row>
    <row r="4576" spans="2:30" x14ac:dyDescent="0.25">
      <c r="B4576" t="s">
        <v>133</v>
      </c>
      <c r="C4576" t="s">
        <v>3265</v>
      </c>
      <c r="D4576" t="s">
        <v>5825</v>
      </c>
      <c r="E4576">
        <v>0</v>
      </c>
      <c r="F4576" t="s">
        <v>10037</v>
      </c>
      <c r="G4576" t="s">
        <v>3890</v>
      </c>
      <c r="H4576" t="s">
        <v>109</v>
      </c>
      <c r="I4576" t="s">
        <v>108</v>
      </c>
      <c r="J4576">
        <v>2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</row>
    <row r="4577" spans="2:30" x14ac:dyDescent="0.25">
      <c r="B4577" t="s">
        <v>133</v>
      </c>
      <c r="C4577" t="s">
        <v>3265</v>
      </c>
      <c r="D4577" t="s">
        <v>5826</v>
      </c>
      <c r="E4577">
        <v>0</v>
      </c>
      <c r="F4577" t="s">
        <v>10037</v>
      </c>
      <c r="G4577" t="s">
        <v>3890</v>
      </c>
      <c r="H4577" t="s">
        <v>109</v>
      </c>
      <c r="I4577" t="s">
        <v>108</v>
      </c>
      <c r="J4577">
        <v>2</v>
      </c>
      <c r="K4577">
        <v>0</v>
      </c>
      <c r="L4577">
        <v>1</v>
      </c>
      <c r="M4577">
        <v>2</v>
      </c>
      <c r="N4577">
        <v>3</v>
      </c>
      <c r="O4577">
        <v>4</v>
      </c>
      <c r="P4577">
        <v>5</v>
      </c>
      <c r="Q4577">
        <v>6</v>
      </c>
      <c r="R4577">
        <v>7</v>
      </c>
      <c r="S4577">
        <v>8</v>
      </c>
      <c r="T4577">
        <v>9</v>
      </c>
      <c r="U4577">
        <v>10</v>
      </c>
      <c r="V4577">
        <v>11</v>
      </c>
      <c r="W4577">
        <v>12</v>
      </c>
      <c r="X4577">
        <v>13</v>
      </c>
      <c r="Y4577">
        <v>14</v>
      </c>
      <c r="Z4577">
        <v>15</v>
      </c>
      <c r="AA4577">
        <v>16</v>
      </c>
      <c r="AB4577">
        <v>17</v>
      </c>
      <c r="AC4577">
        <v>18</v>
      </c>
      <c r="AD4577">
        <v>19</v>
      </c>
    </row>
    <row r="4578" spans="2:30" x14ac:dyDescent="0.25">
      <c r="B4578" t="s">
        <v>133</v>
      </c>
      <c r="C4578" t="s">
        <v>3265</v>
      </c>
      <c r="D4578" t="s">
        <v>5827</v>
      </c>
      <c r="E4578" t="s">
        <v>5828</v>
      </c>
      <c r="F4578" t="s">
        <v>10122</v>
      </c>
      <c r="G4578" t="s">
        <v>3890</v>
      </c>
      <c r="H4578" t="s">
        <v>109</v>
      </c>
      <c r="I4578" t="s">
        <v>108</v>
      </c>
      <c r="J4578">
        <v>2</v>
      </c>
      <c r="K4578">
        <v>2022</v>
      </c>
      <c r="L4578">
        <v>2023</v>
      </c>
      <c r="M4578">
        <v>2024</v>
      </c>
      <c r="N4578">
        <v>2025</v>
      </c>
      <c r="O4578">
        <v>2026</v>
      </c>
      <c r="P4578">
        <v>2027</v>
      </c>
      <c r="Q4578">
        <v>2028</v>
      </c>
      <c r="R4578">
        <v>2029</v>
      </c>
      <c r="S4578">
        <v>2030</v>
      </c>
      <c r="T4578">
        <v>2031</v>
      </c>
      <c r="U4578">
        <v>2032</v>
      </c>
      <c r="V4578">
        <v>2033</v>
      </c>
      <c r="W4578">
        <v>2034</v>
      </c>
      <c r="X4578">
        <v>2035</v>
      </c>
      <c r="Y4578">
        <v>2036</v>
      </c>
      <c r="Z4578">
        <v>2037</v>
      </c>
      <c r="AA4578">
        <v>2038</v>
      </c>
      <c r="AB4578">
        <v>2039</v>
      </c>
      <c r="AC4578">
        <v>2040</v>
      </c>
      <c r="AD4578">
        <v>2041</v>
      </c>
    </row>
    <row r="4579" spans="2:30" x14ac:dyDescent="0.25">
      <c r="B4579" t="s">
        <v>133</v>
      </c>
      <c r="C4579" t="s">
        <v>3265</v>
      </c>
      <c r="D4579" t="s">
        <v>5830</v>
      </c>
      <c r="E4579" t="s">
        <v>5831</v>
      </c>
      <c r="F4579" t="s">
        <v>10123</v>
      </c>
      <c r="G4579" t="s">
        <v>3890</v>
      </c>
      <c r="H4579" t="s">
        <v>109</v>
      </c>
      <c r="I4579" t="s">
        <v>108</v>
      </c>
      <c r="J4579">
        <v>2</v>
      </c>
      <c r="K4579">
        <v>0</v>
      </c>
      <c r="L4579">
        <v>2.1659999999999999</v>
      </c>
      <c r="M4579">
        <v>2.9460000000000002</v>
      </c>
      <c r="N4579">
        <v>3.7509999999999999</v>
      </c>
      <c r="O4579">
        <v>5.9260000000000002</v>
      </c>
      <c r="P4579">
        <v>10.311999999999999</v>
      </c>
      <c r="Q4579">
        <v>19.004999999999999</v>
      </c>
      <c r="R4579">
        <v>35.718000000000004</v>
      </c>
      <c r="S4579">
        <v>68.510999999999996</v>
      </c>
      <c r="T4579">
        <v>128.45599999999999</v>
      </c>
      <c r="U4579">
        <v>230.577</v>
      </c>
      <c r="V4579">
        <v>395.48700000000002</v>
      </c>
      <c r="W4579">
        <v>639.54100000000005</v>
      </c>
      <c r="X4579">
        <v>984.02700000000004</v>
      </c>
      <c r="Y4579">
        <v>1443.7139999999999</v>
      </c>
      <c r="Z4579">
        <v>2054.5129999999999</v>
      </c>
      <c r="AA4579">
        <v>2841.826</v>
      </c>
      <c r="AB4579">
        <v>3846.6729999999998</v>
      </c>
      <c r="AC4579">
        <v>5095.1850000000004</v>
      </c>
      <c r="AD4579">
        <v>6524.86</v>
      </c>
    </row>
    <row r="4580" spans="2:30" x14ac:dyDescent="0.25">
      <c r="B4580" t="s">
        <v>133</v>
      </c>
      <c r="C4580" t="s">
        <v>3265</v>
      </c>
      <c r="D4580" t="s">
        <v>5833</v>
      </c>
      <c r="E4580" t="s">
        <v>5834</v>
      </c>
      <c r="F4580" t="s">
        <v>10124</v>
      </c>
      <c r="G4580" t="s">
        <v>3890</v>
      </c>
      <c r="H4580" t="s">
        <v>109</v>
      </c>
      <c r="I4580" t="s">
        <v>108</v>
      </c>
      <c r="J4580">
        <v>2</v>
      </c>
      <c r="K4580">
        <v>44.354999999999997</v>
      </c>
      <c r="L4580">
        <v>41.411000000000001</v>
      </c>
      <c r="M4580">
        <v>47.658999999999999</v>
      </c>
      <c r="N4580">
        <v>52.780999999999999</v>
      </c>
      <c r="O4580">
        <v>55.997999999999998</v>
      </c>
      <c r="P4580">
        <v>57.893000000000001</v>
      </c>
      <c r="Q4580">
        <v>60.606999999999999</v>
      </c>
      <c r="R4580">
        <v>63.521999999999998</v>
      </c>
      <c r="S4580">
        <v>66.132000000000005</v>
      </c>
      <c r="T4580">
        <v>68.564999999999998</v>
      </c>
      <c r="U4580">
        <v>70.852999999999994</v>
      </c>
      <c r="V4580">
        <v>73.082999999999998</v>
      </c>
      <c r="W4580">
        <v>75.278999999999996</v>
      </c>
      <c r="X4580">
        <v>77.478999999999999</v>
      </c>
      <c r="Y4580">
        <v>79.697000000000003</v>
      </c>
      <c r="Z4580">
        <v>82.953000000000003</v>
      </c>
      <c r="AA4580">
        <v>86.259</v>
      </c>
      <c r="AB4580">
        <v>89.863</v>
      </c>
      <c r="AC4580">
        <v>93.531000000000006</v>
      </c>
      <c r="AD4580">
        <v>97.38</v>
      </c>
    </row>
    <row r="4581" spans="2:30" x14ac:dyDescent="0.25">
      <c r="B4581" t="s">
        <v>133</v>
      </c>
      <c r="C4581" t="s">
        <v>3265</v>
      </c>
      <c r="D4581" t="s">
        <v>5836</v>
      </c>
      <c r="E4581" t="s">
        <v>5837</v>
      </c>
      <c r="F4581" t="s">
        <v>10125</v>
      </c>
      <c r="G4581" t="s">
        <v>3890</v>
      </c>
      <c r="H4581" t="s">
        <v>109</v>
      </c>
      <c r="I4581" t="s">
        <v>108</v>
      </c>
      <c r="J4581">
        <v>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</row>
    <row r="4582" spans="2:30" x14ac:dyDescent="0.25">
      <c r="B4582" t="s">
        <v>133</v>
      </c>
      <c r="C4582" t="s">
        <v>3265</v>
      </c>
      <c r="D4582" t="s">
        <v>5839</v>
      </c>
      <c r="E4582">
        <v>0</v>
      </c>
      <c r="F4582" t="s">
        <v>10037</v>
      </c>
      <c r="G4582" t="s">
        <v>3890</v>
      </c>
      <c r="H4582" t="s">
        <v>109</v>
      </c>
      <c r="I4582" t="s">
        <v>108</v>
      </c>
      <c r="J4582">
        <v>2</v>
      </c>
      <c r="K4582">
        <v>563.20899999999995</v>
      </c>
      <c r="L4582">
        <v>545.49800000000005</v>
      </c>
      <c r="M4582">
        <v>626.49800000000005</v>
      </c>
      <c r="N4582">
        <v>694.04200000000003</v>
      </c>
      <c r="O4582">
        <v>730.18799999999999</v>
      </c>
      <c r="P4582">
        <v>742.03</v>
      </c>
      <c r="Q4582">
        <v>762.98400000000004</v>
      </c>
      <c r="R4582">
        <v>787.96100000000001</v>
      </c>
      <c r="S4582">
        <v>810.04600000000005</v>
      </c>
      <c r="T4582">
        <v>830.14400000000001</v>
      </c>
      <c r="U4582">
        <v>849.28700000000003</v>
      </c>
      <c r="V4582">
        <v>869.65099999999995</v>
      </c>
      <c r="W4582">
        <v>892.22299999999996</v>
      </c>
      <c r="X4582">
        <v>918.375</v>
      </c>
      <c r="Y4582">
        <v>948.85299999999995</v>
      </c>
      <c r="Z4582">
        <v>998.70299999999997</v>
      </c>
      <c r="AA4582">
        <v>1055.1869999999999</v>
      </c>
      <c r="AB4582">
        <v>1123.069</v>
      </c>
      <c r="AC4582">
        <v>1200.115</v>
      </c>
      <c r="AD4582">
        <v>1285.374</v>
      </c>
    </row>
    <row r="4583" spans="2:30" x14ac:dyDescent="0.25">
      <c r="B4583" t="s">
        <v>133</v>
      </c>
      <c r="C4583" t="s">
        <v>3265</v>
      </c>
      <c r="D4583" t="s">
        <v>5840</v>
      </c>
      <c r="E4583" t="s">
        <v>5841</v>
      </c>
      <c r="F4583" t="s">
        <v>10126</v>
      </c>
      <c r="G4583" t="s">
        <v>3890</v>
      </c>
      <c r="H4583" t="s">
        <v>109</v>
      </c>
      <c r="I4583" t="s">
        <v>108</v>
      </c>
      <c r="J4583">
        <v>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</row>
    <row r="4584" spans="2:30" x14ac:dyDescent="0.25">
      <c r="B4584" t="s">
        <v>133</v>
      </c>
      <c r="C4584" t="s">
        <v>3265</v>
      </c>
      <c r="D4584" t="s">
        <v>5843</v>
      </c>
      <c r="E4584" t="s">
        <v>5844</v>
      </c>
      <c r="F4584" t="s">
        <v>10127</v>
      </c>
      <c r="G4584" t="s">
        <v>3890</v>
      </c>
      <c r="H4584" t="s">
        <v>109</v>
      </c>
      <c r="I4584" t="s">
        <v>108</v>
      </c>
      <c r="J4584">
        <v>2</v>
      </c>
      <c r="K4584">
        <v>3770.7730000000001</v>
      </c>
      <c r="L4584">
        <v>3829.1619999999998</v>
      </c>
      <c r="M4584">
        <v>4289.8119999999999</v>
      </c>
      <c r="N4584">
        <v>4788.6419999999998</v>
      </c>
      <c r="O4584">
        <v>5035.4229999999998</v>
      </c>
      <c r="P4584">
        <v>5117.2280000000001</v>
      </c>
      <c r="Q4584">
        <v>5261.1149999999998</v>
      </c>
      <c r="R4584">
        <v>5429.6049999999996</v>
      </c>
      <c r="S4584">
        <v>5574.42</v>
      </c>
      <c r="T4584">
        <v>5699.35</v>
      </c>
      <c r="U4584">
        <v>5807.5079999999998</v>
      </c>
      <c r="V4584">
        <v>5907.616</v>
      </c>
      <c r="W4584">
        <v>6001.9539999999997</v>
      </c>
      <c r="X4584">
        <v>6094.1760000000004</v>
      </c>
      <c r="Y4584">
        <v>6185.4070000000002</v>
      </c>
      <c r="Z4584">
        <v>6366.1379999999999</v>
      </c>
      <c r="AA4584">
        <v>6545.6549999999997</v>
      </c>
      <c r="AB4584">
        <v>6745.4110000000001</v>
      </c>
      <c r="AC4584">
        <v>6943.3559999999998</v>
      </c>
      <c r="AD4584">
        <v>7149.5929999999998</v>
      </c>
    </row>
    <row r="4585" spans="2:30" x14ac:dyDescent="0.25">
      <c r="B4585" t="s">
        <v>133</v>
      </c>
      <c r="C4585" t="s">
        <v>3265</v>
      </c>
      <c r="D4585" t="s">
        <v>5846</v>
      </c>
      <c r="E4585">
        <v>0</v>
      </c>
      <c r="F4585" t="s">
        <v>10037</v>
      </c>
      <c r="G4585" t="s">
        <v>3890</v>
      </c>
      <c r="H4585" t="s">
        <v>109</v>
      </c>
      <c r="I4585" t="s">
        <v>108</v>
      </c>
      <c r="J4585">
        <v>2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</row>
    <row r="4586" spans="2:30" x14ac:dyDescent="0.25">
      <c r="B4586" t="s">
        <v>133</v>
      </c>
      <c r="C4586" t="s">
        <v>3265</v>
      </c>
      <c r="D4586" t="s">
        <v>5847</v>
      </c>
      <c r="E4586">
        <v>0</v>
      </c>
      <c r="F4586" t="s">
        <v>10037</v>
      </c>
      <c r="G4586" t="s">
        <v>3890</v>
      </c>
      <c r="H4586" t="s">
        <v>109</v>
      </c>
      <c r="I4586" t="s">
        <v>108</v>
      </c>
      <c r="J4586">
        <v>2</v>
      </c>
      <c r="K4586">
        <v>2.8000000000000001E-2</v>
      </c>
      <c r="L4586">
        <v>3.5999999999999997E-2</v>
      </c>
      <c r="M4586">
        <v>0.03</v>
      </c>
      <c r="N4586">
        <v>4.2000000000000003E-2</v>
      </c>
      <c r="O4586">
        <v>5.5E-2</v>
      </c>
      <c r="P4586">
        <v>7.0999999999999994E-2</v>
      </c>
      <c r="Q4586">
        <v>7.6999999999999999E-2</v>
      </c>
      <c r="R4586">
        <v>8.5000000000000006E-2</v>
      </c>
      <c r="S4586">
        <v>9.5000000000000001E-2</v>
      </c>
      <c r="T4586">
        <v>0.104</v>
      </c>
      <c r="U4586">
        <v>0.112</v>
      </c>
      <c r="V4586">
        <v>0.11899999999999999</v>
      </c>
      <c r="W4586">
        <v>0.126</v>
      </c>
      <c r="X4586">
        <v>0.13200000000000001</v>
      </c>
      <c r="Y4586">
        <v>0.13900000000000001</v>
      </c>
      <c r="Z4586">
        <v>0.14399999999999999</v>
      </c>
      <c r="AA4586">
        <v>0.14899999999999999</v>
      </c>
      <c r="AB4586">
        <v>0.153</v>
      </c>
      <c r="AC4586">
        <v>0.156</v>
      </c>
      <c r="AD4586">
        <v>0.158</v>
      </c>
    </row>
    <row r="4587" spans="2:30" x14ac:dyDescent="0.25">
      <c r="B4587" t="s">
        <v>133</v>
      </c>
      <c r="C4587" t="s">
        <v>3265</v>
      </c>
      <c r="D4587" t="s">
        <v>5848</v>
      </c>
      <c r="E4587">
        <v>0</v>
      </c>
      <c r="F4587" t="s">
        <v>10037</v>
      </c>
      <c r="G4587" t="s">
        <v>3890</v>
      </c>
      <c r="H4587" t="s">
        <v>109</v>
      </c>
      <c r="I4587" t="s">
        <v>108</v>
      </c>
      <c r="J4587">
        <v>2</v>
      </c>
      <c r="K4587">
        <v>2.3E-2</v>
      </c>
      <c r="L4587">
        <v>2.5999999999999999E-2</v>
      </c>
      <c r="M4587">
        <v>2.1000000000000001E-2</v>
      </c>
      <c r="N4587">
        <v>3.4000000000000002E-2</v>
      </c>
      <c r="O4587">
        <v>4.8000000000000001E-2</v>
      </c>
      <c r="P4587">
        <v>5.2999999999999999E-2</v>
      </c>
      <c r="Q4587">
        <v>5.5E-2</v>
      </c>
      <c r="R4587">
        <v>5.8000000000000003E-2</v>
      </c>
      <c r="S4587">
        <v>6.3E-2</v>
      </c>
      <c r="T4587">
        <v>6.9000000000000006E-2</v>
      </c>
      <c r="U4587">
        <v>7.3999999999999996E-2</v>
      </c>
      <c r="V4587">
        <v>7.9000000000000001E-2</v>
      </c>
      <c r="W4587">
        <v>8.4000000000000005E-2</v>
      </c>
      <c r="X4587">
        <v>0.09</v>
      </c>
      <c r="Y4587">
        <v>9.5000000000000001E-2</v>
      </c>
      <c r="Z4587">
        <v>0.1</v>
      </c>
      <c r="AA4587">
        <v>0.107</v>
      </c>
      <c r="AB4587">
        <v>0.114</v>
      </c>
      <c r="AC4587">
        <v>0.12</v>
      </c>
      <c r="AD4587">
        <v>0.125</v>
      </c>
    </row>
    <row r="4588" spans="2:30" x14ac:dyDescent="0.25">
      <c r="B4588" t="s">
        <v>133</v>
      </c>
      <c r="C4588" t="s">
        <v>3265</v>
      </c>
      <c r="D4588" t="s">
        <v>5849</v>
      </c>
      <c r="E4588">
        <v>0</v>
      </c>
      <c r="F4588" t="s">
        <v>10037</v>
      </c>
      <c r="G4588" t="s">
        <v>3890</v>
      </c>
      <c r="H4588" t="s">
        <v>109</v>
      </c>
      <c r="I4588" t="s">
        <v>108</v>
      </c>
      <c r="J4588">
        <v>2</v>
      </c>
      <c r="K4588">
        <v>7.0000000000000007E-2</v>
      </c>
      <c r="L4588">
        <v>7.3999999999999996E-2</v>
      </c>
      <c r="M4588">
        <v>6.5000000000000002E-2</v>
      </c>
      <c r="N4588">
        <v>9.8000000000000004E-2</v>
      </c>
      <c r="O4588">
        <v>0.13400000000000001</v>
      </c>
      <c r="P4588">
        <v>0.13500000000000001</v>
      </c>
      <c r="Q4588">
        <v>0.13400000000000001</v>
      </c>
      <c r="R4588">
        <v>0.13200000000000001</v>
      </c>
      <c r="S4588">
        <v>0.13200000000000001</v>
      </c>
      <c r="T4588">
        <v>0.13200000000000001</v>
      </c>
      <c r="U4588">
        <v>0.13200000000000001</v>
      </c>
      <c r="V4588">
        <v>0.13200000000000001</v>
      </c>
      <c r="W4588">
        <v>0.13200000000000001</v>
      </c>
      <c r="X4588">
        <v>0.13200000000000001</v>
      </c>
      <c r="Y4588">
        <v>0.13200000000000001</v>
      </c>
      <c r="Z4588">
        <v>0.129</v>
      </c>
      <c r="AA4588">
        <v>0.128</v>
      </c>
      <c r="AB4588">
        <v>0.126</v>
      </c>
      <c r="AC4588">
        <v>0.124</v>
      </c>
      <c r="AD4588">
        <v>0.122</v>
      </c>
    </row>
    <row r="4589" spans="2:30" x14ac:dyDescent="0.25">
      <c r="B4589" t="s">
        <v>133</v>
      </c>
      <c r="C4589" t="s">
        <v>3265</v>
      </c>
      <c r="D4589" t="s">
        <v>5850</v>
      </c>
      <c r="E4589">
        <v>0</v>
      </c>
      <c r="F4589" t="s">
        <v>10037</v>
      </c>
      <c r="G4589" t="s">
        <v>3890</v>
      </c>
      <c r="H4589" t="s">
        <v>109</v>
      </c>
      <c r="I4589" t="s">
        <v>108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</row>
    <row r="4590" spans="2:30" x14ac:dyDescent="0.25">
      <c r="B4590" t="s">
        <v>133</v>
      </c>
      <c r="C4590" t="s">
        <v>3265</v>
      </c>
      <c r="D4590" t="s">
        <v>5851</v>
      </c>
      <c r="E4590">
        <v>0</v>
      </c>
      <c r="F4590" t="s">
        <v>10037</v>
      </c>
      <c r="G4590" t="s">
        <v>3890</v>
      </c>
      <c r="H4590" t="s">
        <v>109</v>
      </c>
      <c r="I4590" t="s">
        <v>108</v>
      </c>
      <c r="J4590">
        <v>2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</row>
    <row r="4591" spans="2:30" x14ac:dyDescent="0.25">
      <c r="B4591" t="s">
        <v>133</v>
      </c>
      <c r="C4591" t="s">
        <v>3265</v>
      </c>
      <c r="D4591" t="s">
        <v>5852</v>
      </c>
      <c r="E4591">
        <v>0</v>
      </c>
      <c r="F4591" t="s">
        <v>10037</v>
      </c>
      <c r="G4591" t="s">
        <v>3890</v>
      </c>
      <c r="H4591" t="s">
        <v>109</v>
      </c>
      <c r="I4591" t="s">
        <v>108</v>
      </c>
      <c r="J4591">
        <v>2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1</v>
      </c>
      <c r="AB4591">
        <v>1</v>
      </c>
      <c r="AC4591">
        <v>1</v>
      </c>
      <c r="AD4591">
        <v>1</v>
      </c>
    </row>
    <row r="4592" spans="2:30" x14ac:dyDescent="0.25">
      <c r="B4592" t="s">
        <v>133</v>
      </c>
      <c r="C4592" t="s">
        <v>3265</v>
      </c>
      <c r="D4592" t="s">
        <v>5853</v>
      </c>
      <c r="E4592">
        <v>0</v>
      </c>
      <c r="F4592" t="s">
        <v>10037</v>
      </c>
      <c r="G4592" t="s">
        <v>3890</v>
      </c>
      <c r="H4592" t="s">
        <v>109</v>
      </c>
      <c r="I4592" t="s">
        <v>108</v>
      </c>
      <c r="J4592">
        <v>2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</row>
    <row r="4593" spans="2:30" x14ac:dyDescent="0.25">
      <c r="B4593" t="s">
        <v>133</v>
      </c>
      <c r="C4593" t="s">
        <v>3265</v>
      </c>
      <c r="D4593" t="s">
        <v>5854</v>
      </c>
      <c r="E4593">
        <v>0</v>
      </c>
      <c r="F4593" t="s">
        <v>10037</v>
      </c>
      <c r="G4593" t="s">
        <v>3890</v>
      </c>
      <c r="H4593" t="s">
        <v>109</v>
      </c>
      <c r="I4593" t="s">
        <v>108</v>
      </c>
      <c r="J4593">
        <v>2</v>
      </c>
      <c r="K4593">
        <v>5.0999999999999997E-2</v>
      </c>
      <c r="L4593">
        <v>6.0999999999999999E-2</v>
      </c>
      <c r="M4593">
        <v>5.0999999999999997E-2</v>
      </c>
      <c r="N4593">
        <v>7.5999999999999998E-2</v>
      </c>
      <c r="O4593">
        <v>0.104</v>
      </c>
      <c r="P4593">
        <v>0.124</v>
      </c>
      <c r="Q4593">
        <v>0.13200000000000001</v>
      </c>
      <c r="R4593">
        <v>0.14299999999999999</v>
      </c>
      <c r="S4593">
        <v>0.158</v>
      </c>
      <c r="T4593">
        <v>0.17199999999999999</v>
      </c>
      <c r="U4593">
        <v>0.186</v>
      </c>
      <c r="V4593">
        <v>0.19800000000000001</v>
      </c>
      <c r="W4593">
        <v>0.21</v>
      </c>
      <c r="X4593">
        <v>0.222</v>
      </c>
      <c r="Y4593">
        <v>0.23400000000000001</v>
      </c>
      <c r="Z4593">
        <v>0.24299999999999999</v>
      </c>
      <c r="AA4593">
        <v>0.25600000000000001</v>
      </c>
      <c r="AB4593">
        <v>0.26700000000000002</v>
      </c>
      <c r="AC4593">
        <v>0.27600000000000002</v>
      </c>
      <c r="AD4593">
        <v>0.28299999999999997</v>
      </c>
    </row>
    <row r="4594" spans="2:30" x14ac:dyDescent="0.25">
      <c r="B4594" t="s">
        <v>133</v>
      </c>
      <c r="C4594" t="s">
        <v>3265</v>
      </c>
      <c r="D4594" t="s">
        <v>5855</v>
      </c>
      <c r="E4594">
        <v>0</v>
      </c>
      <c r="F4594" t="s">
        <v>10037</v>
      </c>
      <c r="G4594" t="s">
        <v>3890</v>
      </c>
      <c r="H4594" t="s">
        <v>109</v>
      </c>
      <c r="I4594" t="s">
        <v>108</v>
      </c>
      <c r="J4594">
        <v>2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</row>
    <row r="4595" spans="2:30" x14ac:dyDescent="0.25">
      <c r="B4595" t="s">
        <v>133</v>
      </c>
      <c r="C4595" t="s">
        <v>3265</v>
      </c>
      <c r="D4595" t="s">
        <v>5856</v>
      </c>
      <c r="E4595">
        <v>0</v>
      </c>
      <c r="F4595" t="s">
        <v>10037</v>
      </c>
      <c r="G4595" t="s">
        <v>3890</v>
      </c>
      <c r="H4595" t="s">
        <v>109</v>
      </c>
      <c r="I4595" t="s">
        <v>108</v>
      </c>
      <c r="J4595">
        <v>2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</row>
    <row r="4596" spans="2:30" x14ac:dyDescent="0.25">
      <c r="B4596" t="s">
        <v>133</v>
      </c>
      <c r="C4596" t="s">
        <v>3265</v>
      </c>
      <c r="D4596" t="s">
        <v>5847</v>
      </c>
      <c r="E4596">
        <v>0</v>
      </c>
      <c r="F4596" t="s">
        <v>10037</v>
      </c>
      <c r="G4596" t="s">
        <v>3890</v>
      </c>
      <c r="H4596" t="s">
        <v>109</v>
      </c>
      <c r="I4596" t="s">
        <v>108</v>
      </c>
      <c r="J4596">
        <v>2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</row>
    <row r="4597" spans="2:30" x14ac:dyDescent="0.25">
      <c r="B4597" t="s">
        <v>133</v>
      </c>
      <c r="C4597" t="s">
        <v>3265</v>
      </c>
      <c r="D4597" t="s">
        <v>5848</v>
      </c>
      <c r="E4597">
        <v>0</v>
      </c>
      <c r="F4597" t="s">
        <v>10037</v>
      </c>
      <c r="G4597" t="s">
        <v>3890</v>
      </c>
      <c r="H4597" t="s">
        <v>109</v>
      </c>
      <c r="I4597" t="s">
        <v>108</v>
      </c>
      <c r="J4597">
        <v>2</v>
      </c>
      <c r="K4597">
        <v>5.3999999999999999E-2</v>
      </c>
      <c r="L4597">
        <v>5.3999999999999999E-2</v>
      </c>
      <c r="M4597">
        <v>5.5E-2</v>
      </c>
      <c r="N4597">
        <v>5.5E-2</v>
      </c>
      <c r="O4597">
        <v>5.5E-2</v>
      </c>
      <c r="P4597">
        <v>5.5E-2</v>
      </c>
      <c r="Q4597">
        <v>5.5E-2</v>
      </c>
      <c r="R4597">
        <v>5.5E-2</v>
      </c>
      <c r="S4597">
        <v>5.5E-2</v>
      </c>
      <c r="T4597">
        <v>5.5E-2</v>
      </c>
      <c r="U4597">
        <v>5.5E-2</v>
      </c>
      <c r="V4597">
        <v>5.5E-2</v>
      </c>
      <c r="W4597">
        <v>5.3999999999999999E-2</v>
      </c>
      <c r="X4597">
        <v>5.3999999999999999E-2</v>
      </c>
      <c r="Y4597">
        <v>5.3999999999999999E-2</v>
      </c>
      <c r="Z4597">
        <v>5.2999999999999999E-2</v>
      </c>
      <c r="AA4597">
        <v>5.2999999999999999E-2</v>
      </c>
      <c r="AB4597">
        <v>5.1999999999999998E-2</v>
      </c>
      <c r="AC4597">
        <v>5.1999999999999998E-2</v>
      </c>
      <c r="AD4597">
        <v>5.1999999999999998E-2</v>
      </c>
    </row>
    <row r="4598" spans="2:30" x14ac:dyDescent="0.25">
      <c r="B4598" t="s">
        <v>133</v>
      </c>
      <c r="C4598" t="s">
        <v>3265</v>
      </c>
      <c r="D4598" t="s">
        <v>5849</v>
      </c>
      <c r="E4598">
        <v>0</v>
      </c>
      <c r="F4598" t="s">
        <v>10037</v>
      </c>
      <c r="G4598" t="s">
        <v>3890</v>
      </c>
      <c r="H4598" t="s">
        <v>109</v>
      </c>
      <c r="I4598" t="s">
        <v>108</v>
      </c>
      <c r="J4598">
        <v>2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</row>
    <row r="4599" spans="2:30" x14ac:dyDescent="0.25">
      <c r="B4599" t="s">
        <v>133</v>
      </c>
      <c r="C4599" t="s">
        <v>3265</v>
      </c>
      <c r="D4599" t="s">
        <v>5850</v>
      </c>
      <c r="E4599" t="s">
        <v>5857</v>
      </c>
      <c r="F4599" t="s">
        <v>10128</v>
      </c>
      <c r="G4599" t="s">
        <v>3890</v>
      </c>
      <c r="H4599" t="s">
        <v>109</v>
      </c>
      <c r="I4599" t="s">
        <v>108</v>
      </c>
      <c r="J4599">
        <v>2</v>
      </c>
      <c r="K4599">
        <v>5.3999999999999999E-2</v>
      </c>
      <c r="L4599">
        <v>5.3999999999999999E-2</v>
      </c>
      <c r="M4599">
        <v>5.5E-2</v>
      </c>
      <c r="N4599">
        <v>5.5E-2</v>
      </c>
      <c r="O4599">
        <v>5.5E-2</v>
      </c>
      <c r="P4599">
        <v>5.5E-2</v>
      </c>
      <c r="Q4599">
        <v>5.5E-2</v>
      </c>
      <c r="R4599">
        <v>5.5E-2</v>
      </c>
      <c r="S4599">
        <v>5.5E-2</v>
      </c>
      <c r="T4599">
        <v>5.5E-2</v>
      </c>
      <c r="U4599">
        <v>5.5E-2</v>
      </c>
      <c r="V4599">
        <v>5.5E-2</v>
      </c>
      <c r="W4599">
        <v>5.3999999999999999E-2</v>
      </c>
      <c r="X4599">
        <v>5.3999999999999999E-2</v>
      </c>
      <c r="Y4599">
        <v>5.3999999999999999E-2</v>
      </c>
      <c r="Z4599">
        <v>5.2999999999999999E-2</v>
      </c>
      <c r="AA4599">
        <v>5.2999999999999999E-2</v>
      </c>
      <c r="AB4599">
        <v>5.1999999999999998E-2</v>
      </c>
      <c r="AC4599">
        <v>5.1999999999999998E-2</v>
      </c>
      <c r="AD4599">
        <v>5.1999999999999998E-2</v>
      </c>
    </row>
    <row r="4600" spans="2:30" x14ac:dyDescent="0.25">
      <c r="B4600" t="s">
        <v>133</v>
      </c>
      <c r="C4600" t="s">
        <v>3265</v>
      </c>
      <c r="D4600" t="s">
        <v>5851</v>
      </c>
      <c r="E4600">
        <v>0</v>
      </c>
      <c r="F4600" t="s">
        <v>10037</v>
      </c>
      <c r="G4600" t="s">
        <v>3890</v>
      </c>
      <c r="H4600" t="s">
        <v>109</v>
      </c>
      <c r="I4600" t="s">
        <v>108</v>
      </c>
      <c r="J4600">
        <v>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</row>
    <row r="4601" spans="2:30" x14ac:dyDescent="0.25">
      <c r="B4601" t="s">
        <v>133</v>
      </c>
      <c r="C4601" t="s">
        <v>3265</v>
      </c>
      <c r="D4601" t="s">
        <v>5852</v>
      </c>
      <c r="E4601">
        <v>0</v>
      </c>
      <c r="F4601" t="s">
        <v>10037</v>
      </c>
      <c r="G4601" t="s">
        <v>3890</v>
      </c>
      <c r="H4601" t="s">
        <v>109</v>
      </c>
      <c r="I4601" t="s">
        <v>108</v>
      </c>
      <c r="J4601">
        <v>2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</row>
    <row r="4602" spans="2:30" x14ac:dyDescent="0.25">
      <c r="B4602" t="s">
        <v>133</v>
      </c>
      <c r="C4602" t="s">
        <v>3265</v>
      </c>
      <c r="D4602" t="s">
        <v>5853</v>
      </c>
      <c r="E4602" t="s">
        <v>5859</v>
      </c>
      <c r="F4602" t="s">
        <v>10129</v>
      </c>
      <c r="G4602" t="s">
        <v>3890</v>
      </c>
      <c r="H4602" t="s">
        <v>109</v>
      </c>
      <c r="I4602" t="s">
        <v>108</v>
      </c>
      <c r="J4602">
        <v>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</row>
    <row r="4603" spans="2:30" x14ac:dyDescent="0.25">
      <c r="B4603" t="s">
        <v>133</v>
      </c>
      <c r="C4603" t="s">
        <v>3265</v>
      </c>
      <c r="D4603" t="s">
        <v>5854</v>
      </c>
      <c r="E4603">
        <v>0</v>
      </c>
      <c r="F4603" t="s">
        <v>10037</v>
      </c>
      <c r="G4603" t="s">
        <v>3890</v>
      </c>
      <c r="H4603" t="s">
        <v>109</v>
      </c>
      <c r="I4603" t="s">
        <v>108</v>
      </c>
      <c r="J4603">
        <v>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</row>
    <row r="4604" spans="2:30" x14ac:dyDescent="0.25">
      <c r="B4604" t="s">
        <v>133</v>
      </c>
      <c r="C4604" t="s">
        <v>3265</v>
      </c>
      <c r="D4604" t="s">
        <v>5855</v>
      </c>
      <c r="E4604">
        <v>0</v>
      </c>
      <c r="F4604" t="s">
        <v>10037</v>
      </c>
      <c r="G4604" t="s">
        <v>3890</v>
      </c>
      <c r="H4604" t="s">
        <v>109</v>
      </c>
      <c r="I4604" t="s">
        <v>108</v>
      </c>
      <c r="J4604">
        <v>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</row>
    <row r="4605" spans="2:30" x14ac:dyDescent="0.25">
      <c r="B4605" t="s">
        <v>133</v>
      </c>
      <c r="C4605" t="s">
        <v>3265</v>
      </c>
      <c r="D4605" t="s">
        <v>5861</v>
      </c>
      <c r="E4605" t="e">
        <v>#REF!</v>
      </c>
      <c r="F4605" t="e">
        <v>#REF!</v>
      </c>
      <c r="G4605" t="s">
        <v>3890</v>
      </c>
      <c r="H4605" t="s">
        <v>109</v>
      </c>
      <c r="I4605" t="s">
        <v>108</v>
      </c>
      <c r="J4605">
        <v>2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</row>
    <row r="4606" spans="2:30" x14ac:dyDescent="0.25">
      <c r="B4606" t="s">
        <v>133</v>
      </c>
      <c r="C4606" t="s">
        <v>3265</v>
      </c>
      <c r="D4606" t="s">
        <v>5847</v>
      </c>
      <c r="E4606" t="e">
        <v>#REF!</v>
      </c>
      <c r="F4606" t="e">
        <v>#REF!</v>
      </c>
      <c r="G4606" t="s">
        <v>3890</v>
      </c>
      <c r="H4606" t="s">
        <v>109</v>
      </c>
      <c r="I4606" t="s">
        <v>108</v>
      </c>
      <c r="J4606">
        <v>2</v>
      </c>
      <c r="K4606">
        <v>1.4E-2</v>
      </c>
      <c r="L4606">
        <v>1.7999999999999999E-2</v>
      </c>
      <c r="M4606">
        <v>1.4999999999999999E-2</v>
      </c>
      <c r="N4606">
        <v>2.1000000000000001E-2</v>
      </c>
      <c r="O4606">
        <v>2.75E-2</v>
      </c>
      <c r="P4606">
        <v>3.5499999999999997E-2</v>
      </c>
      <c r="Q4606">
        <v>3.85E-2</v>
      </c>
      <c r="R4606">
        <v>4.2500000000000003E-2</v>
      </c>
      <c r="S4606">
        <v>4.7500000000000001E-2</v>
      </c>
      <c r="T4606">
        <v>5.1999999999999998E-2</v>
      </c>
      <c r="U4606">
        <v>5.6000000000000001E-2</v>
      </c>
      <c r="V4606">
        <v>5.9499999999999997E-2</v>
      </c>
      <c r="W4606">
        <v>6.3E-2</v>
      </c>
      <c r="X4606">
        <v>6.6000000000000003E-2</v>
      </c>
      <c r="Y4606">
        <v>6.9500000000000006E-2</v>
      </c>
      <c r="Z4606">
        <v>7.1999999999999995E-2</v>
      </c>
      <c r="AA4606">
        <v>7.4499999999999997E-2</v>
      </c>
      <c r="AB4606">
        <v>7.6499999999999999E-2</v>
      </c>
      <c r="AC4606">
        <v>7.8E-2</v>
      </c>
      <c r="AD4606">
        <v>7.9000000000000001E-2</v>
      </c>
    </row>
    <row r="4607" spans="2:30" x14ac:dyDescent="0.25">
      <c r="B4607" t="s">
        <v>133</v>
      </c>
      <c r="C4607" t="s">
        <v>3265</v>
      </c>
      <c r="D4607" t="s">
        <v>5848</v>
      </c>
      <c r="E4607" t="e">
        <v>#REF!</v>
      </c>
      <c r="F4607" t="e">
        <v>#REF!</v>
      </c>
      <c r="G4607" t="s">
        <v>3890</v>
      </c>
      <c r="H4607" t="s">
        <v>109</v>
      </c>
      <c r="I4607" t="s">
        <v>108</v>
      </c>
      <c r="J4607">
        <v>2</v>
      </c>
      <c r="K4607">
        <v>3.85E-2</v>
      </c>
      <c r="L4607">
        <v>0.04</v>
      </c>
      <c r="M4607">
        <v>3.7999999999999999E-2</v>
      </c>
      <c r="N4607">
        <v>4.4499999999999998E-2</v>
      </c>
      <c r="O4607">
        <v>5.1500000000000004E-2</v>
      </c>
      <c r="P4607">
        <v>5.3999999999999999E-2</v>
      </c>
      <c r="Q4607">
        <v>5.5E-2</v>
      </c>
      <c r="R4607">
        <v>5.6500000000000002E-2</v>
      </c>
      <c r="S4607">
        <v>5.8999999999999997E-2</v>
      </c>
      <c r="T4607">
        <v>6.2E-2</v>
      </c>
      <c r="U4607">
        <v>6.4500000000000002E-2</v>
      </c>
      <c r="V4607">
        <v>6.7000000000000004E-2</v>
      </c>
      <c r="W4607">
        <v>6.9000000000000006E-2</v>
      </c>
      <c r="X4607">
        <v>7.1999999999999995E-2</v>
      </c>
      <c r="Y4607">
        <v>7.4499999999999997E-2</v>
      </c>
      <c r="Z4607">
        <v>7.6499999999999999E-2</v>
      </c>
      <c r="AA4607">
        <v>0.08</v>
      </c>
      <c r="AB4607">
        <v>8.3000000000000004E-2</v>
      </c>
      <c r="AC4607">
        <v>8.5999999999999993E-2</v>
      </c>
      <c r="AD4607">
        <v>8.8499999999999995E-2</v>
      </c>
    </row>
    <row r="4608" spans="2:30" x14ac:dyDescent="0.25">
      <c r="B4608" t="s">
        <v>133</v>
      </c>
      <c r="C4608" t="s">
        <v>3265</v>
      </c>
      <c r="D4608" t="s">
        <v>5849</v>
      </c>
      <c r="E4608" t="e">
        <v>#REF!</v>
      </c>
      <c r="F4608" t="e">
        <v>#REF!</v>
      </c>
      <c r="G4608" t="s">
        <v>3890</v>
      </c>
      <c r="H4608" t="s">
        <v>109</v>
      </c>
      <c r="I4608" t="s">
        <v>108</v>
      </c>
      <c r="J4608">
        <v>2</v>
      </c>
      <c r="K4608">
        <v>3.5000000000000003E-2</v>
      </c>
      <c r="L4608">
        <v>3.6999999999999998E-2</v>
      </c>
      <c r="M4608">
        <v>3.2500000000000001E-2</v>
      </c>
      <c r="N4608">
        <v>4.9000000000000002E-2</v>
      </c>
      <c r="O4608">
        <v>6.7000000000000004E-2</v>
      </c>
      <c r="P4608">
        <v>6.7500000000000004E-2</v>
      </c>
      <c r="Q4608">
        <v>6.7000000000000004E-2</v>
      </c>
      <c r="R4608">
        <v>6.6000000000000003E-2</v>
      </c>
      <c r="S4608">
        <v>6.6000000000000003E-2</v>
      </c>
      <c r="T4608">
        <v>6.6000000000000003E-2</v>
      </c>
      <c r="U4608">
        <v>6.6000000000000003E-2</v>
      </c>
      <c r="V4608">
        <v>6.6000000000000003E-2</v>
      </c>
      <c r="W4608">
        <v>6.6000000000000003E-2</v>
      </c>
      <c r="X4608">
        <v>6.6000000000000003E-2</v>
      </c>
      <c r="Y4608">
        <v>6.6000000000000003E-2</v>
      </c>
      <c r="Z4608">
        <v>6.4500000000000002E-2</v>
      </c>
      <c r="AA4608">
        <v>6.4000000000000001E-2</v>
      </c>
      <c r="AB4608">
        <v>6.3E-2</v>
      </c>
      <c r="AC4608">
        <v>6.2E-2</v>
      </c>
      <c r="AD4608">
        <v>6.0999999999999999E-2</v>
      </c>
    </row>
    <row r="4609" spans="2:30" x14ac:dyDescent="0.25">
      <c r="B4609" t="s">
        <v>133</v>
      </c>
      <c r="C4609" t="s">
        <v>3265</v>
      </c>
      <c r="D4609" t="s">
        <v>5850</v>
      </c>
      <c r="E4609" t="e">
        <v>#REF!</v>
      </c>
      <c r="F4609" t="e">
        <v>#REF!</v>
      </c>
      <c r="G4609" t="s">
        <v>3890</v>
      </c>
      <c r="H4609" t="s">
        <v>109</v>
      </c>
      <c r="I4609" t="s">
        <v>108</v>
      </c>
      <c r="J4609">
        <v>2</v>
      </c>
      <c r="K4609">
        <v>2.7E-2</v>
      </c>
      <c r="L4609">
        <v>2.7E-2</v>
      </c>
      <c r="M4609">
        <v>2.75E-2</v>
      </c>
      <c r="N4609">
        <v>2.75E-2</v>
      </c>
      <c r="O4609">
        <v>2.75E-2</v>
      </c>
      <c r="P4609">
        <v>2.75E-2</v>
      </c>
      <c r="Q4609">
        <v>2.75E-2</v>
      </c>
      <c r="R4609">
        <v>2.75E-2</v>
      </c>
      <c r="S4609">
        <v>2.75E-2</v>
      </c>
      <c r="T4609">
        <v>2.75E-2</v>
      </c>
      <c r="U4609">
        <v>2.75E-2</v>
      </c>
      <c r="V4609">
        <v>2.75E-2</v>
      </c>
      <c r="W4609">
        <v>2.7E-2</v>
      </c>
      <c r="X4609">
        <v>2.7E-2</v>
      </c>
      <c r="Y4609">
        <v>2.7E-2</v>
      </c>
      <c r="Z4609">
        <v>2.6499999999999999E-2</v>
      </c>
      <c r="AA4609">
        <v>2.6499999999999999E-2</v>
      </c>
      <c r="AB4609">
        <v>2.5999999999999999E-2</v>
      </c>
      <c r="AC4609">
        <v>2.5999999999999999E-2</v>
      </c>
      <c r="AD4609">
        <v>2.5999999999999999E-2</v>
      </c>
    </row>
    <row r="4610" spans="2:30" x14ac:dyDescent="0.25">
      <c r="B4610" t="s">
        <v>133</v>
      </c>
      <c r="C4610" t="s">
        <v>3265</v>
      </c>
      <c r="D4610" t="s">
        <v>5851</v>
      </c>
      <c r="E4610" t="e">
        <v>#REF!</v>
      </c>
      <c r="F4610" t="e">
        <v>#REF!</v>
      </c>
      <c r="G4610" t="s">
        <v>3890</v>
      </c>
      <c r="H4610" t="s">
        <v>109</v>
      </c>
      <c r="I4610" t="s">
        <v>108</v>
      </c>
      <c r="J4610">
        <v>2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</row>
    <row r="4611" spans="2:30" x14ac:dyDescent="0.25">
      <c r="B4611" t="s">
        <v>133</v>
      </c>
      <c r="C4611" t="s">
        <v>3265</v>
      </c>
      <c r="D4611" t="s">
        <v>5852</v>
      </c>
      <c r="E4611" t="e">
        <v>#REF!</v>
      </c>
      <c r="F4611" t="e">
        <v>#REF!</v>
      </c>
      <c r="G4611" t="s">
        <v>3890</v>
      </c>
      <c r="H4611" t="s">
        <v>109</v>
      </c>
      <c r="I4611" t="s">
        <v>108</v>
      </c>
      <c r="J4611">
        <v>2</v>
      </c>
      <c r="K4611">
        <v>0.5</v>
      </c>
      <c r="L4611">
        <v>0.5</v>
      </c>
      <c r="M4611">
        <v>0.5</v>
      </c>
      <c r="N4611">
        <v>0.5</v>
      </c>
      <c r="O4611">
        <v>0.5</v>
      </c>
      <c r="P4611">
        <v>0.5</v>
      </c>
      <c r="Q4611">
        <v>0.5</v>
      </c>
      <c r="R4611">
        <v>0.5</v>
      </c>
      <c r="S4611">
        <v>0.5</v>
      </c>
      <c r="T4611">
        <v>0.5</v>
      </c>
      <c r="U4611">
        <v>0.5</v>
      </c>
      <c r="V4611">
        <v>0.5</v>
      </c>
      <c r="W4611">
        <v>0.5</v>
      </c>
      <c r="X4611">
        <v>0.5</v>
      </c>
      <c r="Y4611">
        <v>0.5</v>
      </c>
      <c r="Z4611">
        <v>0.5</v>
      </c>
      <c r="AA4611">
        <v>0.5</v>
      </c>
      <c r="AB4611">
        <v>0.5</v>
      </c>
      <c r="AC4611">
        <v>0.5</v>
      </c>
      <c r="AD4611">
        <v>0.5</v>
      </c>
    </row>
    <row r="4612" spans="2:30" x14ac:dyDescent="0.25">
      <c r="B4612" t="s">
        <v>133</v>
      </c>
      <c r="C4612" t="s">
        <v>3265</v>
      </c>
      <c r="D4612" t="s">
        <v>5853</v>
      </c>
      <c r="E4612" t="e">
        <v>#REF!</v>
      </c>
      <c r="F4612" t="e">
        <v>#REF!</v>
      </c>
      <c r="G4612" t="s">
        <v>3890</v>
      </c>
      <c r="H4612" t="s">
        <v>109</v>
      </c>
      <c r="I4612" t="s">
        <v>108</v>
      </c>
      <c r="J4612">
        <v>2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</row>
    <row r="4613" spans="2:30" x14ac:dyDescent="0.25">
      <c r="B4613" t="s">
        <v>133</v>
      </c>
      <c r="C4613" t="s">
        <v>3265</v>
      </c>
      <c r="D4613" t="s">
        <v>5854</v>
      </c>
      <c r="E4613" t="e">
        <v>#REF!</v>
      </c>
      <c r="F4613" t="e">
        <v>#REF!</v>
      </c>
      <c r="G4613" t="s">
        <v>3890</v>
      </c>
      <c r="H4613" t="s">
        <v>109</v>
      </c>
      <c r="I4613" t="s">
        <v>108</v>
      </c>
      <c r="J4613">
        <v>2</v>
      </c>
      <c r="K4613">
        <v>2.5499999999999998E-2</v>
      </c>
      <c r="L4613">
        <v>3.0499999999999999E-2</v>
      </c>
      <c r="M4613">
        <v>2.5499999999999998E-2</v>
      </c>
      <c r="N4613">
        <v>3.7999999999999999E-2</v>
      </c>
      <c r="O4613">
        <v>5.1999999999999998E-2</v>
      </c>
      <c r="P4613">
        <v>6.2E-2</v>
      </c>
      <c r="Q4613">
        <v>6.6000000000000003E-2</v>
      </c>
      <c r="R4613">
        <v>7.1499999999999994E-2</v>
      </c>
      <c r="S4613">
        <v>7.9000000000000001E-2</v>
      </c>
      <c r="T4613">
        <v>8.5999999999999993E-2</v>
      </c>
      <c r="U4613">
        <v>9.2999999999999999E-2</v>
      </c>
      <c r="V4613">
        <v>9.9000000000000005E-2</v>
      </c>
      <c r="W4613">
        <v>0.105</v>
      </c>
      <c r="X4613">
        <v>0.111</v>
      </c>
      <c r="Y4613">
        <v>0.11700000000000001</v>
      </c>
      <c r="Z4613">
        <v>0.1215</v>
      </c>
      <c r="AA4613">
        <v>0.128</v>
      </c>
      <c r="AB4613">
        <v>0.13350000000000001</v>
      </c>
      <c r="AC4613">
        <v>0.13800000000000001</v>
      </c>
      <c r="AD4613">
        <v>0.14149999999999999</v>
      </c>
    </row>
    <row r="4614" spans="2:30" x14ac:dyDescent="0.25">
      <c r="B4614" t="s">
        <v>133</v>
      </c>
      <c r="C4614" t="s">
        <v>3265</v>
      </c>
      <c r="D4614" t="s">
        <v>5855</v>
      </c>
      <c r="E4614" t="e">
        <v>#REF!</v>
      </c>
      <c r="F4614" t="e">
        <v>#REF!</v>
      </c>
      <c r="G4614" t="s">
        <v>3890</v>
      </c>
      <c r="H4614" t="s">
        <v>109</v>
      </c>
      <c r="I4614" t="s">
        <v>108</v>
      </c>
      <c r="J4614">
        <v>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</row>
    <row r="4615" spans="2:30" x14ac:dyDescent="0.25">
      <c r="B4615" t="s">
        <v>133</v>
      </c>
      <c r="C4615" t="s">
        <v>3265</v>
      </c>
      <c r="D4615" t="s">
        <v>3436</v>
      </c>
      <c r="E4615" t="s">
        <v>3437</v>
      </c>
      <c r="F4615" t="s">
        <v>9534</v>
      </c>
      <c r="G4615" t="s">
        <v>3890</v>
      </c>
      <c r="H4615" t="s">
        <v>2308</v>
      </c>
      <c r="I4615" t="s">
        <v>5862</v>
      </c>
      <c r="J4615">
        <v>1</v>
      </c>
      <c r="K4615">
        <v>-31.97</v>
      </c>
      <c r="L4615">
        <v>-26.56</v>
      </c>
      <c r="M4615">
        <v>-38.700000000000003</v>
      </c>
      <c r="N4615">
        <v>-37.520000000000003</v>
      </c>
      <c r="O4615">
        <v>-39.33</v>
      </c>
      <c r="P4615">
        <v>-38.21</v>
      </c>
      <c r="Q4615">
        <v>-38.51</v>
      </c>
      <c r="R4615">
        <v>-39.22</v>
      </c>
      <c r="S4615">
        <v>-39.93</v>
      </c>
      <c r="T4615">
        <v>-40.51</v>
      </c>
      <c r="U4615">
        <v>-41.25</v>
      </c>
      <c r="V4615">
        <v>-41.92</v>
      </c>
      <c r="W4615">
        <v>-42.48</v>
      </c>
      <c r="X4615">
        <v>-42.89</v>
      </c>
      <c r="Y4615">
        <v>-43.07</v>
      </c>
      <c r="Z4615">
        <v>-43.04</v>
      </c>
      <c r="AA4615">
        <v>-42.79</v>
      </c>
      <c r="AB4615">
        <v>-42.29</v>
      </c>
      <c r="AC4615">
        <v>-41.94</v>
      </c>
      <c r="AD4615">
        <v>-43.65</v>
      </c>
    </row>
    <row r="4616" spans="2:30" x14ac:dyDescent="0.25">
      <c r="B4616" t="s">
        <v>133</v>
      </c>
      <c r="C4616" t="s">
        <v>3265</v>
      </c>
      <c r="D4616" t="s">
        <v>5863</v>
      </c>
      <c r="E4616">
        <v>0</v>
      </c>
      <c r="F4616" t="s">
        <v>10037</v>
      </c>
      <c r="G4616" t="s">
        <v>3890</v>
      </c>
      <c r="H4616" t="s">
        <v>2308</v>
      </c>
      <c r="I4616" t="s">
        <v>5862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</row>
    <row r="4617" spans="2:30" x14ac:dyDescent="0.25">
      <c r="B4617" t="s">
        <v>133</v>
      </c>
      <c r="C4617" t="s">
        <v>3265</v>
      </c>
      <c r="D4617" t="s">
        <v>5864</v>
      </c>
      <c r="E4617">
        <v>0</v>
      </c>
      <c r="F4617" t="s">
        <v>10037</v>
      </c>
      <c r="G4617" t="s">
        <v>3890</v>
      </c>
      <c r="H4617" t="s">
        <v>2308</v>
      </c>
      <c r="I4617" t="s">
        <v>5862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</row>
    <row r="4618" spans="2:30" x14ac:dyDescent="0.25">
      <c r="B4618" t="s">
        <v>133</v>
      </c>
      <c r="C4618" t="s">
        <v>3265</v>
      </c>
      <c r="D4618" t="s">
        <v>5865</v>
      </c>
      <c r="E4618">
        <v>0</v>
      </c>
      <c r="F4618" t="s">
        <v>10037</v>
      </c>
      <c r="G4618" t="s">
        <v>3890</v>
      </c>
      <c r="H4618" t="s">
        <v>2308</v>
      </c>
      <c r="I4618" t="s">
        <v>5862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</row>
    <row r="4619" spans="2:30" x14ac:dyDescent="0.25">
      <c r="B4619" t="s">
        <v>133</v>
      </c>
      <c r="C4619" t="s">
        <v>3265</v>
      </c>
      <c r="D4619" t="s">
        <v>5866</v>
      </c>
      <c r="E4619">
        <v>0</v>
      </c>
      <c r="F4619" t="s">
        <v>10037</v>
      </c>
      <c r="G4619" t="s">
        <v>3890</v>
      </c>
      <c r="H4619" t="s">
        <v>2308</v>
      </c>
      <c r="I4619" t="s">
        <v>5862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</row>
    <row r="4620" spans="2:30" x14ac:dyDescent="0.25">
      <c r="B4620" t="s">
        <v>133</v>
      </c>
      <c r="C4620" t="s">
        <v>3265</v>
      </c>
      <c r="D4620" t="s">
        <v>5867</v>
      </c>
      <c r="E4620">
        <v>0</v>
      </c>
      <c r="F4620" t="s">
        <v>10037</v>
      </c>
      <c r="G4620" t="s">
        <v>3890</v>
      </c>
      <c r="H4620" t="s">
        <v>2308</v>
      </c>
      <c r="I4620" t="s">
        <v>5862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</row>
    <row r="4621" spans="2:30" x14ac:dyDescent="0.25">
      <c r="B4621" t="s">
        <v>133</v>
      </c>
      <c r="C4621" t="s">
        <v>3265</v>
      </c>
      <c r="D4621" t="s">
        <v>5868</v>
      </c>
      <c r="E4621">
        <v>0</v>
      </c>
      <c r="F4621" t="s">
        <v>10037</v>
      </c>
      <c r="G4621" t="s">
        <v>3890</v>
      </c>
      <c r="H4621" t="s">
        <v>2308</v>
      </c>
      <c r="I4621" t="s">
        <v>5862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</row>
    <row r="4622" spans="2:30" x14ac:dyDescent="0.25">
      <c r="B4622" t="s">
        <v>133</v>
      </c>
      <c r="C4622" t="s">
        <v>3265</v>
      </c>
      <c r="D4622" t="s">
        <v>3442</v>
      </c>
      <c r="E4622" t="s">
        <v>3443</v>
      </c>
      <c r="F4622" t="s">
        <v>9535</v>
      </c>
      <c r="G4622" t="s">
        <v>3890</v>
      </c>
      <c r="H4622" t="s">
        <v>2308</v>
      </c>
      <c r="I4622" t="s">
        <v>5862</v>
      </c>
      <c r="J4622">
        <v>2</v>
      </c>
      <c r="K4622">
        <v>-31.97</v>
      </c>
      <c r="L4622">
        <v>-26.56</v>
      </c>
      <c r="M4622">
        <v>-38.700000000000003</v>
      </c>
      <c r="N4622">
        <v>-37.520000000000003</v>
      </c>
      <c r="O4622">
        <v>-39.33</v>
      </c>
      <c r="P4622">
        <v>-38.21</v>
      </c>
      <c r="Q4622">
        <v>-38.33</v>
      </c>
      <c r="R4622">
        <v>-38.5</v>
      </c>
      <c r="S4622">
        <v>-38.31</v>
      </c>
      <c r="T4622">
        <v>-37.729999999999997</v>
      </c>
      <c r="U4622">
        <v>-37.1</v>
      </c>
      <c r="V4622">
        <v>-36.22</v>
      </c>
      <c r="W4622">
        <v>-35.07</v>
      </c>
      <c r="X4622">
        <v>-33.619999999999997</v>
      </c>
      <c r="Y4622">
        <v>-33.14</v>
      </c>
      <c r="Z4622">
        <v>-32.799999999999997</v>
      </c>
      <c r="AA4622">
        <v>-32.130000000000003</v>
      </c>
      <c r="AB4622">
        <v>-31.27</v>
      </c>
      <c r="AC4622">
        <v>-30.51</v>
      </c>
      <c r="AD4622">
        <v>-31.89</v>
      </c>
    </row>
    <row r="4623" spans="2:30" x14ac:dyDescent="0.25">
      <c r="B4623" t="s">
        <v>133</v>
      </c>
      <c r="C4623" t="s">
        <v>3265</v>
      </c>
      <c r="D4623" t="s">
        <v>3399</v>
      </c>
      <c r="E4623" t="s">
        <v>3401</v>
      </c>
      <c r="F4623" t="s">
        <v>10130</v>
      </c>
      <c r="G4623" t="s">
        <v>3890</v>
      </c>
      <c r="H4623" t="s">
        <v>2308</v>
      </c>
      <c r="I4623" t="s">
        <v>5862</v>
      </c>
      <c r="J4623">
        <v>2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</row>
    <row r="4624" spans="2:30" x14ac:dyDescent="0.25">
      <c r="B4624" t="s">
        <v>133</v>
      </c>
      <c r="C4624" t="s">
        <v>3265</v>
      </c>
      <c r="D4624" t="s">
        <v>3424</v>
      </c>
      <c r="E4624" t="s">
        <v>3425</v>
      </c>
      <c r="F4624" t="s">
        <v>10131</v>
      </c>
      <c r="G4624" t="s">
        <v>3890</v>
      </c>
      <c r="H4624" t="s">
        <v>2308</v>
      </c>
      <c r="I4624" t="s">
        <v>5862</v>
      </c>
      <c r="J4624">
        <v>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</row>
    <row r="4625" spans="2:30" x14ac:dyDescent="0.25">
      <c r="B4625" t="s">
        <v>133</v>
      </c>
      <c r="C4625" t="s">
        <v>3265</v>
      </c>
      <c r="D4625" t="s">
        <v>3430</v>
      </c>
      <c r="E4625" t="s">
        <v>3431</v>
      </c>
      <c r="F4625" t="s">
        <v>10132</v>
      </c>
      <c r="G4625" t="s">
        <v>3890</v>
      </c>
      <c r="H4625" t="s">
        <v>2308</v>
      </c>
      <c r="I4625" t="s">
        <v>5862</v>
      </c>
      <c r="J4625">
        <v>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</row>
    <row r="4626" spans="2:30" x14ac:dyDescent="0.25">
      <c r="B4626" t="s">
        <v>133</v>
      </c>
      <c r="C4626" t="s">
        <v>3265</v>
      </c>
      <c r="D4626" t="s">
        <v>3412</v>
      </c>
      <c r="E4626" t="s">
        <v>3413</v>
      </c>
      <c r="F4626" t="s">
        <v>10133</v>
      </c>
      <c r="G4626" t="s">
        <v>3890</v>
      </c>
      <c r="H4626" t="s">
        <v>2308</v>
      </c>
      <c r="I4626" t="s">
        <v>5862</v>
      </c>
      <c r="J4626">
        <v>2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</row>
    <row r="4627" spans="2:30" x14ac:dyDescent="0.25">
      <c r="B4627" t="s">
        <v>133</v>
      </c>
      <c r="C4627" t="s">
        <v>3265</v>
      </c>
      <c r="D4627" t="s">
        <v>3406</v>
      </c>
      <c r="E4627" t="s">
        <v>3407</v>
      </c>
      <c r="F4627" t="s">
        <v>10134</v>
      </c>
      <c r="G4627" t="s">
        <v>3890</v>
      </c>
      <c r="H4627" t="s">
        <v>2308</v>
      </c>
      <c r="I4627" t="s">
        <v>5862</v>
      </c>
      <c r="J4627">
        <v>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</row>
    <row r="4628" spans="2:30" x14ac:dyDescent="0.25">
      <c r="B4628" t="s">
        <v>133</v>
      </c>
      <c r="C4628" t="s">
        <v>3265</v>
      </c>
      <c r="D4628" t="s">
        <v>3418</v>
      </c>
      <c r="E4628" t="s">
        <v>3419</v>
      </c>
      <c r="F4628" t="s">
        <v>10135</v>
      </c>
      <c r="G4628" t="s">
        <v>3890</v>
      </c>
      <c r="H4628" t="s">
        <v>2308</v>
      </c>
      <c r="I4628" t="s">
        <v>5862</v>
      </c>
      <c r="J4628">
        <v>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</row>
    <row r="4629" spans="2:30" x14ac:dyDescent="0.25">
      <c r="B4629" t="s">
        <v>133</v>
      </c>
      <c r="C4629" t="s">
        <v>3265</v>
      </c>
      <c r="D4629" t="s">
        <v>5875</v>
      </c>
      <c r="E4629" t="s">
        <v>5876</v>
      </c>
      <c r="F4629" t="s">
        <v>10136</v>
      </c>
      <c r="G4629" t="s">
        <v>3890</v>
      </c>
      <c r="H4629" t="s">
        <v>2308</v>
      </c>
      <c r="I4629" t="s">
        <v>5862</v>
      </c>
      <c r="J4629">
        <v>1</v>
      </c>
      <c r="K4629">
        <v>-31.97</v>
      </c>
      <c r="L4629">
        <v>-26.56</v>
      </c>
      <c r="M4629">
        <v>-38.700000000000003</v>
      </c>
      <c r="N4629">
        <v>-37.520000000000003</v>
      </c>
      <c r="O4629">
        <v>-39.33</v>
      </c>
      <c r="P4629">
        <v>-38.21</v>
      </c>
      <c r="Q4629">
        <v>-38.51</v>
      </c>
      <c r="R4629">
        <v>-39.22</v>
      </c>
      <c r="S4629">
        <v>-39.93</v>
      </c>
      <c r="T4629">
        <v>-40.51</v>
      </c>
      <c r="U4629">
        <v>-41.25</v>
      </c>
      <c r="V4629">
        <v>-41.92</v>
      </c>
      <c r="W4629">
        <v>-42.48</v>
      </c>
      <c r="X4629">
        <v>-42.89</v>
      </c>
      <c r="Y4629">
        <v>-43.07</v>
      </c>
      <c r="Z4629">
        <v>-43.04</v>
      </c>
      <c r="AA4629">
        <v>-42.79</v>
      </c>
      <c r="AB4629">
        <v>-42.29</v>
      </c>
      <c r="AC4629">
        <v>-41.94</v>
      </c>
      <c r="AD4629">
        <v>-43.65</v>
      </c>
    </row>
    <row r="4630" spans="2:30" x14ac:dyDescent="0.25">
      <c r="B4630" t="s">
        <v>133</v>
      </c>
      <c r="C4630" t="s">
        <v>3265</v>
      </c>
      <c r="D4630" t="s">
        <v>5878</v>
      </c>
      <c r="E4630" t="s">
        <v>5879</v>
      </c>
      <c r="F4630" t="s">
        <v>10137</v>
      </c>
      <c r="G4630" t="s">
        <v>3890</v>
      </c>
      <c r="H4630" t="s">
        <v>2308</v>
      </c>
      <c r="I4630" t="s">
        <v>5862</v>
      </c>
      <c r="J4630">
        <v>1</v>
      </c>
      <c r="K4630">
        <v>0.02</v>
      </c>
      <c r="L4630">
        <v>0.01</v>
      </c>
      <c r="M4630">
        <v>0.01</v>
      </c>
      <c r="N4630">
        <v>0.01</v>
      </c>
      <c r="O4630">
        <v>0.01</v>
      </c>
      <c r="P4630">
        <v>0.01</v>
      </c>
      <c r="Q4630">
        <v>0.01</v>
      </c>
      <c r="R4630">
        <v>0.02</v>
      </c>
      <c r="S4630">
        <v>0.02</v>
      </c>
      <c r="T4630">
        <v>0.02</v>
      </c>
      <c r="U4630">
        <v>0.02</v>
      </c>
      <c r="V4630">
        <v>0.02</v>
      </c>
      <c r="W4630">
        <v>0.02</v>
      </c>
      <c r="X4630">
        <v>0.02</v>
      </c>
      <c r="Y4630">
        <v>0.02</v>
      </c>
      <c r="Z4630">
        <v>0.02</v>
      </c>
      <c r="AA4630">
        <v>0.02</v>
      </c>
      <c r="AB4630">
        <v>0.02</v>
      </c>
      <c r="AC4630">
        <v>0.02</v>
      </c>
      <c r="AD4630">
        <v>0.02</v>
      </c>
    </row>
    <row r="4631" spans="2:30" x14ac:dyDescent="0.25">
      <c r="B4631" t="s">
        <v>133</v>
      </c>
      <c r="C4631" t="s">
        <v>3265</v>
      </c>
      <c r="D4631" t="s">
        <v>5881</v>
      </c>
      <c r="E4631" t="s">
        <v>5882</v>
      </c>
      <c r="F4631" t="s">
        <v>10138</v>
      </c>
      <c r="G4631" t="s">
        <v>3890</v>
      </c>
      <c r="H4631" t="s">
        <v>2308</v>
      </c>
      <c r="I4631" t="s">
        <v>5862</v>
      </c>
      <c r="J4631">
        <v>1</v>
      </c>
      <c r="K4631">
        <v>-15.07</v>
      </c>
      <c r="L4631">
        <v>-11.09</v>
      </c>
      <c r="M4631">
        <v>-12</v>
      </c>
      <c r="N4631">
        <v>-12.4</v>
      </c>
      <c r="O4631">
        <v>-12.32</v>
      </c>
      <c r="P4631">
        <v>-12.09</v>
      </c>
      <c r="Q4631">
        <v>-12.16</v>
      </c>
      <c r="R4631">
        <v>-12.43</v>
      </c>
      <c r="S4631">
        <v>-12.72</v>
      </c>
      <c r="T4631">
        <v>-13.04</v>
      </c>
      <c r="U4631">
        <v>-13.4</v>
      </c>
      <c r="V4631">
        <v>-13.8</v>
      </c>
      <c r="W4631">
        <v>-14.24</v>
      </c>
      <c r="X4631">
        <v>-14.73</v>
      </c>
      <c r="Y4631">
        <v>-15.27</v>
      </c>
      <c r="Z4631">
        <v>-15.89</v>
      </c>
      <c r="AA4631">
        <v>-16.579999999999998</v>
      </c>
      <c r="AB4631">
        <v>-17.36</v>
      </c>
      <c r="AC4631">
        <v>-18.260000000000002</v>
      </c>
      <c r="AD4631">
        <v>-19.16</v>
      </c>
    </row>
    <row r="4632" spans="2:30" x14ac:dyDescent="0.25">
      <c r="B4632" t="s">
        <v>133</v>
      </c>
      <c r="C4632" t="s">
        <v>3265</v>
      </c>
      <c r="D4632" t="s">
        <v>5884</v>
      </c>
      <c r="E4632" t="s">
        <v>5885</v>
      </c>
      <c r="F4632" t="s">
        <v>10139</v>
      </c>
      <c r="G4632" t="s">
        <v>3890</v>
      </c>
      <c r="H4632" t="s">
        <v>2308</v>
      </c>
      <c r="I4632" t="s">
        <v>5862</v>
      </c>
      <c r="J4632">
        <v>1</v>
      </c>
      <c r="K4632">
        <v>-4.13</v>
      </c>
      <c r="L4632">
        <v>-3.27</v>
      </c>
      <c r="M4632">
        <v>-3.44</v>
      </c>
      <c r="N4632">
        <v>-4.38</v>
      </c>
      <c r="O4632">
        <v>-4.4000000000000004</v>
      </c>
      <c r="P4632">
        <v>-4.41</v>
      </c>
      <c r="Q4632">
        <v>-4.4400000000000004</v>
      </c>
      <c r="R4632">
        <v>-4.47</v>
      </c>
      <c r="S4632">
        <v>-4.5</v>
      </c>
      <c r="T4632">
        <v>-4.53</v>
      </c>
      <c r="U4632">
        <v>-4.57</v>
      </c>
      <c r="V4632">
        <v>-4.5999999999999996</v>
      </c>
      <c r="W4632">
        <v>-4.6500000000000004</v>
      </c>
      <c r="X4632">
        <v>-4.6900000000000004</v>
      </c>
      <c r="Y4632">
        <v>-4.74</v>
      </c>
      <c r="Z4632">
        <v>-4.79</v>
      </c>
      <c r="AA4632">
        <v>-4.8499999999999996</v>
      </c>
      <c r="AB4632">
        <v>-4.91</v>
      </c>
      <c r="AC4632">
        <v>-4.9800000000000004</v>
      </c>
      <c r="AD4632">
        <v>-5.05</v>
      </c>
    </row>
    <row r="4633" spans="2:30" x14ac:dyDescent="0.25">
      <c r="B4633" t="s">
        <v>133</v>
      </c>
      <c r="C4633" t="s">
        <v>3265</v>
      </c>
      <c r="D4633" t="s">
        <v>5887</v>
      </c>
      <c r="E4633" t="s">
        <v>5888</v>
      </c>
      <c r="F4633" t="s">
        <v>10140</v>
      </c>
      <c r="G4633" t="s">
        <v>3890</v>
      </c>
      <c r="H4633" t="s">
        <v>2308</v>
      </c>
      <c r="I4633" t="s">
        <v>5862</v>
      </c>
      <c r="J4633">
        <v>1</v>
      </c>
      <c r="K4633">
        <v>-3.22</v>
      </c>
      <c r="L4633">
        <v>-3.49</v>
      </c>
      <c r="M4633">
        <v>-3.59</v>
      </c>
      <c r="N4633">
        <v>-2.72</v>
      </c>
      <c r="O4633">
        <v>-2.98</v>
      </c>
      <c r="P4633">
        <v>-2.92</v>
      </c>
      <c r="Q4633">
        <v>-3.09</v>
      </c>
      <c r="R4633">
        <v>-3.32</v>
      </c>
      <c r="S4633">
        <v>-3.61</v>
      </c>
      <c r="T4633">
        <v>-3.94</v>
      </c>
      <c r="U4633">
        <v>-4.3600000000000003</v>
      </c>
      <c r="V4633">
        <v>-4.8</v>
      </c>
      <c r="W4633">
        <v>-5.28</v>
      </c>
      <c r="X4633">
        <v>-5.78</v>
      </c>
      <c r="Y4633">
        <v>-6.3</v>
      </c>
      <c r="Z4633">
        <v>-6.85</v>
      </c>
      <c r="AA4633">
        <v>-7.42</v>
      </c>
      <c r="AB4633">
        <v>-8.01</v>
      </c>
      <c r="AC4633">
        <v>-8.6300000000000008</v>
      </c>
      <c r="AD4633">
        <v>-9.26</v>
      </c>
    </row>
    <row r="4634" spans="2:30" x14ac:dyDescent="0.25">
      <c r="B4634" t="s">
        <v>133</v>
      </c>
      <c r="C4634" t="s">
        <v>3265</v>
      </c>
      <c r="D4634" t="s">
        <v>5890</v>
      </c>
      <c r="E4634" t="s">
        <v>5891</v>
      </c>
      <c r="F4634" t="s">
        <v>10141</v>
      </c>
      <c r="G4634" t="s">
        <v>3890</v>
      </c>
      <c r="H4634" t="s">
        <v>2308</v>
      </c>
      <c r="I4634" t="s">
        <v>5862</v>
      </c>
      <c r="J4634">
        <v>1</v>
      </c>
      <c r="K4634">
        <v>-11.33</v>
      </c>
      <c r="L4634">
        <v>-10.43</v>
      </c>
      <c r="M4634">
        <v>-10.38</v>
      </c>
      <c r="N4634">
        <v>-8.4</v>
      </c>
      <c r="O4634">
        <v>-9.2799999999999994</v>
      </c>
      <c r="P4634">
        <v>-9.01</v>
      </c>
      <c r="Q4634">
        <v>-9.35</v>
      </c>
      <c r="R4634">
        <v>-9.82</v>
      </c>
      <c r="S4634">
        <v>-10.38</v>
      </c>
      <c r="T4634">
        <v>-11.03</v>
      </c>
      <c r="U4634">
        <v>-11.88</v>
      </c>
      <c r="V4634">
        <v>-12.78</v>
      </c>
      <c r="W4634">
        <v>-13.74</v>
      </c>
      <c r="X4634">
        <v>-14.75</v>
      </c>
      <c r="Y4634">
        <v>-15.8</v>
      </c>
      <c r="Z4634">
        <v>-16.899999999999999</v>
      </c>
      <c r="AA4634">
        <v>-18.05</v>
      </c>
      <c r="AB4634">
        <v>-19.260000000000002</v>
      </c>
      <c r="AC4634">
        <v>-20.52</v>
      </c>
      <c r="AD4634">
        <v>-21.84</v>
      </c>
    </row>
    <row r="4635" spans="2:30" x14ac:dyDescent="0.25">
      <c r="B4635" t="s">
        <v>133</v>
      </c>
      <c r="C4635" t="s">
        <v>3265</v>
      </c>
      <c r="D4635" t="s">
        <v>5893</v>
      </c>
      <c r="E4635" t="s">
        <v>5894</v>
      </c>
      <c r="F4635" t="s">
        <v>10142</v>
      </c>
      <c r="G4635" t="s">
        <v>3890</v>
      </c>
      <c r="H4635" t="s">
        <v>2308</v>
      </c>
      <c r="I4635" t="s">
        <v>5862</v>
      </c>
      <c r="J4635">
        <v>1</v>
      </c>
      <c r="K4635">
        <v>-4.34</v>
      </c>
      <c r="L4635">
        <v>-4.6900000000000004</v>
      </c>
      <c r="M4635">
        <v>-5.41</v>
      </c>
      <c r="N4635">
        <v>-4.8</v>
      </c>
      <c r="O4635">
        <v>-5.12</v>
      </c>
      <c r="P4635">
        <v>-4.9400000000000004</v>
      </c>
      <c r="Q4635">
        <v>-5</v>
      </c>
      <c r="R4635">
        <v>-5.0999999999999996</v>
      </c>
      <c r="S4635">
        <v>-5.19</v>
      </c>
      <c r="T4635">
        <v>-5.27</v>
      </c>
      <c r="U4635">
        <v>-5.41</v>
      </c>
      <c r="V4635">
        <v>-5.54</v>
      </c>
      <c r="W4635">
        <v>-5.68</v>
      </c>
      <c r="X4635">
        <v>-5.82</v>
      </c>
      <c r="Y4635">
        <v>-5.96</v>
      </c>
      <c r="Z4635">
        <v>-6.1</v>
      </c>
      <c r="AA4635">
        <v>-6.25</v>
      </c>
      <c r="AB4635">
        <v>-6.39</v>
      </c>
      <c r="AC4635">
        <v>-6.54</v>
      </c>
      <c r="AD4635">
        <v>-6.69</v>
      </c>
    </row>
    <row r="4636" spans="2:30" x14ac:dyDescent="0.25">
      <c r="B4636" t="s">
        <v>133</v>
      </c>
      <c r="C4636" t="s">
        <v>3265</v>
      </c>
      <c r="D4636" t="s">
        <v>5896</v>
      </c>
      <c r="E4636" t="s">
        <v>5897</v>
      </c>
      <c r="F4636" t="s">
        <v>10143</v>
      </c>
      <c r="G4636" t="s">
        <v>3890</v>
      </c>
      <c r="H4636" t="s">
        <v>5899</v>
      </c>
      <c r="I4636" t="s">
        <v>5862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</row>
    <row r="4637" spans="2:30" x14ac:dyDescent="0.25">
      <c r="B4637" t="s">
        <v>133</v>
      </c>
      <c r="C4637" t="s">
        <v>3265</v>
      </c>
      <c r="D4637" t="s">
        <v>5900</v>
      </c>
      <c r="E4637" t="s">
        <v>5901</v>
      </c>
      <c r="F4637" t="s">
        <v>10144</v>
      </c>
      <c r="G4637" t="s">
        <v>3890</v>
      </c>
      <c r="H4637" t="s">
        <v>2308</v>
      </c>
      <c r="I4637" t="s">
        <v>5862</v>
      </c>
      <c r="J4637">
        <v>1</v>
      </c>
      <c r="K4637">
        <v>0.14000000000000001</v>
      </c>
      <c r="L4637">
        <v>0.08</v>
      </c>
      <c r="M4637">
        <v>-10.34</v>
      </c>
      <c r="N4637">
        <v>-11.45</v>
      </c>
      <c r="O4637">
        <v>-12.05</v>
      </c>
      <c r="P4637">
        <v>-12.24</v>
      </c>
      <c r="Q4637">
        <v>-12.58</v>
      </c>
      <c r="R4637">
        <v>-13.02</v>
      </c>
      <c r="S4637">
        <v>-13.46</v>
      </c>
      <c r="T4637">
        <v>-13.91</v>
      </c>
      <c r="U4637">
        <v>-14.35</v>
      </c>
      <c r="V4637">
        <v>-14.8</v>
      </c>
      <c r="W4637">
        <v>-15.26</v>
      </c>
      <c r="X4637">
        <v>-15.72</v>
      </c>
      <c r="Y4637">
        <v>-16.2</v>
      </c>
      <c r="Z4637">
        <v>-16.68</v>
      </c>
      <c r="AA4637">
        <v>-17.170000000000002</v>
      </c>
      <c r="AB4637">
        <v>-17.670000000000002</v>
      </c>
      <c r="AC4637">
        <v>-18.170000000000002</v>
      </c>
      <c r="AD4637">
        <v>-18.690000000000001</v>
      </c>
    </row>
    <row r="4638" spans="2:30" x14ac:dyDescent="0.25">
      <c r="B4638" t="s">
        <v>133</v>
      </c>
      <c r="C4638" t="s">
        <v>3265</v>
      </c>
      <c r="D4638" t="s">
        <v>5903</v>
      </c>
      <c r="E4638" t="s">
        <v>5904</v>
      </c>
      <c r="F4638" t="s">
        <v>10145</v>
      </c>
      <c r="G4638" t="s">
        <v>3890</v>
      </c>
      <c r="H4638" t="s">
        <v>2308</v>
      </c>
      <c r="I4638" t="s">
        <v>5862</v>
      </c>
      <c r="J4638">
        <v>2</v>
      </c>
      <c r="K4638">
        <v>-31.97</v>
      </c>
      <c r="L4638">
        <v>-26.56</v>
      </c>
      <c r="M4638">
        <v>-38.700000000000003</v>
      </c>
      <c r="N4638">
        <v>-37.520000000000003</v>
      </c>
      <c r="O4638">
        <v>-39.33</v>
      </c>
      <c r="P4638">
        <v>-38.21</v>
      </c>
      <c r="Q4638">
        <v>-38.33</v>
      </c>
      <c r="R4638">
        <v>-38.5</v>
      </c>
      <c r="S4638">
        <v>-38.31</v>
      </c>
      <c r="T4638">
        <v>-37.729999999999997</v>
      </c>
      <c r="U4638">
        <v>-37.1</v>
      </c>
      <c r="V4638">
        <v>-36.22</v>
      </c>
      <c r="W4638">
        <v>-35.07</v>
      </c>
      <c r="X4638">
        <v>-33.619999999999997</v>
      </c>
      <c r="Y4638">
        <v>-33.14</v>
      </c>
      <c r="Z4638">
        <v>-32.799999999999997</v>
      </c>
      <c r="AA4638">
        <v>-32.130000000000003</v>
      </c>
      <c r="AB4638">
        <v>-31.27</v>
      </c>
      <c r="AC4638">
        <v>-30.51</v>
      </c>
      <c r="AD4638">
        <v>-31.89</v>
      </c>
    </row>
    <row r="4639" spans="2:30" x14ac:dyDescent="0.25">
      <c r="B4639" t="s">
        <v>133</v>
      </c>
      <c r="C4639" t="s">
        <v>3265</v>
      </c>
      <c r="D4639" t="s">
        <v>5906</v>
      </c>
      <c r="E4639" t="s">
        <v>5907</v>
      </c>
      <c r="F4639" t="s">
        <v>10146</v>
      </c>
      <c r="G4639" t="s">
        <v>3890</v>
      </c>
      <c r="H4639" t="s">
        <v>2308</v>
      </c>
      <c r="I4639" t="s">
        <v>5862</v>
      </c>
      <c r="J4639">
        <v>2</v>
      </c>
      <c r="K4639">
        <v>0.02</v>
      </c>
      <c r="L4639">
        <v>0.01</v>
      </c>
      <c r="M4639">
        <v>0.01</v>
      </c>
      <c r="N4639">
        <v>0.01</v>
      </c>
      <c r="O4639">
        <v>0.01</v>
      </c>
      <c r="P4639">
        <v>0.01</v>
      </c>
      <c r="Q4639">
        <v>0.01</v>
      </c>
      <c r="R4639">
        <v>0.01</v>
      </c>
      <c r="S4639">
        <v>0.01</v>
      </c>
      <c r="T4639">
        <v>0.02</v>
      </c>
      <c r="U4639">
        <v>0.02</v>
      </c>
      <c r="V4639">
        <v>0.02</v>
      </c>
      <c r="W4639">
        <v>0.02</v>
      </c>
      <c r="X4639">
        <v>0.02</v>
      </c>
      <c r="Y4639">
        <v>0.02</v>
      </c>
      <c r="Z4639">
        <v>0.02</v>
      </c>
      <c r="AA4639">
        <v>0.02</v>
      </c>
      <c r="AB4639">
        <v>0.02</v>
      </c>
      <c r="AC4639">
        <v>0.02</v>
      </c>
      <c r="AD4639">
        <v>0.02</v>
      </c>
    </row>
    <row r="4640" spans="2:30" x14ac:dyDescent="0.25">
      <c r="B4640" t="s">
        <v>133</v>
      </c>
      <c r="C4640" t="s">
        <v>3265</v>
      </c>
      <c r="D4640" t="s">
        <v>5909</v>
      </c>
      <c r="E4640" t="s">
        <v>5910</v>
      </c>
      <c r="F4640" t="s">
        <v>10147</v>
      </c>
      <c r="G4640" t="s">
        <v>3890</v>
      </c>
      <c r="H4640" t="s">
        <v>2308</v>
      </c>
      <c r="I4640" t="s">
        <v>5862</v>
      </c>
      <c r="J4640">
        <v>2</v>
      </c>
      <c r="K4640">
        <v>-15.07</v>
      </c>
      <c r="L4640">
        <v>-11.09</v>
      </c>
      <c r="M4640">
        <v>-12</v>
      </c>
      <c r="N4640">
        <v>-12.4</v>
      </c>
      <c r="O4640">
        <v>-12.32</v>
      </c>
      <c r="P4640">
        <v>-12.09</v>
      </c>
      <c r="Q4640">
        <v>-12.15</v>
      </c>
      <c r="R4640">
        <v>-12.35</v>
      </c>
      <c r="S4640">
        <v>-12.53</v>
      </c>
      <c r="T4640">
        <v>-12.7</v>
      </c>
      <c r="U4640">
        <v>-12.88</v>
      </c>
      <c r="V4640">
        <v>-13.08</v>
      </c>
      <c r="W4640">
        <v>-13.31</v>
      </c>
      <c r="X4640">
        <v>-13.57</v>
      </c>
      <c r="Y4640">
        <v>-13.85</v>
      </c>
      <c r="Z4640">
        <v>-14.41</v>
      </c>
      <c r="AA4640">
        <v>-14.94</v>
      </c>
      <c r="AB4640">
        <v>-15.61</v>
      </c>
      <c r="AC4640">
        <v>-16.41</v>
      </c>
      <c r="AD4640">
        <v>-17.29</v>
      </c>
    </row>
    <row r="4641" spans="2:30" x14ac:dyDescent="0.25">
      <c r="B4641" t="s">
        <v>133</v>
      </c>
      <c r="C4641" t="s">
        <v>3265</v>
      </c>
      <c r="D4641" t="s">
        <v>5912</v>
      </c>
      <c r="E4641" t="s">
        <v>5913</v>
      </c>
      <c r="F4641" t="s">
        <v>10148</v>
      </c>
      <c r="G4641" t="s">
        <v>3890</v>
      </c>
      <c r="H4641" t="s">
        <v>2308</v>
      </c>
      <c r="I4641" t="s">
        <v>5862</v>
      </c>
      <c r="J4641">
        <v>2</v>
      </c>
      <c r="K4641">
        <v>-4.13</v>
      </c>
      <c r="L4641">
        <v>-3.27</v>
      </c>
      <c r="M4641">
        <v>-3.44</v>
      </c>
      <c r="N4641">
        <v>-4.38</v>
      </c>
      <c r="O4641">
        <v>-4.4000000000000004</v>
      </c>
      <c r="P4641">
        <v>-4.41</v>
      </c>
      <c r="Q4641">
        <v>-4.4400000000000004</v>
      </c>
      <c r="R4641">
        <v>-4.47</v>
      </c>
      <c r="S4641">
        <v>-4.5</v>
      </c>
      <c r="T4641">
        <v>-4.53</v>
      </c>
      <c r="U4641">
        <v>-4.5599999999999996</v>
      </c>
      <c r="V4641">
        <v>-4.5999999999999996</v>
      </c>
      <c r="W4641">
        <v>-4.6399999999999997</v>
      </c>
      <c r="X4641">
        <v>-4.6900000000000004</v>
      </c>
      <c r="Y4641">
        <v>-4.75</v>
      </c>
      <c r="Z4641">
        <v>-4.82</v>
      </c>
      <c r="AA4641">
        <v>-4.9000000000000004</v>
      </c>
      <c r="AB4641">
        <v>-4.99</v>
      </c>
      <c r="AC4641">
        <v>-5.09</v>
      </c>
      <c r="AD4641">
        <v>-5.2</v>
      </c>
    </row>
    <row r="4642" spans="2:30" x14ac:dyDescent="0.25">
      <c r="B4642" t="s">
        <v>133</v>
      </c>
      <c r="C4642" t="s">
        <v>3265</v>
      </c>
      <c r="D4642" t="s">
        <v>5915</v>
      </c>
      <c r="E4642" t="s">
        <v>5916</v>
      </c>
      <c r="F4642" t="s">
        <v>10149</v>
      </c>
      <c r="G4642" t="s">
        <v>3890</v>
      </c>
      <c r="H4642" t="s">
        <v>2308</v>
      </c>
      <c r="I4642" t="s">
        <v>5862</v>
      </c>
      <c r="J4642">
        <v>2</v>
      </c>
      <c r="K4642">
        <v>-3.22</v>
      </c>
      <c r="L4642">
        <v>-3.49</v>
      </c>
      <c r="M4642">
        <v>-3.59</v>
      </c>
      <c r="N4642">
        <v>-2.72</v>
      </c>
      <c r="O4642">
        <v>-2.98</v>
      </c>
      <c r="P4642">
        <v>-2.92</v>
      </c>
      <c r="Q4642">
        <v>-3.09</v>
      </c>
      <c r="R4642">
        <v>-3.32</v>
      </c>
      <c r="S4642">
        <v>-3.61</v>
      </c>
      <c r="T4642">
        <v>-3.94</v>
      </c>
      <c r="U4642">
        <v>-4.3600000000000003</v>
      </c>
      <c r="V4642">
        <v>-4.8099999999999996</v>
      </c>
      <c r="W4642">
        <v>-5.28</v>
      </c>
      <c r="X4642">
        <v>-5.78</v>
      </c>
      <c r="Y4642">
        <v>-6.31</v>
      </c>
      <c r="Z4642">
        <v>-6.85</v>
      </c>
      <c r="AA4642">
        <v>-7.43</v>
      </c>
      <c r="AB4642">
        <v>-8.0299999999999994</v>
      </c>
      <c r="AC4642">
        <v>-8.65</v>
      </c>
      <c r="AD4642">
        <v>-9.2799999999999994</v>
      </c>
    </row>
    <row r="4643" spans="2:30" x14ac:dyDescent="0.25">
      <c r="B4643" t="s">
        <v>133</v>
      </c>
      <c r="C4643" t="s">
        <v>3265</v>
      </c>
      <c r="D4643" t="s">
        <v>5918</v>
      </c>
      <c r="E4643" t="s">
        <v>5919</v>
      </c>
      <c r="F4643" t="s">
        <v>10150</v>
      </c>
      <c r="G4643" t="s">
        <v>3890</v>
      </c>
      <c r="H4643" t="s">
        <v>2308</v>
      </c>
      <c r="I4643" t="s">
        <v>5862</v>
      </c>
      <c r="J4643">
        <v>2</v>
      </c>
      <c r="K4643">
        <v>-11.33</v>
      </c>
      <c r="L4643">
        <v>-10.43</v>
      </c>
      <c r="M4643">
        <v>-10.38</v>
      </c>
      <c r="N4643">
        <v>-8.4</v>
      </c>
      <c r="O4643">
        <v>-9.2799999999999994</v>
      </c>
      <c r="P4643">
        <v>-9.01</v>
      </c>
      <c r="Q4643">
        <v>-9.35</v>
      </c>
      <c r="R4643">
        <v>-9.82</v>
      </c>
      <c r="S4643">
        <v>-10.38</v>
      </c>
      <c r="T4643">
        <v>-11.03</v>
      </c>
      <c r="U4643">
        <v>-11.88</v>
      </c>
      <c r="V4643">
        <v>-12.79</v>
      </c>
      <c r="W4643">
        <v>-13.74</v>
      </c>
      <c r="X4643">
        <v>-14.75</v>
      </c>
      <c r="Y4643">
        <v>-15.81</v>
      </c>
      <c r="Z4643">
        <v>-16.920000000000002</v>
      </c>
      <c r="AA4643">
        <v>-18.09</v>
      </c>
      <c r="AB4643">
        <v>-19.309999999999999</v>
      </c>
      <c r="AC4643">
        <v>-20.59</v>
      </c>
      <c r="AD4643">
        <v>-21.92</v>
      </c>
    </row>
    <row r="4644" spans="2:30" x14ac:dyDescent="0.25">
      <c r="B4644" t="s">
        <v>133</v>
      </c>
      <c r="C4644" t="s">
        <v>3265</v>
      </c>
      <c r="D4644" t="s">
        <v>5921</v>
      </c>
      <c r="E4644" t="s">
        <v>5922</v>
      </c>
      <c r="F4644" t="s">
        <v>10151</v>
      </c>
      <c r="G4644" t="s">
        <v>3890</v>
      </c>
      <c r="H4644" t="s">
        <v>2308</v>
      </c>
      <c r="I4644" t="s">
        <v>5862</v>
      </c>
      <c r="J4644">
        <v>2</v>
      </c>
      <c r="K4644">
        <v>-4.34</v>
      </c>
      <c r="L4644">
        <v>-4.6900000000000004</v>
      </c>
      <c r="M4644">
        <v>-5.41</v>
      </c>
      <c r="N4644">
        <v>-4.8</v>
      </c>
      <c r="O4644">
        <v>-5.12</v>
      </c>
      <c r="P4644">
        <v>-4.9400000000000004</v>
      </c>
      <c r="Q4644">
        <v>-5</v>
      </c>
      <c r="R4644">
        <v>-5.0999999999999996</v>
      </c>
      <c r="S4644">
        <v>-5.19</v>
      </c>
      <c r="T4644">
        <v>-5.27</v>
      </c>
      <c r="U4644">
        <v>-5.41</v>
      </c>
      <c r="V4644">
        <v>-5.54</v>
      </c>
      <c r="W4644">
        <v>-5.68</v>
      </c>
      <c r="X4644">
        <v>-5.82</v>
      </c>
      <c r="Y4644">
        <v>-5.96</v>
      </c>
      <c r="Z4644">
        <v>-6.1</v>
      </c>
      <c r="AA4644">
        <v>-6.25</v>
      </c>
      <c r="AB4644">
        <v>-6.4</v>
      </c>
      <c r="AC4644">
        <v>-6.55</v>
      </c>
      <c r="AD4644">
        <v>-6.71</v>
      </c>
    </row>
    <row r="4645" spans="2:30" x14ac:dyDescent="0.25">
      <c r="B4645" t="s">
        <v>133</v>
      </c>
      <c r="C4645" t="s">
        <v>3265</v>
      </c>
      <c r="D4645" t="s">
        <v>5924</v>
      </c>
      <c r="E4645" t="s">
        <v>5925</v>
      </c>
      <c r="F4645" t="s">
        <v>10152</v>
      </c>
      <c r="G4645" t="s">
        <v>3890</v>
      </c>
      <c r="H4645" t="s">
        <v>5899</v>
      </c>
      <c r="I4645" t="s">
        <v>5862</v>
      </c>
      <c r="J4645">
        <v>2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</row>
    <row r="4646" spans="2:30" x14ac:dyDescent="0.25">
      <c r="B4646" t="s">
        <v>133</v>
      </c>
      <c r="C4646" t="s">
        <v>3265</v>
      </c>
      <c r="D4646" t="s">
        <v>5927</v>
      </c>
      <c r="E4646" t="s">
        <v>5928</v>
      </c>
      <c r="F4646" t="s">
        <v>10153</v>
      </c>
      <c r="G4646" t="s">
        <v>3890</v>
      </c>
      <c r="H4646" t="s">
        <v>2308</v>
      </c>
      <c r="I4646" t="s">
        <v>5862</v>
      </c>
      <c r="J4646">
        <v>2</v>
      </c>
      <c r="K4646">
        <v>0.14000000000000001</v>
      </c>
      <c r="L4646">
        <v>0.08</v>
      </c>
      <c r="M4646">
        <v>-10.34</v>
      </c>
      <c r="N4646">
        <v>-11.45</v>
      </c>
      <c r="O4646">
        <v>-12.05</v>
      </c>
      <c r="P4646">
        <v>-12.24</v>
      </c>
      <c r="Q4646">
        <v>-12.58</v>
      </c>
      <c r="R4646">
        <v>-12.98</v>
      </c>
      <c r="S4646">
        <v>-13.32</v>
      </c>
      <c r="T4646">
        <v>-13.61</v>
      </c>
      <c r="U4646">
        <v>-13.86</v>
      </c>
      <c r="V4646">
        <v>-14.09</v>
      </c>
      <c r="W4646">
        <v>-14.31</v>
      </c>
      <c r="X4646">
        <v>-14.52</v>
      </c>
      <c r="Y4646">
        <v>-14.73</v>
      </c>
      <c r="Z4646">
        <v>-15.16</v>
      </c>
      <c r="AA4646">
        <v>-15.59</v>
      </c>
      <c r="AB4646">
        <v>-16.059999999999999</v>
      </c>
      <c r="AC4646">
        <v>-16.54</v>
      </c>
      <c r="AD4646">
        <v>-17.03</v>
      </c>
    </row>
    <row r="4647" spans="2:30" x14ac:dyDescent="0.25">
      <c r="B4647" t="s">
        <v>133</v>
      </c>
      <c r="C4647" t="s">
        <v>3265</v>
      </c>
      <c r="D4647" t="s">
        <v>5930</v>
      </c>
      <c r="E4647" t="s">
        <v>5931</v>
      </c>
      <c r="F4647" t="s">
        <v>10154</v>
      </c>
      <c r="G4647" t="s">
        <v>5933</v>
      </c>
      <c r="H4647" t="s">
        <v>5934</v>
      </c>
      <c r="J4647">
        <v>1</v>
      </c>
      <c r="K4647">
        <v>55.675159999999998</v>
      </c>
      <c r="L4647">
        <v>55.373399999999997</v>
      </c>
      <c r="M4647">
        <v>56.984520000000003</v>
      </c>
      <c r="N4647">
        <v>59.043289999999999</v>
      </c>
      <c r="O4647">
        <v>59.170470000000002</v>
      </c>
      <c r="P4647">
        <v>59.498759999999997</v>
      </c>
      <c r="Q4647">
        <v>59.939979999999998</v>
      </c>
      <c r="R4647">
        <v>60.415300000000002</v>
      </c>
      <c r="S4647">
        <v>60.950049999999997</v>
      </c>
      <c r="T4647">
        <v>61.577579999999998</v>
      </c>
      <c r="U4647">
        <v>62.262189999999997</v>
      </c>
      <c r="V4647">
        <v>63.003590000000003</v>
      </c>
      <c r="W4647">
        <v>63.793950000000002</v>
      </c>
      <c r="X4647">
        <v>64.635440000000003</v>
      </c>
      <c r="Y4647">
        <v>65.52534</v>
      </c>
      <c r="Z4647">
        <v>66.469710000000006</v>
      </c>
      <c r="AA4647">
        <v>67.469949999999997</v>
      </c>
      <c r="AB4647">
        <v>68.529570000000007</v>
      </c>
      <c r="AC4647">
        <v>69.65258</v>
      </c>
      <c r="AD4647">
        <v>0</v>
      </c>
    </row>
    <row r="4648" spans="2:30" x14ac:dyDescent="0.25">
      <c r="B4648" t="s">
        <v>133</v>
      </c>
      <c r="C4648" t="s">
        <v>3265</v>
      </c>
      <c r="D4648" t="s">
        <v>5935</v>
      </c>
      <c r="E4648" t="s">
        <v>5936</v>
      </c>
      <c r="F4648" t="s">
        <v>10155</v>
      </c>
      <c r="G4648" t="s">
        <v>5933</v>
      </c>
      <c r="H4648" t="s">
        <v>5934</v>
      </c>
      <c r="J4648">
        <v>1</v>
      </c>
      <c r="K4648">
        <v>40.588149999999999</v>
      </c>
      <c r="L4648">
        <v>40.286380000000001</v>
      </c>
      <c r="M4648">
        <v>41.897500000000001</v>
      </c>
      <c r="N4648">
        <v>43.95628</v>
      </c>
      <c r="O4648">
        <v>44.083460000000002</v>
      </c>
      <c r="P4648">
        <v>44.411749999999998</v>
      </c>
      <c r="Q4648">
        <v>44.852969999999999</v>
      </c>
      <c r="R4648">
        <v>45.328290000000003</v>
      </c>
      <c r="S4648">
        <v>45.863039999999998</v>
      </c>
      <c r="T4648">
        <v>46.490569999999998</v>
      </c>
      <c r="U4648">
        <v>47.175179999999997</v>
      </c>
      <c r="V4648">
        <v>47.916580000000003</v>
      </c>
      <c r="W4648">
        <v>48.706940000000003</v>
      </c>
      <c r="X4648">
        <v>49.548430000000003</v>
      </c>
      <c r="Y4648">
        <v>50.438330000000001</v>
      </c>
      <c r="Z4648">
        <v>51.382689999999997</v>
      </c>
      <c r="AA4648">
        <v>52.382939999999998</v>
      </c>
      <c r="AB4648">
        <v>53.44256</v>
      </c>
      <c r="AC4648">
        <v>54.565570000000001</v>
      </c>
      <c r="AD4648">
        <v>0</v>
      </c>
    </row>
    <row r="4649" spans="2:30" x14ac:dyDescent="0.25">
      <c r="B4649" t="s">
        <v>133</v>
      </c>
      <c r="C4649" t="s">
        <v>3265</v>
      </c>
      <c r="D4649" t="s">
        <v>5938</v>
      </c>
      <c r="E4649" t="s">
        <v>5939</v>
      </c>
      <c r="F4649" t="s">
        <v>10156</v>
      </c>
      <c r="G4649" t="s">
        <v>5933</v>
      </c>
      <c r="H4649" t="s">
        <v>5934</v>
      </c>
      <c r="J4649">
        <v>2</v>
      </c>
      <c r="K4649">
        <v>55.675159999999998</v>
      </c>
      <c r="L4649">
        <v>55.373399999999997</v>
      </c>
      <c r="M4649">
        <v>56.984520000000003</v>
      </c>
      <c r="N4649">
        <v>59.043289999999999</v>
      </c>
      <c r="O4649">
        <v>59.170470000000002</v>
      </c>
      <c r="P4649">
        <v>59.498759999999997</v>
      </c>
      <c r="Q4649">
        <v>59.934660000000001</v>
      </c>
      <c r="R4649">
        <v>60.396050000000002</v>
      </c>
      <c r="S4649">
        <v>60.907229999999998</v>
      </c>
      <c r="T4649">
        <v>61.506880000000002</v>
      </c>
      <c r="U4649">
        <v>62.162460000000003</v>
      </c>
      <c r="V4649">
        <v>62.876840000000001</v>
      </c>
      <c r="W4649">
        <v>63.645519999999998</v>
      </c>
      <c r="X4649">
        <v>64.475009999999997</v>
      </c>
      <c r="Y4649">
        <v>65.363489999999999</v>
      </c>
      <c r="Z4649">
        <v>66.34281</v>
      </c>
      <c r="AA4649">
        <v>67.389309999999995</v>
      </c>
      <c r="AB4649">
        <v>68.511349999999993</v>
      </c>
      <c r="AC4649">
        <v>69.712530000000001</v>
      </c>
      <c r="AD4649">
        <v>0</v>
      </c>
    </row>
    <row r="4650" spans="2:30" x14ac:dyDescent="0.25">
      <c r="B4650" t="s">
        <v>133</v>
      </c>
      <c r="C4650" t="s">
        <v>3265</v>
      </c>
      <c r="D4650" t="s">
        <v>5941</v>
      </c>
      <c r="E4650" t="s">
        <v>5942</v>
      </c>
      <c r="F4650" t="s">
        <v>10157</v>
      </c>
      <c r="G4650" t="s">
        <v>5933</v>
      </c>
      <c r="H4650" t="s">
        <v>5934</v>
      </c>
      <c r="J4650">
        <v>2</v>
      </c>
      <c r="K4650">
        <v>40.588149999999999</v>
      </c>
      <c r="L4650">
        <v>40.286380000000001</v>
      </c>
      <c r="M4650">
        <v>41.897500000000001</v>
      </c>
      <c r="N4650">
        <v>43.95628</v>
      </c>
      <c r="O4650">
        <v>44.083460000000002</v>
      </c>
      <c r="P4650">
        <v>44.411749999999998</v>
      </c>
      <c r="Q4650">
        <v>44.847650000000002</v>
      </c>
      <c r="R4650">
        <v>45.309040000000003</v>
      </c>
      <c r="S4650">
        <v>45.820210000000003</v>
      </c>
      <c r="T4650">
        <v>46.41986</v>
      </c>
      <c r="U4650">
        <v>47.07544</v>
      </c>
      <c r="V4650">
        <v>47.789830000000002</v>
      </c>
      <c r="W4650">
        <v>48.558500000000002</v>
      </c>
      <c r="X4650">
        <v>49.387999999999998</v>
      </c>
      <c r="Y4650">
        <v>50.276479999999999</v>
      </c>
      <c r="Z4650">
        <v>51.255800000000001</v>
      </c>
      <c r="AA4650">
        <v>52.302300000000002</v>
      </c>
      <c r="AB4650">
        <v>53.424340000000001</v>
      </c>
      <c r="AC4650">
        <v>54.625520000000002</v>
      </c>
      <c r="AD4650">
        <v>0</v>
      </c>
    </row>
    <row r="4651" spans="2:30" x14ac:dyDescent="0.25">
      <c r="B4651" t="s">
        <v>133</v>
      </c>
      <c r="C4651" t="s">
        <v>3265</v>
      </c>
      <c r="D4651" t="s">
        <v>5944</v>
      </c>
      <c r="E4651" t="s">
        <v>5945</v>
      </c>
      <c r="F4651" t="s">
        <v>10158</v>
      </c>
      <c r="G4651" t="s">
        <v>5933</v>
      </c>
      <c r="H4651" t="s">
        <v>5947</v>
      </c>
      <c r="J4651">
        <v>1</v>
      </c>
      <c r="K4651">
        <v>19.333559917072691</v>
      </c>
      <c r="L4651">
        <v>19.031798510151475</v>
      </c>
      <c r="M4651">
        <v>20.642916252944829</v>
      </c>
      <c r="N4651">
        <v>22.701693307101749</v>
      </c>
      <c r="O4651">
        <v>22.828872274492227</v>
      </c>
      <c r="P4651">
        <v>23.15716367802635</v>
      </c>
      <c r="Q4651">
        <v>23.598382952992729</v>
      </c>
      <c r="R4651">
        <v>24.073702648276331</v>
      </c>
      <c r="S4651">
        <v>24.608450305226398</v>
      </c>
      <c r="T4651">
        <v>25.235979890070553</v>
      </c>
      <c r="U4651">
        <v>25.920595799291718</v>
      </c>
      <c r="V4651">
        <v>26.661990633825503</v>
      </c>
      <c r="W4651">
        <v>27.452349234002483</v>
      </c>
      <c r="X4651">
        <v>28.293841432657189</v>
      </c>
      <c r="Y4651">
        <v>29.183745384197579</v>
      </c>
      <c r="Z4651">
        <v>30.12810756015719</v>
      </c>
      <c r="AA4651">
        <v>31.128351387303297</v>
      </c>
      <c r="AB4651">
        <v>32.187972891357475</v>
      </c>
      <c r="AC4651">
        <v>33.310980167257767</v>
      </c>
      <c r="AD4651">
        <v>0</v>
      </c>
    </row>
    <row r="4652" spans="2:30" x14ac:dyDescent="0.25">
      <c r="B4652" t="s">
        <v>133</v>
      </c>
      <c r="C4652" t="s">
        <v>3265</v>
      </c>
      <c r="D4652" t="s">
        <v>5948</v>
      </c>
      <c r="E4652" t="s">
        <v>5949</v>
      </c>
      <c r="F4652" t="s">
        <v>10159</v>
      </c>
      <c r="G4652" t="s">
        <v>5933</v>
      </c>
      <c r="H4652" t="s">
        <v>5951</v>
      </c>
      <c r="J4652">
        <v>1</v>
      </c>
      <c r="K4652">
        <v>54.858705649999997</v>
      </c>
    </row>
    <row r="4653" spans="2:30" x14ac:dyDescent="0.25">
      <c r="B4653" t="s">
        <v>133</v>
      </c>
      <c r="C4653" t="s">
        <v>3265</v>
      </c>
      <c r="D4653" t="s">
        <v>5952</v>
      </c>
      <c r="E4653" t="s">
        <v>5953</v>
      </c>
      <c r="F4653" t="s">
        <v>10160</v>
      </c>
      <c r="G4653" t="s">
        <v>5955</v>
      </c>
      <c r="H4653" t="s">
        <v>5956</v>
      </c>
      <c r="K4653">
        <v>5</v>
      </c>
      <c r="L4653">
        <v>5</v>
      </c>
      <c r="M4653">
        <v>5</v>
      </c>
      <c r="N4653">
        <v>5</v>
      </c>
      <c r="O4653">
        <v>5</v>
      </c>
      <c r="P4653">
        <v>5</v>
      </c>
      <c r="Q4653">
        <v>5</v>
      </c>
      <c r="R4653">
        <v>5</v>
      </c>
      <c r="S4653">
        <v>5</v>
      </c>
      <c r="T4653">
        <v>5</v>
      </c>
      <c r="U4653">
        <v>5</v>
      </c>
      <c r="V4653">
        <v>5</v>
      </c>
      <c r="W4653">
        <v>5</v>
      </c>
      <c r="X4653">
        <v>5</v>
      </c>
      <c r="Y4653">
        <v>5</v>
      </c>
      <c r="Z4653">
        <v>5</v>
      </c>
      <c r="AA4653">
        <v>5</v>
      </c>
      <c r="AB4653">
        <v>5</v>
      </c>
      <c r="AC4653">
        <v>5</v>
      </c>
      <c r="AD4653">
        <v>0</v>
      </c>
    </row>
    <row r="4654" spans="2:30" x14ac:dyDescent="0.25">
      <c r="B4654" t="s">
        <v>133</v>
      </c>
      <c r="C4654" t="s">
        <v>3265</v>
      </c>
      <c r="D4654" t="s">
        <v>5957</v>
      </c>
      <c r="E4654" t="s">
        <v>5958</v>
      </c>
      <c r="F4654" t="s">
        <v>10161</v>
      </c>
      <c r="G4654" t="s">
        <v>5933</v>
      </c>
      <c r="H4654" t="s">
        <v>5960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2</v>
      </c>
      <c r="T4654">
        <v>5</v>
      </c>
      <c r="U4654">
        <v>9</v>
      </c>
      <c r="V4654">
        <v>15</v>
      </c>
      <c r="W4654">
        <v>22</v>
      </c>
      <c r="X4654">
        <v>31</v>
      </c>
      <c r="Y4654">
        <v>41</v>
      </c>
      <c r="Z4654">
        <v>51</v>
      </c>
      <c r="AA4654">
        <v>62</v>
      </c>
      <c r="AB4654">
        <v>73</v>
      </c>
      <c r="AC4654">
        <v>84</v>
      </c>
      <c r="AD4654">
        <v>0</v>
      </c>
    </row>
    <row r="4655" spans="2:30" x14ac:dyDescent="0.25">
      <c r="B4655" t="s">
        <v>133</v>
      </c>
      <c r="C4655" t="s">
        <v>3265</v>
      </c>
      <c r="D4655" t="s">
        <v>5961</v>
      </c>
      <c r="E4655" t="s">
        <v>5962</v>
      </c>
      <c r="F4655" t="s">
        <v>10162</v>
      </c>
      <c r="G4655" t="s">
        <v>5933</v>
      </c>
      <c r="H4655" t="s">
        <v>5960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6</v>
      </c>
      <c r="R4655">
        <v>22</v>
      </c>
      <c r="S4655">
        <v>58</v>
      </c>
      <c r="T4655">
        <v>119</v>
      </c>
      <c r="U4655">
        <v>206</v>
      </c>
      <c r="V4655">
        <v>317</v>
      </c>
      <c r="W4655">
        <v>449</v>
      </c>
      <c r="X4655">
        <v>594</v>
      </c>
      <c r="Y4655">
        <v>741</v>
      </c>
      <c r="Z4655">
        <v>859</v>
      </c>
      <c r="AA4655">
        <v>934</v>
      </c>
      <c r="AB4655">
        <v>951</v>
      </c>
      <c r="AC4655">
        <v>894</v>
      </c>
      <c r="AD4655">
        <v>0</v>
      </c>
    </row>
    <row r="4656" spans="2:30" x14ac:dyDescent="0.25">
      <c r="B4656" t="s">
        <v>133</v>
      </c>
      <c r="C4656" t="s">
        <v>3265</v>
      </c>
      <c r="D4656" t="s">
        <v>5964</v>
      </c>
      <c r="E4656" t="s">
        <v>5965</v>
      </c>
      <c r="F4656" t="s">
        <v>10163</v>
      </c>
      <c r="G4656" t="s">
        <v>5933</v>
      </c>
      <c r="H4656" t="s">
        <v>5960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-1</v>
      </c>
      <c r="AA4656">
        <v>-1</v>
      </c>
      <c r="AB4656">
        <v>-1</v>
      </c>
      <c r="AC4656">
        <v>-1</v>
      </c>
      <c r="AD4656">
        <v>0</v>
      </c>
    </row>
    <row r="4657" spans="2:30" x14ac:dyDescent="0.25">
      <c r="B4657" t="s">
        <v>133</v>
      </c>
      <c r="C4657" t="s">
        <v>3265</v>
      </c>
      <c r="D4657" t="s">
        <v>3279</v>
      </c>
      <c r="E4657" t="s">
        <v>3281</v>
      </c>
      <c r="F4657" t="s">
        <v>10164</v>
      </c>
      <c r="G4657" t="s">
        <v>5933</v>
      </c>
      <c r="H4657" t="s">
        <v>5960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6</v>
      </c>
      <c r="R4657">
        <v>23</v>
      </c>
      <c r="S4657">
        <v>61</v>
      </c>
      <c r="T4657">
        <v>124</v>
      </c>
      <c r="U4657">
        <v>215</v>
      </c>
      <c r="V4657">
        <v>332</v>
      </c>
      <c r="W4657">
        <v>471</v>
      </c>
      <c r="X4657">
        <v>624</v>
      </c>
      <c r="Y4657">
        <v>782</v>
      </c>
      <c r="Z4657">
        <v>909</v>
      </c>
      <c r="AA4657">
        <v>995</v>
      </c>
      <c r="AB4657">
        <v>1023</v>
      </c>
      <c r="AC4657">
        <v>977</v>
      </c>
      <c r="AD4657">
        <v>0</v>
      </c>
    </row>
    <row r="4658" spans="2:30" x14ac:dyDescent="0.25">
      <c r="B4658" t="s">
        <v>133</v>
      </c>
      <c r="C4658" t="s">
        <v>3265</v>
      </c>
      <c r="D4658" t="s">
        <v>3257</v>
      </c>
      <c r="E4658" t="s">
        <v>3259</v>
      </c>
      <c r="F4658" t="s">
        <v>10165</v>
      </c>
      <c r="G4658" t="s">
        <v>5933</v>
      </c>
      <c r="H4658" t="s">
        <v>5969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2</v>
      </c>
      <c r="R4658">
        <v>6</v>
      </c>
      <c r="S4658">
        <v>13</v>
      </c>
      <c r="T4658">
        <v>21</v>
      </c>
      <c r="U4658">
        <v>30</v>
      </c>
      <c r="V4658">
        <v>39</v>
      </c>
      <c r="W4658">
        <v>47</v>
      </c>
      <c r="X4658">
        <v>51</v>
      </c>
      <c r="Y4658">
        <v>53</v>
      </c>
      <c r="Z4658">
        <v>42</v>
      </c>
      <c r="AA4658">
        <v>28</v>
      </c>
      <c r="AB4658">
        <v>9</v>
      </c>
      <c r="AC4658">
        <v>-16</v>
      </c>
      <c r="AD4658">
        <v>0</v>
      </c>
    </row>
    <row r="4659" spans="2:30" x14ac:dyDescent="0.25">
      <c r="B4659" t="s">
        <v>133</v>
      </c>
      <c r="C4659" t="s">
        <v>3265</v>
      </c>
      <c r="D4659" t="s">
        <v>3267</v>
      </c>
      <c r="E4659" t="s">
        <v>3268</v>
      </c>
      <c r="F4659" t="s">
        <v>10166</v>
      </c>
      <c r="G4659" t="s">
        <v>5933</v>
      </c>
      <c r="H4659" t="s">
        <v>5969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4</v>
      </c>
      <c r="R4659">
        <v>10</v>
      </c>
      <c r="S4659">
        <v>23</v>
      </c>
      <c r="T4659">
        <v>39</v>
      </c>
      <c r="U4659">
        <v>56</v>
      </c>
      <c r="V4659">
        <v>72</v>
      </c>
      <c r="W4659">
        <v>86</v>
      </c>
      <c r="X4659">
        <v>94</v>
      </c>
      <c r="Y4659">
        <v>97</v>
      </c>
      <c r="Z4659">
        <v>79</v>
      </c>
      <c r="AA4659">
        <v>54</v>
      </c>
      <c r="AB4659">
        <v>18</v>
      </c>
      <c r="AC4659">
        <v>-27</v>
      </c>
      <c r="AD4659">
        <v>0</v>
      </c>
    </row>
    <row r="4660" spans="2:30" x14ac:dyDescent="0.25">
      <c r="B4660" t="s">
        <v>133</v>
      </c>
      <c r="C4660" t="s">
        <v>3265</v>
      </c>
      <c r="D4660" t="s">
        <v>3273</v>
      </c>
      <c r="E4660" t="s">
        <v>3274</v>
      </c>
      <c r="F4660" t="s">
        <v>10167</v>
      </c>
      <c r="G4660" t="s">
        <v>5933</v>
      </c>
      <c r="H4660" t="s">
        <v>5969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2</v>
      </c>
      <c r="T4660">
        <v>3</v>
      </c>
      <c r="U4660">
        <v>5</v>
      </c>
      <c r="V4660">
        <v>6</v>
      </c>
      <c r="W4660">
        <v>7</v>
      </c>
      <c r="X4660">
        <v>8</v>
      </c>
      <c r="Y4660">
        <v>8</v>
      </c>
      <c r="Z4660">
        <v>6</v>
      </c>
      <c r="AA4660">
        <v>4</v>
      </c>
      <c r="AB4660">
        <v>1</v>
      </c>
      <c r="AC4660">
        <v>-3</v>
      </c>
      <c r="AD4660">
        <v>0</v>
      </c>
    </row>
    <row r="4661" spans="2:30" x14ac:dyDescent="0.25">
      <c r="B4661" t="s">
        <v>133</v>
      </c>
      <c r="C4661" t="s">
        <v>3265</v>
      </c>
      <c r="D4661" t="s">
        <v>5972</v>
      </c>
      <c r="E4661" t="s">
        <v>5973</v>
      </c>
      <c r="F4661" t="s">
        <v>10168</v>
      </c>
      <c r="G4661" t="s">
        <v>5933</v>
      </c>
      <c r="H4661" t="s">
        <v>5975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168</v>
      </c>
      <c r="R4661">
        <v>461</v>
      </c>
      <c r="S4661">
        <v>1040</v>
      </c>
      <c r="T4661">
        <v>1741</v>
      </c>
      <c r="U4661">
        <v>2490</v>
      </c>
      <c r="V4661">
        <v>3210</v>
      </c>
      <c r="W4661">
        <v>3816</v>
      </c>
      <c r="X4661">
        <v>4194</v>
      </c>
      <c r="Y4661">
        <v>4317</v>
      </c>
      <c r="Z4661">
        <v>3469</v>
      </c>
      <c r="AA4661">
        <v>2324</v>
      </c>
      <c r="AB4661">
        <v>718</v>
      </c>
      <c r="AC4661">
        <v>-1344</v>
      </c>
      <c r="AD4661">
        <v>0</v>
      </c>
    </row>
    <row r="4662" spans="2:30" x14ac:dyDescent="0.25">
      <c r="B4662" t="s">
        <v>133</v>
      </c>
      <c r="C4662" t="s">
        <v>3265</v>
      </c>
      <c r="D4662" t="s">
        <v>5976</v>
      </c>
      <c r="E4662" t="s">
        <v>5977</v>
      </c>
      <c r="F4662" t="s">
        <v>10169</v>
      </c>
      <c r="G4662" t="s">
        <v>5933</v>
      </c>
      <c r="H4662" t="s">
        <v>5979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8</v>
      </c>
      <c r="R4662">
        <v>27</v>
      </c>
      <c r="S4662">
        <v>61</v>
      </c>
      <c r="T4662">
        <v>103</v>
      </c>
      <c r="U4662">
        <v>149</v>
      </c>
      <c r="V4662">
        <v>194</v>
      </c>
      <c r="W4662">
        <v>235</v>
      </c>
      <c r="X4662">
        <v>264</v>
      </c>
      <c r="Y4662">
        <v>283</v>
      </c>
      <c r="Z4662">
        <v>242</v>
      </c>
      <c r="AA4662">
        <v>192</v>
      </c>
      <c r="AB4662">
        <v>114</v>
      </c>
      <c r="AC4662">
        <v>13</v>
      </c>
      <c r="AD4662">
        <v>0</v>
      </c>
    </row>
    <row r="4663" spans="2:30" x14ac:dyDescent="0.25">
      <c r="B4663" t="s">
        <v>133</v>
      </c>
      <c r="C4663" t="s">
        <v>3265</v>
      </c>
      <c r="D4663" t="s">
        <v>3286</v>
      </c>
      <c r="E4663" t="s">
        <v>3287</v>
      </c>
      <c r="F4663" t="s">
        <v>10170</v>
      </c>
      <c r="G4663" t="s">
        <v>5933</v>
      </c>
      <c r="H4663" t="s">
        <v>5981</v>
      </c>
      <c r="K4663">
        <v>64271.06</v>
      </c>
      <c r="L4663">
        <v>64975.82</v>
      </c>
      <c r="M4663">
        <v>68417.05</v>
      </c>
      <c r="N4663">
        <v>71666.720000000001</v>
      </c>
      <c r="O4663">
        <v>72894.960000000006</v>
      </c>
      <c r="P4663">
        <v>74371.66</v>
      </c>
      <c r="Q4663">
        <v>75999.94</v>
      </c>
      <c r="R4663">
        <v>77591.28</v>
      </c>
      <c r="S4663">
        <v>79228.039999999994</v>
      </c>
      <c r="T4663">
        <v>80975.05</v>
      </c>
      <c r="U4663">
        <v>82801.66</v>
      </c>
      <c r="V4663">
        <v>84709.53</v>
      </c>
      <c r="W4663">
        <v>86695.6</v>
      </c>
      <c r="X4663">
        <v>88759.31</v>
      </c>
      <c r="Y4663">
        <v>90900.75</v>
      </c>
      <c r="Z4663">
        <v>93128.13</v>
      </c>
      <c r="AA4663">
        <v>95440.97</v>
      </c>
      <c r="AB4663">
        <v>97843.51</v>
      </c>
      <c r="AC4663">
        <v>100335.18</v>
      </c>
      <c r="AD4663">
        <v>0</v>
      </c>
    </row>
    <row r="4664" spans="2:30" x14ac:dyDescent="0.25">
      <c r="B4664" t="s">
        <v>133</v>
      </c>
      <c r="C4664" t="s">
        <v>3265</v>
      </c>
      <c r="D4664" t="s">
        <v>5982</v>
      </c>
      <c r="E4664" t="s">
        <v>5983</v>
      </c>
      <c r="F4664" t="s">
        <v>10171</v>
      </c>
      <c r="G4664" t="s">
        <v>5933</v>
      </c>
      <c r="H4664" t="s">
        <v>5985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  <c r="W4664" t="e">
        <v>#N/A</v>
      </c>
      <c r="X4664" t="e">
        <v>#N/A</v>
      </c>
      <c r="Y4664" t="e">
        <v>#N/A</v>
      </c>
      <c r="Z4664" t="e">
        <v>#N/A</v>
      </c>
      <c r="AA4664" t="e">
        <v>#N/A</v>
      </c>
      <c r="AB4664" t="e">
        <v>#N/A</v>
      </c>
      <c r="AC4664" t="e">
        <v>#N/A</v>
      </c>
      <c r="AD4664">
        <v>0</v>
      </c>
    </row>
    <row r="4665" spans="2:30" x14ac:dyDescent="0.25">
      <c r="B4665" t="s">
        <v>133</v>
      </c>
      <c r="C4665" t="s">
        <v>3265</v>
      </c>
      <c r="D4665" t="s">
        <v>5986</v>
      </c>
      <c r="E4665" t="s">
        <v>5987</v>
      </c>
      <c r="F4665" t="s">
        <v>10172</v>
      </c>
      <c r="G4665" t="s">
        <v>5933</v>
      </c>
      <c r="H4665" t="s">
        <v>5985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  <c r="W4665" t="e">
        <v>#N/A</v>
      </c>
      <c r="X4665" t="e">
        <v>#N/A</v>
      </c>
      <c r="Y4665" t="e">
        <v>#N/A</v>
      </c>
      <c r="Z4665" t="e">
        <v>#N/A</v>
      </c>
      <c r="AA4665" t="e">
        <v>#N/A</v>
      </c>
      <c r="AB4665" t="e">
        <v>#N/A</v>
      </c>
      <c r="AC4665" t="e">
        <v>#N/A</v>
      </c>
      <c r="AD4665">
        <v>0</v>
      </c>
    </row>
    <row r="4666" spans="2:30" x14ac:dyDescent="0.25">
      <c r="B4666" t="s">
        <v>133</v>
      </c>
      <c r="C4666" t="s">
        <v>3265</v>
      </c>
      <c r="D4666" t="s">
        <v>5989</v>
      </c>
      <c r="E4666" t="s">
        <v>5990</v>
      </c>
      <c r="F4666" t="s">
        <v>10173</v>
      </c>
      <c r="G4666" t="s">
        <v>5933</v>
      </c>
      <c r="H4666" t="s">
        <v>5985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  <c r="W4666" t="e">
        <v>#N/A</v>
      </c>
      <c r="X4666" t="e">
        <v>#N/A</v>
      </c>
      <c r="Y4666" t="e">
        <v>#N/A</v>
      </c>
      <c r="Z4666" t="e">
        <v>#N/A</v>
      </c>
      <c r="AA4666" t="e">
        <v>#N/A</v>
      </c>
      <c r="AB4666" t="e">
        <v>#N/A</v>
      </c>
      <c r="AC4666" t="e">
        <v>#N/A</v>
      </c>
      <c r="AD4666">
        <v>0</v>
      </c>
    </row>
    <row r="4667" spans="2:30" x14ac:dyDescent="0.25">
      <c r="B4667" t="s">
        <v>133</v>
      </c>
      <c r="C4667" t="s">
        <v>3265</v>
      </c>
      <c r="D4667" t="s">
        <v>5992</v>
      </c>
      <c r="E4667" t="s">
        <v>5993</v>
      </c>
      <c r="F4667" t="s">
        <v>10174</v>
      </c>
      <c r="G4667" t="s">
        <v>5933</v>
      </c>
      <c r="H4667" t="s">
        <v>5985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  <c r="W4667" t="e">
        <v>#N/A</v>
      </c>
      <c r="X4667" t="e">
        <v>#N/A</v>
      </c>
      <c r="Y4667" t="e">
        <v>#N/A</v>
      </c>
      <c r="Z4667" t="e">
        <v>#N/A</v>
      </c>
      <c r="AA4667" t="e">
        <v>#N/A</v>
      </c>
      <c r="AB4667" t="e">
        <v>#N/A</v>
      </c>
      <c r="AC4667" t="e">
        <v>#N/A</v>
      </c>
      <c r="AD4667">
        <v>0</v>
      </c>
    </row>
    <row r="4668" spans="2:30" x14ac:dyDescent="0.25">
      <c r="B4668" t="s">
        <v>133</v>
      </c>
      <c r="C4668" t="s">
        <v>3265</v>
      </c>
      <c r="D4668" t="s">
        <v>5995</v>
      </c>
      <c r="E4668" t="s">
        <v>5996</v>
      </c>
      <c r="F4668" t="s">
        <v>10175</v>
      </c>
      <c r="G4668" t="s">
        <v>5933</v>
      </c>
      <c r="H4668" t="s">
        <v>5985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  <c r="W4668" t="e">
        <v>#N/A</v>
      </c>
      <c r="X4668" t="e">
        <v>#N/A</v>
      </c>
      <c r="Y4668" t="e">
        <v>#N/A</v>
      </c>
      <c r="Z4668" t="e">
        <v>#N/A</v>
      </c>
      <c r="AA4668" t="e">
        <v>#N/A</v>
      </c>
      <c r="AB4668" t="e">
        <v>#N/A</v>
      </c>
      <c r="AC4668" t="e">
        <v>#N/A</v>
      </c>
      <c r="AD4668">
        <v>0</v>
      </c>
    </row>
    <row r="4669" spans="2:30" x14ac:dyDescent="0.25">
      <c r="B4669" t="s">
        <v>133</v>
      </c>
      <c r="C4669" t="s">
        <v>3265</v>
      </c>
      <c r="D4669" t="s">
        <v>5998</v>
      </c>
      <c r="E4669" t="s">
        <v>5999</v>
      </c>
      <c r="F4669" t="s">
        <v>10176</v>
      </c>
      <c r="G4669" t="s">
        <v>5933</v>
      </c>
      <c r="H4669" t="s">
        <v>5985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  <c r="W4669" t="e">
        <v>#N/A</v>
      </c>
      <c r="X4669" t="e">
        <v>#N/A</v>
      </c>
      <c r="Y4669" t="e">
        <v>#N/A</v>
      </c>
      <c r="Z4669" t="e">
        <v>#N/A</v>
      </c>
      <c r="AA4669" t="e">
        <v>#N/A</v>
      </c>
      <c r="AB4669" t="e">
        <v>#N/A</v>
      </c>
      <c r="AC4669" t="e">
        <v>#N/A</v>
      </c>
      <c r="AD4669">
        <v>0</v>
      </c>
    </row>
    <row r="4670" spans="2:30" x14ac:dyDescent="0.25">
      <c r="B4670" t="s">
        <v>133</v>
      </c>
      <c r="C4670" t="s">
        <v>3265</v>
      </c>
      <c r="D4670" t="s">
        <v>6001</v>
      </c>
      <c r="E4670" t="s">
        <v>6002</v>
      </c>
      <c r="F4670" t="s">
        <v>10177</v>
      </c>
      <c r="G4670" t="s">
        <v>5933</v>
      </c>
      <c r="H4670" t="s">
        <v>5985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  <c r="W4670" t="e">
        <v>#N/A</v>
      </c>
      <c r="X4670" t="e">
        <v>#N/A</v>
      </c>
      <c r="Y4670" t="e">
        <v>#N/A</v>
      </c>
      <c r="Z4670" t="e">
        <v>#N/A</v>
      </c>
      <c r="AA4670" t="e">
        <v>#N/A</v>
      </c>
      <c r="AB4670" t="e">
        <v>#N/A</v>
      </c>
      <c r="AC4670" t="e">
        <v>#N/A</v>
      </c>
      <c r="AD4670">
        <v>0</v>
      </c>
    </row>
    <row r="4671" spans="2:30" x14ac:dyDescent="0.25">
      <c r="B4671" t="s">
        <v>133</v>
      </c>
      <c r="C4671" t="s">
        <v>3265</v>
      </c>
      <c r="D4671" t="s">
        <v>6004</v>
      </c>
      <c r="E4671" t="s">
        <v>6005</v>
      </c>
      <c r="F4671" t="s">
        <v>10178</v>
      </c>
      <c r="G4671" t="s">
        <v>5933</v>
      </c>
      <c r="H4671" t="s">
        <v>5985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  <c r="W4671" t="e">
        <v>#N/A</v>
      </c>
      <c r="X4671" t="e">
        <v>#N/A</v>
      </c>
      <c r="Y4671" t="e">
        <v>#N/A</v>
      </c>
      <c r="Z4671" t="e">
        <v>#N/A</v>
      </c>
      <c r="AA4671" t="e">
        <v>#N/A</v>
      </c>
      <c r="AB4671" t="e">
        <v>#N/A</v>
      </c>
      <c r="AC4671" t="e">
        <v>#N/A</v>
      </c>
      <c r="AD4671">
        <v>0</v>
      </c>
    </row>
    <row r="4672" spans="2:30" x14ac:dyDescent="0.25">
      <c r="B4672" t="s">
        <v>133</v>
      </c>
      <c r="C4672" t="s">
        <v>3265</v>
      </c>
      <c r="D4672" t="s">
        <v>6007</v>
      </c>
      <c r="E4672" t="s">
        <v>6008</v>
      </c>
      <c r="F4672" t="s">
        <v>10179</v>
      </c>
      <c r="G4672" t="s">
        <v>5933</v>
      </c>
      <c r="H4672" t="s">
        <v>6010</v>
      </c>
      <c r="I4672" t="s">
        <v>6011</v>
      </c>
      <c r="K4672">
        <v>1.01</v>
      </c>
      <c r="L4672">
        <v>1.05</v>
      </c>
      <c r="M4672">
        <v>1.1000000000000001</v>
      </c>
      <c r="N4672">
        <v>1.18</v>
      </c>
      <c r="O4672">
        <v>1.24</v>
      </c>
      <c r="P4672">
        <v>1.3</v>
      </c>
      <c r="Q4672">
        <v>1.38</v>
      </c>
      <c r="R4672">
        <v>1.46</v>
      </c>
      <c r="S4672">
        <v>1.54</v>
      </c>
      <c r="T4672">
        <v>1.63</v>
      </c>
      <c r="U4672">
        <v>1.72</v>
      </c>
      <c r="V4672">
        <v>1.81</v>
      </c>
      <c r="W4672">
        <v>1.91</v>
      </c>
      <c r="X4672">
        <v>2.0099999999999998</v>
      </c>
      <c r="Y4672">
        <v>2.12</v>
      </c>
      <c r="Z4672">
        <v>2.2400000000000002</v>
      </c>
      <c r="AA4672">
        <v>2.36</v>
      </c>
      <c r="AB4672">
        <v>2.4900000000000002</v>
      </c>
      <c r="AC4672">
        <v>2.62</v>
      </c>
      <c r="AD4672">
        <v>0</v>
      </c>
    </row>
    <row r="4673" spans="2:30" x14ac:dyDescent="0.25">
      <c r="B4673" t="s">
        <v>133</v>
      </c>
      <c r="C4673" t="s">
        <v>3265</v>
      </c>
      <c r="D4673" t="s">
        <v>6012</v>
      </c>
      <c r="E4673" t="s">
        <v>6013</v>
      </c>
      <c r="F4673" t="s">
        <v>10180</v>
      </c>
      <c r="G4673" t="s">
        <v>5933</v>
      </c>
      <c r="H4673" t="s">
        <v>6010</v>
      </c>
      <c r="I4673" t="s">
        <v>6011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</row>
    <row r="4674" spans="2:30" x14ac:dyDescent="0.25">
      <c r="B4674" t="s">
        <v>133</v>
      </c>
      <c r="C4674" t="s">
        <v>3265</v>
      </c>
      <c r="D4674" t="s">
        <v>6015</v>
      </c>
      <c r="E4674" t="s">
        <v>6016</v>
      </c>
      <c r="F4674" t="s">
        <v>10181</v>
      </c>
      <c r="G4674" t="s">
        <v>3890</v>
      </c>
      <c r="H4674" t="s">
        <v>6018</v>
      </c>
      <c r="I4674" t="s">
        <v>4267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</row>
    <row r="4675" spans="2:30" x14ac:dyDescent="0.25">
      <c r="B4675" t="s">
        <v>133</v>
      </c>
      <c r="C4675" t="s">
        <v>3265</v>
      </c>
      <c r="D4675" t="s">
        <v>6019</v>
      </c>
      <c r="E4675" t="s">
        <v>6020</v>
      </c>
      <c r="F4675" t="s">
        <v>10182</v>
      </c>
      <c r="G4675" t="s">
        <v>3890</v>
      </c>
      <c r="H4675" t="s">
        <v>6018</v>
      </c>
      <c r="I4675" t="s">
        <v>4267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</row>
    <row r="4676" spans="2:30" x14ac:dyDescent="0.25">
      <c r="B4676" t="s">
        <v>133</v>
      </c>
      <c r="C4676" t="s">
        <v>3265</v>
      </c>
      <c r="D4676" t="s">
        <v>6022</v>
      </c>
      <c r="E4676" t="s">
        <v>6023</v>
      </c>
      <c r="F4676" t="s">
        <v>10183</v>
      </c>
      <c r="G4676" t="s">
        <v>3890</v>
      </c>
      <c r="H4676" t="s">
        <v>6018</v>
      </c>
      <c r="I4676" t="s">
        <v>4267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  <c r="W4676" t="e">
        <v>#N/A</v>
      </c>
      <c r="X4676" t="e">
        <v>#N/A</v>
      </c>
      <c r="Y4676" t="e">
        <v>#N/A</v>
      </c>
      <c r="Z4676" t="e">
        <v>#N/A</v>
      </c>
      <c r="AA4676" t="e">
        <v>#N/A</v>
      </c>
      <c r="AB4676" t="e">
        <v>#N/A</v>
      </c>
      <c r="AC4676" t="e">
        <v>#N/A</v>
      </c>
      <c r="AD4676" t="e">
        <v>#N/A</v>
      </c>
    </row>
    <row r="4677" spans="2:30" x14ac:dyDescent="0.25">
      <c r="B4677" t="s">
        <v>133</v>
      </c>
      <c r="C4677" t="s">
        <v>3265</v>
      </c>
      <c r="D4677" t="s">
        <v>6025</v>
      </c>
      <c r="E4677" t="s">
        <v>6026</v>
      </c>
      <c r="F4677" t="s">
        <v>10184</v>
      </c>
      <c r="G4677" t="s">
        <v>3890</v>
      </c>
      <c r="H4677" t="s">
        <v>6018</v>
      </c>
      <c r="I4677" t="s">
        <v>4267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  <c r="W4677" t="e">
        <v>#N/A</v>
      </c>
      <c r="X4677" t="e">
        <v>#N/A</v>
      </c>
      <c r="Y4677" t="e">
        <v>#N/A</v>
      </c>
      <c r="Z4677" t="e">
        <v>#N/A</v>
      </c>
      <c r="AA4677" t="e">
        <v>#N/A</v>
      </c>
      <c r="AB4677" t="e">
        <v>#N/A</v>
      </c>
      <c r="AC4677" t="e">
        <v>#N/A</v>
      </c>
      <c r="AD4677" t="e">
        <v>#N/A</v>
      </c>
    </row>
    <row r="4678" spans="2:30" x14ac:dyDescent="0.25">
      <c r="B4678" t="s">
        <v>133</v>
      </c>
      <c r="C4678" t="s">
        <v>3265</v>
      </c>
      <c r="D4678" t="s">
        <v>6028</v>
      </c>
      <c r="E4678" t="s">
        <v>6029</v>
      </c>
      <c r="F4678" t="s">
        <v>10185</v>
      </c>
      <c r="G4678" t="s">
        <v>3890</v>
      </c>
      <c r="H4678" t="s">
        <v>6018</v>
      </c>
      <c r="I4678" t="s">
        <v>4267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</row>
    <row r="4679" spans="2:30" x14ac:dyDescent="0.25">
      <c r="B4679" t="s">
        <v>133</v>
      </c>
      <c r="C4679" t="s">
        <v>3265</v>
      </c>
      <c r="D4679" t="s">
        <v>6031</v>
      </c>
      <c r="E4679" t="s">
        <v>6032</v>
      </c>
      <c r="F4679" t="s">
        <v>10186</v>
      </c>
      <c r="G4679" t="s">
        <v>3890</v>
      </c>
      <c r="H4679" t="s">
        <v>6018</v>
      </c>
      <c r="I4679" t="s">
        <v>4267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  <c r="W4679" t="e">
        <v>#N/A</v>
      </c>
      <c r="X4679" t="e">
        <v>#N/A</v>
      </c>
      <c r="Y4679" t="e">
        <v>#N/A</v>
      </c>
      <c r="Z4679" t="e">
        <v>#N/A</v>
      </c>
      <c r="AA4679" t="e">
        <v>#N/A</v>
      </c>
      <c r="AB4679" t="e">
        <v>#N/A</v>
      </c>
      <c r="AC4679" t="e">
        <v>#N/A</v>
      </c>
      <c r="AD4679" t="e">
        <v>#N/A</v>
      </c>
    </row>
    <row r="4680" spans="2:30" x14ac:dyDescent="0.25">
      <c r="B4680" t="s">
        <v>133</v>
      </c>
      <c r="C4680" t="s">
        <v>3265</v>
      </c>
      <c r="D4680" t="s">
        <v>6034</v>
      </c>
      <c r="E4680" t="s">
        <v>6035</v>
      </c>
      <c r="F4680" t="s">
        <v>10187</v>
      </c>
      <c r="G4680" t="s">
        <v>3890</v>
      </c>
      <c r="H4680" t="s">
        <v>6018</v>
      </c>
      <c r="I4680" t="s">
        <v>6037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  <c r="W4680" t="e">
        <v>#N/A</v>
      </c>
      <c r="X4680" t="e">
        <v>#N/A</v>
      </c>
      <c r="Y4680" t="e">
        <v>#N/A</v>
      </c>
      <c r="Z4680" t="e">
        <v>#N/A</v>
      </c>
      <c r="AA4680" t="e">
        <v>#N/A</v>
      </c>
      <c r="AB4680" t="e">
        <v>#N/A</v>
      </c>
      <c r="AC4680" t="e">
        <v>#N/A</v>
      </c>
      <c r="AD4680" t="e">
        <v>#N/A</v>
      </c>
    </row>
    <row r="4681" spans="2:30" x14ac:dyDescent="0.25">
      <c r="B4681" t="s">
        <v>133</v>
      </c>
      <c r="C4681" t="s">
        <v>3265</v>
      </c>
      <c r="D4681" t="s">
        <v>6038</v>
      </c>
      <c r="E4681" t="s">
        <v>6039</v>
      </c>
      <c r="F4681" t="s">
        <v>10188</v>
      </c>
      <c r="G4681" t="s">
        <v>3890</v>
      </c>
      <c r="H4681" t="s">
        <v>6018</v>
      </c>
      <c r="I4681" t="s">
        <v>6037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  <c r="W4681" t="e">
        <v>#N/A</v>
      </c>
      <c r="X4681" t="e">
        <v>#N/A</v>
      </c>
      <c r="Y4681" t="e">
        <v>#N/A</v>
      </c>
      <c r="Z4681" t="e">
        <v>#N/A</v>
      </c>
      <c r="AA4681" t="e">
        <v>#N/A</v>
      </c>
      <c r="AB4681" t="e">
        <v>#N/A</v>
      </c>
      <c r="AC4681" t="e">
        <v>#N/A</v>
      </c>
      <c r="AD4681" t="e">
        <v>#N/A</v>
      </c>
    </row>
    <row r="4682" spans="2:30" x14ac:dyDescent="0.25">
      <c r="B4682" t="s">
        <v>133</v>
      </c>
      <c r="C4682" t="s">
        <v>3265</v>
      </c>
      <c r="D4682" t="s">
        <v>6041</v>
      </c>
      <c r="E4682" t="s">
        <v>6042</v>
      </c>
      <c r="F4682" t="s">
        <v>10189</v>
      </c>
      <c r="G4682" t="s">
        <v>3890</v>
      </c>
      <c r="H4682" t="s">
        <v>6018</v>
      </c>
      <c r="I4682" t="s">
        <v>6037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  <c r="W4682" t="e">
        <v>#N/A</v>
      </c>
      <c r="X4682" t="e">
        <v>#N/A</v>
      </c>
      <c r="Y4682" t="e">
        <v>#N/A</v>
      </c>
      <c r="Z4682" t="e">
        <v>#N/A</v>
      </c>
      <c r="AA4682" t="e">
        <v>#N/A</v>
      </c>
      <c r="AB4682" t="e">
        <v>#N/A</v>
      </c>
      <c r="AC4682" t="e">
        <v>#N/A</v>
      </c>
      <c r="AD4682" t="e">
        <v>#N/A</v>
      </c>
    </row>
    <row r="4683" spans="2:30" x14ac:dyDescent="0.25">
      <c r="B4683" t="s">
        <v>133</v>
      </c>
      <c r="C4683" t="s">
        <v>3265</v>
      </c>
      <c r="D4683" t="s">
        <v>6044</v>
      </c>
      <c r="E4683" t="s">
        <v>6045</v>
      </c>
      <c r="F4683" t="s">
        <v>10190</v>
      </c>
      <c r="G4683" t="s">
        <v>3890</v>
      </c>
      <c r="H4683" t="s">
        <v>6018</v>
      </c>
      <c r="I4683" t="s">
        <v>6037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  <c r="W4683" t="e">
        <v>#N/A</v>
      </c>
      <c r="X4683" t="e">
        <v>#N/A</v>
      </c>
      <c r="Y4683" t="e">
        <v>#N/A</v>
      </c>
      <c r="Z4683" t="e">
        <v>#N/A</v>
      </c>
      <c r="AA4683" t="e">
        <v>#N/A</v>
      </c>
      <c r="AB4683" t="e">
        <v>#N/A</v>
      </c>
      <c r="AC4683" t="e">
        <v>#N/A</v>
      </c>
      <c r="AD4683" t="e">
        <v>#N/A</v>
      </c>
    </row>
    <row r="4684" spans="2:30" x14ac:dyDescent="0.25">
      <c r="B4684" t="s">
        <v>133</v>
      </c>
      <c r="C4684" t="s">
        <v>3265</v>
      </c>
      <c r="D4684" t="s">
        <v>6047</v>
      </c>
      <c r="E4684" t="s">
        <v>6048</v>
      </c>
      <c r="F4684" t="s">
        <v>10191</v>
      </c>
      <c r="G4684" t="s">
        <v>5933</v>
      </c>
      <c r="H4684" t="s">
        <v>6050</v>
      </c>
      <c r="I4684" t="s">
        <v>6051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5.3999999999999999E-2</v>
      </c>
      <c r="R4684">
        <v>0.151</v>
      </c>
      <c r="S4684">
        <v>0.34599999999999997</v>
      </c>
      <c r="T4684">
        <v>0.58799999999999997</v>
      </c>
      <c r="U4684">
        <v>0.85599999999999998</v>
      </c>
      <c r="V4684">
        <v>1.123</v>
      </c>
      <c r="W4684">
        <v>1.357</v>
      </c>
      <c r="X4684">
        <v>1.512</v>
      </c>
      <c r="Y4684">
        <v>1.5720000000000001</v>
      </c>
      <c r="Z4684">
        <v>1.268</v>
      </c>
      <c r="AA4684">
        <v>0.83</v>
      </c>
      <c r="AB4684">
        <v>0.193</v>
      </c>
      <c r="AC4684">
        <v>-0.65200000000000002</v>
      </c>
      <c r="AD4684">
        <v>0</v>
      </c>
    </row>
    <row r="4685" spans="2:30" x14ac:dyDescent="0.25">
      <c r="B4685" t="s">
        <v>133</v>
      </c>
      <c r="C4685" t="s">
        <v>3265</v>
      </c>
      <c r="D4685" t="s">
        <v>6052</v>
      </c>
      <c r="E4685" t="s">
        <v>6053</v>
      </c>
      <c r="F4685" t="s">
        <v>10192</v>
      </c>
      <c r="G4685" t="s">
        <v>5933</v>
      </c>
      <c r="H4685" t="s">
        <v>6050</v>
      </c>
      <c r="I4685" t="s">
        <v>6051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8.9999999999999993E-3</v>
      </c>
      <c r="R4685">
        <v>2.4E-2</v>
      </c>
      <c r="S4685">
        <v>5.6000000000000001E-2</v>
      </c>
      <c r="T4685">
        <v>9.5000000000000001E-2</v>
      </c>
      <c r="U4685">
        <v>0.13800000000000001</v>
      </c>
      <c r="V4685">
        <v>0.18099999999999999</v>
      </c>
      <c r="W4685">
        <v>0.219</v>
      </c>
      <c r="X4685">
        <v>0.24399999999999999</v>
      </c>
      <c r="Y4685">
        <v>0.253</v>
      </c>
      <c r="Z4685">
        <v>0.20399999999999999</v>
      </c>
      <c r="AA4685">
        <v>0.13400000000000001</v>
      </c>
      <c r="AB4685">
        <v>3.1E-2</v>
      </c>
      <c r="AC4685">
        <v>-0.105</v>
      </c>
      <c r="AD4685">
        <v>0</v>
      </c>
    </row>
    <row r="4686" spans="2:30" x14ac:dyDescent="0.25">
      <c r="B4686" t="s">
        <v>133</v>
      </c>
      <c r="C4686" t="s">
        <v>3265</v>
      </c>
      <c r="D4686" t="s">
        <v>6055</v>
      </c>
      <c r="E4686" t="s">
        <v>6056</v>
      </c>
      <c r="F4686" t="s">
        <v>10193</v>
      </c>
      <c r="G4686" t="s">
        <v>5933</v>
      </c>
      <c r="H4686" t="s">
        <v>6050</v>
      </c>
      <c r="I4686" t="s">
        <v>6051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7.9000000000000001E-2</v>
      </c>
      <c r="R4686">
        <v>0.222</v>
      </c>
      <c r="S4686">
        <v>0.50800000000000001</v>
      </c>
      <c r="T4686">
        <v>0.86299999999999999</v>
      </c>
      <c r="U4686">
        <v>1.256</v>
      </c>
      <c r="V4686">
        <v>1.647</v>
      </c>
      <c r="W4686">
        <v>1.9910000000000001</v>
      </c>
      <c r="X4686">
        <v>2.218</v>
      </c>
      <c r="Y4686">
        <v>2.306</v>
      </c>
      <c r="Z4686">
        <v>1.861</v>
      </c>
      <c r="AA4686">
        <v>1.2170000000000001</v>
      </c>
      <c r="AB4686">
        <v>0.28299999999999997</v>
      </c>
      <c r="AC4686">
        <v>-0.95599999999999996</v>
      </c>
      <c r="AD4686">
        <v>0</v>
      </c>
    </row>
    <row r="4687" spans="2:30" x14ac:dyDescent="0.25">
      <c r="B4687" t="s">
        <v>133</v>
      </c>
      <c r="C4687" t="s">
        <v>3265</v>
      </c>
      <c r="D4687" t="s">
        <v>6058</v>
      </c>
      <c r="E4687" t="s">
        <v>6059</v>
      </c>
      <c r="F4687" t="s">
        <v>10194</v>
      </c>
      <c r="G4687" t="s">
        <v>5933</v>
      </c>
      <c r="H4687" t="s">
        <v>6050</v>
      </c>
      <c r="I4687" t="s">
        <v>6051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3.0000000000000001E-3</v>
      </c>
      <c r="R4687">
        <v>8.9999999999999993E-3</v>
      </c>
      <c r="S4687">
        <v>0.02</v>
      </c>
      <c r="T4687">
        <v>3.4000000000000002E-2</v>
      </c>
      <c r="U4687">
        <v>4.9000000000000002E-2</v>
      </c>
      <c r="V4687">
        <v>6.4000000000000001E-2</v>
      </c>
      <c r="W4687">
        <v>7.6999999999999999E-2</v>
      </c>
      <c r="X4687">
        <v>8.5999999999999993E-2</v>
      </c>
      <c r="Y4687">
        <v>0.09</v>
      </c>
      <c r="Z4687">
        <v>7.1999999999999995E-2</v>
      </c>
      <c r="AA4687">
        <v>4.7E-2</v>
      </c>
      <c r="AB4687">
        <v>1.0999999999999999E-2</v>
      </c>
      <c r="AC4687">
        <v>-3.6999999999999998E-2</v>
      </c>
      <c r="AD4687">
        <v>0</v>
      </c>
    </row>
    <row r="4688" spans="2:30" x14ac:dyDescent="0.25">
      <c r="B4688" t="s">
        <v>133</v>
      </c>
      <c r="C4688" t="s">
        <v>3265</v>
      </c>
      <c r="D4688" t="s">
        <v>6061</v>
      </c>
      <c r="E4688" t="s">
        <v>6062</v>
      </c>
      <c r="F4688" t="s">
        <v>10195</v>
      </c>
      <c r="G4688" t="s">
        <v>5933</v>
      </c>
      <c r="H4688" t="s">
        <v>6064</v>
      </c>
      <c r="I4688" t="s">
        <v>6065</v>
      </c>
      <c r="J4688">
        <v>1</v>
      </c>
      <c r="K4688">
        <v>4.2999999999999997E-2</v>
      </c>
      <c r="L4688">
        <v>4.36E-2</v>
      </c>
      <c r="M4688">
        <v>4.4400000000000002E-2</v>
      </c>
      <c r="N4688">
        <v>4.48E-2</v>
      </c>
      <c r="O4688">
        <v>4.53E-2</v>
      </c>
      <c r="P4688">
        <v>4.58E-2</v>
      </c>
      <c r="Q4688">
        <v>4.6199999999999998E-2</v>
      </c>
      <c r="R4688">
        <v>4.6699999999999998E-2</v>
      </c>
      <c r="S4688">
        <v>4.7E-2</v>
      </c>
      <c r="T4688">
        <v>4.7399999999999998E-2</v>
      </c>
      <c r="U4688">
        <v>4.7699999999999999E-2</v>
      </c>
      <c r="V4688">
        <v>4.8099999999999997E-2</v>
      </c>
      <c r="W4688">
        <v>4.8399999999999999E-2</v>
      </c>
      <c r="X4688">
        <v>4.87E-2</v>
      </c>
      <c r="Y4688">
        <v>4.9000000000000002E-2</v>
      </c>
      <c r="Z4688">
        <v>4.9200000000000001E-2</v>
      </c>
      <c r="AA4688">
        <v>4.9500000000000002E-2</v>
      </c>
      <c r="AB4688">
        <v>4.9700000000000001E-2</v>
      </c>
      <c r="AC4688">
        <v>0.05</v>
      </c>
      <c r="AD4688">
        <v>0</v>
      </c>
    </row>
    <row r="4689" spans="2:30" x14ac:dyDescent="0.25">
      <c r="B4689" t="s">
        <v>133</v>
      </c>
      <c r="C4689" t="s">
        <v>3265</v>
      </c>
      <c r="D4689" t="s">
        <v>6066</v>
      </c>
      <c r="E4689" t="s">
        <v>6067</v>
      </c>
      <c r="F4689" t="s">
        <v>10196</v>
      </c>
      <c r="G4689" t="s">
        <v>5933</v>
      </c>
      <c r="H4689" t="s">
        <v>6064</v>
      </c>
      <c r="I4689" t="s">
        <v>6065</v>
      </c>
      <c r="J4689">
        <v>1</v>
      </c>
      <c r="K4689">
        <v>2.7099999999999999E-2</v>
      </c>
      <c r="L4689">
        <v>2.75E-2</v>
      </c>
      <c r="M4689">
        <v>2.81E-2</v>
      </c>
      <c r="N4689">
        <v>2.8299999999999999E-2</v>
      </c>
      <c r="O4689">
        <v>2.87E-2</v>
      </c>
      <c r="P4689">
        <v>2.9000000000000001E-2</v>
      </c>
      <c r="Q4689">
        <v>2.93E-2</v>
      </c>
      <c r="R4689">
        <v>2.9600000000000001E-2</v>
      </c>
      <c r="S4689">
        <v>2.9899999999999999E-2</v>
      </c>
      <c r="T4689">
        <v>3.0200000000000001E-2</v>
      </c>
      <c r="U4689">
        <v>3.04E-2</v>
      </c>
      <c r="V4689">
        <v>3.0700000000000002E-2</v>
      </c>
      <c r="W4689">
        <v>3.09E-2</v>
      </c>
      <c r="X4689">
        <v>3.1099999999999999E-2</v>
      </c>
      <c r="Y4689">
        <v>3.1300000000000001E-2</v>
      </c>
      <c r="Z4689">
        <v>3.1600000000000003E-2</v>
      </c>
      <c r="AA4689">
        <v>3.1800000000000002E-2</v>
      </c>
      <c r="AB4689">
        <v>3.2000000000000001E-2</v>
      </c>
      <c r="AC4689">
        <v>3.2000000000000001E-2</v>
      </c>
      <c r="AD4689">
        <v>0</v>
      </c>
    </row>
    <row r="4690" spans="2:30" x14ac:dyDescent="0.25">
      <c r="B4690" t="s">
        <v>133</v>
      </c>
      <c r="C4690" t="s">
        <v>3265</v>
      </c>
      <c r="D4690" t="s">
        <v>6069</v>
      </c>
      <c r="E4690" t="s">
        <v>6070</v>
      </c>
      <c r="F4690" t="s">
        <v>10197</v>
      </c>
      <c r="G4690" t="s">
        <v>5933</v>
      </c>
      <c r="H4690" t="s">
        <v>6064</v>
      </c>
      <c r="I4690" t="s">
        <v>6065</v>
      </c>
      <c r="J4690">
        <v>1</v>
      </c>
      <c r="K4690">
        <v>0.78849999999999998</v>
      </c>
      <c r="L4690">
        <v>0.79659999999999997</v>
      </c>
      <c r="M4690">
        <v>0.80979999999999996</v>
      </c>
      <c r="N4690">
        <v>0.8135</v>
      </c>
      <c r="O4690">
        <v>0.82020000000000004</v>
      </c>
      <c r="P4690">
        <v>0.82650000000000001</v>
      </c>
      <c r="Q4690">
        <v>0.83250000000000002</v>
      </c>
      <c r="R4690">
        <v>0.83720000000000006</v>
      </c>
      <c r="S4690">
        <v>0.84130000000000005</v>
      </c>
      <c r="T4690">
        <v>0.8448</v>
      </c>
      <c r="U4690">
        <v>0.84799999999999998</v>
      </c>
      <c r="V4690">
        <v>0.85089999999999999</v>
      </c>
      <c r="W4690">
        <v>0.85350000000000004</v>
      </c>
      <c r="X4690">
        <v>0.85589999999999999</v>
      </c>
      <c r="Y4690">
        <v>0.85799999999999998</v>
      </c>
      <c r="Z4690">
        <v>0.85970000000000002</v>
      </c>
      <c r="AA4690">
        <v>0.86119999999999997</v>
      </c>
      <c r="AB4690">
        <v>0.86229999999999996</v>
      </c>
      <c r="AC4690">
        <v>0.86319999999999997</v>
      </c>
      <c r="AD4690">
        <v>0</v>
      </c>
    </row>
    <row r="4691" spans="2:30" x14ac:dyDescent="0.25">
      <c r="B4691" t="s">
        <v>133</v>
      </c>
      <c r="C4691" t="s">
        <v>3265</v>
      </c>
      <c r="D4691" t="s">
        <v>6072</v>
      </c>
      <c r="E4691" t="s">
        <v>6073</v>
      </c>
      <c r="F4691" t="s">
        <v>10198</v>
      </c>
      <c r="G4691" t="s">
        <v>5933</v>
      </c>
      <c r="H4691" t="s">
        <v>6064</v>
      </c>
      <c r="I4691" t="s">
        <v>6065</v>
      </c>
      <c r="J4691">
        <v>1</v>
      </c>
      <c r="K4691">
        <v>7.6799999999999993E-2</v>
      </c>
      <c r="L4691">
        <v>7.7299999999999994E-2</v>
      </c>
      <c r="M4691">
        <v>7.8299999999999995E-2</v>
      </c>
      <c r="N4691">
        <v>7.8299999999999995E-2</v>
      </c>
      <c r="O4691">
        <v>7.8600000000000003E-2</v>
      </c>
      <c r="P4691">
        <v>7.8899999999999998E-2</v>
      </c>
      <c r="Q4691">
        <v>7.9100000000000004E-2</v>
      </c>
      <c r="R4691">
        <v>7.9200000000000007E-2</v>
      </c>
      <c r="S4691">
        <v>7.9200000000000007E-2</v>
      </c>
      <c r="T4691">
        <v>7.9200000000000007E-2</v>
      </c>
      <c r="U4691">
        <v>7.9100000000000004E-2</v>
      </c>
      <c r="V4691">
        <v>7.9000000000000001E-2</v>
      </c>
      <c r="W4691">
        <v>7.8899999999999998E-2</v>
      </c>
      <c r="X4691">
        <v>7.8700000000000006E-2</v>
      </c>
      <c r="Y4691">
        <v>7.85E-2</v>
      </c>
      <c r="Z4691">
        <v>7.8200000000000006E-2</v>
      </c>
      <c r="AA4691">
        <v>7.7899999999999997E-2</v>
      </c>
      <c r="AB4691">
        <v>7.7600000000000002E-2</v>
      </c>
      <c r="AC4691">
        <v>7.7700000000000005E-2</v>
      </c>
      <c r="AD4691">
        <v>0</v>
      </c>
    </row>
    <row r="4692" spans="2:30" x14ac:dyDescent="0.25">
      <c r="B4692" t="s">
        <v>133</v>
      </c>
      <c r="C4692" t="s">
        <v>3265</v>
      </c>
      <c r="D4692" t="s">
        <v>6075</v>
      </c>
      <c r="E4692" t="s">
        <v>6076</v>
      </c>
      <c r="F4692" t="s">
        <v>10199</v>
      </c>
      <c r="G4692" t="s">
        <v>5933</v>
      </c>
      <c r="H4692" t="s">
        <v>6064</v>
      </c>
      <c r="I4692" t="s">
        <v>6065</v>
      </c>
      <c r="J4692">
        <v>1</v>
      </c>
      <c r="K4692">
        <v>0.25600000000000001</v>
      </c>
      <c r="L4692">
        <v>0.26019999999999999</v>
      </c>
      <c r="M4692">
        <v>0.26619999999999999</v>
      </c>
      <c r="N4692">
        <v>0.26910000000000001</v>
      </c>
      <c r="O4692">
        <v>0.27300000000000002</v>
      </c>
      <c r="P4692">
        <v>0.27679999999999999</v>
      </c>
      <c r="Q4692">
        <v>0.28060000000000002</v>
      </c>
      <c r="R4692">
        <v>0.28399999999999997</v>
      </c>
      <c r="S4692">
        <v>0.28720000000000001</v>
      </c>
      <c r="T4692">
        <v>0.2903</v>
      </c>
      <c r="U4692">
        <v>0.29330000000000001</v>
      </c>
      <c r="V4692">
        <v>0.29620000000000002</v>
      </c>
      <c r="W4692">
        <v>0.29909999999999998</v>
      </c>
      <c r="X4692">
        <v>0.3019</v>
      </c>
      <c r="Y4692">
        <v>0.30470000000000003</v>
      </c>
      <c r="Z4692">
        <v>0.30740000000000001</v>
      </c>
      <c r="AA4692">
        <v>0.31</v>
      </c>
      <c r="AB4692">
        <v>0.31259999999999999</v>
      </c>
      <c r="AC4692">
        <v>0.31630000000000003</v>
      </c>
      <c r="AD4692">
        <v>0</v>
      </c>
    </row>
    <row r="4693" spans="2:30" x14ac:dyDescent="0.25">
      <c r="B4693" t="s">
        <v>133</v>
      </c>
      <c r="C4693" t="s">
        <v>3265</v>
      </c>
      <c r="D4693" t="s">
        <v>6078</v>
      </c>
      <c r="E4693" t="s">
        <v>6079</v>
      </c>
      <c r="F4693" t="s">
        <v>10200</v>
      </c>
      <c r="G4693" t="s">
        <v>5933</v>
      </c>
      <c r="H4693" t="s">
        <v>6064</v>
      </c>
      <c r="I4693" t="s">
        <v>6065</v>
      </c>
      <c r="J4693">
        <v>1</v>
      </c>
      <c r="K4693">
        <v>5.3699999999999998E-2</v>
      </c>
      <c r="L4693">
        <v>5.4300000000000001E-2</v>
      </c>
      <c r="M4693">
        <v>5.5300000000000002E-2</v>
      </c>
      <c r="N4693">
        <v>5.5599999999999997E-2</v>
      </c>
      <c r="O4693">
        <v>5.62E-2</v>
      </c>
      <c r="P4693">
        <v>5.67E-2</v>
      </c>
      <c r="Q4693">
        <v>5.7200000000000001E-2</v>
      </c>
      <c r="R4693">
        <v>5.7700000000000001E-2</v>
      </c>
      <c r="S4693">
        <v>5.8000000000000003E-2</v>
      </c>
      <c r="T4693">
        <v>5.8400000000000001E-2</v>
      </c>
      <c r="U4693">
        <v>5.8700000000000002E-2</v>
      </c>
      <c r="V4693">
        <v>5.8999999999999997E-2</v>
      </c>
      <c r="W4693">
        <v>5.9299999999999999E-2</v>
      </c>
      <c r="X4693">
        <v>5.96E-2</v>
      </c>
      <c r="Y4693">
        <v>5.9799999999999999E-2</v>
      </c>
      <c r="Z4693">
        <v>6.0100000000000001E-2</v>
      </c>
      <c r="AA4693">
        <v>6.0299999999999999E-2</v>
      </c>
      <c r="AB4693">
        <v>6.0499999999999998E-2</v>
      </c>
      <c r="AC4693">
        <v>6.0699999999999997E-2</v>
      </c>
      <c r="AD4693">
        <v>0</v>
      </c>
    </row>
    <row r="4694" spans="2:30" x14ac:dyDescent="0.25">
      <c r="B4694" t="s">
        <v>133</v>
      </c>
      <c r="C4694" t="s">
        <v>3265</v>
      </c>
      <c r="D4694" t="s">
        <v>6081</v>
      </c>
      <c r="E4694" t="s">
        <v>6082</v>
      </c>
      <c r="F4694" t="s">
        <v>10201</v>
      </c>
      <c r="G4694" t="s">
        <v>5933</v>
      </c>
      <c r="H4694" t="s">
        <v>6064</v>
      </c>
      <c r="I4694" t="s">
        <v>6065</v>
      </c>
      <c r="J4694">
        <v>1</v>
      </c>
      <c r="K4694">
        <v>0.53769999999999996</v>
      </c>
      <c r="L4694">
        <v>0.54359999999999997</v>
      </c>
      <c r="M4694">
        <v>0.55289999999999995</v>
      </c>
      <c r="N4694">
        <v>0.55579999999999996</v>
      </c>
      <c r="O4694">
        <v>0.56069999999999998</v>
      </c>
      <c r="P4694">
        <v>0.56540000000000001</v>
      </c>
      <c r="Q4694">
        <v>0.56989999999999996</v>
      </c>
      <c r="R4694">
        <v>0.57350000000000001</v>
      </c>
      <c r="S4694">
        <v>0.5766</v>
      </c>
      <c r="T4694">
        <v>0.57940000000000003</v>
      </c>
      <c r="U4694">
        <v>0.58199999999999996</v>
      </c>
      <c r="V4694">
        <v>0.58440000000000003</v>
      </c>
      <c r="W4694">
        <v>0.58660000000000001</v>
      </c>
      <c r="X4694">
        <v>0.5887</v>
      </c>
      <c r="Y4694">
        <v>0.59050000000000002</v>
      </c>
      <c r="Z4694">
        <v>0.59219999999999995</v>
      </c>
      <c r="AA4694">
        <v>0.59360000000000002</v>
      </c>
      <c r="AB4694">
        <v>0.5948</v>
      </c>
      <c r="AC4694">
        <v>0.5958</v>
      </c>
      <c r="AD4694">
        <v>0</v>
      </c>
    </row>
    <row r="4695" spans="2:30" x14ac:dyDescent="0.25">
      <c r="B4695" t="s">
        <v>133</v>
      </c>
      <c r="C4695" t="s">
        <v>3265</v>
      </c>
      <c r="D4695" t="s">
        <v>6084</v>
      </c>
      <c r="E4695" t="s">
        <v>6085</v>
      </c>
      <c r="F4695" t="s">
        <v>10202</v>
      </c>
      <c r="G4695" t="s">
        <v>5933</v>
      </c>
      <c r="H4695" t="s">
        <v>6064</v>
      </c>
      <c r="I4695" t="s">
        <v>6065</v>
      </c>
      <c r="J4695">
        <v>1</v>
      </c>
      <c r="K4695">
        <v>6.4999999999999997E-3</v>
      </c>
      <c r="L4695">
        <v>6.6E-3</v>
      </c>
      <c r="M4695">
        <v>6.7999999999999996E-3</v>
      </c>
      <c r="N4695">
        <v>6.7999999999999996E-3</v>
      </c>
      <c r="O4695">
        <v>6.8999999999999999E-3</v>
      </c>
      <c r="P4695">
        <v>7.0000000000000001E-3</v>
      </c>
      <c r="Q4695">
        <v>7.1000000000000004E-3</v>
      </c>
      <c r="R4695">
        <v>7.1999999999999998E-3</v>
      </c>
      <c r="S4695">
        <v>7.3000000000000001E-3</v>
      </c>
      <c r="T4695">
        <v>7.4000000000000003E-3</v>
      </c>
      <c r="U4695">
        <v>7.4999999999999997E-3</v>
      </c>
      <c r="V4695">
        <v>7.4999999999999997E-3</v>
      </c>
      <c r="W4695">
        <v>7.6E-3</v>
      </c>
      <c r="X4695">
        <v>7.7000000000000002E-3</v>
      </c>
      <c r="Y4695">
        <v>7.7999999999999996E-3</v>
      </c>
      <c r="Z4695">
        <v>7.7999999999999996E-3</v>
      </c>
      <c r="AA4695">
        <v>7.9000000000000008E-3</v>
      </c>
      <c r="AB4695">
        <v>8.0000000000000002E-3</v>
      </c>
      <c r="AC4695">
        <v>8.0000000000000002E-3</v>
      </c>
      <c r="AD4695">
        <v>0</v>
      </c>
    </row>
    <row r="4696" spans="2:30" x14ac:dyDescent="0.25">
      <c r="B4696" t="s">
        <v>133</v>
      </c>
      <c r="C4696" t="s">
        <v>3265</v>
      </c>
      <c r="D4696" t="s">
        <v>6087</v>
      </c>
      <c r="E4696" t="s">
        <v>6088</v>
      </c>
      <c r="F4696" t="s">
        <v>10203</v>
      </c>
      <c r="G4696" t="s">
        <v>5933</v>
      </c>
      <c r="H4696" t="s">
        <v>6064</v>
      </c>
      <c r="I4696" t="s">
        <v>6065</v>
      </c>
      <c r="J4696">
        <v>1</v>
      </c>
      <c r="K4696">
        <v>1.1000000000000001E-3</v>
      </c>
      <c r="L4696">
        <v>1.1000000000000001E-3</v>
      </c>
      <c r="M4696">
        <v>1.1999999999999999E-3</v>
      </c>
      <c r="N4696">
        <v>1.1999999999999999E-3</v>
      </c>
      <c r="O4696">
        <v>1.1999999999999999E-3</v>
      </c>
      <c r="P4696">
        <v>1.1999999999999999E-3</v>
      </c>
      <c r="Q4696">
        <v>1.1999999999999999E-3</v>
      </c>
      <c r="R4696">
        <v>1.1999999999999999E-3</v>
      </c>
      <c r="S4696">
        <v>1.2999999999999999E-3</v>
      </c>
      <c r="T4696">
        <v>1.2999999999999999E-3</v>
      </c>
      <c r="U4696">
        <v>1.2999999999999999E-3</v>
      </c>
      <c r="V4696">
        <v>1.2999999999999999E-3</v>
      </c>
      <c r="W4696">
        <v>1.2999999999999999E-3</v>
      </c>
      <c r="X4696">
        <v>1.2999999999999999E-3</v>
      </c>
      <c r="Y4696">
        <v>1.2999999999999999E-3</v>
      </c>
      <c r="Z4696">
        <v>1.2999999999999999E-3</v>
      </c>
      <c r="AA4696">
        <v>1.4E-3</v>
      </c>
      <c r="AB4696">
        <v>1.4E-3</v>
      </c>
      <c r="AC4696">
        <v>1.4E-3</v>
      </c>
      <c r="AD4696">
        <v>0</v>
      </c>
    </row>
    <row r="4697" spans="2:30" x14ac:dyDescent="0.25">
      <c r="B4697" t="s">
        <v>133</v>
      </c>
      <c r="C4697" t="s">
        <v>3265</v>
      </c>
      <c r="D4697" t="s">
        <v>6090</v>
      </c>
      <c r="E4697" t="s">
        <v>6091</v>
      </c>
      <c r="F4697" t="s">
        <v>10204</v>
      </c>
      <c r="G4697" t="s">
        <v>5933</v>
      </c>
      <c r="H4697" t="s">
        <v>6093</v>
      </c>
      <c r="I4697" t="s">
        <v>6094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</row>
    <row r="4698" spans="2:30" x14ac:dyDescent="0.25">
      <c r="B4698" t="s">
        <v>133</v>
      </c>
      <c r="C4698" t="s">
        <v>3265</v>
      </c>
      <c r="D4698" t="s">
        <v>6095</v>
      </c>
      <c r="E4698" t="s">
        <v>6096</v>
      </c>
      <c r="F4698" t="s">
        <v>10205</v>
      </c>
      <c r="G4698" t="s">
        <v>5933</v>
      </c>
      <c r="H4698" t="s">
        <v>6093</v>
      </c>
      <c r="I4698" t="s">
        <v>6094</v>
      </c>
      <c r="J4698">
        <v>1</v>
      </c>
      <c r="K4698">
        <v>1.105</v>
      </c>
      <c r="L4698">
        <v>1.0489999999999999</v>
      </c>
      <c r="M4698">
        <v>1.2529999999999999</v>
      </c>
      <c r="N4698">
        <v>1.274</v>
      </c>
      <c r="O4698">
        <v>1.234</v>
      </c>
      <c r="P4698">
        <v>1.216</v>
      </c>
      <c r="Q4698">
        <v>1.244</v>
      </c>
      <c r="R4698">
        <v>1.2769999999999999</v>
      </c>
      <c r="S4698">
        <v>1.3049999999999999</v>
      </c>
      <c r="T4698">
        <v>1.3340000000000001</v>
      </c>
      <c r="U4698">
        <v>1.3660000000000001</v>
      </c>
      <c r="V4698">
        <v>1.403</v>
      </c>
      <c r="W4698">
        <v>1.4450000000000001</v>
      </c>
      <c r="X4698">
        <v>1.494</v>
      </c>
      <c r="Y4698">
        <v>1.5509999999999999</v>
      </c>
      <c r="Z4698">
        <v>1.6160000000000001</v>
      </c>
      <c r="AA4698">
        <v>1.6930000000000001</v>
      </c>
      <c r="AB4698">
        <v>1.782</v>
      </c>
      <c r="AC4698">
        <v>1.8879999999999999</v>
      </c>
      <c r="AD4698">
        <v>0</v>
      </c>
    </row>
    <row r="4699" spans="2:30" x14ac:dyDescent="0.25">
      <c r="B4699" t="s">
        <v>133</v>
      </c>
      <c r="C4699" t="s">
        <v>3265</v>
      </c>
      <c r="D4699" t="s">
        <v>6098</v>
      </c>
      <c r="E4699" t="s">
        <v>6099</v>
      </c>
      <c r="F4699" t="s">
        <v>10206</v>
      </c>
      <c r="G4699" t="s">
        <v>5933</v>
      </c>
      <c r="H4699" t="s">
        <v>6093</v>
      </c>
      <c r="I4699" t="s">
        <v>6094</v>
      </c>
      <c r="J4699">
        <v>1</v>
      </c>
      <c r="K4699">
        <v>5.9459999999999997</v>
      </c>
      <c r="L4699">
        <v>5.7469999999999999</v>
      </c>
      <c r="M4699">
        <v>5.5469999999999997</v>
      </c>
      <c r="N4699">
        <v>6.665</v>
      </c>
      <c r="O4699">
        <v>6.4859999999999998</v>
      </c>
      <c r="P4699">
        <v>6.298</v>
      </c>
      <c r="Q4699">
        <v>6.1020000000000003</v>
      </c>
      <c r="R4699">
        <v>5.9189999999999996</v>
      </c>
      <c r="S4699">
        <v>5.7460000000000004</v>
      </c>
      <c r="T4699">
        <v>5.58</v>
      </c>
      <c r="U4699">
        <v>5.42</v>
      </c>
      <c r="V4699">
        <v>5.2670000000000003</v>
      </c>
      <c r="W4699">
        <v>5.1210000000000004</v>
      </c>
      <c r="X4699">
        <v>4.9829999999999997</v>
      </c>
      <c r="Y4699">
        <v>4.8529999999999998</v>
      </c>
      <c r="Z4699">
        <v>4.7309999999999999</v>
      </c>
      <c r="AA4699">
        <v>4.617</v>
      </c>
      <c r="AB4699">
        <v>4.5129999999999999</v>
      </c>
      <c r="AC4699">
        <v>4.4180000000000001</v>
      </c>
      <c r="AD4699">
        <v>0</v>
      </c>
    </row>
    <row r="4700" spans="2:30" x14ac:dyDescent="0.25">
      <c r="B4700" t="s">
        <v>133</v>
      </c>
      <c r="C4700" t="s">
        <v>3265</v>
      </c>
      <c r="D4700" t="s">
        <v>6101</v>
      </c>
      <c r="E4700" t="s">
        <v>6102</v>
      </c>
      <c r="F4700" t="s">
        <v>10207</v>
      </c>
      <c r="G4700" t="s">
        <v>5933</v>
      </c>
      <c r="H4700" t="s">
        <v>6093</v>
      </c>
      <c r="I4700" t="s">
        <v>6094</v>
      </c>
      <c r="J4700">
        <v>1</v>
      </c>
      <c r="K4700">
        <v>3.573</v>
      </c>
      <c r="L4700">
        <v>3.4929999999999999</v>
      </c>
      <c r="M4700">
        <v>3.387</v>
      </c>
      <c r="N4700">
        <v>3.2360000000000002</v>
      </c>
      <c r="O4700">
        <v>3.4049999999999998</v>
      </c>
      <c r="P4700">
        <v>3.7240000000000002</v>
      </c>
      <c r="Q4700">
        <v>4.0709999999999997</v>
      </c>
      <c r="R4700">
        <v>4.4480000000000004</v>
      </c>
      <c r="S4700">
        <v>4.899</v>
      </c>
      <c r="T4700">
        <v>5.4349999999999996</v>
      </c>
      <c r="U4700">
        <v>6.0170000000000003</v>
      </c>
      <c r="V4700">
        <v>6.6420000000000003</v>
      </c>
      <c r="W4700">
        <v>7.3010000000000002</v>
      </c>
      <c r="X4700">
        <v>7.9950000000000001</v>
      </c>
      <c r="Y4700">
        <v>8.7210000000000001</v>
      </c>
      <c r="Z4700">
        <v>9.4830000000000005</v>
      </c>
      <c r="AA4700">
        <v>10.279</v>
      </c>
      <c r="AB4700">
        <v>11.112</v>
      </c>
      <c r="AC4700">
        <v>11.981999999999999</v>
      </c>
      <c r="AD4700">
        <v>0</v>
      </c>
    </row>
    <row r="4701" spans="2:30" x14ac:dyDescent="0.25">
      <c r="B4701" t="s">
        <v>133</v>
      </c>
      <c r="C4701" t="s">
        <v>3265</v>
      </c>
      <c r="D4701" t="s">
        <v>6104</v>
      </c>
      <c r="E4701" t="s">
        <v>6105</v>
      </c>
      <c r="F4701" t="s">
        <v>10208</v>
      </c>
      <c r="G4701" t="s">
        <v>5933</v>
      </c>
      <c r="H4701" t="s">
        <v>6093</v>
      </c>
      <c r="I4701" t="s">
        <v>6094</v>
      </c>
      <c r="J4701">
        <v>1</v>
      </c>
      <c r="K4701">
        <v>2.496</v>
      </c>
      <c r="L4701">
        <v>1.958</v>
      </c>
      <c r="M4701">
        <v>2.1160000000000001</v>
      </c>
      <c r="N4701">
        <v>2.093</v>
      </c>
      <c r="O4701">
        <v>2.069</v>
      </c>
      <c r="P4701">
        <v>2.0459999999999998</v>
      </c>
      <c r="Q4701">
        <v>2.0230000000000001</v>
      </c>
      <c r="R4701">
        <v>2</v>
      </c>
      <c r="S4701">
        <v>1.978</v>
      </c>
      <c r="T4701">
        <v>1.9550000000000001</v>
      </c>
      <c r="U4701">
        <v>1.9330000000000001</v>
      </c>
      <c r="V4701">
        <v>1.91</v>
      </c>
      <c r="W4701">
        <v>1.8879999999999999</v>
      </c>
      <c r="X4701">
        <v>1.8660000000000001</v>
      </c>
      <c r="Y4701">
        <v>1.8440000000000001</v>
      </c>
      <c r="Z4701">
        <v>1.823</v>
      </c>
      <c r="AA4701">
        <v>1.8009999999999999</v>
      </c>
      <c r="AB4701">
        <v>1.7789999999999999</v>
      </c>
      <c r="AC4701">
        <v>1.758</v>
      </c>
      <c r="AD4701">
        <v>0</v>
      </c>
    </row>
    <row r="4702" spans="2:30" x14ac:dyDescent="0.25">
      <c r="B4702" t="s">
        <v>133</v>
      </c>
      <c r="C4702" t="s">
        <v>3265</v>
      </c>
      <c r="D4702" t="s">
        <v>6107</v>
      </c>
      <c r="E4702" t="s">
        <v>6108</v>
      </c>
      <c r="F4702" t="s">
        <v>10209</v>
      </c>
      <c r="G4702" t="s">
        <v>5933</v>
      </c>
      <c r="H4702" t="s">
        <v>6093</v>
      </c>
      <c r="I4702" t="s">
        <v>6094</v>
      </c>
      <c r="J4702">
        <v>1</v>
      </c>
      <c r="K4702">
        <v>3.1419999999999999</v>
      </c>
      <c r="L4702">
        <v>3.0489999999999999</v>
      </c>
      <c r="M4702">
        <v>3.6619999999999999</v>
      </c>
      <c r="N4702">
        <v>4.6589999999999998</v>
      </c>
      <c r="O4702">
        <v>4.7670000000000003</v>
      </c>
      <c r="P4702">
        <v>4.8959999999999999</v>
      </c>
      <c r="Q4702">
        <v>5.0540000000000003</v>
      </c>
      <c r="R4702">
        <v>5.2030000000000003</v>
      </c>
      <c r="S4702">
        <v>5.3410000000000002</v>
      </c>
      <c r="T4702">
        <v>5.4790000000000001</v>
      </c>
      <c r="U4702">
        <v>5.6189999999999998</v>
      </c>
      <c r="V4702">
        <v>5.7590000000000003</v>
      </c>
      <c r="W4702">
        <v>5.9</v>
      </c>
      <c r="X4702">
        <v>6.0410000000000004</v>
      </c>
      <c r="Y4702">
        <v>6.1840000000000002</v>
      </c>
      <c r="Z4702">
        <v>6.3280000000000003</v>
      </c>
      <c r="AA4702">
        <v>6.4720000000000004</v>
      </c>
      <c r="AB4702">
        <v>6.6159999999999997</v>
      </c>
      <c r="AC4702">
        <v>6.7619999999999996</v>
      </c>
      <c r="AD4702">
        <v>0</v>
      </c>
    </row>
    <row r="4703" spans="2:30" x14ac:dyDescent="0.25">
      <c r="B4703" t="s">
        <v>133</v>
      </c>
      <c r="C4703" t="s">
        <v>3265</v>
      </c>
      <c r="D4703" t="s">
        <v>6110</v>
      </c>
      <c r="E4703" t="s">
        <v>6111</v>
      </c>
      <c r="F4703" t="s">
        <v>10210</v>
      </c>
      <c r="G4703" t="s">
        <v>5933</v>
      </c>
      <c r="H4703" t="s">
        <v>6093</v>
      </c>
      <c r="I4703" t="s">
        <v>6094</v>
      </c>
      <c r="J4703">
        <v>1</v>
      </c>
      <c r="K4703">
        <v>3.0720000000000001</v>
      </c>
      <c r="L4703">
        <v>3.7370000000000001</v>
      </c>
      <c r="M4703">
        <v>4.6779999999999999</v>
      </c>
      <c r="N4703">
        <v>4.774</v>
      </c>
      <c r="O4703">
        <v>4.8680000000000003</v>
      </c>
      <c r="P4703">
        <v>4.9770000000000003</v>
      </c>
      <c r="Q4703">
        <v>5.1040000000000001</v>
      </c>
      <c r="R4703">
        <v>5.2249999999999996</v>
      </c>
      <c r="S4703">
        <v>5.3390000000000004</v>
      </c>
      <c r="T4703">
        <v>5.452</v>
      </c>
      <c r="U4703">
        <v>5.5670000000000002</v>
      </c>
      <c r="V4703">
        <v>5.6820000000000004</v>
      </c>
      <c r="W4703">
        <v>5.7969999999999997</v>
      </c>
      <c r="X4703">
        <v>5.9139999999999997</v>
      </c>
      <c r="Y4703">
        <v>6.0309999999999997</v>
      </c>
      <c r="Z4703">
        <v>6.1479999999999997</v>
      </c>
      <c r="AA4703">
        <v>6.266</v>
      </c>
      <c r="AB4703">
        <v>6.3849999999999998</v>
      </c>
      <c r="AC4703">
        <v>6.5039999999999996</v>
      </c>
      <c r="AD4703">
        <v>0</v>
      </c>
    </row>
    <row r="4704" spans="2:30" x14ac:dyDescent="0.25">
      <c r="B4704" t="s">
        <v>133</v>
      </c>
      <c r="C4704" t="s">
        <v>3265</v>
      </c>
      <c r="D4704" t="s">
        <v>6113</v>
      </c>
      <c r="E4704" t="s">
        <v>6114</v>
      </c>
      <c r="F4704" t="s">
        <v>10211</v>
      </c>
      <c r="G4704" t="s">
        <v>5933</v>
      </c>
      <c r="H4704" t="s">
        <v>6093</v>
      </c>
      <c r="I4704" t="s">
        <v>6094</v>
      </c>
      <c r="J4704">
        <v>1</v>
      </c>
      <c r="K4704">
        <v>54.859000000000002</v>
      </c>
      <c r="L4704">
        <v>54.557000000000002</v>
      </c>
      <c r="M4704">
        <v>56.167999999999999</v>
      </c>
      <c r="N4704">
        <v>58.226999999999997</v>
      </c>
      <c r="O4704">
        <v>58.353999999999999</v>
      </c>
      <c r="P4704">
        <v>58.682000000000002</v>
      </c>
      <c r="Q4704">
        <v>59.124000000000002</v>
      </c>
      <c r="R4704">
        <v>59.598999999999997</v>
      </c>
      <c r="S4704">
        <v>60.134</v>
      </c>
      <c r="T4704">
        <v>60.761000000000003</v>
      </c>
      <c r="U4704">
        <v>61.445999999999998</v>
      </c>
      <c r="V4704">
        <v>62.186999999999998</v>
      </c>
      <c r="W4704">
        <v>62.976999999999997</v>
      </c>
      <c r="X4704">
        <v>63.819000000000003</v>
      </c>
      <c r="Y4704">
        <v>64.709000000000003</v>
      </c>
      <c r="Z4704">
        <v>65.653000000000006</v>
      </c>
      <c r="AA4704">
        <v>66.653000000000006</v>
      </c>
      <c r="AB4704">
        <v>67.712999999999994</v>
      </c>
      <c r="AC4704">
        <v>68.835999999999999</v>
      </c>
      <c r="AD4704">
        <v>0</v>
      </c>
    </row>
    <row r="4705" spans="2:30" x14ac:dyDescent="0.25">
      <c r="B4705" t="s">
        <v>133</v>
      </c>
      <c r="C4705" t="s">
        <v>3265</v>
      </c>
      <c r="D4705" t="s">
        <v>6116</v>
      </c>
      <c r="E4705" t="s">
        <v>6117</v>
      </c>
      <c r="F4705" t="s">
        <v>10212</v>
      </c>
      <c r="G4705" t="s">
        <v>5933</v>
      </c>
      <c r="H4705" t="s">
        <v>6093</v>
      </c>
      <c r="I4705" t="s">
        <v>6094</v>
      </c>
      <c r="J4705">
        <v>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</row>
    <row r="4706" spans="2:30" x14ac:dyDescent="0.25">
      <c r="B4706" t="s">
        <v>133</v>
      </c>
      <c r="C4706" t="s">
        <v>3265</v>
      </c>
      <c r="D4706" t="s">
        <v>6119</v>
      </c>
      <c r="E4706" t="s">
        <v>6120</v>
      </c>
      <c r="F4706" t="s">
        <v>10213</v>
      </c>
      <c r="G4706" t="s">
        <v>5933</v>
      </c>
      <c r="H4706" t="s">
        <v>6093</v>
      </c>
      <c r="I4706" t="s">
        <v>6094</v>
      </c>
      <c r="J4706">
        <v>2</v>
      </c>
      <c r="K4706">
        <v>1.105</v>
      </c>
      <c r="L4706">
        <v>1.0489999999999999</v>
      </c>
      <c r="M4706">
        <v>1.2529999999999999</v>
      </c>
      <c r="N4706">
        <v>1.274</v>
      </c>
      <c r="O4706">
        <v>1.234</v>
      </c>
      <c r="P4706">
        <v>1.216</v>
      </c>
      <c r="Q4706">
        <v>1.244</v>
      </c>
      <c r="R4706">
        <v>1.27</v>
      </c>
      <c r="S4706">
        <v>1.28</v>
      </c>
      <c r="T4706">
        <v>1.2869999999999999</v>
      </c>
      <c r="U4706">
        <v>1.292</v>
      </c>
      <c r="V4706">
        <v>1.2989999999999999</v>
      </c>
      <c r="W4706">
        <v>1.3089999999999999</v>
      </c>
      <c r="X4706">
        <v>1.323</v>
      </c>
      <c r="Y4706">
        <v>1.341</v>
      </c>
      <c r="Z4706">
        <v>1.399</v>
      </c>
      <c r="AA4706">
        <v>1.452</v>
      </c>
      <c r="AB4706">
        <v>1.5249999999999999</v>
      </c>
      <c r="AC4706">
        <v>1.6140000000000001</v>
      </c>
      <c r="AD4706">
        <v>0</v>
      </c>
    </row>
    <row r="4707" spans="2:30" x14ac:dyDescent="0.25">
      <c r="B4707" t="s">
        <v>133</v>
      </c>
      <c r="C4707" t="s">
        <v>3265</v>
      </c>
      <c r="D4707" t="s">
        <v>6122</v>
      </c>
      <c r="E4707" t="s">
        <v>6123</v>
      </c>
      <c r="F4707" t="s">
        <v>10214</v>
      </c>
      <c r="G4707" t="s">
        <v>5933</v>
      </c>
      <c r="H4707" t="s">
        <v>6093</v>
      </c>
      <c r="I4707" t="s">
        <v>6094</v>
      </c>
      <c r="J4707">
        <v>2</v>
      </c>
      <c r="K4707">
        <v>5.9459999999999997</v>
      </c>
      <c r="L4707">
        <v>5.7469999999999999</v>
      </c>
      <c r="M4707">
        <v>5.5469999999999997</v>
      </c>
      <c r="N4707">
        <v>6.665</v>
      </c>
      <c r="O4707">
        <v>6.4859999999999998</v>
      </c>
      <c r="P4707">
        <v>6.298</v>
      </c>
      <c r="Q4707">
        <v>6.1020000000000003</v>
      </c>
      <c r="R4707">
        <v>5.9160000000000004</v>
      </c>
      <c r="S4707">
        <v>5.7380000000000004</v>
      </c>
      <c r="T4707">
        <v>5.5659999999999998</v>
      </c>
      <c r="U4707">
        <v>5.4029999999999996</v>
      </c>
      <c r="V4707">
        <v>5.25</v>
      </c>
      <c r="W4707">
        <v>5.1120000000000001</v>
      </c>
      <c r="X4707">
        <v>4.9909999999999997</v>
      </c>
      <c r="Y4707">
        <v>4.8940000000000001</v>
      </c>
      <c r="Z4707">
        <v>4.806</v>
      </c>
      <c r="AA4707">
        <v>4.75</v>
      </c>
      <c r="AB4707">
        <v>4.7060000000000004</v>
      </c>
      <c r="AC4707">
        <v>4.68</v>
      </c>
      <c r="AD4707">
        <v>0</v>
      </c>
    </row>
    <row r="4708" spans="2:30" x14ac:dyDescent="0.25">
      <c r="B4708" t="s">
        <v>133</v>
      </c>
      <c r="C4708" t="s">
        <v>3265</v>
      </c>
      <c r="D4708" t="s">
        <v>6125</v>
      </c>
      <c r="E4708" t="s">
        <v>6126</v>
      </c>
      <c r="F4708" t="s">
        <v>10215</v>
      </c>
      <c r="G4708" t="s">
        <v>5933</v>
      </c>
      <c r="H4708" t="s">
        <v>6093</v>
      </c>
      <c r="I4708" t="s">
        <v>6094</v>
      </c>
      <c r="J4708">
        <v>2</v>
      </c>
      <c r="K4708">
        <v>3.573</v>
      </c>
      <c r="L4708">
        <v>3.4929999999999999</v>
      </c>
      <c r="M4708">
        <v>3.387</v>
      </c>
      <c r="N4708">
        <v>3.2360000000000002</v>
      </c>
      <c r="O4708">
        <v>3.4049999999999998</v>
      </c>
      <c r="P4708">
        <v>3.7240000000000002</v>
      </c>
      <c r="Q4708">
        <v>4.0709999999999997</v>
      </c>
      <c r="R4708">
        <v>4.4480000000000004</v>
      </c>
      <c r="S4708">
        <v>4.899</v>
      </c>
      <c r="T4708">
        <v>5.4349999999999996</v>
      </c>
      <c r="U4708">
        <v>6.0170000000000003</v>
      </c>
      <c r="V4708">
        <v>6.6429999999999998</v>
      </c>
      <c r="W4708">
        <v>7.3040000000000003</v>
      </c>
      <c r="X4708">
        <v>8</v>
      </c>
      <c r="Y4708">
        <v>8.7309999999999999</v>
      </c>
      <c r="Z4708">
        <v>9.4979999999999993</v>
      </c>
      <c r="AA4708">
        <v>10.303000000000001</v>
      </c>
      <c r="AB4708">
        <v>11.145</v>
      </c>
      <c r="AC4708">
        <v>12.025</v>
      </c>
      <c r="AD4708">
        <v>0</v>
      </c>
    </row>
    <row r="4709" spans="2:30" x14ac:dyDescent="0.25">
      <c r="B4709" t="s">
        <v>133</v>
      </c>
      <c r="C4709" t="s">
        <v>3265</v>
      </c>
      <c r="D4709" t="s">
        <v>6128</v>
      </c>
      <c r="E4709" t="s">
        <v>6129</v>
      </c>
      <c r="F4709" t="s">
        <v>10216</v>
      </c>
      <c r="G4709" t="s">
        <v>5933</v>
      </c>
      <c r="H4709" t="s">
        <v>6093</v>
      </c>
      <c r="I4709" t="s">
        <v>6094</v>
      </c>
      <c r="J4709">
        <v>2</v>
      </c>
      <c r="K4709">
        <v>2.496</v>
      </c>
      <c r="L4709">
        <v>1.958</v>
      </c>
      <c r="M4709">
        <v>2.1160000000000001</v>
      </c>
      <c r="N4709">
        <v>2.093</v>
      </c>
      <c r="O4709">
        <v>2.069</v>
      </c>
      <c r="P4709">
        <v>2.0459999999999998</v>
      </c>
      <c r="Q4709">
        <v>2.0230000000000001</v>
      </c>
      <c r="R4709">
        <v>2</v>
      </c>
      <c r="S4709">
        <v>1.978</v>
      </c>
      <c r="T4709">
        <v>1.9550000000000001</v>
      </c>
      <c r="U4709">
        <v>1.9330000000000001</v>
      </c>
      <c r="V4709">
        <v>1.91</v>
      </c>
      <c r="W4709">
        <v>1.8879999999999999</v>
      </c>
      <c r="X4709">
        <v>1.8660000000000001</v>
      </c>
      <c r="Y4709">
        <v>1.8440000000000001</v>
      </c>
      <c r="Z4709">
        <v>1.823</v>
      </c>
      <c r="AA4709">
        <v>1.8009999999999999</v>
      </c>
      <c r="AB4709">
        <v>1.7789999999999999</v>
      </c>
      <c r="AC4709">
        <v>1.758</v>
      </c>
      <c r="AD4709">
        <v>0</v>
      </c>
    </row>
    <row r="4710" spans="2:30" x14ac:dyDescent="0.25">
      <c r="B4710" t="s">
        <v>133</v>
      </c>
      <c r="C4710" t="s">
        <v>3265</v>
      </c>
      <c r="D4710" t="s">
        <v>6131</v>
      </c>
      <c r="E4710" t="s">
        <v>6132</v>
      </c>
      <c r="F4710" t="s">
        <v>10217</v>
      </c>
      <c r="G4710" t="s">
        <v>5933</v>
      </c>
      <c r="H4710" t="s">
        <v>6093</v>
      </c>
      <c r="I4710" t="s">
        <v>6094</v>
      </c>
      <c r="J4710">
        <v>2</v>
      </c>
      <c r="K4710">
        <v>3.1419999999999999</v>
      </c>
      <c r="L4710">
        <v>3.0489999999999999</v>
      </c>
      <c r="M4710">
        <v>3.6619999999999999</v>
      </c>
      <c r="N4710">
        <v>4.6589999999999998</v>
      </c>
      <c r="O4710">
        <v>4.7670000000000003</v>
      </c>
      <c r="P4710">
        <v>4.8959999999999999</v>
      </c>
      <c r="Q4710">
        <v>5.0490000000000004</v>
      </c>
      <c r="R4710">
        <v>5.1950000000000003</v>
      </c>
      <c r="S4710">
        <v>5.3319999999999999</v>
      </c>
      <c r="T4710">
        <v>5.47</v>
      </c>
      <c r="U4710">
        <v>5.61</v>
      </c>
      <c r="V4710">
        <v>5.7519999999999998</v>
      </c>
      <c r="W4710">
        <v>5.8949999999999996</v>
      </c>
      <c r="X4710">
        <v>6.04</v>
      </c>
      <c r="Y4710">
        <v>6.1829999999999998</v>
      </c>
      <c r="Z4710">
        <v>6.327</v>
      </c>
      <c r="AA4710">
        <v>6.4740000000000002</v>
      </c>
      <c r="AB4710">
        <v>6.6239999999999997</v>
      </c>
      <c r="AC4710">
        <v>6.7789999999999999</v>
      </c>
      <c r="AD4710">
        <v>0</v>
      </c>
    </row>
    <row r="4711" spans="2:30" x14ac:dyDescent="0.25">
      <c r="B4711" t="s">
        <v>133</v>
      </c>
      <c r="C4711" t="s">
        <v>3265</v>
      </c>
      <c r="D4711" t="s">
        <v>6134</v>
      </c>
      <c r="E4711" t="s">
        <v>6135</v>
      </c>
      <c r="F4711" t="s">
        <v>10218</v>
      </c>
      <c r="G4711" t="s">
        <v>5933</v>
      </c>
      <c r="H4711" t="s">
        <v>6093</v>
      </c>
      <c r="I4711" t="s">
        <v>6094</v>
      </c>
      <c r="J4711">
        <v>2</v>
      </c>
      <c r="K4711">
        <v>3.0720000000000001</v>
      </c>
      <c r="L4711">
        <v>3.7370000000000001</v>
      </c>
      <c r="M4711">
        <v>4.6779999999999999</v>
      </c>
      <c r="N4711">
        <v>4.774</v>
      </c>
      <c r="O4711">
        <v>4.8680000000000003</v>
      </c>
      <c r="P4711">
        <v>4.9770000000000003</v>
      </c>
      <c r="Q4711">
        <v>5.1040000000000001</v>
      </c>
      <c r="R4711">
        <v>5.2249999999999996</v>
      </c>
      <c r="S4711">
        <v>5.3390000000000004</v>
      </c>
      <c r="T4711">
        <v>5.452</v>
      </c>
      <c r="U4711">
        <v>5.5659999999999998</v>
      </c>
      <c r="V4711">
        <v>5.681</v>
      </c>
      <c r="W4711">
        <v>5.7960000000000003</v>
      </c>
      <c r="X4711">
        <v>5.9130000000000003</v>
      </c>
      <c r="Y4711">
        <v>6.0289999999999999</v>
      </c>
      <c r="Z4711">
        <v>6.1479999999999997</v>
      </c>
      <c r="AA4711">
        <v>6.2679999999999998</v>
      </c>
      <c r="AB4711">
        <v>6.39</v>
      </c>
      <c r="AC4711">
        <v>6.5149999999999997</v>
      </c>
      <c r="AD4711">
        <v>0</v>
      </c>
    </row>
    <row r="4712" spans="2:30" x14ac:dyDescent="0.25">
      <c r="B4712" t="s">
        <v>133</v>
      </c>
      <c r="C4712" t="s">
        <v>3265</v>
      </c>
      <c r="D4712" t="s">
        <v>6137</v>
      </c>
      <c r="E4712" t="s">
        <v>6138</v>
      </c>
      <c r="F4712" t="s">
        <v>10219</v>
      </c>
      <c r="G4712" t="s">
        <v>5933</v>
      </c>
      <c r="H4712" t="s">
        <v>6093</v>
      </c>
      <c r="I4712" t="s">
        <v>6094</v>
      </c>
      <c r="J4712">
        <v>2</v>
      </c>
      <c r="K4712">
        <v>54.859000000000002</v>
      </c>
      <c r="L4712">
        <v>54.557000000000002</v>
      </c>
      <c r="M4712">
        <v>56.167999999999999</v>
      </c>
      <c r="N4712">
        <v>58.226999999999997</v>
      </c>
      <c r="O4712">
        <v>58.353999999999999</v>
      </c>
      <c r="P4712">
        <v>58.682000000000002</v>
      </c>
      <c r="Q4712">
        <v>59.118000000000002</v>
      </c>
      <c r="R4712">
        <v>59.58</v>
      </c>
      <c r="S4712">
        <v>60.091000000000001</v>
      </c>
      <c r="T4712">
        <v>60.69</v>
      </c>
      <c r="U4712">
        <v>61.345999999999997</v>
      </c>
      <c r="V4712">
        <v>62.06</v>
      </c>
      <c r="W4712">
        <v>62.829000000000001</v>
      </c>
      <c r="X4712">
        <v>63.658999999999999</v>
      </c>
      <c r="Y4712">
        <v>64.546999999999997</v>
      </c>
      <c r="Z4712">
        <v>65.525999999999996</v>
      </c>
      <c r="AA4712">
        <v>66.572999999999993</v>
      </c>
      <c r="AB4712">
        <v>67.694999999999993</v>
      </c>
      <c r="AC4712">
        <v>68.896000000000001</v>
      </c>
      <c r="AD4712">
        <v>0</v>
      </c>
    </row>
    <row r="4713" spans="2:30" x14ac:dyDescent="0.25">
      <c r="B4713" t="s">
        <v>133</v>
      </c>
      <c r="C4713" t="s">
        <v>3265</v>
      </c>
      <c r="D4713" t="s">
        <v>6140</v>
      </c>
      <c r="E4713" t="s">
        <v>6141</v>
      </c>
      <c r="F4713" t="s">
        <v>10220</v>
      </c>
      <c r="G4713" t="s">
        <v>3890</v>
      </c>
      <c r="H4713" t="s">
        <v>6143</v>
      </c>
      <c r="I4713" t="s">
        <v>4267</v>
      </c>
      <c r="J4713">
        <v>1</v>
      </c>
      <c r="K4713">
        <v>5.2720000000000002</v>
      </c>
      <c r="L4713">
        <v>5.4829999999999997</v>
      </c>
      <c r="M4713">
        <v>5.702</v>
      </c>
      <c r="N4713">
        <v>5.93</v>
      </c>
      <c r="O4713">
        <v>6.1680000000000001</v>
      </c>
      <c r="P4713">
        <v>6.4139999999999997</v>
      </c>
      <c r="Q4713">
        <v>6.6710000000000003</v>
      </c>
      <c r="R4713">
        <v>6.9379999999999997</v>
      </c>
      <c r="S4713">
        <v>7.2149999999999999</v>
      </c>
      <c r="T4713">
        <v>7.5039999999999996</v>
      </c>
      <c r="U4713">
        <v>7.8040000000000003</v>
      </c>
      <c r="V4713">
        <v>8.1159999999999997</v>
      </c>
      <c r="W4713">
        <v>8.4410000000000007</v>
      </c>
      <c r="X4713">
        <v>8.7780000000000005</v>
      </c>
      <c r="Y4713">
        <v>9.1300000000000008</v>
      </c>
      <c r="Z4713">
        <v>9.4949999999999992</v>
      </c>
      <c r="AA4713">
        <v>9.8740000000000006</v>
      </c>
      <c r="AB4713">
        <v>10.269</v>
      </c>
      <c r="AC4713">
        <v>10.68</v>
      </c>
      <c r="AD4713">
        <v>11.106999999999999</v>
      </c>
    </row>
    <row r="4714" spans="2:30" x14ac:dyDescent="0.25">
      <c r="B4714" t="s">
        <v>133</v>
      </c>
      <c r="C4714" t="s">
        <v>3265</v>
      </c>
      <c r="D4714" t="s">
        <v>6144</v>
      </c>
      <c r="E4714" t="s">
        <v>6145</v>
      </c>
      <c r="F4714" t="s">
        <v>10221</v>
      </c>
      <c r="G4714" t="s">
        <v>3890</v>
      </c>
      <c r="H4714" t="s">
        <v>6143</v>
      </c>
      <c r="I4714" t="s">
        <v>4267</v>
      </c>
      <c r="J4714">
        <v>1</v>
      </c>
      <c r="K4714">
        <v>3.0579999999999998</v>
      </c>
      <c r="L4714">
        <v>3.18</v>
      </c>
      <c r="M4714">
        <v>3.3069999999999999</v>
      </c>
      <c r="N4714">
        <v>3.44</v>
      </c>
      <c r="O4714">
        <v>3.577</v>
      </c>
      <c r="P4714">
        <v>3.72</v>
      </c>
      <c r="Q4714">
        <v>3.8690000000000002</v>
      </c>
      <c r="R4714">
        <v>4.024</v>
      </c>
      <c r="S4714">
        <v>4.1849999999999996</v>
      </c>
      <c r="T4714">
        <v>4.3520000000000003</v>
      </c>
      <c r="U4714">
        <v>4.5259999999999998</v>
      </c>
      <c r="V4714">
        <v>4.7080000000000002</v>
      </c>
      <c r="W4714">
        <v>4.8959999999999999</v>
      </c>
      <c r="X4714">
        <v>5.0919999999999996</v>
      </c>
      <c r="Y4714">
        <v>5.2949999999999999</v>
      </c>
      <c r="Z4714">
        <v>5.5069999999999997</v>
      </c>
      <c r="AA4714">
        <v>5.7270000000000003</v>
      </c>
      <c r="AB4714">
        <v>5.9569999999999999</v>
      </c>
      <c r="AC4714">
        <v>6.1950000000000003</v>
      </c>
      <c r="AD4714">
        <v>6.4429999999999996</v>
      </c>
    </row>
    <row r="4715" spans="2:30" x14ac:dyDescent="0.25">
      <c r="B4715" t="s">
        <v>133</v>
      </c>
      <c r="C4715" t="s">
        <v>3265</v>
      </c>
      <c r="D4715" t="s">
        <v>6147</v>
      </c>
      <c r="E4715" t="s">
        <v>6148</v>
      </c>
      <c r="F4715" t="s">
        <v>10222</v>
      </c>
      <c r="G4715" t="s">
        <v>3890</v>
      </c>
      <c r="H4715" t="s">
        <v>6143</v>
      </c>
      <c r="I4715" t="s">
        <v>4267</v>
      </c>
      <c r="J4715">
        <v>1</v>
      </c>
      <c r="K4715">
        <v>0.129</v>
      </c>
      <c r="L4715">
        <v>0.13400000000000001</v>
      </c>
      <c r="M4715">
        <v>0.14000000000000001</v>
      </c>
      <c r="N4715">
        <v>0.14499999999999999</v>
      </c>
      <c r="O4715">
        <v>0.151</v>
      </c>
      <c r="P4715">
        <v>0.157</v>
      </c>
      <c r="Q4715">
        <v>0.16300000000000001</v>
      </c>
      <c r="R4715">
        <v>0.17</v>
      </c>
      <c r="S4715">
        <v>0.17699999999999999</v>
      </c>
      <c r="T4715">
        <v>0.184</v>
      </c>
      <c r="U4715">
        <v>0.191</v>
      </c>
      <c r="V4715">
        <v>0.19900000000000001</v>
      </c>
      <c r="W4715">
        <v>0.20699999999999999</v>
      </c>
      <c r="X4715">
        <v>0.215</v>
      </c>
      <c r="Y4715">
        <v>0.224</v>
      </c>
      <c r="Z4715">
        <v>0.23300000000000001</v>
      </c>
      <c r="AA4715">
        <v>0.24199999999999999</v>
      </c>
      <c r="AB4715">
        <v>0.251</v>
      </c>
      <c r="AC4715">
        <v>0.26200000000000001</v>
      </c>
      <c r="AD4715">
        <v>0.27200000000000002</v>
      </c>
    </row>
    <row r="4716" spans="2:30" x14ac:dyDescent="0.25">
      <c r="B4716" t="s">
        <v>133</v>
      </c>
      <c r="C4716" t="s">
        <v>3265</v>
      </c>
      <c r="D4716" t="s">
        <v>6150</v>
      </c>
      <c r="E4716" t="s">
        <v>6151</v>
      </c>
      <c r="F4716" t="s">
        <v>10223</v>
      </c>
      <c r="G4716" t="s">
        <v>3890</v>
      </c>
      <c r="H4716" t="s">
        <v>6143</v>
      </c>
      <c r="I4716" t="s">
        <v>4267</v>
      </c>
      <c r="J4716">
        <v>1</v>
      </c>
      <c r="K4716">
        <v>0.14699999999999999</v>
      </c>
      <c r="L4716">
        <v>0.153</v>
      </c>
      <c r="M4716">
        <v>0.159</v>
      </c>
      <c r="N4716">
        <v>0.16600000000000001</v>
      </c>
      <c r="O4716">
        <v>0.17199999999999999</v>
      </c>
      <c r="P4716">
        <v>0.17899999999999999</v>
      </c>
      <c r="Q4716">
        <v>0.186</v>
      </c>
      <c r="R4716">
        <v>0.19400000000000001</v>
      </c>
      <c r="S4716">
        <v>0.20200000000000001</v>
      </c>
      <c r="T4716">
        <v>0.21</v>
      </c>
      <c r="U4716">
        <v>0.218</v>
      </c>
      <c r="V4716">
        <v>0.22700000000000001</v>
      </c>
      <c r="W4716">
        <v>0.23599999999999999</v>
      </c>
      <c r="X4716">
        <v>0.245</v>
      </c>
      <c r="Y4716">
        <v>0.255</v>
      </c>
      <c r="Z4716">
        <v>0.26500000000000001</v>
      </c>
      <c r="AA4716">
        <v>0.27600000000000002</v>
      </c>
      <c r="AB4716">
        <v>0.28699999999999998</v>
      </c>
      <c r="AC4716">
        <v>0.29899999999999999</v>
      </c>
      <c r="AD4716">
        <v>0.31</v>
      </c>
    </row>
    <row r="4717" spans="2:30" x14ac:dyDescent="0.25">
      <c r="B4717" t="s">
        <v>133</v>
      </c>
      <c r="C4717" t="s">
        <v>3265</v>
      </c>
      <c r="D4717" t="s">
        <v>6153</v>
      </c>
      <c r="E4717" t="s">
        <v>6154</v>
      </c>
      <c r="F4717" t="s">
        <v>10224</v>
      </c>
      <c r="G4717" t="s">
        <v>3890</v>
      </c>
      <c r="H4717" t="s">
        <v>6143</v>
      </c>
      <c r="I4717" t="s">
        <v>4267</v>
      </c>
      <c r="J4717">
        <v>1</v>
      </c>
      <c r="K4717">
        <v>9.7000000000000003E-2</v>
      </c>
      <c r="L4717">
        <v>0.10100000000000001</v>
      </c>
      <c r="M4717">
        <v>0.105</v>
      </c>
      <c r="N4717">
        <v>0.109</v>
      </c>
      <c r="O4717">
        <v>0.113</v>
      </c>
      <c r="P4717">
        <v>0.11799999999999999</v>
      </c>
      <c r="Q4717">
        <v>0.123</v>
      </c>
      <c r="R4717">
        <v>0.128</v>
      </c>
      <c r="S4717">
        <v>0.13300000000000001</v>
      </c>
      <c r="T4717">
        <v>0.13800000000000001</v>
      </c>
      <c r="U4717">
        <v>0.14299999999999999</v>
      </c>
      <c r="V4717">
        <v>0.14899999999999999</v>
      </c>
      <c r="W4717">
        <v>0.155</v>
      </c>
      <c r="X4717">
        <v>0.161</v>
      </c>
      <c r="Y4717">
        <v>0.16800000000000001</v>
      </c>
      <c r="Z4717">
        <v>0.17499999999999999</v>
      </c>
      <c r="AA4717">
        <v>0.182</v>
      </c>
      <c r="AB4717">
        <v>0.189</v>
      </c>
      <c r="AC4717">
        <v>0.19600000000000001</v>
      </c>
      <c r="AD4717">
        <v>0.20399999999999999</v>
      </c>
    </row>
    <row r="4718" spans="2:30" x14ac:dyDescent="0.25">
      <c r="B4718" t="s">
        <v>133</v>
      </c>
      <c r="C4718" t="s">
        <v>3265</v>
      </c>
      <c r="D4718" t="s">
        <v>6156</v>
      </c>
      <c r="E4718" t="s">
        <v>6157</v>
      </c>
      <c r="F4718" t="s">
        <v>10225</v>
      </c>
      <c r="G4718" t="s">
        <v>3890</v>
      </c>
      <c r="H4718" t="s">
        <v>6143</v>
      </c>
      <c r="I4718" t="s">
        <v>4267</v>
      </c>
      <c r="J4718">
        <v>1</v>
      </c>
      <c r="K4718">
        <v>0.14099999999999999</v>
      </c>
      <c r="L4718">
        <v>0.14699999999999999</v>
      </c>
      <c r="M4718">
        <v>0.153</v>
      </c>
      <c r="N4718">
        <v>0.159</v>
      </c>
      <c r="O4718">
        <v>0.16500000000000001</v>
      </c>
      <c r="P4718">
        <v>0.17199999999999999</v>
      </c>
      <c r="Q4718">
        <v>0.17799999999999999</v>
      </c>
      <c r="R4718">
        <v>0.186</v>
      </c>
      <c r="S4718">
        <v>0.193</v>
      </c>
      <c r="T4718">
        <v>0.20100000000000001</v>
      </c>
      <c r="U4718">
        <v>0.20899999999999999</v>
      </c>
      <c r="V4718">
        <v>0.217</v>
      </c>
      <c r="W4718">
        <v>0.22600000000000001</v>
      </c>
      <c r="X4718">
        <v>0.23499999999999999</v>
      </c>
      <c r="Y4718">
        <v>0.24399999999999999</v>
      </c>
      <c r="Z4718">
        <v>0.254</v>
      </c>
      <c r="AA4718">
        <v>0.26400000000000001</v>
      </c>
      <c r="AB4718">
        <v>0.27500000000000002</v>
      </c>
      <c r="AC4718">
        <v>0.28599999999999998</v>
      </c>
      <c r="AD4718">
        <v>0.29699999999999999</v>
      </c>
    </row>
    <row r="4719" spans="2:30" x14ac:dyDescent="0.25">
      <c r="B4719" t="s">
        <v>133</v>
      </c>
      <c r="C4719" t="s">
        <v>3265</v>
      </c>
      <c r="D4719" t="s">
        <v>6159</v>
      </c>
      <c r="E4719" t="s">
        <v>6160</v>
      </c>
      <c r="F4719" t="s">
        <v>10226</v>
      </c>
      <c r="G4719" t="s">
        <v>6162</v>
      </c>
      <c r="H4719" t="s">
        <v>6163</v>
      </c>
      <c r="J4719">
        <v>1</v>
      </c>
      <c r="K4719">
        <v>215.76102102694196</v>
      </c>
      <c r="L4719">
        <v>214.47598394087547</v>
      </c>
      <c r="M4719">
        <v>208.15438982423859</v>
      </c>
      <c r="N4719">
        <v>199.1046917353739</v>
      </c>
      <c r="O4719">
        <v>205.13490843467906</v>
      </c>
      <c r="P4719">
        <v>226.12974418336589</v>
      </c>
      <c r="Q4719">
        <v>249.00447603654894</v>
      </c>
      <c r="R4719">
        <v>274.27877518210846</v>
      </c>
      <c r="S4719">
        <v>305.31182066383832</v>
      </c>
      <c r="T4719">
        <v>343.39533795208166</v>
      </c>
      <c r="U4719">
        <v>386.95121508469794</v>
      </c>
      <c r="V4719">
        <v>436.88209158073897</v>
      </c>
      <c r="W4719">
        <v>494.13502082704412</v>
      </c>
      <c r="X4719">
        <v>560.00880510164666</v>
      </c>
      <c r="Y4719">
        <v>635.39421774099628</v>
      </c>
      <c r="Z4719">
        <v>722.5076066250042</v>
      </c>
      <c r="AA4719">
        <v>823.57766424537249</v>
      </c>
      <c r="AB4719">
        <v>941.33530573646328</v>
      </c>
      <c r="AC4719">
        <v>1078.2338057238783</v>
      </c>
      <c r="AD4719">
        <v>1229.6979598301593</v>
      </c>
    </row>
    <row r="4720" spans="2:30" x14ac:dyDescent="0.25">
      <c r="B4720" t="s">
        <v>133</v>
      </c>
      <c r="C4720" t="s">
        <v>3265</v>
      </c>
      <c r="D4720" t="s">
        <v>6164</v>
      </c>
      <c r="E4720" t="s">
        <v>6165</v>
      </c>
      <c r="F4720" t="s">
        <v>10227</v>
      </c>
      <c r="G4720" t="s">
        <v>6162</v>
      </c>
      <c r="H4720" t="s">
        <v>6163</v>
      </c>
      <c r="J4720">
        <v>1</v>
      </c>
      <c r="K4720">
        <v>215.76102102694196</v>
      </c>
      <c r="L4720">
        <v>214.47598394087547</v>
      </c>
      <c r="M4720">
        <v>208.15438982423859</v>
      </c>
      <c r="N4720">
        <v>199.1046917353739</v>
      </c>
      <c r="O4720">
        <v>205.13490843467906</v>
      </c>
      <c r="P4720">
        <v>226.12974418336589</v>
      </c>
      <c r="Q4720">
        <v>249.00447603654894</v>
      </c>
      <c r="R4720">
        <v>274.27485414031219</v>
      </c>
      <c r="S4720">
        <v>305.28668466402047</v>
      </c>
      <c r="T4720">
        <v>343.30326969472861</v>
      </c>
      <c r="U4720">
        <v>386.69405980328548</v>
      </c>
      <c r="V4720">
        <v>436.27834568668618</v>
      </c>
      <c r="W4720">
        <v>492.88453505903931</v>
      </c>
      <c r="X4720">
        <v>557.63440238131716</v>
      </c>
      <c r="Y4720">
        <v>631.19393006623511</v>
      </c>
      <c r="Z4720">
        <v>716.3708534671116</v>
      </c>
      <c r="AA4720">
        <v>814.69879653546491</v>
      </c>
      <c r="AB4720">
        <v>928.93860813207368</v>
      </c>
      <c r="AC4720">
        <v>1060.948575172255</v>
      </c>
      <c r="AD4720">
        <v>1206.3118117645681</v>
      </c>
    </row>
    <row r="4721" spans="2:30" x14ac:dyDescent="0.25">
      <c r="B4721" t="s">
        <v>133</v>
      </c>
      <c r="C4721" t="s">
        <v>3265</v>
      </c>
      <c r="D4721" t="s">
        <v>6167</v>
      </c>
      <c r="E4721" t="s">
        <v>6168</v>
      </c>
      <c r="F4721" t="s">
        <v>10228</v>
      </c>
      <c r="G4721" t="s">
        <v>6162</v>
      </c>
      <c r="H4721" t="s">
        <v>6163</v>
      </c>
      <c r="J4721">
        <v>2</v>
      </c>
      <c r="K4721">
        <v>5610.47021484375</v>
      </c>
      <c r="L4721">
        <v>5577.0551787912218</v>
      </c>
      <c r="M4721">
        <v>5412.6737009278322</v>
      </c>
      <c r="N4721">
        <v>5177.3528754180024</v>
      </c>
      <c r="O4721">
        <v>5334.1576171617871</v>
      </c>
      <c r="P4721">
        <v>5880.0898716204638</v>
      </c>
      <c r="Q4721">
        <v>6474.9053815025554</v>
      </c>
      <c r="R4721">
        <v>7132.1172443417936</v>
      </c>
      <c r="S4721">
        <v>7939.07475929254</v>
      </c>
      <c r="T4721">
        <v>8929.3668815915717</v>
      </c>
      <c r="U4721">
        <v>10061.957699760826</v>
      </c>
      <c r="V4721">
        <v>11360.318701431743</v>
      </c>
      <c r="W4721">
        <v>12849.076275529622</v>
      </c>
      <c r="X4721">
        <v>14562.003396715014</v>
      </c>
      <c r="Y4721">
        <v>16522.262994272089</v>
      </c>
      <c r="Z4721">
        <v>18787.487135878266</v>
      </c>
      <c r="AA4721">
        <v>21415.628888233114</v>
      </c>
      <c r="AB4721">
        <v>24477.700698106109</v>
      </c>
      <c r="AC4721">
        <v>28037.495479297249</v>
      </c>
      <c r="AD4721">
        <v>31976.043420835224</v>
      </c>
    </row>
    <row r="4722" spans="2:30" x14ac:dyDescent="0.25">
      <c r="B4722" t="s">
        <v>133</v>
      </c>
      <c r="C4722" t="s">
        <v>3265</v>
      </c>
      <c r="D4722" t="s">
        <v>6170</v>
      </c>
      <c r="E4722" t="s">
        <v>6171</v>
      </c>
      <c r="F4722" t="s">
        <v>10229</v>
      </c>
      <c r="G4722" t="s">
        <v>6162</v>
      </c>
      <c r="H4722" t="s">
        <v>3258</v>
      </c>
      <c r="J4722">
        <v>1</v>
      </c>
      <c r="K4722">
        <v>5610.47021484375</v>
      </c>
      <c r="L4722">
        <v>5577.0551787912218</v>
      </c>
      <c r="M4722">
        <v>5412.6737009278322</v>
      </c>
      <c r="N4722">
        <v>5177.3528754180024</v>
      </c>
      <c r="O4722">
        <v>5334.1576171617871</v>
      </c>
      <c r="P4722">
        <v>5880.0898716204638</v>
      </c>
      <c r="Q4722">
        <v>6474.9053815025554</v>
      </c>
      <c r="R4722">
        <v>7132.0152848307362</v>
      </c>
      <c r="S4722">
        <v>7938.4211436504411</v>
      </c>
      <c r="T4722">
        <v>8926.9728151695945</v>
      </c>
      <c r="U4722">
        <v>10055.270847612612</v>
      </c>
      <c r="V4722">
        <v>11344.61939513538</v>
      </c>
      <c r="W4722">
        <v>12816.559683227248</v>
      </c>
      <c r="X4722">
        <v>14500.261402368456</v>
      </c>
      <c r="Y4722">
        <v>16413.042205545469</v>
      </c>
      <c r="Z4722">
        <v>18627.912108635945</v>
      </c>
      <c r="AA4722">
        <v>21184.750193875458</v>
      </c>
      <c r="AB4722">
        <v>24155.347279769398</v>
      </c>
      <c r="AC4722">
        <v>27588.024714350871</v>
      </c>
      <c r="AD4722">
        <v>31367.929468938681</v>
      </c>
    </row>
    <row r="4723" spans="2:30" x14ac:dyDescent="0.25">
      <c r="B4723" t="s">
        <v>133</v>
      </c>
      <c r="C4723" t="s">
        <v>3265</v>
      </c>
      <c r="D4723" t="s">
        <v>6173</v>
      </c>
      <c r="E4723" t="s">
        <v>6174</v>
      </c>
      <c r="F4723" t="s">
        <v>10230</v>
      </c>
      <c r="G4723" t="s">
        <v>6162</v>
      </c>
      <c r="H4723" t="s">
        <v>3258</v>
      </c>
      <c r="J4723">
        <v>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0.10195951105743006</v>
      </c>
      <c r="S4723">
        <v>0.75557515315631463</v>
      </c>
      <c r="T4723">
        <v>3.1496415751335007</v>
      </c>
      <c r="U4723">
        <v>9.8364937233473029</v>
      </c>
      <c r="V4723">
        <v>25.535800019710223</v>
      </c>
      <c r="W4723">
        <v>58.052392322084415</v>
      </c>
      <c r="X4723">
        <v>119.79438666864189</v>
      </c>
      <c r="Y4723">
        <v>229.01517539526139</v>
      </c>
      <c r="Z4723">
        <v>388.59020263758248</v>
      </c>
      <c r="AA4723">
        <v>619.46889699523854</v>
      </c>
      <c r="AB4723">
        <v>941.82231533195045</v>
      </c>
      <c r="AC4723">
        <v>1391.2930802783285</v>
      </c>
      <c r="AD4723">
        <v>1999.4070321748713</v>
      </c>
    </row>
    <row r="4724" spans="2:30" x14ac:dyDescent="0.25">
      <c r="B4724" t="s">
        <v>133</v>
      </c>
      <c r="C4724" t="s">
        <v>3265</v>
      </c>
      <c r="D4724" t="s">
        <v>6176</v>
      </c>
      <c r="E4724" t="s">
        <v>6177</v>
      </c>
      <c r="F4724" t="s">
        <v>10231</v>
      </c>
      <c r="G4724" t="s">
        <v>6162</v>
      </c>
      <c r="H4724" t="s">
        <v>6179</v>
      </c>
      <c r="J4724">
        <v>1</v>
      </c>
      <c r="K4724">
        <v>47.419998168945313</v>
      </c>
      <c r="L4724">
        <v>47.419998168945313</v>
      </c>
      <c r="M4724">
        <v>47.419998168945313</v>
      </c>
      <c r="N4724">
        <v>49.230959321646168</v>
      </c>
      <c r="O4724">
        <v>51.018025046174166</v>
      </c>
      <c r="P4724">
        <v>52.999961772234222</v>
      </c>
      <c r="Q4724">
        <v>55.223207648465404</v>
      </c>
      <c r="R4724">
        <v>57.451058095194924</v>
      </c>
      <c r="S4724">
        <v>59.655800043299188</v>
      </c>
      <c r="T4724">
        <v>61.920753906134657</v>
      </c>
      <c r="U4724">
        <v>64.248425278428229</v>
      </c>
      <c r="V4724">
        <v>66.638342879486203</v>
      </c>
      <c r="W4724">
        <v>69.0935296343429</v>
      </c>
      <c r="X4724">
        <v>71.612044974188123</v>
      </c>
      <c r="Y4724">
        <v>74.194180451820259</v>
      </c>
      <c r="Z4724">
        <v>76.842169804374748</v>
      </c>
      <c r="AA4724">
        <v>79.551687133470153</v>
      </c>
      <c r="AB4724">
        <v>82.322057200638071</v>
      </c>
      <c r="AC4724">
        <v>85.14850570552133</v>
      </c>
      <c r="AD4724">
        <v>88.02504370511754</v>
      </c>
    </row>
    <row r="4725" spans="2:30" x14ac:dyDescent="0.25">
      <c r="B4725" t="s">
        <v>133</v>
      </c>
      <c r="C4725" t="s">
        <v>3265</v>
      </c>
      <c r="D4725" t="s">
        <v>6180</v>
      </c>
      <c r="E4725" t="s">
        <v>6181</v>
      </c>
      <c r="F4725" t="s">
        <v>10232</v>
      </c>
      <c r="G4725" t="s">
        <v>6162</v>
      </c>
      <c r="H4725" t="s">
        <v>6179</v>
      </c>
      <c r="J4725">
        <v>2</v>
      </c>
      <c r="K4725">
        <v>47.419998168945313</v>
      </c>
      <c r="L4725">
        <v>47.419998168945313</v>
      </c>
      <c r="M4725">
        <v>47.419998168945313</v>
      </c>
      <c r="N4725">
        <v>49.230959321646168</v>
      </c>
      <c r="O4725">
        <v>51.018025046174166</v>
      </c>
      <c r="P4725">
        <v>52.999961772234222</v>
      </c>
      <c r="Q4725">
        <v>55.223207648465404</v>
      </c>
      <c r="R4725">
        <v>57.451058095194924</v>
      </c>
      <c r="S4725">
        <v>59.655800043299188</v>
      </c>
      <c r="T4725">
        <v>61.920753906134657</v>
      </c>
      <c r="U4725">
        <v>64.248425278428229</v>
      </c>
      <c r="V4725">
        <v>66.638342879486203</v>
      </c>
      <c r="W4725">
        <v>69.0935296343429</v>
      </c>
      <c r="X4725">
        <v>71.612044974188123</v>
      </c>
      <c r="Y4725">
        <v>74.194180451820259</v>
      </c>
      <c r="Z4725">
        <v>76.842169804374748</v>
      </c>
      <c r="AA4725">
        <v>79.551687133470153</v>
      </c>
      <c r="AB4725">
        <v>82.322057200638071</v>
      </c>
      <c r="AC4725">
        <v>85.14850570552133</v>
      </c>
      <c r="AD4725">
        <v>88.02504370511754</v>
      </c>
    </row>
    <row r="4726" spans="2:30" x14ac:dyDescent="0.25">
      <c r="B4726" t="s">
        <v>133</v>
      </c>
      <c r="C4726" t="s">
        <v>3265</v>
      </c>
      <c r="D4726" t="s">
        <v>6183</v>
      </c>
      <c r="E4726" t="s">
        <v>6184</v>
      </c>
      <c r="F4726" t="s">
        <v>10233</v>
      </c>
      <c r="G4726" t="s">
        <v>6162</v>
      </c>
      <c r="H4726" t="s">
        <v>6186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</row>
    <row r="4727" spans="2:30" x14ac:dyDescent="0.25">
      <c r="B4727" t="s">
        <v>133</v>
      </c>
      <c r="C4727" t="s">
        <v>3265</v>
      </c>
      <c r="D4727" t="s">
        <v>6187</v>
      </c>
      <c r="E4727" t="s">
        <v>6188</v>
      </c>
      <c r="F4727" t="s">
        <v>10234</v>
      </c>
      <c r="G4727" t="s">
        <v>6162</v>
      </c>
      <c r="H4727" t="s">
        <v>6186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</row>
    <row r="4728" spans="2:30" x14ac:dyDescent="0.25">
      <c r="B4728" t="s">
        <v>133</v>
      </c>
      <c r="C4728" t="s">
        <v>3265</v>
      </c>
      <c r="D4728" t="s">
        <v>6190</v>
      </c>
      <c r="E4728" t="s">
        <v>6191</v>
      </c>
      <c r="F4728" t="s">
        <v>10235</v>
      </c>
      <c r="G4728" t="s">
        <v>6162</v>
      </c>
      <c r="H4728" t="s">
        <v>6193</v>
      </c>
      <c r="J4728">
        <v>1</v>
      </c>
      <c r="K4728">
        <v>3.5999999999999997E-2</v>
      </c>
      <c r="L4728">
        <v>3.7999999999999999E-2</v>
      </c>
      <c r="M4728">
        <v>3.6999999999999998E-2</v>
      </c>
      <c r="N4728">
        <v>0.04</v>
      </c>
      <c r="O4728">
        <v>4.2000000000000003E-2</v>
      </c>
      <c r="P4728">
        <v>4.5999999999999999E-2</v>
      </c>
      <c r="Q4728">
        <v>4.9000000000000002E-2</v>
      </c>
      <c r="R4728">
        <v>5.2999999999999999E-2</v>
      </c>
      <c r="S4728">
        <v>5.7000000000000002E-2</v>
      </c>
      <c r="T4728">
        <v>6.2E-2</v>
      </c>
      <c r="U4728">
        <v>6.6000000000000003E-2</v>
      </c>
      <c r="V4728">
        <v>7.0999999999999994E-2</v>
      </c>
      <c r="W4728">
        <v>7.6999999999999999E-2</v>
      </c>
      <c r="X4728">
        <v>8.2000000000000003E-2</v>
      </c>
      <c r="Y4728">
        <v>8.7999999999999995E-2</v>
      </c>
      <c r="Z4728">
        <v>9.5000000000000001E-2</v>
      </c>
      <c r="AA4728">
        <v>0.10199999999999999</v>
      </c>
      <c r="AB4728">
        <v>0.109</v>
      </c>
      <c r="AC4728">
        <v>0.11700000000000001</v>
      </c>
      <c r="AD4728">
        <v>0.126</v>
      </c>
    </row>
    <row r="4729" spans="2:30" x14ac:dyDescent="0.25">
      <c r="B4729" t="s">
        <v>133</v>
      </c>
      <c r="C4729" t="s">
        <v>3265</v>
      </c>
      <c r="D4729" t="s">
        <v>6194</v>
      </c>
      <c r="E4729" t="s">
        <v>6195</v>
      </c>
      <c r="F4729" t="s">
        <v>10236</v>
      </c>
      <c r="G4729" t="s">
        <v>6162</v>
      </c>
      <c r="H4729" t="s">
        <v>6193</v>
      </c>
      <c r="J4729">
        <v>1</v>
      </c>
      <c r="K4729">
        <v>1.0999999999999999E-2</v>
      </c>
      <c r="L4729">
        <v>1.0999999999999999E-2</v>
      </c>
      <c r="M4729">
        <v>0.01</v>
      </c>
      <c r="N4729">
        <v>0.01</v>
      </c>
      <c r="O4729">
        <v>0.01</v>
      </c>
      <c r="P4729">
        <v>1.2E-2</v>
      </c>
      <c r="Q4729">
        <v>1.2999999999999999E-2</v>
      </c>
      <c r="R4729">
        <v>1.4999999999999999E-2</v>
      </c>
      <c r="S4729">
        <v>1.6E-2</v>
      </c>
      <c r="T4729">
        <v>1.7999999999999999E-2</v>
      </c>
      <c r="U4729">
        <v>0.02</v>
      </c>
      <c r="V4729">
        <v>2.1999999999999999E-2</v>
      </c>
      <c r="W4729">
        <v>2.4E-2</v>
      </c>
      <c r="X4729">
        <v>2.7E-2</v>
      </c>
      <c r="Y4729">
        <v>2.9000000000000001E-2</v>
      </c>
      <c r="Z4729">
        <v>3.2000000000000001E-2</v>
      </c>
      <c r="AA4729">
        <v>3.5000000000000003E-2</v>
      </c>
      <c r="AB4729">
        <v>3.7999999999999999E-2</v>
      </c>
      <c r="AC4729">
        <v>4.2000000000000003E-2</v>
      </c>
      <c r="AD4729">
        <v>4.4999999999999998E-2</v>
      </c>
    </row>
    <row r="4730" spans="2:30" x14ac:dyDescent="0.25">
      <c r="B4730" t="s">
        <v>133</v>
      </c>
      <c r="C4730" t="s">
        <v>3265</v>
      </c>
      <c r="D4730" t="s">
        <v>6197</v>
      </c>
      <c r="E4730" t="s">
        <v>6198</v>
      </c>
      <c r="F4730" t="s">
        <v>10237</v>
      </c>
      <c r="G4730" t="s">
        <v>6162</v>
      </c>
      <c r="H4730" t="s">
        <v>6200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</row>
    <row r="4731" spans="2:30" x14ac:dyDescent="0.25">
      <c r="B4731" t="s">
        <v>133</v>
      </c>
      <c r="C4731" t="s">
        <v>3265</v>
      </c>
      <c r="D4731" t="s">
        <v>6201</v>
      </c>
      <c r="E4731" t="s">
        <v>6202</v>
      </c>
      <c r="F4731" t="s">
        <v>10238</v>
      </c>
      <c r="G4731" t="s">
        <v>6162</v>
      </c>
      <c r="H4731" t="s">
        <v>6200</v>
      </c>
      <c r="J4731">
        <v>1</v>
      </c>
      <c r="K4731">
        <v>0.14799999999999999</v>
      </c>
      <c r="L4731">
        <v>0.14099999999999999</v>
      </c>
      <c r="M4731">
        <v>0.125</v>
      </c>
      <c r="N4731">
        <v>0.121</v>
      </c>
      <c r="O4731">
        <v>0.123</v>
      </c>
      <c r="P4731">
        <v>0.127</v>
      </c>
      <c r="Q4731">
        <v>0.13200000000000001</v>
      </c>
      <c r="R4731">
        <v>0.13600000000000001</v>
      </c>
      <c r="S4731">
        <v>0.14099999999999999</v>
      </c>
      <c r="T4731">
        <v>0.14699999999999999</v>
      </c>
      <c r="U4731">
        <v>0.153</v>
      </c>
      <c r="V4731">
        <v>0.158</v>
      </c>
      <c r="W4731">
        <v>0.16300000000000001</v>
      </c>
      <c r="X4731">
        <v>0.16800000000000001</v>
      </c>
      <c r="Y4731">
        <v>0.17299999999999999</v>
      </c>
      <c r="Z4731">
        <v>0.17699999999999999</v>
      </c>
      <c r="AA4731">
        <v>0.182</v>
      </c>
      <c r="AB4731">
        <v>0.186</v>
      </c>
      <c r="AC4731">
        <v>0.19</v>
      </c>
      <c r="AD4731">
        <v>0.19500000000000001</v>
      </c>
    </row>
    <row r="4732" spans="2:30" x14ac:dyDescent="0.25">
      <c r="B4732" t="s">
        <v>133</v>
      </c>
      <c r="C4732" t="s">
        <v>3265</v>
      </c>
      <c r="D4732" t="s">
        <v>6204</v>
      </c>
      <c r="E4732" t="s">
        <v>6205</v>
      </c>
      <c r="F4732" t="s">
        <v>10239</v>
      </c>
      <c r="G4732" t="s">
        <v>3890</v>
      </c>
      <c r="H4732" t="s">
        <v>6207</v>
      </c>
      <c r="I4732" t="s">
        <v>5862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4.9430000000000002E-2</v>
      </c>
      <c r="R4732">
        <v>0.11544</v>
      </c>
      <c r="S4732">
        <v>0.21496999999999999</v>
      </c>
      <c r="T4732">
        <v>0.33621000000000001</v>
      </c>
      <c r="U4732">
        <v>0.47559000000000001</v>
      </c>
      <c r="V4732">
        <v>0.62977000000000005</v>
      </c>
      <c r="W4732">
        <v>0.79957</v>
      </c>
      <c r="X4732">
        <v>0.98263999999999996</v>
      </c>
      <c r="Y4732">
        <v>1.24146</v>
      </c>
      <c r="Z4732">
        <v>1.3188800000000001</v>
      </c>
      <c r="AA4732">
        <v>1.49095</v>
      </c>
      <c r="AB4732">
        <v>1.61128</v>
      </c>
      <c r="AC4732">
        <v>1.71383</v>
      </c>
      <c r="AD4732">
        <v>1.7081900000000001</v>
      </c>
    </row>
    <row r="4733" spans="2:30" x14ac:dyDescent="0.25">
      <c r="B4733" t="s">
        <v>133</v>
      </c>
      <c r="C4733" t="s">
        <v>3265</v>
      </c>
      <c r="D4733" t="s">
        <v>6208</v>
      </c>
      <c r="E4733" t="s">
        <v>6209</v>
      </c>
      <c r="F4733" t="s">
        <v>10240</v>
      </c>
      <c r="G4733" t="s">
        <v>3890</v>
      </c>
      <c r="H4733" t="s">
        <v>6207</v>
      </c>
      <c r="I4733" t="s">
        <v>5862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</row>
    <row r="4734" spans="2:30" x14ac:dyDescent="0.25">
      <c r="B4734" t="s">
        <v>133</v>
      </c>
      <c r="C4734" t="s">
        <v>3265</v>
      </c>
      <c r="D4734" t="s">
        <v>6211</v>
      </c>
      <c r="E4734" t="s">
        <v>6212</v>
      </c>
      <c r="F4734" t="s">
        <v>10241</v>
      </c>
      <c r="G4734" t="s">
        <v>3890</v>
      </c>
      <c r="H4734" t="s">
        <v>6207</v>
      </c>
      <c r="I4734" t="s">
        <v>5862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</row>
    <row r="4735" spans="2:30" x14ac:dyDescent="0.25">
      <c r="B4735" t="s">
        <v>133</v>
      </c>
      <c r="C4735" t="s">
        <v>3265</v>
      </c>
      <c r="D4735" t="s">
        <v>6214</v>
      </c>
      <c r="E4735" t="s">
        <v>6215</v>
      </c>
      <c r="F4735" t="s">
        <v>10242</v>
      </c>
      <c r="G4735" t="s">
        <v>3890</v>
      </c>
      <c r="H4735" t="s">
        <v>6207</v>
      </c>
      <c r="I4735" t="s">
        <v>5862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3.0000000000000001E-5</v>
      </c>
      <c r="S4735">
        <v>2.1000000000000001E-4</v>
      </c>
      <c r="T4735">
        <v>8.3000000000000001E-4</v>
      </c>
      <c r="U4735">
        <v>2.48E-3</v>
      </c>
      <c r="V4735">
        <v>6.2300000000000003E-3</v>
      </c>
      <c r="W4735">
        <v>1.3809999999999999E-2</v>
      </c>
      <c r="X4735">
        <v>2.8039999999999999E-2</v>
      </c>
      <c r="Y4735">
        <v>5.3010000000000002E-2</v>
      </c>
      <c r="Z4735">
        <v>8.2699999999999996E-2</v>
      </c>
      <c r="AA4735">
        <v>0.12770999999999999</v>
      </c>
      <c r="AB4735">
        <v>0.19025</v>
      </c>
      <c r="AC4735">
        <v>0.28290999999999999</v>
      </c>
      <c r="AD4735">
        <v>0.40798000000000001</v>
      </c>
    </row>
    <row r="4736" spans="2:30" x14ac:dyDescent="0.25">
      <c r="B4736" t="s">
        <v>133</v>
      </c>
      <c r="C4736" t="s">
        <v>3265</v>
      </c>
      <c r="D4736" t="s">
        <v>6217</v>
      </c>
      <c r="E4736" t="s">
        <v>6218</v>
      </c>
      <c r="F4736" t="s">
        <v>10243</v>
      </c>
      <c r="G4736" t="s">
        <v>3890</v>
      </c>
      <c r="H4736" t="s">
        <v>6207</v>
      </c>
      <c r="I4736" t="s">
        <v>5862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1.5270000000000001E-2</v>
      </c>
      <c r="R4736">
        <v>0.12171</v>
      </c>
      <c r="S4736">
        <v>0.36002000000000001</v>
      </c>
      <c r="T4736">
        <v>0.68962000000000001</v>
      </c>
      <c r="U4736">
        <v>1.08388</v>
      </c>
      <c r="V4736">
        <v>1.5178199999999999</v>
      </c>
      <c r="W4736">
        <v>1.9811000000000001</v>
      </c>
      <c r="X4736">
        <v>2.4629599999999998</v>
      </c>
      <c r="Y4736">
        <v>3.0091199999999998</v>
      </c>
      <c r="Z4736">
        <v>3.1132200000000001</v>
      </c>
      <c r="AA4736">
        <v>3.31725</v>
      </c>
      <c r="AB4736">
        <v>3.4306800000000002</v>
      </c>
      <c r="AC4736">
        <v>3.5594600000000001</v>
      </c>
      <c r="AD4736">
        <v>3.8992599999999999</v>
      </c>
    </row>
    <row r="4737" spans="2:30" x14ac:dyDescent="0.25">
      <c r="B4737" t="s">
        <v>133</v>
      </c>
      <c r="C4737" t="s">
        <v>3265</v>
      </c>
      <c r="D4737" t="s">
        <v>6220</v>
      </c>
      <c r="E4737" t="s">
        <v>6221</v>
      </c>
      <c r="F4737" t="s">
        <v>10244</v>
      </c>
      <c r="G4737" t="s">
        <v>3890</v>
      </c>
      <c r="H4737" t="s">
        <v>6207</v>
      </c>
      <c r="I4737" t="s">
        <v>3892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6.4699999999999994E-2</v>
      </c>
      <c r="R4737">
        <v>0.23719000000000001</v>
      </c>
      <c r="S4737">
        <v>0.57523000000000002</v>
      </c>
      <c r="T4737">
        <v>1.02678</v>
      </c>
      <c r="U4737">
        <v>1.5624100000000001</v>
      </c>
      <c r="V4737">
        <v>2.1552199999999999</v>
      </c>
      <c r="W4737">
        <v>2.79758</v>
      </c>
      <c r="X4737">
        <v>3.4796</v>
      </c>
      <c r="Y4737">
        <v>4.31419</v>
      </c>
      <c r="Z4737">
        <v>4.5301400000000003</v>
      </c>
      <c r="AA4737">
        <v>4.9578300000000004</v>
      </c>
      <c r="AB4737">
        <v>5.2624500000000003</v>
      </c>
      <c r="AC4737">
        <v>5.5982200000000004</v>
      </c>
      <c r="AD4737">
        <v>6.0729100000000003</v>
      </c>
    </row>
    <row r="4738" spans="2:30" x14ac:dyDescent="0.25">
      <c r="B4738" t="s">
        <v>133</v>
      </c>
      <c r="C4738" t="s">
        <v>3265</v>
      </c>
      <c r="D4738" t="s">
        <v>6223</v>
      </c>
      <c r="E4738" t="s">
        <v>6224</v>
      </c>
      <c r="F4738" t="s">
        <v>10245</v>
      </c>
      <c r="G4738" t="s">
        <v>3890</v>
      </c>
      <c r="H4738" t="s">
        <v>6207</v>
      </c>
      <c r="I4738" t="s">
        <v>3892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6.9999999999999994E-5</v>
      </c>
      <c r="R4738">
        <v>1.6000000000000001E-4</v>
      </c>
      <c r="S4738">
        <v>2.7999999999999998E-4</v>
      </c>
      <c r="T4738">
        <v>4.2000000000000002E-4</v>
      </c>
      <c r="U4738">
        <v>5.5999999999999995E-4</v>
      </c>
      <c r="V4738">
        <v>7.1000000000000002E-4</v>
      </c>
      <c r="W4738">
        <v>8.5999999999999998E-4</v>
      </c>
      <c r="X4738">
        <v>1.01E-3</v>
      </c>
      <c r="Y4738">
        <v>1.2199999999999999E-3</v>
      </c>
      <c r="Z4738">
        <v>1.24E-3</v>
      </c>
      <c r="AA4738">
        <v>1.3500000000000001E-3</v>
      </c>
      <c r="AB4738">
        <v>1.4E-3</v>
      </c>
      <c r="AC4738">
        <v>1.42E-3</v>
      </c>
      <c r="AD4738">
        <v>1.3600000000000001E-3</v>
      </c>
    </row>
    <row r="4739" spans="2:30" x14ac:dyDescent="0.25">
      <c r="B4739" t="s">
        <v>133</v>
      </c>
      <c r="C4739" t="s">
        <v>3265</v>
      </c>
      <c r="D4739" t="s">
        <v>3448</v>
      </c>
      <c r="E4739" t="s">
        <v>3449</v>
      </c>
      <c r="F4739" t="s">
        <v>10246</v>
      </c>
      <c r="G4739" t="s">
        <v>3890</v>
      </c>
      <c r="H4739" t="s">
        <v>6207</v>
      </c>
      <c r="I4739" t="s">
        <v>3892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</row>
    <row r="4740" spans="2:30" x14ac:dyDescent="0.25">
      <c r="B4740" t="s">
        <v>133</v>
      </c>
      <c r="C4740" t="s">
        <v>3265</v>
      </c>
      <c r="D4740" t="s">
        <v>6227</v>
      </c>
      <c r="E4740" t="s">
        <v>6228</v>
      </c>
      <c r="F4740" t="s">
        <v>10247</v>
      </c>
      <c r="G4740" t="s">
        <v>3890</v>
      </c>
      <c r="H4740" t="s">
        <v>6207</v>
      </c>
      <c r="I4740" t="s">
        <v>3892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1.0000000000000001E-5</v>
      </c>
      <c r="W4740">
        <v>2.0000000000000002E-5</v>
      </c>
      <c r="X4740">
        <v>4.0000000000000003E-5</v>
      </c>
      <c r="Y4740">
        <v>6.0000000000000002E-5</v>
      </c>
      <c r="Z4740">
        <v>9.0000000000000006E-5</v>
      </c>
      <c r="AA4740">
        <v>1.3999999999999999E-4</v>
      </c>
      <c r="AB4740">
        <v>1.9000000000000001E-4</v>
      </c>
      <c r="AC4740">
        <v>2.7E-4</v>
      </c>
      <c r="AD4740">
        <v>3.6999999999999999E-4</v>
      </c>
    </row>
    <row r="4741" spans="2:30" x14ac:dyDescent="0.25">
      <c r="B4741" t="s">
        <v>133</v>
      </c>
      <c r="C4741" t="s">
        <v>3265</v>
      </c>
      <c r="D4741" t="s">
        <v>6230</v>
      </c>
      <c r="E4741" t="s">
        <v>6231</v>
      </c>
      <c r="F4741" t="s">
        <v>10248</v>
      </c>
      <c r="G4741" t="s">
        <v>3890</v>
      </c>
      <c r="H4741" t="s">
        <v>6207</v>
      </c>
      <c r="I4741" t="s">
        <v>3892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2.0000000000000002E-5</v>
      </c>
      <c r="R4741">
        <v>1.7000000000000001E-4</v>
      </c>
      <c r="S4741">
        <v>4.6999999999999999E-4</v>
      </c>
      <c r="T4741">
        <v>8.4999999999999995E-4</v>
      </c>
      <c r="U4741">
        <v>1.2800000000000001E-3</v>
      </c>
      <c r="V4741">
        <v>1.7099999999999999E-3</v>
      </c>
      <c r="W4741">
        <v>2.14E-3</v>
      </c>
      <c r="X4741">
        <v>2.5400000000000002E-3</v>
      </c>
      <c r="Y4741">
        <v>2.97E-3</v>
      </c>
      <c r="Z4741">
        <v>2.9399999999999999E-3</v>
      </c>
      <c r="AA4741">
        <v>3.0000000000000001E-3</v>
      </c>
      <c r="AB4741">
        <v>2.97E-3</v>
      </c>
      <c r="AC4741">
        <v>2.96E-3</v>
      </c>
      <c r="AD4741">
        <v>3.1099999999999999E-3</v>
      </c>
    </row>
    <row r="4742" spans="2:30" x14ac:dyDescent="0.25">
      <c r="B4742" t="s">
        <v>133</v>
      </c>
      <c r="C4742" t="s">
        <v>3265</v>
      </c>
      <c r="D4742" t="s">
        <v>6233</v>
      </c>
      <c r="E4742" t="s">
        <v>6234</v>
      </c>
      <c r="F4742" t="s">
        <v>10249</v>
      </c>
      <c r="G4742" t="s">
        <v>3890</v>
      </c>
      <c r="H4742" t="s">
        <v>6207</v>
      </c>
      <c r="I4742" t="s">
        <v>3892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9.0000000000000006E-5</v>
      </c>
      <c r="R4742">
        <v>3.2000000000000003E-4</v>
      </c>
      <c r="S4742">
        <v>7.5000000000000002E-4</v>
      </c>
      <c r="T4742">
        <v>1.2700000000000001E-3</v>
      </c>
      <c r="U4742">
        <v>1.8400000000000001E-3</v>
      </c>
      <c r="V4742">
        <v>2.4299999999999999E-3</v>
      </c>
      <c r="W4742">
        <v>3.0200000000000001E-3</v>
      </c>
      <c r="X4742">
        <v>3.5899999999999999E-3</v>
      </c>
      <c r="Y4742">
        <v>4.2500000000000003E-3</v>
      </c>
      <c r="Z4742">
        <v>4.28E-3</v>
      </c>
      <c r="AA4742">
        <v>4.4799999999999996E-3</v>
      </c>
      <c r="AB4742">
        <v>4.5599999999999998E-3</v>
      </c>
      <c r="AC4742">
        <v>4.6499999999999996E-3</v>
      </c>
      <c r="AD4742">
        <v>4.8399999999999997E-3</v>
      </c>
    </row>
    <row r="4743" spans="2:30" x14ac:dyDescent="0.25">
      <c r="B4743" t="s">
        <v>133</v>
      </c>
      <c r="C4743" t="s">
        <v>3265</v>
      </c>
      <c r="D4743" t="s">
        <v>6236</v>
      </c>
      <c r="E4743" t="s">
        <v>6237</v>
      </c>
      <c r="F4743" t="s">
        <v>10250</v>
      </c>
      <c r="G4743" t="s">
        <v>6239</v>
      </c>
      <c r="H4743" t="s">
        <v>6240</v>
      </c>
      <c r="I4743" t="s">
        <v>6241</v>
      </c>
      <c r="K4743">
        <v>-0.20438000000000001</v>
      </c>
      <c r="L4743">
        <v>-0.19023000000000001</v>
      </c>
      <c r="M4743">
        <v>-0.18883</v>
      </c>
      <c r="N4743">
        <v>-0.18001</v>
      </c>
      <c r="O4743">
        <v>-0.18124000000000001</v>
      </c>
      <c r="P4743">
        <v>-0.18143000000000001</v>
      </c>
      <c r="Q4743">
        <v>-0.18509999999999999</v>
      </c>
      <c r="R4743">
        <v>-0.18981000000000001</v>
      </c>
      <c r="S4743">
        <v>-0.19913</v>
      </c>
      <c r="T4743">
        <v>-0.21471999999999999</v>
      </c>
    </row>
    <row r="4744" spans="2:30" x14ac:dyDescent="0.25">
      <c r="B4744" t="s">
        <v>133</v>
      </c>
      <c r="C4744" t="s">
        <v>3265</v>
      </c>
      <c r="D4744" t="s">
        <v>6242</v>
      </c>
      <c r="E4744" t="s">
        <v>6243</v>
      </c>
      <c r="F4744" t="s">
        <v>10251</v>
      </c>
      <c r="G4744" t="s">
        <v>6239</v>
      </c>
      <c r="H4744" t="s">
        <v>6240</v>
      </c>
      <c r="I4744" t="s">
        <v>6241</v>
      </c>
      <c r="K4744">
        <v>-0.19658999999999999</v>
      </c>
      <c r="L4744">
        <v>-0.18299000000000001</v>
      </c>
      <c r="M4744">
        <v>-0.18206</v>
      </c>
      <c r="N4744">
        <v>-0.18193999999999999</v>
      </c>
      <c r="O4744">
        <v>-0.18339</v>
      </c>
      <c r="P4744">
        <v>-0.18681</v>
      </c>
      <c r="Q4744">
        <v>-0.19292999999999999</v>
      </c>
      <c r="R4744">
        <v>-0.18706999999999999</v>
      </c>
      <c r="S4744">
        <v>-0.2036</v>
      </c>
      <c r="T4744">
        <v>-0.21265999999999999</v>
      </c>
    </row>
    <row r="4745" spans="2:30" x14ac:dyDescent="0.25">
      <c r="B4745" t="s">
        <v>133</v>
      </c>
      <c r="C4745" t="s">
        <v>3265</v>
      </c>
      <c r="D4745" t="s">
        <v>6245</v>
      </c>
      <c r="E4745" t="s">
        <v>6246</v>
      </c>
      <c r="F4745" t="s">
        <v>10252</v>
      </c>
      <c r="G4745" t="s">
        <v>6239</v>
      </c>
      <c r="H4745" t="s">
        <v>6248</v>
      </c>
      <c r="I4745" t="s">
        <v>6241</v>
      </c>
      <c r="K4745">
        <v>-0.17161000000000001</v>
      </c>
      <c r="L4745">
        <v>-0.15631</v>
      </c>
      <c r="M4745">
        <v>-0.15354000000000001</v>
      </c>
      <c r="N4745">
        <v>-0.15090999999999999</v>
      </c>
      <c r="O4745">
        <v>-0.15096999999999999</v>
      </c>
      <c r="P4745">
        <v>-0.15254999999999999</v>
      </c>
      <c r="Q4745">
        <v>-0.15712999999999999</v>
      </c>
      <c r="R4745">
        <v>-0.16292999999999999</v>
      </c>
      <c r="S4745">
        <v>-0.16525000000000001</v>
      </c>
      <c r="T4745">
        <v>-0.17852000000000001</v>
      </c>
    </row>
    <row r="4746" spans="2:30" x14ac:dyDescent="0.25">
      <c r="B4746" t="s">
        <v>133</v>
      </c>
      <c r="C4746" t="s">
        <v>3265</v>
      </c>
      <c r="D4746" t="s">
        <v>6249</v>
      </c>
      <c r="E4746" t="s">
        <v>6250</v>
      </c>
      <c r="F4746" t="s">
        <v>10253</v>
      </c>
      <c r="G4746" t="s">
        <v>6239</v>
      </c>
      <c r="H4746" t="s">
        <v>6248</v>
      </c>
      <c r="I4746" t="s">
        <v>6241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 spans="2:30" x14ac:dyDescent="0.25">
      <c r="B4747" t="s">
        <v>133</v>
      </c>
      <c r="C4747" t="s">
        <v>3265</v>
      </c>
      <c r="D4747" t="s">
        <v>6252</v>
      </c>
      <c r="E4747" t="s">
        <v>6253</v>
      </c>
      <c r="F4747" t="s">
        <v>10254</v>
      </c>
      <c r="G4747" t="s">
        <v>6239</v>
      </c>
      <c r="H4747" t="s">
        <v>6248</v>
      </c>
      <c r="I4747" t="s">
        <v>6241</v>
      </c>
      <c r="K4747">
        <v>-0.17161000000000001</v>
      </c>
      <c r="L4747">
        <v>-0.15631</v>
      </c>
      <c r="M4747">
        <v>-0.15354000000000001</v>
      </c>
      <c r="N4747">
        <v>-0.15090999999999999</v>
      </c>
      <c r="O4747">
        <v>-0.15096999999999999</v>
      </c>
      <c r="P4747">
        <v>-0.15254999999999999</v>
      </c>
      <c r="Q4747">
        <v>-0.15712999999999999</v>
      </c>
      <c r="R4747">
        <v>-0.16292999999999999</v>
      </c>
      <c r="S4747">
        <v>-0.16525000000000001</v>
      </c>
      <c r="T4747">
        <v>-0.17852000000000001</v>
      </c>
    </row>
    <row r="4748" spans="2:30" x14ac:dyDescent="0.25">
      <c r="B4748" t="s">
        <v>133</v>
      </c>
      <c r="C4748" t="s">
        <v>3265</v>
      </c>
      <c r="D4748" t="s">
        <v>6255</v>
      </c>
      <c r="E4748" t="s">
        <v>6256</v>
      </c>
      <c r="F4748" t="s">
        <v>10255</v>
      </c>
      <c r="G4748" t="s">
        <v>6239</v>
      </c>
      <c r="H4748" t="s">
        <v>6248</v>
      </c>
      <c r="I4748" t="s">
        <v>6241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 spans="2:30" x14ac:dyDescent="0.25">
      <c r="B4749" t="s">
        <v>133</v>
      </c>
      <c r="C4749" t="s">
        <v>3265</v>
      </c>
      <c r="D4749" t="s">
        <v>6258</v>
      </c>
      <c r="E4749" t="s">
        <v>6259</v>
      </c>
      <c r="F4749" t="s">
        <v>10256</v>
      </c>
      <c r="G4749" t="s">
        <v>6239</v>
      </c>
      <c r="H4749" t="s">
        <v>6248</v>
      </c>
      <c r="I4749" t="s">
        <v>6241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 spans="2:30" x14ac:dyDescent="0.25">
      <c r="B4750" t="s">
        <v>133</v>
      </c>
      <c r="C4750" t="s">
        <v>3265</v>
      </c>
      <c r="D4750" t="s">
        <v>6261</v>
      </c>
      <c r="E4750" t="s">
        <v>6262</v>
      </c>
      <c r="F4750" t="s">
        <v>10257</v>
      </c>
      <c r="G4750" t="s">
        <v>6239</v>
      </c>
      <c r="H4750" t="s">
        <v>6248</v>
      </c>
      <c r="I4750" t="s">
        <v>6241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 spans="2:30" x14ac:dyDescent="0.25">
      <c r="B4751" t="s">
        <v>133</v>
      </c>
      <c r="C4751" t="s">
        <v>3265</v>
      </c>
      <c r="D4751" t="s">
        <v>6264</v>
      </c>
      <c r="E4751" t="s">
        <v>6265</v>
      </c>
      <c r="F4751" t="s">
        <v>10258</v>
      </c>
      <c r="G4751" t="s">
        <v>6239</v>
      </c>
      <c r="H4751" t="s">
        <v>6248</v>
      </c>
      <c r="I4751" t="s">
        <v>6241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 spans="2:30" x14ac:dyDescent="0.25">
      <c r="B4752" t="s">
        <v>133</v>
      </c>
      <c r="C4752" t="s">
        <v>3265</v>
      </c>
      <c r="D4752" t="s">
        <v>6267</v>
      </c>
      <c r="E4752" t="s">
        <v>6268</v>
      </c>
      <c r="F4752" t="s">
        <v>10259</v>
      </c>
      <c r="G4752" t="s">
        <v>6239</v>
      </c>
      <c r="H4752" t="s">
        <v>6248</v>
      </c>
      <c r="I4752" t="s">
        <v>6241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 spans="2:20" x14ac:dyDescent="0.25">
      <c r="B4753" t="s">
        <v>133</v>
      </c>
      <c r="C4753" t="s">
        <v>3265</v>
      </c>
      <c r="D4753" t="s">
        <v>6270</v>
      </c>
      <c r="E4753" t="s">
        <v>6271</v>
      </c>
      <c r="F4753" t="s">
        <v>10260</v>
      </c>
      <c r="G4753" t="s">
        <v>6239</v>
      </c>
      <c r="H4753" t="s">
        <v>6248</v>
      </c>
      <c r="I4753" t="s">
        <v>6241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 spans="2:20" x14ac:dyDescent="0.25">
      <c r="B4754" t="s">
        <v>133</v>
      </c>
      <c r="C4754" t="s">
        <v>3265</v>
      </c>
      <c r="D4754" t="s">
        <v>6273</v>
      </c>
      <c r="E4754" t="s">
        <v>6274</v>
      </c>
      <c r="F4754" t="s">
        <v>10261</v>
      </c>
      <c r="G4754" t="s">
        <v>6239</v>
      </c>
      <c r="H4754" t="s">
        <v>6276</v>
      </c>
      <c r="I4754" t="s">
        <v>6241</v>
      </c>
      <c r="K4754">
        <v>-3.0450000000000001E-2</v>
      </c>
      <c r="L4754">
        <v>-3.0300000000000001E-2</v>
      </c>
      <c r="M4754">
        <v>-3.041E-2</v>
      </c>
      <c r="N4754">
        <v>-3.0589999999999999E-2</v>
      </c>
      <c r="O4754">
        <v>-3.082E-2</v>
      </c>
      <c r="P4754">
        <v>-3.1109999999999999E-2</v>
      </c>
      <c r="Q4754">
        <v>-3.1469999999999998E-2</v>
      </c>
      <c r="R4754">
        <v>-3.2099999999999997E-2</v>
      </c>
      <c r="S4754">
        <v>-3.2320000000000002E-2</v>
      </c>
      <c r="T4754">
        <v>-3.338E-2</v>
      </c>
    </row>
    <row r="4755" spans="2:20" x14ac:dyDescent="0.25">
      <c r="B4755" t="s">
        <v>133</v>
      </c>
      <c r="C4755" t="s">
        <v>3265</v>
      </c>
      <c r="D4755" t="s">
        <v>6277</v>
      </c>
      <c r="E4755" t="s">
        <v>6278</v>
      </c>
      <c r="F4755" t="s">
        <v>10262</v>
      </c>
      <c r="G4755" t="s">
        <v>6239</v>
      </c>
      <c r="H4755" t="s">
        <v>6276</v>
      </c>
      <c r="I4755" t="s">
        <v>6241</v>
      </c>
      <c r="K4755">
        <v>-1.06E-3</v>
      </c>
      <c r="L4755">
        <v>-1.0300000000000001E-3</v>
      </c>
      <c r="M4755">
        <v>-1.0499999999999999E-3</v>
      </c>
      <c r="N4755">
        <v>-1.0200000000000001E-3</v>
      </c>
      <c r="O4755">
        <v>-1.0499999999999999E-3</v>
      </c>
      <c r="P4755">
        <v>-1.0399999999999999E-3</v>
      </c>
      <c r="Q4755">
        <v>-1.0499999999999999E-3</v>
      </c>
      <c r="R4755">
        <v>-1.0200000000000001E-3</v>
      </c>
      <c r="S4755">
        <v>-1.0200000000000001E-3</v>
      </c>
      <c r="T4755">
        <v>-1.08E-3</v>
      </c>
    </row>
    <row r="4756" spans="2:20" x14ac:dyDescent="0.25">
      <c r="B4756" t="s">
        <v>133</v>
      </c>
      <c r="C4756" t="s">
        <v>3265</v>
      </c>
      <c r="D4756" t="s">
        <v>6280</v>
      </c>
      <c r="E4756" t="s">
        <v>6281</v>
      </c>
      <c r="F4756" t="s">
        <v>10263</v>
      </c>
      <c r="G4756" t="s">
        <v>6239</v>
      </c>
      <c r="H4756" t="s">
        <v>6276</v>
      </c>
      <c r="I4756" t="s">
        <v>6241</v>
      </c>
      <c r="K4756">
        <v>-6.3699999999999998E-3</v>
      </c>
      <c r="L4756">
        <v>-5.7800000000000004E-3</v>
      </c>
      <c r="M4756">
        <v>-5.6800000000000002E-3</v>
      </c>
      <c r="N4756">
        <v>-5.5999999999999999E-3</v>
      </c>
      <c r="O4756">
        <v>-5.5100000000000001E-3</v>
      </c>
      <c r="P4756">
        <v>-5.5500000000000002E-3</v>
      </c>
      <c r="Q4756">
        <v>-5.5100000000000001E-3</v>
      </c>
      <c r="R4756">
        <v>-5.4400000000000004E-3</v>
      </c>
      <c r="S4756">
        <v>-5.4299999999999999E-3</v>
      </c>
      <c r="T4756">
        <v>-5.3600000000000002E-3</v>
      </c>
    </row>
    <row r="4757" spans="2:20" x14ac:dyDescent="0.25">
      <c r="B4757" t="s">
        <v>133</v>
      </c>
      <c r="C4757" t="s">
        <v>3265</v>
      </c>
      <c r="D4757" t="s">
        <v>6283</v>
      </c>
      <c r="E4757" t="s">
        <v>6284</v>
      </c>
      <c r="F4757" t="s">
        <v>10264</v>
      </c>
      <c r="G4757" t="s">
        <v>6239</v>
      </c>
      <c r="H4757" t="s">
        <v>6276</v>
      </c>
      <c r="I4757" t="s">
        <v>6241</v>
      </c>
      <c r="K4757">
        <v>-1.2700000000000001E-3</v>
      </c>
      <c r="L4757">
        <v>-1.34E-3</v>
      </c>
      <c r="M4757">
        <v>-1.3699999999999999E-3</v>
      </c>
      <c r="N4757">
        <v>-1.3799999999999999E-3</v>
      </c>
      <c r="O4757">
        <v>-1.3500000000000001E-3</v>
      </c>
      <c r="P4757">
        <v>-1.33E-3</v>
      </c>
      <c r="Q4757">
        <v>-1.2600000000000001E-3</v>
      </c>
      <c r="R4757">
        <v>-1.16E-3</v>
      </c>
      <c r="S4757">
        <v>-1.1000000000000001E-3</v>
      </c>
      <c r="T4757">
        <v>-9.5E-4</v>
      </c>
    </row>
    <row r="4758" spans="2:20" x14ac:dyDescent="0.25">
      <c r="B4758" t="s">
        <v>133</v>
      </c>
      <c r="C4758" t="s">
        <v>3265</v>
      </c>
      <c r="D4758" t="s">
        <v>6286</v>
      </c>
      <c r="E4758" t="s">
        <v>6287</v>
      </c>
      <c r="F4758" t="s">
        <v>10265</v>
      </c>
      <c r="G4758" t="s">
        <v>6239</v>
      </c>
      <c r="H4758" t="s">
        <v>6276</v>
      </c>
      <c r="I4758" t="s">
        <v>6241</v>
      </c>
      <c r="K4758">
        <v>-1.9000000000000001E-4</v>
      </c>
      <c r="L4758">
        <v>-2.0000000000000001E-4</v>
      </c>
      <c r="M4758">
        <v>-2.1000000000000001E-4</v>
      </c>
      <c r="N4758">
        <v>-2.2000000000000001E-4</v>
      </c>
      <c r="O4758">
        <v>-2.4000000000000001E-4</v>
      </c>
      <c r="P4758">
        <v>-2.5000000000000001E-4</v>
      </c>
      <c r="Q4758">
        <v>-2.5000000000000001E-4</v>
      </c>
      <c r="R4758">
        <v>-2.5000000000000001E-4</v>
      </c>
      <c r="S4758">
        <v>-2.5999999999999998E-4</v>
      </c>
      <c r="T4758">
        <v>-2.7E-4</v>
      </c>
    </row>
    <row r="4759" spans="2:20" x14ac:dyDescent="0.25">
      <c r="B4759" t="s">
        <v>133</v>
      </c>
      <c r="C4759" t="s">
        <v>3265</v>
      </c>
      <c r="D4759" t="s">
        <v>6289</v>
      </c>
      <c r="E4759" t="s">
        <v>6290</v>
      </c>
      <c r="F4759" t="s">
        <v>10266</v>
      </c>
      <c r="G4759" t="s">
        <v>6239</v>
      </c>
      <c r="H4759" t="s">
        <v>6276</v>
      </c>
      <c r="I4759" t="s">
        <v>6241</v>
      </c>
      <c r="K4759">
        <v>-6.9999999999999999E-4</v>
      </c>
      <c r="L4759">
        <v>-9.1E-4</v>
      </c>
      <c r="M4759">
        <v>-1.01E-3</v>
      </c>
      <c r="N4759">
        <v>-1.0300000000000001E-3</v>
      </c>
      <c r="O4759">
        <v>-1.06E-3</v>
      </c>
      <c r="P4759">
        <v>-1.0200000000000001E-3</v>
      </c>
      <c r="Q4759">
        <v>-9.7999999999999997E-4</v>
      </c>
      <c r="R4759">
        <v>-8.4999999999999995E-4</v>
      </c>
      <c r="S4759">
        <v>-6.8000000000000005E-4</v>
      </c>
      <c r="T4759">
        <v>-3.6999999999999999E-4</v>
      </c>
    </row>
    <row r="4760" spans="2:20" x14ac:dyDescent="0.25">
      <c r="B4760" t="s">
        <v>133</v>
      </c>
      <c r="C4760" t="s">
        <v>3265</v>
      </c>
      <c r="D4760" t="s">
        <v>6292</v>
      </c>
      <c r="E4760" t="s">
        <v>6293</v>
      </c>
      <c r="F4760" t="s">
        <v>10267</v>
      </c>
      <c r="G4760" t="s">
        <v>6239</v>
      </c>
      <c r="H4760" t="s">
        <v>6276</v>
      </c>
      <c r="I4760" t="s">
        <v>6241</v>
      </c>
      <c r="K4760">
        <v>-1.061E-2</v>
      </c>
      <c r="L4760">
        <v>-1.0670000000000001E-2</v>
      </c>
      <c r="M4760">
        <v>-1.051E-2</v>
      </c>
      <c r="N4760">
        <v>-1.042E-2</v>
      </c>
      <c r="O4760">
        <v>-1.021E-2</v>
      </c>
      <c r="P4760">
        <v>-1.018E-2</v>
      </c>
      <c r="Q4760">
        <v>-1.0019999999999999E-2</v>
      </c>
      <c r="R4760">
        <v>-1.001E-2</v>
      </c>
      <c r="S4760">
        <v>-1.0070000000000001E-2</v>
      </c>
      <c r="T4760">
        <v>-9.5499999999999995E-3</v>
      </c>
    </row>
    <row r="4761" spans="2:20" x14ac:dyDescent="0.25">
      <c r="B4761" t="s">
        <v>133</v>
      </c>
      <c r="C4761" t="s">
        <v>3265</v>
      </c>
      <c r="D4761" t="s">
        <v>6295</v>
      </c>
      <c r="E4761" t="s">
        <v>6296</v>
      </c>
      <c r="F4761" t="s">
        <v>10268</v>
      </c>
      <c r="G4761" t="s">
        <v>6239</v>
      </c>
      <c r="H4761" t="s">
        <v>6276</v>
      </c>
      <c r="I4761" t="s">
        <v>6241</v>
      </c>
      <c r="K4761">
        <v>-9.2000000000000003E-4</v>
      </c>
      <c r="L4761">
        <v>-9.3000000000000005E-4</v>
      </c>
      <c r="M4761">
        <v>-1E-3</v>
      </c>
      <c r="N4761">
        <v>-1.1299999999999999E-3</v>
      </c>
      <c r="O4761">
        <v>-1.15E-3</v>
      </c>
      <c r="P4761">
        <v>-1.2199999999999999E-3</v>
      </c>
      <c r="Q4761">
        <v>-1.33E-3</v>
      </c>
      <c r="R4761">
        <v>-1.41E-3</v>
      </c>
      <c r="S4761">
        <v>-1.4499999999999999E-3</v>
      </c>
      <c r="T4761">
        <v>-1.82E-3</v>
      </c>
    </row>
    <row r="4762" spans="2:20" x14ac:dyDescent="0.25">
      <c r="B4762" t="s">
        <v>133</v>
      </c>
      <c r="C4762" t="s">
        <v>3265</v>
      </c>
      <c r="D4762" t="s">
        <v>6298</v>
      </c>
      <c r="E4762" t="s">
        <v>6299</v>
      </c>
      <c r="F4762" t="s">
        <v>10269</v>
      </c>
      <c r="G4762" t="s">
        <v>6239</v>
      </c>
      <c r="H4762" t="s">
        <v>6276</v>
      </c>
      <c r="I4762" t="s">
        <v>6241</v>
      </c>
      <c r="K4762">
        <v>-1E-3</v>
      </c>
      <c r="L4762">
        <v>-9.2000000000000003E-4</v>
      </c>
      <c r="M4762">
        <v>-9.3000000000000005E-4</v>
      </c>
      <c r="N4762">
        <v>-8.8999999999999995E-4</v>
      </c>
      <c r="O4762">
        <v>-9.1E-4</v>
      </c>
      <c r="P4762">
        <v>-8.8999999999999995E-4</v>
      </c>
      <c r="Q4762">
        <v>-9.3999999999999997E-4</v>
      </c>
      <c r="R4762">
        <v>-8.9999999999999998E-4</v>
      </c>
      <c r="S4762">
        <v>-9.3999999999999997E-4</v>
      </c>
      <c r="T4762">
        <v>-1.16E-3</v>
      </c>
    </row>
    <row r="4763" spans="2:20" x14ac:dyDescent="0.25">
      <c r="B4763" t="s">
        <v>133</v>
      </c>
      <c r="C4763" t="s">
        <v>3265</v>
      </c>
      <c r="D4763" t="s">
        <v>6301</v>
      </c>
      <c r="E4763" t="s">
        <v>6302</v>
      </c>
      <c r="F4763" t="s">
        <v>10270</v>
      </c>
      <c r="G4763" t="s">
        <v>6239</v>
      </c>
      <c r="H4763" t="s">
        <v>6276</v>
      </c>
      <c r="I4763" t="s">
        <v>6241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 spans="2:20" x14ac:dyDescent="0.25">
      <c r="B4764" t="s">
        <v>133</v>
      </c>
      <c r="C4764" t="s">
        <v>3265</v>
      </c>
      <c r="D4764" t="s">
        <v>6304</v>
      </c>
      <c r="E4764" t="s">
        <v>6305</v>
      </c>
      <c r="F4764" t="s">
        <v>10271</v>
      </c>
      <c r="G4764" t="s">
        <v>6239</v>
      </c>
      <c r="H4764" t="s">
        <v>6276</v>
      </c>
      <c r="I4764" t="s">
        <v>6241</v>
      </c>
      <c r="K4764">
        <v>-8.8999999999999995E-4</v>
      </c>
      <c r="L4764">
        <v>-8.7000000000000001E-4</v>
      </c>
      <c r="M4764">
        <v>-8.7000000000000001E-4</v>
      </c>
      <c r="N4764">
        <v>-8.4000000000000003E-4</v>
      </c>
      <c r="O4764">
        <v>-8.3000000000000001E-4</v>
      </c>
      <c r="P4764">
        <v>-7.3999999999999999E-4</v>
      </c>
      <c r="Q4764">
        <v>-6.4999999999999997E-4</v>
      </c>
      <c r="R4764">
        <v>-5.6999999999999998E-4</v>
      </c>
      <c r="S4764">
        <v>-4.6000000000000001E-4</v>
      </c>
      <c r="T4764">
        <v>-3.3E-4</v>
      </c>
    </row>
    <row r="4765" spans="2:20" x14ac:dyDescent="0.25">
      <c r="B4765" t="s">
        <v>133</v>
      </c>
      <c r="C4765" t="s">
        <v>3265</v>
      </c>
      <c r="D4765" t="s">
        <v>6307</v>
      </c>
      <c r="E4765" t="s">
        <v>6308</v>
      </c>
      <c r="F4765" t="s">
        <v>10272</v>
      </c>
      <c r="G4765" t="s">
        <v>6239</v>
      </c>
      <c r="H4765" t="s">
        <v>6276</v>
      </c>
      <c r="I4765" t="s">
        <v>6241</v>
      </c>
      <c r="K4765">
        <v>-4.1399999999999996E-3</v>
      </c>
      <c r="L4765">
        <v>-4.4200000000000003E-3</v>
      </c>
      <c r="M4765">
        <v>-4.5700000000000003E-3</v>
      </c>
      <c r="N4765">
        <v>-4.8199999999999996E-3</v>
      </c>
      <c r="O4765">
        <v>-5.13E-3</v>
      </c>
      <c r="P4765">
        <v>-5.5199999999999997E-3</v>
      </c>
      <c r="Q4765">
        <v>-6.0699999999999999E-3</v>
      </c>
      <c r="R4765">
        <v>-7.1000000000000004E-3</v>
      </c>
      <c r="S4765">
        <v>-7.5100000000000002E-3</v>
      </c>
      <c r="T4765">
        <v>-9.0100000000000006E-3</v>
      </c>
    </row>
    <row r="4766" spans="2:20" x14ac:dyDescent="0.25">
      <c r="B4766" t="s">
        <v>133</v>
      </c>
      <c r="C4766" t="s">
        <v>3265</v>
      </c>
      <c r="D4766" t="s">
        <v>6310</v>
      </c>
      <c r="E4766" t="s">
        <v>6311</v>
      </c>
      <c r="F4766" t="s">
        <v>10273</v>
      </c>
      <c r="G4766" t="s">
        <v>6239</v>
      </c>
      <c r="H4766" t="s">
        <v>6276</v>
      </c>
      <c r="I4766" t="s">
        <v>6241</v>
      </c>
      <c r="K4766">
        <v>-1.5900000000000001E-3</v>
      </c>
      <c r="L4766">
        <v>-1.5499999999999999E-3</v>
      </c>
      <c r="M4766">
        <v>-1.5E-3</v>
      </c>
      <c r="N4766">
        <v>-1.5200000000000001E-3</v>
      </c>
      <c r="O4766">
        <v>-1.5399999999999999E-3</v>
      </c>
      <c r="P4766">
        <v>-1.5399999999999999E-3</v>
      </c>
      <c r="Q4766">
        <v>-1.5100000000000001E-3</v>
      </c>
      <c r="R4766">
        <v>-1.5E-3</v>
      </c>
      <c r="S4766">
        <v>-1.5399999999999999E-3</v>
      </c>
      <c r="T4766">
        <v>-1.6999999999999999E-3</v>
      </c>
    </row>
    <row r="4767" spans="2:20" x14ac:dyDescent="0.25">
      <c r="B4767" t="s">
        <v>133</v>
      </c>
      <c r="C4767" t="s">
        <v>3265</v>
      </c>
      <c r="D4767" t="s">
        <v>6313</v>
      </c>
      <c r="E4767" t="s">
        <v>6314</v>
      </c>
      <c r="F4767" t="s">
        <v>10274</v>
      </c>
      <c r="G4767" t="s">
        <v>6239</v>
      </c>
      <c r="H4767" t="s">
        <v>6276</v>
      </c>
      <c r="I4767" t="s">
        <v>6241</v>
      </c>
      <c r="K4767">
        <v>-6.9999999999999994E-5</v>
      </c>
      <c r="L4767">
        <v>-6.9999999999999994E-5</v>
      </c>
      <c r="M4767">
        <v>-6.9999999999999994E-5</v>
      </c>
      <c r="N4767">
        <v>-6.0000000000000002E-5</v>
      </c>
      <c r="O4767">
        <v>-8.0000000000000007E-5</v>
      </c>
      <c r="P4767">
        <v>-9.0000000000000006E-5</v>
      </c>
      <c r="Q4767">
        <v>-1.1E-4</v>
      </c>
      <c r="R4767">
        <v>-1.2999999999999999E-4</v>
      </c>
      <c r="S4767">
        <v>-1.3999999999999999E-4</v>
      </c>
      <c r="T4767">
        <v>-1.8000000000000001E-4</v>
      </c>
    </row>
    <row r="4768" spans="2:20" x14ac:dyDescent="0.25">
      <c r="B4768" t="s">
        <v>133</v>
      </c>
      <c r="C4768" t="s">
        <v>3265</v>
      </c>
      <c r="D4768" t="s">
        <v>6316</v>
      </c>
      <c r="E4768" t="s">
        <v>6317</v>
      </c>
      <c r="F4768" t="s">
        <v>10275</v>
      </c>
      <c r="G4768" t="s">
        <v>6239</v>
      </c>
      <c r="H4768" t="s">
        <v>6276</v>
      </c>
      <c r="I4768" t="s">
        <v>6241</v>
      </c>
      <c r="K4768">
        <v>-1.66E-3</v>
      </c>
      <c r="L4768">
        <v>-1.6299999999999999E-3</v>
      </c>
      <c r="M4768">
        <v>-1.65E-3</v>
      </c>
      <c r="N4768">
        <v>-1.66E-3</v>
      </c>
      <c r="O4768">
        <v>-1.7600000000000001E-3</v>
      </c>
      <c r="P4768">
        <v>-1.74E-3</v>
      </c>
      <c r="Q4768">
        <v>-1.7799999999999999E-3</v>
      </c>
      <c r="R4768">
        <v>-1.75E-3</v>
      </c>
      <c r="S4768">
        <v>-1.72E-3</v>
      </c>
      <c r="T4768">
        <v>-1.6100000000000001E-3</v>
      </c>
    </row>
    <row r="4769" spans="2:20" x14ac:dyDescent="0.25">
      <c r="B4769" t="s">
        <v>133</v>
      </c>
      <c r="C4769" t="s">
        <v>3265</v>
      </c>
      <c r="D4769" t="s">
        <v>6319</v>
      </c>
      <c r="E4769" t="s">
        <v>6320</v>
      </c>
      <c r="F4769" t="s">
        <v>10276</v>
      </c>
      <c r="G4769" t="s">
        <v>6239</v>
      </c>
      <c r="H4769" t="s">
        <v>6322</v>
      </c>
      <c r="I4769" t="s">
        <v>6241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 spans="2:20" x14ac:dyDescent="0.25">
      <c r="B4770" t="s">
        <v>133</v>
      </c>
      <c r="C4770" t="s">
        <v>3265</v>
      </c>
      <c r="D4770" t="s">
        <v>6323</v>
      </c>
      <c r="E4770" t="s">
        <v>6324</v>
      </c>
      <c r="F4770" t="s">
        <v>10277</v>
      </c>
      <c r="G4770" t="s">
        <v>6239</v>
      </c>
      <c r="H4770" t="s">
        <v>6322</v>
      </c>
      <c r="I4770" t="s">
        <v>6241</v>
      </c>
      <c r="K4770">
        <v>3.3562400000000001</v>
      </c>
      <c r="L4770">
        <v>3.0570400000000002</v>
      </c>
      <c r="M4770">
        <v>3.0028199999999998</v>
      </c>
      <c r="N4770">
        <v>2.95045</v>
      </c>
      <c r="O4770">
        <v>2.9516100000000001</v>
      </c>
      <c r="P4770">
        <v>2.98258</v>
      </c>
      <c r="Q4770">
        <v>3.0720700000000001</v>
      </c>
      <c r="R4770">
        <v>3.1855899999999999</v>
      </c>
      <c r="S4770">
        <v>3.23095</v>
      </c>
      <c r="T4770">
        <v>3.4904500000000001</v>
      </c>
    </row>
    <row r="4771" spans="2:20" x14ac:dyDescent="0.25">
      <c r="B4771" t="s">
        <v>133</v>
      </c>
      <c r="C4771" t="s">
        <v>3265</v>
      </c>
      <c r="D4771" t="s">
        <v>6326</v>
      </c>
      <c r="E4771" t="s">
        <v>6327</v>
      </c>
      <c r="F4771" t="s">
        <v>10278</v>
      </c>
      <c r="G4771" t="s">
        <v>6239</v>
      </c>
      <c r="H4771" t="s">
        <v>6322</v>
      </c>
      <c r="I4771" t="s">
        <v>6241</v>
      </c>
      <c r="K4771">
        <v>0.24565000000000001</v>
      </c>
      <c r="L4771">
        <v>0.26417000000000002</v>
      </c>
      <c r="M4771">
        <v>0.25070999999999999</v>
      </c>
      <c r="N4771">
        <v>0.26715</v>
      </c>
      <c r="O4771">
        <v>0.30376999999999998</v>
      </c>
      <c r="P4771">
        <v>0.31380999999999998</v>
      </c>
      <c r="Q4771">
        <v>0.33935999999999999</v>
      </c>
      <c r="R4771">
        <v>0.38721</v>
      </c>
      <c r="S4771">
        <v>0.43569999999999998</v>
      </c>
      <c r="T4771">
        <v>0.53090000000000004</v>
      </c>
    </row>
    <row r="4772" spans="2:20" x14ac:dyDescent="0.25">
      <c r="B4772" t="s">
        <v>133</v>
      </c>
      <c r="C4772" t="s">
        <v>3265</v>
      </c>
      <c r="D4772" t="s">
        <v>6329</v>
      </c>
      <c r="E4772" t="s">
        <v>6330</v>
      </c>
      <c r="F4772" t="s">
        <v>10279</v>
      </c>
      <c r="G4772" t="s">
        <v>6239</v>
      </c>
      <c r="H4772" t="s">
        <v>6322</v>
      </c>
      <c r="I4772" t="s">
        <v>6241</v>
      </c>
      <c r="K4772">
        <v>8.8660000000000003E-2</v>
      </c>
      <c r="L4772">
        <v>9.1700000000000004E-2</v>
      </c>
      <c r="M4772">
        <v>0.12545999999999999</v>
      </c>
      <c r="N4772">
        <v>9.8580000000000001E-2</v>
      </c>
      <c r="O4772">
        <v>0.12416000000000001</v>
      </c>
      <c r="P4772">
        <v>0.12834999999999999</v>
      </c>
      <c r="Q4772">
        <v>0.12567</v>
      </c>
      <c r="R4772">
        <v>0.13841999999999999</v>
      </c>
      <c r="S4772">
        <v>0.12906999999999999</v>
      </c>
      <c r="T4772">
        <v>0.14066000000000001</v>
      </c>
    </row>
    <row r="4773" spans="2:20" x14ac:dyDescent="0.25">
      <c r="B4773" t="s">
        <v>133</v>
      </c>
      <c r="C4773" t="s">
        <v>3265</v>
      </c>
      <c r="D4773" t="s">
        <v>6332</v>
      </c>
      <c r="E4773" t="s">
        <v>6333</v>
      </c>
      <c r="F4773" t="s">
        <v>10280</v>
      </c>
      <c r="G4773" t="s">
        <v>6239</v>
      </c>
      <c r="H4773" t="s">
        <v>6322</v>
      </c>
      <c r="I4773" t="s">
        <v>6241</v>
      </c>
      <c r="K4773">
        <v>0.27312999999999998</v>
      </c>
      <c r="L4773">
        <v>0.32055</v>
      </c>
      <c r="M4773">
        <v>0.41546</v>
      </c>
      <c r="N4773">
        <v>0.41344999999999998</v>
      </c>
      <c r="O4773">
        <v>0.4738</v>
      </c>
      <c r="P4773">
        <v>0.48488999999999999</v>
      </c>
      <c r="Q4773">
        <v>0.57931999999999995</v>
      </c>
      <c r="R4773">
        <v>0.59521999999999997</v>
      </c>
      <c r="S4773">
        <v>0.59216999999999997</v>
      </c>
      <c r="T4773">
        <v>0.72887999999999997</v>
      </c>
    </row>
    <row r="4774" spans="2:20" x14ac:dyDescent="0.25">
      <c r="B4774" t="s">
        <v>133</v>
      </c>
      <c r="C4774" t="s">
        <v>3265</v>
      </c>
      <c r="D4774" t="s">
        <v>6335</v>
      </c>
      <c r="E4774" t="s">
        <v>6336</v>
      </c>
      <c r="F4774" t="s">
        <v>10281</v>
      </c>
      <c r="G4774" t="s">
        <v>6239</v>
      </c>
      <c r="H4774" t="s">
        <v>6322</v>
      </c>
      <c r="I4774" t="s">
        <v>6241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 spans="2:20" x14ac:dyDescent="0.25">
      <c r="B4775" t="s">
        <v>133</v>
      </c>
      <c r="C4775" t="s">
        <v>3265</v>
      </c>
      <c r="D4775" t="s">
        <v>6338</v>
      </c>
      <c r="E4775" t="s">
        <v>6339</v>
      </c>
      <c r="F4775" t="s">
        <v>10282</v>
      </c>
      <c r="G4775" t="s">
        <v>6239</v>
      </c>
      <c r="H4775" t="s">
        <v>6322</v>
      </c>
      <c r="I4775" t="s">
        <v>6241</v>
      </c>
      <c r="K4775">
        <v>2.0000000000000002E-5</v>
      </c>
      <c r="L4775">
        <v>2.0000000000000002E-5</v>
      </c>
      <c r="M4775">
        <v>1.0000000000000001E-5</v>
      </c>
      <c r="N4775">
        <v>5.0000000000000002E-5</v>
      </c>
      <c r="O4775">
        <v>5.0000000000000002E-5</v>
      </c>
      <c r="P4775">
        <v>4.0000000000000003E-5</v>
      </c>
      <c r="Q4775">
        <v>2.0000000000000002E-5</v>
      </c>
      <c r="R4775">
        <v>8.0000000000000007E-5</v>
      </c>
      <c r="S4775">
        <v>1.1E-4</v>
      </c>
      <c r="T4775">
        <v>6.9999999999999994E-5</v>
      </c>
    </row>
    <row r="4776" spans="2:20" x14ac:dyDescent="0.25">
      <c r="B4776" t="s">
        <v>133</v>
      </c>
      <c r="C4776" t="s">
        <v>3265</v>
      </c>
      <c r="D4776" t="s">
        <v>6341</v>
      </c>
      <c r="E4776" t="s">
        <v>6342</v>
      </c>
      <c r="F4776" t="s">
        <v>10283</v>
      </c>
      <c r="G4776" t="s">
        <v>6239</v>
      </c>
      <c r="H4776" t="s">
        <v>6322</v>
      </c>
      <c r="I4776" t="s">
        <v>6241</v>
      </c>
      <c r="K4776">
        <v>2.5198200000000002</v>
      </c>
      <c r="L4776">
        <v>2.0226899999999999</v>
      </c>
      <c r="M4776">
        <v>1.8737999999999999</v>
      </c>
      <c r="N4776">
        <v>1.70397</v>
      </c>
      <c r="O4776">
        <v>1.54288</v>
      </c>
      <c r="P4776">
        <v>1.4798500000000001</v>
      </c>
      <c r="Q4776">
        <v>1.42763</v>
      </c>
      <c r="R4776">
        <v>1.36385</v>
      </c>
      <c r="S4776">
        <v>1.1714</v>
      </c>
      <c r="T4776">
        <v>0.94108000000000003</v>
      </c>
    </row>
    <row r="4777" spans="2:20" x14ac:dyDescent="0.25">
      <c r="B4777" t="s">
        <v>133</v>
      </c>
      <c r="C4777" t="s">
        <v>3265</v>
      </c>
      <c r="D4777" t="s">
        <v>6344</v>
      </c>
      <c r="E4777" t="s">
        <v>6345</v>
      </c>
      <c r="F4777" t="s">
        <v>10284</v>
      </c>
      <c r="G4777" t="s">
        <v>6239</v>
      </c>
      <c r="H4777" t="s">
        <v>6322</v>
      </c>
      <c r="I4777" t="s">
        <v>6241</v>
      </c>
      <c r="K4777">
        <v>8.9499999999999996E-3</v>
      </c>
      <c r="L4777">
        <v>4.7600000000000003E-3</v>
      </c>
      <c r="M4777">
        <v>5.5799999999999999E-3</v>
      </c>
      <c r="N4777">
        <v>3.63E-3</v>
      </c>
      <c r="O4777">
        <v>2.8E-3</v>
      </c>
      <c r="P4777">
        <v>2.6700000000000001E-3</v>
      </c>
      <c r="Q4777">
        <v>2.9099999999999998E-3</v>
      </c>
      <c r="R4777">
        <v>3.0200000000000001E-3</v>
      </c>
      <c r="S4777">
        <v>2.0400000000000001E-3</v>
      </c>
      <c r="T4777">
        <v>1.16E-3</v>
      </c>
    </row>
    <row r="4778" spans="2:20" x14ac:dyDescent="0.25">
      <c r="B4778" t="s">
        <v>133</v>
      </c>
      <c r="C4778" t="s">
        <v>3265</v>
      </c>
      <c r="D4778" t="s">
        <v>6347</v>
      </c>
      <c r="E4778" t="s">
        <v>6348</v>
      </c>
      <c r="F4778" t="s">
        <v>10285</v>
      </c>
      <c r="G4778" t="s">
        <v>6239</v>
      </c>
      <c r="H4778" t="s">
        <v>6322</v>
      </c>
      <c r="I4778" t="s">
        <v>6241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1.0000000000000001E-5</v>
      </c>
      <c r="Q4778">
        <v>0</v>
      </c>
      <c r="R4778">
        <v>1.0000000000000001E-5</v>
      </c>
      <c r="S4778">
        <v>1.0000000000000001E-5</v>
      </c>
      <c r="T4778">
        <v>1.0000000000000001E-5</v>
      </c>
    </row>
    <row r="4779" spans="2:20" x14ac:dyDescent="0.25">
      <c r="B4779" t="s">
        <v>133</v>
      </c>
      <c r="C4779" t="s">
        <v>3265</v>
      </c>
      <c r="D4779" t="s">
        <v>6350</v>
      </c>
      <c r="E4779" t="s">
        <v>6351</v>
      </c>
      <c r="F4779" t="s">
        <v>10286</v>
      </c>
      <c r="G4779" t="s">
        <v>6239</v>
      </c>
      <c r="H4779" t="s">
        <v>6322</v>
      </c>
      <c r="I4779" t="s">
        <v>6241</v>
      </c>
      <c r="K4779">
        <v>4.6999999999999999E-4</v>
      </c>
      <c r="L4779">
        <v>2.5000000000000001E-4</v>
      </c>
      <c r="M4779">
        <v>2.9E-4</v>
      </c>
      <c r="N4779">
        <v>1.9000000000000001E-4</v>
      </c>
      <c r="O4779">
        <v>1.4999999999999999E-4</v>
      </c>
      <c r="P4779">
        <v>1.3999999999999999E-4</v>
      </c>
      <c r="Q4779">
        <v>1.4999999999999999E-4</v>
      </c>
      <c r="R4779">
        <v>1.6000000000000001E-4</v>
      </c>
      <c r="S4779">
        <v>1.1E-4</v>
      </c>
      <c r="T4779">
        <v>6.0000000000000002E-5</v>
      </c>
    </row>
    <row r="4780" spans="2:20" x14ac:dyDescent="0.25">
      <c r="B4780" t="s">
        <v>133</v>
      </c>
      <c r="C4780" t="s">
        <v>3265</v>
      </c>
      <c r="D4780" t="s">
        <v>6353</v>
      </c>
      <c r="E4780" t="s">
        <v>6354</v>
      </c>
      <c r="F4780" t="s">
        <v>10287</v>
      </c>
      <c r="G4780" t="s">
        <v>6239</v>
      </c>
      <c r="H4780" t="s">
        <v>6322</v>
      </c>
      <c r="I4780" t="s">
        <v>6241</v>
      </c>
      <c r="K4780">
        <v>1.60585</v>
      </c>
      <c r="L4780">
        <v>1.5572900000000001</v>
      </c>
      <c r="M4780">
        <v>1.5845199999999999</v>
      </c>
      <c r="N4780">
        <v>1.5382800000000001</v>
      </c>
      <c r="O4780">
        <v>1.58724</v>
      </c>
      <c r="P4780">
        <v>1.57575</v>
      </c>
      <c r="Q4780">
        <v>1.5923499999999999</v>
      </c>
      <c r="R4780">
        <v>1.55287</v>
      </c>
      <c r="S4780">
        <v>1.53905</v>
      </c>
      <c r="T4780">
        <v>1.6297600000000001</v>
      </c>
    </row>
    <row r="4781" spans="2:20" x14ac:dyDescent="0.25">
      <c r="B4781" t="s">
        <v>133</v>
      </c>
      <c r="C4781" t="s">
        <v>3265</v>
      </c>
      <c r="D4781" t="s">
        <v>6356</v>
      </c>
      <c r="E4781" t="s">
        <v>6357</v>
      </c>
      <c r="F4781" t="s">
        <v>10288</v>
      </c>
      <c r="G4781" t="s">
        <v>6239</v>
      </c>
      <c r="H4781" t="s">
        <v>6322</v>
      </c>
      <c r="I4781" t="s">
        <v>6241</v>
      </c>
      <c r="K4781">
        <v>3.89941</v>
      </c>
      <c r="L4781">
        <v>3.5377000000000001</v>
      </c>
      <c r="M4781">
        <v>3.4780000000000002</v>
      </c>
      <c r="N4781">
        <v>3.4288500000000002</v>
      </c>
      <c r="O4781">
        <v>3.3705400000000001</v>
      </c>
      <c r="P4781">
        <v>3.39655</v>
      </c>
      <c r="Q4781">
        <v>3.3731900000000001</v>
      </c>
      <c r="R4781">
        <v>3.3282500000000002</v>
      </c>
      <c r="S4781">
        <v>3.3230499999999998</v>
      </c>
      <c r="T4781">
        <v>3.2792699999999999</v>
      </c>
    </row>
    <row r="4782" spans="2:20" x14ac:dyDescent="0.25">
      <c r="B4782" t="s">
        <v>133</v>
      </c>
      <c r="C4782" t="s">
        <v>3265</v>
      </c>
      <c r="D4782" t="s">
        <v>6359</v>
      </c>
      <c r="E4782" t="s">
        <v>6360</v>
      </c>
      <c r="F4782" t="s">
        <v>10289</v>
      </c>
      <c r="G4782" t="s">
        <v>6239</v>
      </c>
      <c r="H4782" t="s">
        <v>6322</v>
      </c>
      <c r="I4782" t="s">
        <v>6241</v>
      </c>
      <c r="K4782">
        <v>5.2554600000000002</v>
      </c>
      <c r="L4782">
        <v>5.5693999999999999</v>
      </c>
      <c r="M4782">
        <v>5.6773600000000002</v>
      </c>
      <c r="N4782">
        <v>5.7297200000000004</v>
      </c>
      <c r="O4782">
        <v>5.6129600000000002</v>
      </c>
      <c r="P4782">
        <v>5.5136200000000004</v>
      </c>
      <c r="Q4782">
        <v>5.24925</v>
      </c>
      <c r="R4782">
        <v>4.8136799999999997</v>
      </c>
      <c r="S4782">
        <v>4.5635199999999996</v>
      </c>
      <c r="T4782">
        <v>3.9498199999999999</v>
      </c>
    </row>
    <row r="4783" spans="2:20" x14ac:dyDescent="0.25">
      <c r="B4783" t="s">
        <v>133</v>
      </c>
      <c r="C4783" t="s">
        <v>3265</v>
      </c>
      <c r="D4783" t="s">
        <v>6362</v>
      </c>
      <c r="E4783" t="s">
        <v>6363</v>
      </c>
      <c r="F4783" t="s">
        <v>10290</v>
      </c>
      <c r="G4783" t="s">
        <v>6239</v>
      </c>
      <c r="H4783" t="s">
        <v>6322</v>
      </c>
      <c r="I4783" t="s">
        <v>6241</v>
      </c>
      <c r="K4783">
        <v>2.1144099999999999</v>
      </c>
      <c r="L4783">
        <v>2.1298599999999999</v>
      </c>
      <c r="M4783">
        <v>2.2776399999999999</v>
      </c>
      <c r="N4783">
        <v>2.41893</v>
      </c>
      <c r="O4783">
        <v>2.6160299999999999</v>
      </c>
      <c r="P4783">
        <v>2.6849599999999998</v>
      </c>
      <c r="Q4783">
        <v>2.7770000000000001</v>
      </c>
      <c r="R4783">
        <v>2.7384900000000001</v>
      </c>
      <c r="S4783">
        <v>2.8589000000000002</v>
      </c>
      <c r="T4783">
        <v>2.8957799999999998</v>
      </c>
    </row>
    <row r="4784" spans="2:20" x14ac:dyDescent="0.25">
      <c r="B4784" t="s">
        <v>133</v>
      </c>
      <c r="C4784" t="s">
        <v>3265</v>
      </c>
      <c r="D4784" t="s">
        <v>6365</v>
      </c>
      <c r="E4784" t="s">
        <v>6366</v>
      </c>
      <c r="F4784" t="s">
        <v>10291</v>
      </c>
      <c r="G4784" t="s">
        <v>6239</v>
      </c>
      <c r="H4784" t="s">
        <v>6322</v>
      </c>
      <c r="I4784" t="s">
        <v>6241</v>
      </c>
      <c r="K4784">
        <v>2.6863999999999999</v>
      </c>
      <c r="L4784">
        <v>3.5221900000000002</v>
      </c>
      <c r="M4784">
        <v>3.9014899999999999</v>
      </c>
      <c r="N4784">
        <v>3.9628999999999999</v>
      </c>
      <c r="O4784">
        <v>4.07524</v>
      </c>
      <c r="P4784">
        <v>3.9388200000000002</v>
      </c>
      <c r="Q4784">
        <v>3.7564000000000002</v>
      </c>
      <c r="R4784">
        <v>3.2689900000000001</v>
      </c>
      <c r="S4784">
        <v>2.6295500000000001</v>
      </c>
      <c r="T4784">
        <v>1.4299900000000001</v>
      </c>
    </row>
    <row r="4785" spans="2:20" x14ac:dyDescent="0.25">
      <c r="B4785" t="s">
        <v>133</v>
      </c>
      <c r="C4785" t="s">
        <v>3265</v>
      </c>
      <c r="D4785" t="s">
        <v>6368</v>
      </c>
      <c r="E4785" t="s">
        <v>6369</v>
      </c>
      <c r="F4785" t="s">
        <v>10292</v>
      </c>
      <c r="G4785" t="s">
        <v>6239</v>
      </c>
      <c r="H4785" t="s">
        <v>6322</v>
      </c>
      <c r="I4785" t="s">
        <v>6241</v>
      </c>
      <c r="K4785">
        <v>52.981250000000003</v>
      </c>
      <c r="L4785">
        <v>53.252020000000002</v>
      </c>
      <c r="M4785">
        <v>52.452800000000003</v>
      </c>
      <c r="N4785">
        <v>52.018239999999999</v>
      </c>
      <c r="O4785">
        <v>50.968600000000002</v>
      </c>
      <c r="P4785">
        <v>50.812600000000003</v>
      </c>
      <c r="Q4785">
        <v>50.010199999999998</v>
      </c>
      <c r="R4785">
        <v>49.957299999999996</v>
      </c>
      <c r="S4785">
        <v>50.2438</v>
      </c>
      <c r="T4785">
        <v>47.649500000000003</v>
      </c>
    </row>
    <row r="4786" spans="2:20" x14ac:dyDescent="0.25">
      <c r="B4786" t="s">
        <v>133</v>
      </c>
      <c r="C4786" t="s">
        <v>3265</v>
      </c>
      <c r="D4786" t="s">
        <v>6371</v>
      </c>
      <c r="E4786" t="s">
        <v>6372</v>
      </c>
      <c r="F4786" t="s">
        <v>10293</v>
      </c>
      <c r="G4786" t="s">
        <v>6239</v>
      </c>
      <c r="H4786" t="s">
        <v>6322</v>
      </c>
      <c r="I4786" t="s">
        <v>6241</v>
      </c>
      <c r="K4786">
        <v>2.9624600000000001</v>
      </c>
      <c r="L4786">
        <v>3.0012099999999999</v>
      </c>
      <c r="M4786">
        <v>3.2425999999999999</v>
      </c>
      <c r="N4786">
        <v>3.6684899999999998</v>
      </c>
      <c r="O4786">
        <v>3.73509</v>
      </c>
      <c r="P4786">
        <v>3.9405899999999998</v>
      </c>
      <c r="Q4786">
        <v>4.3134399999999999</v>
      </c>
      <c r="R4786">
        <v>4.5710699999999997</v>
      </c>
      <c r="S4786">
        <v>4.6995800000000001</v>
      </c>
      <c r="T4786">
        <v>5.8917999999999999</v>
      </c>
    </row>
    <row r="4787" spans="2:20" x14ac:dyDescent="0.25">
      <c r="B4787" t="s">
        <v>133</v>
      </c>
      <c r="C4787" t="s">
        <v>3265</v>
      </c>
      <c r="D4787" t="s">
        <v>6374</v>
      </c>
      <c r="E4787" t="s">
        <v>6375</v>
      </c>
      <c r="F4787" t="s">
        <v>10294</v>
      </c>
      <c r="G4787" t="s">
        <v>6239</v>
      </c>
      <c r="H4787" t="s">
        <v>6322</v>
      </c>
      <c r="I4787" t="s">
        <v>6241</v>
      </c>
      <c r="K4787">
        <v>4.5945400000000003</v>
      </c>
      <c r="L4787">
        <v>4.2270099999999999</v>
      </c>
      <c r="M4787">
        <v>4.2782</v>
      </c>
      <c r="N4787">
        <v>4.0952799999999998</v>
      </c>
      <c r="O4787">
        <v>4.2236099999999999</v>
      </c>
      <c r="P4787">
        <v>4.1026600000000002</v>
      </c>
      <c r="Q4787">
        <v>4.3357700000000001</v>
      </c>
      <c r="R4787">
        <v>4.1755000000000004</v>
      </c>
      <c r="S4787">
        <v>4.3468299999999997</v>
      </c>
      <c r="T4787">
        <v>5.3558700000000004</v>
      </c>
    </row>
    <row r="4788" spans="2:20" x14ac:dyDescent="0.25">
      <c r="B4788" t="s">
        <v>133</v>
      </c>
      <c r="C4788" t="s">
        <v>3265</v>
      </c>
      <c r="D4788" t="s">
        <v>6377</v>
      </c>
      <c r="E4788" t="s">
        <v>6378</v>
      </c>
      <c r="F4788" t="s">
        <v>10295</v>
      </c>
      <c r="G4788" t="s">
        <v>6239</v>
      </c>
      <c r="H4788" t="s">
        <v>6322</v>
      </c>
      <c r="I4788" t="s">
        <v>6241</v>
      </c>
      <c r="K4788">
        <v>1.1730000000000001E-2</v>
      </c>
      <c r="L4788">
        <v>8.5900000000000004E-3</v>
      </c>
      <c r="M4788">
        <v>6.4900000000000001E-3</v>
      </c>
      <c r="N4788">
        <v>7.9900000000000006E-3</v>
      </c>
      <c r="O4788">
        <v>1.848E-2</v>
      </c>
      <c r="P4788">
        <v>1.473E-2</v>
      </c>
      <c r="Q4788">
        <v>1.3180000000000001E-2</v>
      </c>
      <c r="R4788">
        <v>1.643E-2</v>
      </c>
      <c r="S4788">
        <v>1.5699999999999999E-2</v>
      </c>
      <c r="T4788">
        <v>2.8119999999999999E-2</v>
      </c>
    </row>
    <row r="4789" spans="2:20" x14ac:dyDescent="0.25">
      <c r="B4789" t="s">
        <v>133</v>
      </c>
      <c r="C4789" t="s">
        <v>3265</v>
      </c>
      <c r="D4789" t="s">
        <v>6380</v>
      </c>
      <c r="E4789" t="s">
        <v>6381</v>
      </c>
      <c r="F4789" t="s">
        <v>10296</v>
      </c>
      <c r="G4789" t="s">
        <v>6239</v>
      </c>
      <c r="H4789" t="s">
        <v>6322</v>
      </c>
      <c r="I4789" t="s">
        <v>6241</v>
      </c>
      <c r="K4789">
        <v>2.0455299999999998</v>
      </c>
      <c r="L4789">
        <v>1.99122</v>
      </c>
      <c r="M4789">
        <v>2.00088</v>
      </c>
      <c r="N4789">
        <v>1.9170499999999999</v>
      </c>
      <c r="O4789">
        <v>1.90821</v>
      </c>
      <c r="P4789">
        <v>1.7008099999999999</v>
      </c>
      <c r="Q4789">
        <v>1.4911300000000001</v>
      </c>
      <c r="R4789">
        <v>1.3100400000000001</v>
      </c>
      <c r="S4789">
        <v>1.05986</v>
      </c>
      <c r="T4789">
        <v>0.75871</v>
      </c>
    </row>
    <row r="4790" spans="2:20" x14ac:dyDescent="0.25">
      <c r="B4790" t="s">
        <v>133</v>
      </c>
      <c r="C4790" t="s">
        <v>3265</v>
      </c>
      <c r="D4790" t="s">
        <v>6383</v>
      </c>
      <c r="E4790" t="s">
        <v>6384</v>
      </c>
      <c r="F4790" t="s">
        <v>10297</v>
      </c>
      <c r="G4790" t="s">
        <v>6239</v>
      </c>
      <c r="H4790" t="s">
        <v>6322</v>
      </c>
      <c r="I4790" t="s">
        <v>6241</v>
      </c>
      <c r="K4790">
        <v>4.3454800000000002</v>
      </c>
      <c r="L4790">
        <v>4.63767</v>
      </c>
      <c r="M4790">
        <v>4.8012499999999996</v>
      </c>
      <c r="N4790">
        <v>5.0640400000000003</v>
      </c>
      <c r="O4790">
        <v>5.3882599999999998</v>
      </c>
      <c r="P4790">
        <v>5.7943899999999999</v>
      </c>
      <c r="Q4790">
        <v>6.36754</v>
      </c>
      <c r="R4790">
        <v>7.4519399999999996</v>
      </c>
      <c r="S4790">
        <v>7.8795999999999999</v>
      </c>
      <c r="T4790">
        <v>9.45749</v>
      </c>
    </row>
    <row r="4791" spans="2:20" x14ac:dyDescent="0.25">
      <c r="B4791" t="s">
        <v>133</v>
      </c>
      <c r="C4791" t="s">
        <v>3265</v>
      </c>
      <c r="D4791" t="s">
        <v>6386</v>
      </c>
      <c r="E4791" t="s">
        <v>6387</v>
      </c>
      <c r="F4791" t="s">
        <v>10298</v>
      </c>
      <c r="G4791" t="s">
        <v>6239</v>
      </c>
      <c r="H4791" t="s">
        <v>6322</v>
      </c>
      <c r="I4791" t="s">
        <v>6241</v>
      </c>
      <c r="K4791">
        <v>6.6302300000000001</v>
      </c>
      <c r="L4791">
        <v>6.4665600000000003</v>
      </c>
      <c r="M4791">
        <v>6.25943</v>
      </c>
      <c r="N4791">
        <v>6.3484800000000003</v>
      </c>
      <c r="O4791">
        <v>6.4184599999999996</v>
      </c>
      <c r="P4791">
        <v>6.4232300000000002</v>
      </c>
      <c r="Q4791">
        <v>6.2890899999999998</v>
      </c>
      <c r="R4791">
        <v>6.2787699999999997</v>
      </c>
      <c r="S4791">
        <v>6.4313700000000003</v>
      </c>
      <c r="T4791">
        <v>7.1076100000000002</v>
      </c>
    </row>
    <row r="4792" spans="2:20" x14ac:dyDescent="0.25">
      <c r="B4792" t="s">
        <v>133</v>
      </c>
      <c r="C4792" t="s">
        <v>3265</v>
      </c>
      <c r="D4792" t="s">
        <v>6389</v>
      </c>
      <c r="E4792" t="s">
        <v>6390</v>
      </c>
      <c r="F4792" t="s">
        <v>10299</v>
      </c>
      <c r="G4792" t="s">
        <v>6239</v>
      </c>
      <c r="H4792" t="s">
        <v>6322</v>
      </c>
      <c r="I4792" t="s">
        <v>6241</v>
      </c>
      <c r="K4792">
        <v>0.27512999999999999</v>
      </c>
      <c r="L4792">
        <v>0.29455999999999999</v>
      </c>
      <c r="M4792">
        <v>0.27689999999999998</v>
      </c>
      <c r="N4792">
        <v>0.25096000000000002</v>
      </c>
      <c r="O4792">
        <v>0.33383000000000002</v>
      </c>
      <c r="P4792">
        <v>0.39290999999999998</v>
      </c>
      <c r="Q4792">
        <v>0.47310000000000002</v>
      </c>
      <c r="R4792">
        <v>0.54139000000000004</v>
      </c>
      <c r="S4792">
        <v>0.58986000000000005</v>
      </c>
      <c r="T4792">
        <v>0.75907999999999998</v>
      </c>
    </row>
    <row r="4793" spans="2:20" x14ac:dyDescent="0.25">
      <c r="B4793" t="s">
        <v>133</v>
      </c>
      <c r="C4793" t="s">
        <v>3265</v>
      </c>
      <c r="D4793" t="s">
        <v>6392</v>
      </c>
      <c r="E4793" t="s">
        <v>6393</v>
      </c>
      <c r="F4793" t="s">
        <v>10300</v>
      </c>
      <c r="G4793" t="s">
        <v>6239</v>
      </c>
      <c r="H4793" t="s">
        <v>6322</v>
      </c>
      <c r="I4793" t="s">
        <v>6241</v>
      </c>
      <c r="K4793">
        <v>4.0991600000000004</v>
      </c>
      <c r="L4793">
        <v>4.0435299999999996</v>
      </c>
      <c r="M4793">
        <v>4.0883200000000004</v>
      </c>
      <c r="N4793">
        <v>4.1133300000000004</v>
      </c>
      <c r="O4793">
        <v>4.3442699999999999</v>
      </c>
      <c r="P4793">
        <v>4.3160499999999997</v>
      </c>
      <c r="Q4793">
        <v>4.4112400000000003</v>
      </c>
      <c r="R4793">
        <v>4.3217299999999996</v>
      </c>
      <c r="S4793">
        <v>4.2578100000000001</v>
      </c>
      <c r="T4793">
        <v>3.9739399999999998</v>
      </c>
    </row>
    <row r="4794" spans="2:20" x14ac:dyDescent="0.25">
      <c r="B4794" t="s">
        <v>133</v>
      </c>
      <c r="C4794" t="s">
        <v>3265</v>
      </c>
      <c r="D4794" t="s">
        <v>6395</v>
      </c>
      <c r="E4794" t="s">
        <v>6396</v>
      </c>
      <c r="F4794" t="s">
        <v>10301</v>
      </c>
      <c r="G4794" t="s">
        <v>6239</v>
      </c>
      <c r="H4794" t="s">
        <v>6398</v>
      </c>
      <c r="I4794" t="s">
        <v>6241</v>
      </c>
      <c r="K4794">
        <v>110921.76169542329</v>
      </c>
      <c r="L4794">
        <v>147558.34254413663</v>
      </c>
      <c r="M4794">
        <v>171471.13817440809</v>
      </c>
      <c r="N4794">
        <v>193576.16644938526</v>
      </c>
      <c r="O4794">
        <v>217090.61516145169</v>
      </c>
      <c r="P4794">
        <v>243148.53618437715</v>
      </c>
      <c r="Q4794">
        <v>274855.97352686082</v>
      </c>
      <c r="R4794">
        <v>312902.86548026651</v>
      </c>
      <c r="S4794">
        <v>375188.21956852602</v>
      </c>
      <c r="T4794">
        <v>561491.14706732146</v>
      </c>
    </row>
    <row r="4795" spans="2:20" x14ac:dyDescent="0.25">
      <c r="B4795" t="s">
        <v>133</v>
      </c>
      <c r="C4795" t="s">
        <v>3265</v>
      </c>
      <c r="D4795" t="s">
        <v>6399</v>
      </c>
      <c r="E4795" t="s">
        <v>6400</v>
      </c>
      <c r="F4795" t="s">
        <v>10302</v>
      </c>
      <c r="G4795" t="s">
        <v>6239</v>
      </c>
      <c r="H4795" t="s">
        <v>6402</v>
      </c>
      <c r="I4795" t="s">
        <v>6241</v>
      </c>
      <c r="K4795">
        <v>1335118641794.3679</v>
      </c>
      <c r="L4795">
        <v>1775286447017.8562</v>
      </c>
      <c r="M4795">
        <v>2062341370769.1978</v>
      </c>
      <c r="N4795">
        <v>2328484905869.4844</v>
      </c>
      <c r="O4795">
        <v>2612488571071.4927</v>
      </c>
      <c r="P4795">
        <v>2924870361918.9204</v>
      </c>
      <c r="Q4795">
        <v>3305574902239.144</v>
      </c>
      <c r="R4795">
        <v>3763703560316.0693</v>
      </c>
      <c r="S4795">
        <v>4513235378976.8711</v>
      </c>
      <c r="T4795">
        <v>6753092641682.1807</v>
      </c>
    </row>
    <row r="4796" spans="2:20" x14ac:dyDescent="0.25">
      <c r="B4796" t="s">
        <v>133</v>
      </c>
      <c r="C4796" t="s">
        <v>3265</v>
      </c>
      <c r="D4796" t="s">
        <v>6403</v>
      </c>
      <c r="E4796" t="s">
        <v>6404</v>
      </c>
      <c r="F4796" t="s">
        <v>10303</v>
      </c>
      <c r="G4796" t="s">
        <v>6239</v>
      </c>
      <c r="H4796" t="s">
        <v>6406</v>
      </c>
      <c r="I4796" t="s">
        <v>6241</v>
      </c>
      <c r="K4796">
        <v>12036579.850403292</v>
      </c>
      <c r="L4796">
        <v>12031081.512635212</v>
      </c>
      <c r="M4796">
        <v>12027338.202371601</v>
      </c>
      <c r="N4796">
        <v>12028778.896591684</v>
      </c>
      <c r="O4796">
        <v>12034092.625922903</v>
      </c>
      <c r="P4796">
        <v>12029150.608174009</v>
      </c>
      <c r="Q4796">
        <v>12026571.079475192</v>
      </c>
      <c r="R4796">
        <v>12028344.817294205</v>
      </c>
      <c r="S4796">
        <v>12029256.633289773</v>
      </c>
      <c r="T4796">
        <v>12027068.77384213</v>
      </c>
    </row>
    <row r="4797" spans="2:20" x14ac:dyDescent="0.25">
      <c r="B4797" t="s">
        <v>133</v>
      </c>
      <c r="C4797" t="s">
        <v>3265</v>
      </c>
      <c r="D4797" t="s">
        <v>6407</v>
      </c>
      <c r="E4797" t="s">
        <v>6408</v>
      </c>
      <c r="F4797" t="s">
        <v>10304</v>
      </c>
      <c r="G4797" t="s">
        <v>6239</v>
      </c>
      <c r="H4797" t="s">
        <v>6410</v>
      </c>
      <c r="I4797" t="s">
        <v>6241</v>
      </c>
      <c r="K4797">
        <v>2.2906853075034963</v>
      </c>
      <c r="L4797">
        <v>2.8123685544679979</v>
      </c>
      <c r="M4797">
        <v>3.219715412442107</v>
      </c>
      <c r="N4797">
        <v>3.4365017616584628</v>
      </c>
      <c r="O4797">
        <v>3.844664647286633</v>
      </c>
      <c r="P4797">
        <v>4.2770470404541898</v>
      </c>
      <c r="Q4797">
        <v>4.8781242294145137</v>
      </c>
      <c r="R4797">
        <v>5.6701285883937276</v>
      </c>
      <c r="S4797">
        <v>6.9657865275532291</v>
      </c>
      <c r="T4797">
        <v>10.795891893537428</v>
      </c>
    </row>
    <row r="4798" spans="2:20" x14ac:dyDescent="0.25">
      <c r="B4798" t="s">
        <v>133</v>
      </c>
      <c r="C4798" t="s">
        <v>3265</v>
      </c>
      <c r="D4798" t="s">
        <v>6411</v>
      </c>
      <c r="E4798" t="s">
        <v>6412</v>
      </c>
      <c r="F4798" t="s">
        <v>10305</v>
      </c>
      <c r="G4798" t="s">
        <v>6239</v>
      </c>
      <c r="H4798" t="s">
        <v>6410</v>
      </c>
      <c r="I4798" t="s">
        <v>6241</v>
      </c>
      <c r="K4798">
        <v>2.1711878334667163</v>
      </c>
      <c r="L4798">
        <v>2.6937757360605814</v>
      </c>
      <c r="M4798">
        <v>3.1300115292304325</v>
      </c>
      <c r="N4798">
        <v>3.5766434958800915</v>
      </c>
      <c r="O4798">
        <v>4.0331259190208772</v>
      </c>
      <c r="P4798">
        <v>4.6585393952451062</v>
      </c>
      <c r="Q4798">
        <v>5.375346002017892</v>
      </c>
      <c r="R4798">
        <v>6.053046435602889</v>
      </c>
      <c r="S4798">
        <v>7.8113891612638593</v>
      </c>
      <c r="T4798">
        <v>12.223801803627298</v>
      </c>
    </row>
    <row r="4799" spans="2:20" x14ac:dyDescent="0.25">
      <c r="B4799" t="s">
        <v>133</v>
      </c>
      <c r="C4799" t="s">
        <v>3265</v>
      </c>
      <c r="D4799" t="s">
        <v>6414</v>
      </c>
      <c r="E4799" t="s">
        <v>6415</v>
      </c>
      <c r="F4799" t="s">
        <v>10306</v>
      </c>
      <c r="G4799" t="s">
        <v>6239</v>
      </c>
      <c r="H4799" t="s">
        <v>6410</v>
      </c>
      <c r="I4799" t="s">
        <v>6241</v>
      </c>
      <c r="K4799">
        <v>4.4258317082366077</v>
      </c>
      <c r="L4799">
        <v>5.4351711870665467</v>
      </c>
      <c r="M4799">
        <v>6.2238708700719672</v>
      </c>
      <c r="N4799">
        <v>6.9335961883172965</v>
      </c>
      <c r="O4799">
        <v>7.7916850423718875</v>
      </c>
      <c r="P4799">
        <v>8.8131779286125731</v>
      </c>
      <c r="Q4799">
        <v>10.227788363460949</v>
      </c>
      <c r="R4799">
        <v>12.04260914120642</v>
      </c>
      <c r="S4799">
        <v>14.629069885102044</v>
      </c>
      <c r="T4799">
        <v>23.47719968555371</v>
      </c>
    </row>
    <row r="4800" spans="2:20" x14ac:dyDescent="0.25">
      <c r="B4800" t="s">
        <v>133</v>
      </c>
      <c r="C4800" t="s">
        <v>3265</v>
      </c>
      <c r="D4800" t="s">
        <v>6417</v>
      </c>
      <c r="E4800" t="s">
        <v>6418</v>
      </c>
      <c r="F4800" t="s">
        <v>10307</v>
      </c>
      <c r="G4800" t="s">
        <v>6239</v>
      </c>
      <c r="H4800" t="s">
        <v>6420</v>
      </c>
      <c r="K4800">
        <v>-1.761001716301366E-2</v>
      </c>
    </row>
    <row r="4801" spans="2:11" x14ac:dyDescent="0.25">
      <c r="B4801" t="s">
        <v>133</v>
      </c>
      <c r="C4801" t="s">
        <v>3265</v>
      </c>
      <c r="D4801" t="s">
        <v>6421</v>
      </c>
      <c r="E4801" t="s">
        <v>6422</v>
      </c>
      <c r="F4801" t="s">
        <v>10308</v>
      </c>
      <c r="G4801" t="s">
        <v>6239</v>
      </c>
      <c r="H4801" t="s">
        <v>6420</v>
      </c>
      <c r="K4801">
        <v>-1.9913616723628211E-2</v>
      </c>
    </row>
    <row r="4802" spans="2:11" x14ac:dyDescent="0.25">
      <c r="B4802" t="s">
        <v>133</v>
      </c>
      <c r="C4802" t="s">
        <v>3265</v>
      </c>
      <c r="D4802" t="s">
        <v>6424</v>
      </c>
      <c r="E4802" t="s">
        <v>6425</v>
      </c>
      <c r="F4802" t="s">
        <v>10309</v>
      </c>
      <c r="G4802" t="s">
        <v>6239</v>
      </c>
      <c r="H4802" t="s">
        <v>6420</v>
      </c>
      <c r="K4802">
        <v>-1.7896035312948769E-2</v>
      </c>
    </row>
    <row r="4803" spans="2:11" x14ac:dyDescent="0.25">
      <c r="B4803" t="s">
        <v>133</v>
      </c>
      <c r="C4803" t="s">
        <v>3265</v>
      </c>
      <c r="D4803" t="s">
        <v>6427</v>
      </c>
      <c r="E4803" t="s">
        <v>6428</v>
      </c>
      <c r="F4803" t="s">
        <v>10310</v>
      </c>
      <c r="G4803" t="s">
        <v>6239</v>
      </c>
      <c r="H4803" t="s">
        <v>6430</v>
      </c>
      <c r="K4803">
        <v>-0.4631654853402164</v>
      </c>
    </row>
    <row r="4804" spans="2:11" x14ac:dyDescent="0.25">
      <c r="B4804" t="s">
        <v>133</v>
      </c>
      <c r="C4804" t="s">
        <v>3265</v>
      </c>
      <c r="D4804" t="s">
        <v>6431</v>
      </c>
      <c r="E4804" t="s">
        <v>6432</v>
      </c>
      <c r="F4804" t="s">
        <v>10311</v>
      </c>
      <c r="G4804" t="s">
        <v>6239</v>
      </c>
      <c r="H4804" t="s">
        <v>6430</v>
      </c>
      <c r="K4804">
        <v>-0.32843625465638382</v>
      </c>
    </row>
    <row r="4805" spans="2:11" x14ac:dyDescent="0.25">
      <c r="B4805" t="s">
        <v>133</v>
      </c>
      <c r="C4805" t="s">
        <v>3265</v>
      </c>
      <c r="D4805" t="s">
        <v>6434</v>
      </c>
      <c r="E4805" t="s">
        <v>6435</v>
      </c>
      <c r="F4805" t="s">
        <v>10312</v>
      </c>
      <c r="G4805" t="s">
        <v>6239</v>
      </c>
      <c r="H4805" t="s">
        <v>6430</v>
      </c>
      <c r="K4805">
        <v>-0.58156004609552658</v>
      </c>
    </row>
    <row r="4806" spans="2:11" x14ac:dyDescent="0.25">
      <c r="B4806" t="s">
        <v>133</v>
      </c>
      <c r="C4806" t="s">
        <v>3265</v>
      </c>
      <c r="D4806" t="s">
        <v>6437</v>
      </c>
      <c r="E4806" t="s">
        <v>6438</v>
      </c>
      <c r="F4806" t="s">
        <v>10313</v>
      </c>
      <c r="G4806" t="s">
        <v>6239</v>
      </c>
      <c r="H4806" t="s">
        <v>6440</v>
      </c>
      <c r="K4806">
        <v>0</v>
      </c>
    </row>
    <row r="4807" spans="2:11" x14ac:dyDescent="0.25">
      <c r="B4807" t="s">
        <v>133</v>
      </c>
      <c r="C4807" t="s">
        <v>3265</v>
      </c>
      <c r="D4807" t="s">
        <v>6441</v>
      </c>
      <c r="E4807" t="s">
        <v>6442</v>
      </c>
      <c r="F4807" t="s">
        <v>10314</v>
      </c>
      <c r="G4807" t="s">
        <v>6239</v>
      </c>
      <c r="H4807" t="s">
        <v>6440</v>
      </c>
      <c r="K4807">
        <v>5.3271269298230211</v>
      </c>
    </row>
    <row r="4808" spans="2:11" x14ac:dyDescent="0.25">
      <c r="B4808" t="s">
        <v>133</v>
      </c>
      <c r="C4808" t="s">
        <v>3265</v>
      </c>
      <c r="D4808" t="s">
        <v>6444</v>
      </c>
      <c r="E4808" t="s">
        <v>6445</v>
      </c>
      <c r="F4808" t="s">
        <v>10315</v>
      </c>
      <c r="G4808" t="s">
        <v>6239</v>
      </c>
      <c r="H4808" t="s">
        <v>6440</v>
      </c>
      <c r="K4808">
        <v>0</v>
      </c>
    </row>
    <row r="4809" spans="2:11" x14ac:dyDescent="0.25">
      <c r="B4809" t="s">
        <v>133</v>
      </c>
      <c r="C4809" t="s">
        <v>3265</v>
      </c>
      <c r="D4809" t="s">
        <v>6447</v>
      </c>
      <c r="E4809" t="s">
        <v>6448</v>
      </c>
      <c r="F4809" t="s">
        <v>10316</v>
      </c>
      <c r="G4809" t="s">
        <v>6239</v>
      </c>
      <c r="H4809" t="s">
        <v>6440</v>
      </c>
      <c r="K4809">
        <v>0</v>
      </c>
    </row>
    <row r="4810" spans="2:11" x14ac:dyDescent="0.25">
      <c r="B4810" t="s">
        <v>133</v>
      </c>
      <c r="C4810" t="s">
        <v>3265</v>
      </c>
      <c r="D4810" t="s">
        <v>6450</v>
      </c>
      <c r="E4810" t="s">
        <v>6451</v>
      </c>
      <c r="F4810" t="s">
        <v>10317</v>
      </c>
      <c r="G4810" t="s">
        <v>6239</v>
      </c>
      <c r="H4810" t="s">
        <v>6440</v>
      </c>
      <c r="K4810">
        <v>0</v>
      </c>
    </row>
    <row r="4811" spans="2:11" x14ac:dyDescent="0.25">
      <c r="B4811" t="s">
        <v>133</v>
      </c>
      <c r="C4811" t="s">
        <v>3265</v>
      </c>
      <c r="D4811" t="s">
        <v>6453</v>
      </c>
      <c r="E4811" t="s">
        <v>6454</v>
      </c>
      <c r="F4811" t="s">
        <v>10318</v>
      </c>
      <c r="G4811" t="s">
        <v>6239</v>
      </c>
      <c r="H4811" t="s">
        <v>6440</v>
      </c>
      <c r="K4811">
        <v>0</v>
      </c>
    </row>
    <row r="4812" spans="2:11" x14ac:dyDescent="0.25">
      <c r="B4812" t="s">
        <v>133</v>
      </c>
      <c r="C4812" t="s">
        <v>3265</v>
      </c>
      <c r="D4812" t="s">
        <v>6456</v>
      </c>
      <c r="E4812" t="s">
        <v>6457</v>
      </c>
      <c r="F4812" t="s">
        <v>10319</v>
      </c>
      <c r="G4812" t="s">
        <v>6239</v>
      </c>
      <c r="H4812" t="s">
        <v>6440</v>
      </c>
      <c r="K4812">
        <v>0</v>
      </c>
    </row>
    <row r="4813" spans="2:11" x14ac:dyDescent="0.25">
      <c r="B4813" t="s">
        <v>133</v>
      </c>
      <c r="C4813" t="s">
        <v>3265</v>
      </c>
      <c r="D4813" t="s">
        <v>6459</v>
      </c>
      <c r="E4813" t="s">
        <v>6460</v>
      </c>
      <c r="F4813" t="s">
        <v>10320</v>
      </c>
      <c r="G4813" t="s">
        <v>6239</v>
      </c>
      <c r="H4813" t="s">
        <v>6440</v>
      </c>
      <c r="K4813">
        <v>0</v>
      </c>
    </row>
    <row r="4814" spans="2:11" x14ac:dyDescent="0.25">
      <c r="B4814" t="s">
        <v>133</v>
      </c>
      <c r="C4814" t="s">
        <v>3265</v>
      </c>
      <c r="D4814" t="s">
        <v>6462</v>
      </c>
      <c r="E4814" t="s">
        <v>6463</v>
      </c>
      <c r="F4814" t="s">
        <v>10321</v>
      </c>
      <c r="G4814" t="s">
        <v>6239</v>
      </c>
      <c r="H4814" t="s">
        <v>6440</v>
      </c>
      <c r="K4814">
        <v>6.6026235313923307E-2</v>
      </c>
    </row>
    <row r="4815" spans="2:11" x14ac:dyDescent="0.25">
      <c r="B4815" t="s">
        <v>133</v>
      </c>
      <c r="C4815" t="s">
        <v>3265</v>
      </c>
      <c r="D4815" t="s">
        <v>6465</v>
      </c>
      <c r="E4815" t="s">
        <v>6466</v>
      </c>
      <c r="F4815" t="s">
        <v>10322</v>
      </c>
      <c r="G4815" t="s">
        <v>6239</v>
      </c>
      <c r="H4815" t="s">
        <v>6440</v>
      </c>
      <c r="K4815">
        <v>0.16370749333346662</v>
      </c>
    </row>
    <row r="4816" spans="2:11" x14ac:dyDescent="0.25">
      <c r="B4816" t="s">
        <v>133</v>
      </c>
      <c r="C4816" t="s">
        <v>3265</v>
      </c>
      <c r="D4816" t="s">
        <v>6468</v>
      </c>
      <c r="E4816" t="s">
        <v>6469</v>
      </c>
      <c r="F4816" t="s">
        <v>10323</v>
      </c>
      <c r="G4816" t="s">
        <v>6239</v>
      </c>
      <c r="H4816" t="s">
        <v>6440</v>
      </c>
      <c r="K4816">
        <v>2.4076825811119022E-2</v>
      </c>
    </row>
    <row r="4817" spans="2:20" x14ac:dyDescent="0.25">
      <c r="B4817" t="s">
        <v>133</v>
      </c>
      <c r="C4817" t="s">
        <v>3265</v>
      </c>
      <c r="D4817" t="s">
        <v>6471</v>
      </c>
      <c r="E4817" t="s">
        <v>6472</v>
      </c>
      <c r="F4817" t="s">
        <v>10324</v>
      </c>
      <c r="G4817" t="s">
        <v>6239</v>
      </c>
      <c r="H4817" t="s">
        <v>6440</v>
      </c>
      <c r="K4817">
        <v>9.158959670080449E-3</v>
      </c>
    </row>
    <row r="4818" spans="2:20" x14ac:dyDescent="0.25">
      <c r="B4818" t="s">
        <v>133</v>
      </c>
      <c r="C4818" t="s">
        <v>3265</v>
      </c>
      <c r="D4818" t="s">
        <v>6474</v>
      </c>
      <c r="E4818" t="s">
        <v>6475</v>
      </c>
      <c r="F4818" t="s">
        <v>10325</v>
      </c>
      <c r="G4818" t="s">
        <v>6239</v>
      </c>
      <c r="H4818" t="s">
        <v>6440</v>
      </c>
      <c r="K4818">
        <v>2.5979911884728441E-2</v>
      </c>
    </row>
    <row r="4819" spans="2:20" x14ac:dyDescent="0.25">
      <c r="B4819" t="s">
        <v>133</v>
      </c>
      <c r="C4819" t="s">
        <v>3265</v>
      </c>
      <c r="D4819" t="s">
        <v>6477</v>
      </c>
      <c r="E4819" t="s">
        <v>6478</v>
      </c>
      <c r="F4819" t="s">
        <v>10326</v>
      </c>
      <c r="G4819" t="s">
        <v>6239</v>
      </c>
      <c r="H4819" t="s">
        <v>6440</v>
      </c>
      <c r="K4819">
        <v>2.0036755473042251E-2</v>
      </c>
    </row>
    <row r="4820" spans="2:20" x14ac:dyDescent="0.25">
      <c r="B4820" t="s">
        <v>133</v>
      </c>
      <c r="C4820" t="s">
        <v>3265</v>
      </c>
      <c r="D4820" t="s">
        <v>6480</v>
      </c>
      <c r="E4820" t="s">
        <v>6481</v>
      </c>
      <c r="F4820" t="s">
        <v>10327</v>
      </c>
      <c r="G4820" t="s">
        <v>6239</v>
      </c>
      <c r="H4820" t="s">
        <v>6440</v>
      </c>
      <c r="K4820">
        <v>3.0915885686017226E-2</v>
      </c>
    </row>
    <row r="4821" spans="2:20" x14ac:dyDescent="0.25">
      <c r="B4821" t="s">
        <v>133</v>
      </c>
      <c r="C4821" t="s">
        <v>3265</v>
      </c>
      <c r="D4821" t="s">
        <v>6483</v>
      </c>
      <c r="E4821" t="s">
        <v>6484</v>
      </c>
      <c r="F4821" t="s">
        <v>10328</v>
      </c>
      <c r="G4821" t="s">
        <v>6239</v>
      </c>
      <c r="H4821" t="s">
        <v>6440</v>
      </c>
      <c r="K4821">
        <v>2.1661367849970994E-2</v>
      </c>
    </row>
    <row r="4822" spans="2:20" x14ac:dyDescent="0.25">
      <c r="B4822" t="s">
        <v>133</v>
      </c>
      <c r="C4822" t="s">
        <v>3265</v>
      </c>
      <c r="D4822" t="s">
        <v>6486</v>
      </c>
      <c r="E4822" t="s">
        <v>6487</v>
      </c>
      <c r="F4822" t="s">
        <v>10329</v>
      </c>
      <c r="G4822" t="s">
        <v>6239</v>
      </c>
      <c r="H4822" t="s">
        <v>6440</v>
      </c>
      <c r="K4822">
        <v>1.0281666025081047E-2</v>
      </c>
    </row>
    <row r="4823" spans="2:20" x14ac:dyDescent="0.25">
      <c r="B4823" t="s">
        <v>133</v>
      </c>
      <c r="C4823" t="s">
        <v>3265</v>
      </c>
      <c r="D4823" t="s">
        <v>6489</v>
      </c>
      <c r="E4823" t="s">
        <v>6490</v>
      </c>
      <c r="F4823" t="s">
        <v>10330</v>
      </c>
      <c r="G4823" t="s">
        <v>6239</v>
      </c>
      <c r="H4823" t="s">
        <v>6440</v>
      </c>
      <c r="K4823">
        <v>4.3590907092421111E-2</v>
      </c>
    </row>
    <row r="4824" spans="2:20" x14ac:dyDescent="0.25">
      <c r="B4824" t="s">
        <v>133</v>
      </c>
      <c r="C4824" t="s">
        <v>3265</v>
      </c>
      <c r="D4824" t="s">
        <v>6492</v>
      </c>
      <c r="E4824" t="s">
        <v>6493</v>
      </c>
      <c r="F4824" t="s">
        <v>10331</v>
      </c>
      <c r="G4824" t="s">
        <v>6239</v>
      </c>
      <c r="H4824" t="s">
        <v>6440</v>
      </c>
      <c r="K4824">
        <v>9.5354453151571303E-2</v>
      </c>
    </row>
    <row r="4825" spans="2:20" x14ac:dyDescent="0.25">
      <c r="B4825" t="s">
        <v>133</v>
      </c>
      <c r="C4825" t="s">
        <v>3265</v>
      </c>
      <c r="D4825" t="s">
        <v>6495</v>
      </c>
      <c r="E4825" t="s">
        <v>6496</v>
      </c>
      <c r="F4825" t="s">
        <v>10332</v>
      </c>
      <c r="G4825" t="s">
        <v>6239</v>
      </c>
      <c r="H4825" t="s">
        <v>6440</v>
      </c>
      <c r="K4825">
        <v>2.3953138339723304E-2</v>
      </c>
    </row>
    <row r="4826" spans="2:20" x14ac:dyDescent="0.25">
      <c r="B4826" t="s">
        <v>133</v>
      </c>
      <c r="C4826" t="s">
        <v>3265</v>
      </c>
      <c r="D4826" t="s">
        <v>6498</v>
      </c>
      <c r="E4826" t="s">
        <v>6499</v>
      </c>
      <c r="F4826" t="s">
        <v>10333</v>
      </c>
      <c r="G4826" t="s">
        <v>6239</v>
      </c>
      <c r="H4826" t="s">
        <v>6440</v>
      </c>
      <c r="K4826">
        <v>2.3691285642697603E-2</v>
      </c>
    </row>
    <row r="4827" spans="2:20" x14ac:dyDescent="0.25">
      <c r="B4827" t="s">
        <v>133</v>
      </c>
      <c r="C4827" t="s">
        <v>3265</v>
      </c>
      <c r="D4827" t="s">
        <v>6501</v>
      </c>
      <c r="E4827" t="s">
        <v>6502</v>
      </c>
      <c r="F4827" t="s">
        <v>10334</v>
      </c>
      <c r="G4827" t="s">
        <v>6239</v>
      </c>
      <c r="H4827" t="s">
        <v>6440</v>
      </c>
      <c r="K4827">
        <v>4.0438399643629025E-2</v>
      </c>
    </row>
    <row r="4828" spans="2:20" x14ac:dyDescent="0.25">
      <c r="B4828" t="s">
        <v>133</v>
      </c>
      <c r="C4828" t="s">
        <v>3265</v>
      </c>
      <c r="D4828" t="s">
        <v>6504</v>
      </c>
      <c r="E4828" t="s">
        <v>6505</v>
      </c>
      <c r="F4828" t="s">
        <v>10335</v>
      </c>
      <c r="G4828" t="s">
        <v>6239</v>
      </c>
      <c r="H4828" t="s">
        <v>6507</v>
      </c>
      <c r="I4828" t="s">
        <v>6241</v>
      </c>
      <c r="K4828">
        <v>0.17954999999999999</v>
      </c>
      <c r="L4828">
        <v>0.13497000000000001</v>
      </c>
      <c r="M4828">
        <v>0.11615</v>
      </c>
      <c r="N4828">
        <v>0.10288</v>
      </c>
      <c r="O4828">
        <v>9.1740000000000002E-2</v>
      </c>
      <c r="P4828">
        <v>8.1909999999999997E-2</v>
      </c>
      <c r="Q4828">
        <v>7.2459999999999997E-2</v>
      </c>
      <c r="R4828">
        <v>6.3649999999999998E-2</v>
      </c>
      <c r="S4828">
        <v>5.3080000000000002E-2</v>
      </c>
      <c r="T4828">
        <v>3.5470000000000002E-2</v>
      </c>
    </row>
    <row r="4829" spans="2:20" x14ac:dyDescent="0.25">
      <c r="B4829" t="s">
        <v>133</v>
      </c>
      <c r="C4829" t="s">
        <v>3265</v>
      </c>
      <c r="D4829" t="s">
        <v>6508</v>
      </c>
      <c r="E4829" t="s">
        <v>6509</v>
      </c>
      <c r="F4829" t="s">
        <v>10336</v>
      </c>
      <c r="G4829" t="s">
        <v>6239</v>
      </c>
      <c r="H4829" t="s">
        <v>6511</v>
      </c>
      <c r="I4829" t="s">
        <v>6241</v>
      </c>
      <c r="K4829">
        <v>0.50041999999999998</v>
      </c>
      <c r="L4829">
        <v>0.30424000000000001</v>
      </c>
      <c r="M4829">
        <v>0.21831999999999999</v>
      </c>
      <c r="N4829">
        <v>0.17302999999999999</v>
      </c>
      <c r="O4829">
        <v>0.13619999999999999</v>
      </c>
      <c r="P4829">
        <v>0.11211</v>
      </c>
      <c r="Q4829">
        <v>9.5280000000000004E-2</v>
      </c>
      <c r="R4829">
        <v>8.5650000000000004E-2</v>
      </c>
      <c r="S4829">
        <v>6.9080000000000003E-2</v>
      </c>
      <c r="T4829">
        <v>4.4260000000000001E-2</v>
      </c>
    </row>
    <row r="4830" spans="2:20" x14ac:dyDescent="0.25">
      <c r="B4830" t="s">
        <v>133</v>
      </c>
      <c r="C4830" t="s">
        <v>3265</v>
      </c>
      <c r="D4830" t="s">
        <v>6512</v>
      </c>
      <c r="E4830" t="s">
        <v>6513</v>
      </c>
      <c r="F4830" t="s">
        <v>10337</v>
      </c>
      <c r="G4830" t="s">
        <v>6239</v>
      </c>
      <c r="H4830" t="s">
        <v>6515</v>
      </c>
      <c r="I4830" t="s">
        <v>6241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 spans="2:20" x14ac:dyDescent="0.25">
      <c r="B4831" t="s">
        <v>133</v>
      </c>
      <c r="C4831" t="s">
        <v>3265</v>
      </c>
      <c r="D4831" t="s">
        <v>6516</v>
      </c>
      <c r="E4831" t="s">
        <v>6517</v>
      </c>
      <c r="F4831" t="s">
        <v>10338</v>
      </c>
      <c r="G4831" t="s">
        <v>6239</v>
      </c>
      <c r="H4831" t="s">
        <v>6519</v>
      </c>
      <c r="I4831" t="s">
        <v>6241</v>
      </c>
      <c r="K4831">
        <v>0.29924000000000001</v>
      </c>
      <c r="L4831">
        <v>0.22492000000000001</v>
      </c>
      <c r="M4831">
        <v>0.19361</v>
      </c>
      <c r="N4831">
        <v>0.17141000000000001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 spans="2:20" x14ac:dyDescent="0.25">
      <c r="B4832" t="s">
        <v>133</v>
      </c>
      <c r="C4832" t="s">
        <v>3265</v>
      </c>
      <c r="D4832" t="s">
        <v>6520</v>
      </c>
      <c r="E4832" t="s">
        <v>6521</v>
      </c>
      <c r="F4832" t="s">
        <v>10339</v>
      </c>
      <c r="G4832" t="s">
        <v>6239</v>
      </c>
      <c r="H4832" t="s">
        <v>6240</v>
      </c>
      <c r="I4832" t="s">
        <v>6241</v>
      </c>
      <c r="K4832">
        <v>-0.20205999999999999</v>
      </c>
      <c r="L4832">
        <v>-0.18661</v>
      </c>
      <c r="M4832">
        <v>-0.18395</v>
      </c>
      <c r="N4832">
        <v>-0.18149999999999999</v>
      </c>
      <c r="O4832">
        <v>-0.18179000000000001</v>
      </c>
      <c r="P4832">
        <v>-0.18365999999999999</v>
      </c>
      <c r="Q4832">
        <v>-0.18859000000000001</v>
      </c>
      <c r="R4832">
        <v>-0.19503000000000001</v>
      </c>
      <c r="S4832">
        <v>-0.19757</v>
      </c>
      <c r="T4832">
        <v>-0.21190000000000001</v>
      </c>
    </row>
    <row r="4833" spans="2:20" x14ac:dyDescent="0.25">
      <c r="B4833" t="s">
        <v>133</v>
      </c>
      <c r="C4833" t="s">
        <v>3265</v>
      </c>
      <c r="D4833" t="s">
        <v>6523</v>
      </c>
      <c r="E4833" t="s">
        <v>6524</v>
      </c>
      <c r="F4833" t="s">
        <v>10340</v>
      </c>
      <c r="K4833">
        <v>2030</v>
      </c>
    </row>
    <row r="4834" spans="2:20" x14ac:dyDescent="0.25">
      <c r="B4834" t="s">
        <v>133</v>
      </c>
      <c r="C4834" t="s">
        <v>3265</v>
      </c>
      <c r="D4834" t="s">
        <v>6526</v>
      </c>
      <c r="E4834" t="s">
        <v>6527</v>
      </c>
      <c r="F4834" t="s">
        <v>10341</v>
      </c>
      <c r="K4834" t="s">
        <v>660</v>
      </c>
    </row>
    <row r="4835" spans="2:20" x14ac:dyDescent="0.25">
      <c r="B4835" t="s">
        <v>133</v>
      </c>
      <c r="C4835" t="s">
        <v>3265</v>
      </c>
      <c r="D4835" t="s">
        <v>6529</v>
      </c>
      <c r="E4835" t="s">
        <v>6530</v>
      </c>
      <c r="F4835" t="s">
        <v>138</v>
      </c>
      <c r="G4835" t="s">
        <v>6239</v>
      </c>
      <c r="H4835" t="s">
        <v>6507</v>
      </c>
      <c r="I4835" t="s">
        <v>6241</v>
      </c>
      <c r="K4835">
        <v>0.17954938701045647</v>
      </c>
      <c r="L4835">
        <v>0.1349698971617011</v>
      </c>
      <c r="M4835">
        <v>0.11614744341567343</v>
      </c>
      <c r="N4835">
        <v>0.10288422735006814</v>
      </c>
      <c r="O4835">
        <v>9.1740190167693692E-2</v>
      </c>
      <c r="P4835">
        <v>8.1908510045197752E-2</v>
      </c>
      <c r="Q4835">
        <v>7.2459528759657332E-2</v>
      </c>
      <c r="R4835">
        <v>6.3648935550541311E-2</v>
      </c>
      <c r="S4835">
        <v>5.3082515067868888E-2</v>
      </c>
      <c r="T4835">
        <v>3.5469720978780289E-2</v>
      </c>
    </row>
    <row r="4836" spans="2:20" x14ac:dyDescent="0.25">
      <c r="B4836" t="s">
        <v>133</v>
      </c>
      <c r="C4836" t="s">
        <v>3265</v>
      </c>
      <c r="D4836" t="s">
        <v>6531</v>
      </c>
      <c r="E4836" t="s">
        <v>6532</v>
      </c>
      <c r="F4836" t="s">
        <v>138</v>
      </c>
      <c r="G4836" t="s">
        <v>6239</v>
      </c>
      <c r="H4836" t="s">
        <v>6511</v>
      </c>
      <c r="I4836" t="s">
        <v>6241</v>
      </c>
      <c r="K4836">
        <v>0.50042484620300598</v>
      </c>
      <c r="L4836">
        <v>0.30424462502669636</v>
      </c>
      <c r="M4836">
        <v>0.21831989333499871</v>
      </c>
      <c r="N4836">
        <v>0.17303409352509735</v>
      </c>
      <c r="O4836">
        <v>0.13619613512302209</v>
      </c>
      <c r="P4836">
        <v>0.11210738209080523</v>
      </c>
      <c r="Q4836">
        <v>9.5284870401586425E-2</v>
      </c>
      <c r="R4836">
        <v>8.5646194561522934E-2</v>
      </c>
      <c r="S4836">
        <v>6.908390386261698E-2</v>
      </c>
      <c r="T4836">
        <v>4.4255480919279097E-2</v>
      </c>
    </row>
    <row r="4837" spans="2:20" x14ac:dyDescent="0.25">
      <c r="B4837" t="s">
        <v>133</v>
      </c>
      <c r="C4837" t="s">
        <v>3265</v>
      </c>
      <c r="D4837" t="s">
        <v>6533</v>
      </c>
      <c r="E4837" t="s">
        <v>6534</v>
      </c>
      <c r="F4837" t="s">
        <v>138</v>
      </c>
      <c r="G4837" t="s">
        <v>6239</v>
      </c>
      <c r="H4837" t="s">
        <v>6515</v>
      </c>
      <c r="I4837" t="s">
        <v>6241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 spans="2:20" x14ac:dyDescent="0.25">
      <c r="B4838" t="s">
        <v>133</v>
      </c>
      <c r="C4838" t="s">
        <v>3265</v>
      </c>
      <c r="D4838" t="s">
        <v>6535</v>
      </c>
      <c r="E4838" t="s">
        <v>6536</v>
      </c>
      <c r="F4838" t="s">
        <v>138</v>
      </c>
      <c r="G4838" t="s">
        <v>6239</v>
      </c>
      <c r="H4838" t="s">
        <v>6519</v>
      </c>
      <c r="I4838" t="s">
        <v>6241</v>
      </c>
      <c r="K4838">
        <v>0.29924131136303955</v>
      </c>
      <c r="L4838">
        <v>0.22492059661671984</v>
      </c>
      <c r="M4838">
        <v>0.19361415742724758</v>
      </c>
      <c r="N4838">
        <v>0.17140555295630436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 spans="2:20" x14ac:dyDescent="0.25">
      <c r="B4839" t="s">
        <v>133</v>
      </c>
      <c r="C4839" t="s">
        <v>3265</v>
      </c>
      <c r="D4839" t="s">
        <v>6537</v>
      </c>
      <c r="E4839" t="s">
        <v>6538</v>
      </c>
      <c r="F4839" t="s">
        <v>138</v>
      </c>
      <c r="G4839" t="s">
        <v>6239</v>
      </c>
      <c r="H4839" t="s">
        <v>6539</v>
      </c>
      <c r="I4839" t="s">
        <v>6241</v>
      </c>
      <c r="K4839">
        <v>0.97921554457650195</v>
      </c>
      <c r="L4839">
        <v>0.66413511880511733</v>
      </c>
      <c r="M4839">
        <v>0.52808149417791972</v>
      </c>
      <c r="N4839">
        <v>0.44732387383146988</v>
      </c>
      <c r="O4839">
        <v>0.22793632529071578</v>
      </c>
      <c r="P4839">
        <v>0.19401589213600298</v>
      </c>
      <c r="Q4839">
        <v>0.16774439916124376</v>
      </c>
      <c r="R4839">
        <v>0.14929513011206424</v>
      </c>
      <c r="S4839">
        <v>0.12216641893048587</v>
      </c>
      <c r="T4839">
        <v>7.9725201898059386E-2</v>
      </c>
    </row>
    <row r="4840" spans="2:20" x14ac:dyDescent="0.25">
      <c r="B4840" t="s">
        <v>133</v>
      </c>
      <c r="C4840" t="s">
        <v>3265</v>
      </c>
      <c r="D4840" t="s">
        <v>6540</v>
      </c>
      <c r="E4840" t="s">
        <v>6541</v>
      </c>
      <c r="F4840" t="s">
        <v>138</v>
      </c>
      <c r="G4840" t="s">
        <v>6239</v>
      </c>
      <c r="H4840" t="s">
        <v>6507</v>
      </c>
      <c r="I4840" t="s">
        <v>6241</v>
      </c>
      <c r="K4840">
        <v>0.18985445150391225</v>
      </c>
      <c r="L4840">
        <v>0.14395389314707557</v>
      </c>
      <c r="M4840">
        <v>0.12480481709742965</v>
      </c>
      <c r="N4840">
        <v>0.11131920037012409</v>
      </c>
      <c r="O4840">
        <v>0.10024596714355055</v>
      </c>
      <c r="P4840">
        <v>9.0259796432676634E-2</v>
      </c>
      <c r="Q4840">
        <v>8.0750032676059111E-2</v>
      </c>
      <c r="R4840">
        <v>7.1184048394009838E-2</v>
      </c>
      <c r="S4840">
        <v>6.0790652945846194E-2</v>
      </c>
      <c r="T4840">
        <v>4.2280674151525678E-2</v>
      </c>
    </row>
    <row r="4841" spans="2:20" x14ac:dyDescent="0.25">
      <c r="B4841" t="s">
        <v>133</v>
      </c>
      <c r="C4841" t="s">
        <v>3265</v>
      </c>
      <c r="D4841" t="s">
        <v>6542</v>
      </c>
      <c r="E4841" t="s">
        <v>6543</v>
      </c>
      <c r="F4841" t="s">
        <v>138</v>
      </c>
      <c r="G4841" t="s">
        <v>6239</v>
      </c>
      <c r="H4841" t="s">
        <v>6511</v>
      </c>
      <c r="I4841" t="s">
        <v>6241</v>
      </c>
      <c r="K4841">
        <v>0.64291372595489849</v>
      </c>
      <c r="L4841">
        <v>0.40702459801408436</v>
      </c>
      <c r="M4841">
        <v>0.31379238165118595</v>
      </c>
      <c r="N4841">
        <v>0.25066486133741783</v>
      </c>
      <c r="O4841">
        <v>0.20835514624926313</v>
      </c>
      <c r="P4841">
        <v>0.17618694704516411</v>
      </c>
      <c r="Q4841">
        <v>0.14704438546628321</v>
      </c>
      <c r="R4841">
        <v>0.13499173446118515</v>
      </c>
      <c r="S4841">
        <v>0.11853540438853262</v>
      </c>
      <c r="T4841">
        <v>8.6116834475957346E-2</v>
      </c>
    </row>
    <row r="4842" spans="2:20" x14ac:dyDescent="0.25">
      <c r="B4842" t="s">
        <v>133</v>
      </c>
      <c r="C4842" t="s">
        <v>3265</v>
      </c>
      <c r="D4842" t="s">
        <v>6544</v>
      </c>
      <c r="E4842" t="s">
        <v>6545</v>
      </c>
      <c r="F4842" t="s">
        <v>138</v>
      </c>
      <c r="G4842" t="s">
        <v>6239</v>
      </c>
      <c r="H4842" t="s">
        <v>6515</v>
      </c>
      <c r="I4842" t="s">
        <v>6241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 spans="2:20" x14ac:dyDescent="0.25">
      <c r="B4843" t="s">
        <v>133</v>
      </c>
      <c r="C4843" t="s">
        <v>3265</v>
      </c>
      <c r="D4843" t="s">
        <v>6546</v>
      </c>
      <c r="E4843" t="s">
        <v>6547</v>
      </c>
      <c r="F4843" t="s">
        <v>138</v>
      </c>
      <c r="G4843" t="s">
        <v>6239</v>
      </c>
      <c r="H4843" t="s">
        <v>6519</v>
      </c>
      <c r="I4843" t="s">
        <v>6241</v>
      </c>
      <c r="K4843">
        <v>0.31641597881274136</v>
      </c>
      <c r="L4843">
        <v>0.23989197749146232</v>
      </c>
      <c r="M4843">
        <v>0.20804572872690363</v>
      </c>
      <c r="N4843">
        <v>0.18545825327697452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 spans="2:20" x14ac:dyDescent="0.25">
      <c r="B4844" t="s">
        <v>133</v>
      </c>
      <c r="C4844" t="s">
        <v>3265</v>
      </c>
      <c r="D4844" t="s">
        <v>6548</v>
      </c>
      <c r="E4844" t="s">
        <v>6549</v>
      </c>
      <c r="F4844" t="s">
        <v>138</v>
      </c>
      <c r="G4844" t="s">
        <v>6239</v>
      </c>
      <c r="H4844" t="s">
        <v>6539</v>
      </c>
      <c r="I4844" t="s">
        <v>6241</v>
      </c>
      <c r="K4844">
        <v>1.1491841562715521</v>
      </c>
      <c r="L4844">
        <v>0.79087046865262223</v>
      </c>
      <c r="M4844">
        <v>0.64664292747551921</v>
      </c>
      <c r="N4844">
        <v>0.54744231498451645</v>
      </c>
      <c r="O4844">
        <v>0.30860111339281371</v>
      </c>
      <c r="P4844">
        <v>0.26644674347784075</v>
      </c>
      <c r="Q4844">
        <v>0.2277944181423423</v>
      </c>
      <c r="R4844">
        <v>0.206175782855195</v>
      </c>
      <c r="S4844">
        <v>0.17932605733437881</v>
      </c>
      <c r="T4844">
        <v>0.12839750862748303</v>
      </c>
    </row>
    <row r="4845" spans="2:20" x14ac:dyDescent="0.25">
      <c r="B4845" t="s">
        <v>133</v>
      </c>
      <c r="C4845" t="s">
        <v>3265</v>
      </c>
      <c r="D4845" t="s">
        <v>6550</v>
      </c>
      <c r="E4845" t="s">
        <v>6551</v>
      </c>
      <c r="F4845" t="s">
        <v>138</v>
      </c>
      <c r="G4845" t="s">
        <v>6239</v>
      </c>
      <c r="H4845" t="s">
        <v>6507</v>
      </c>
      <c r="I4845" t="s">
        <v>6241</v>
      </c>
      <c r="K4845">
        <v>0.16325380835573339</v>
      </c>
      <c r="L4845">
        <v>0.12204128718246589</v>
      </c>
      <c r="M4845">
        <v>0.10456923228061839</v>
      </c>
      <c r="N4845">
        <v>9.1453691519098462E-2</v>
      </c>
      <c r="O4845">
        <v>8.178010565868489E-2</v>
      </c>
      <c r="P4845">
        <v>7.2117115992588021E-2</v>
      </c>
      <c r="Q4845">
        <v>6.4599939741025805E-2</v>
      </c>
      <c r="R4845">
        <v>5.5558532052049192E-2</v>
      </c>
      <c r="S4845">
        <v>4.6861845164072477E-2</v>
      </c>
      <c r="T4845">
        <v>3.128452802513091E-2</v>
      </c>
    </row>
    <row r="4846" spans="2:20" x14ac:dyDescent="0.25">
      <c r="B4846" t="s">
        <v>133</v>
      </c>
      <c r="C4846" t="s">
        <v>3265</v>
      </c>
      <c r="D4846" t="s">
        <v>6552</v>
      </c>
      <c r="E4846" t="s">
        <v>6553</v>
      </c>
      <c r="F4846" t="s">
        <v>138</v>
      </c>
      <c r="G4846" t="s">
        <v>6239</v>
      </c>
      <c r="H4846" t="s">
        <v>6511</v>
      </c>
      <c r="I4846" t="s">
        <v>6241</v>
      </c>
      <c r="K4846">
        <v>0.26430773164084875</v>
      </c>
      <c r="L4846">
        <v>0.14781948931243016</v>
      </c>
      <c r="M4846">
        <v>0.10891449771491173</v>
      </c>
      <c r="N4846">
        <v>8.2795659378610359E-2</v>
      </c>
      <c r="O4846">
        <v>6.010927004327965E-2</v>
      </c>
      <c r="P4846">
        <v>5.1001748056921356E-2</v>
      </c>
      <c r="Q4846">
        <v>4.8738984459768833E-2</v>
      </c>
      <c r="R4846">
        <v>4.3858003107120784E-2</v>
      </c>
      <c r="S4846">
        <v>3.8954566186785083E-2</v>
      </c>
      <c r="T4846">
        <v>2.9094202510314877E-2</v>
      </c>
    </row>
    <row r="4847" spans="2:20" x14ac:dyDescent="0.25">
      <c r="B4847" t="s">
        <v>133</v>
      </c>
      <c r="C4847" t="s">
        <v>3265</v>
      </c>
      <c r="D4847" t="s">
        <v>6554</v>
      </c>
      <c r="E4847" t="s">
        <v>6555</v>
      </c>
      <c r="F4847" t="s">
        <v>138</v>
      </c>
      <c r="G4847" t="s">
        <v>6239</v>
      </c>
      <c r="H4847" t="s">
        <v>6515</v>
      </c>
      <c r="I4847" t="s">
        <v>6241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 spans="2:20" x14ac:dyDescent="0.25">
      <c r="B4848" t="s">
        <v>133</v>
      </c>
      <c r="C4848" t="s">
        <v>3265</v>
      </c>
      <c r="D4848" t="s">
        <v>6556</v>
      </c>
      <c r="E4848" t="s">
        <v>6557</v>
      </c>
      <c r="F4848" t="s">
        <v>138</v>
      </c>
      <c r="G4848" t="s">
        <v>6239</v>
      </c>
      <c r="H4848" t="s">
        <v>6519</v>
      </c>
      <c r="I4848" t="s">
        <v>6241</v>
      </c>
      <c r="K4848">
        <v>0.27208270944715052</v>
      </c>
      <c r="L4848">
        <v>0.20337571341605601</v>
      </c>
      <c r="M4848">
        <v>0.17431364139775782</v>
      </c>
      <c r="N4848">
        <v>0.15236223246726824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 spans="2:20" x14ac:dyDescent="0.25">
      <c r="B4849" t="s">
        <v>133</v>
      </c>
      <c r="C4849" t="s">
        <v>3265</v>
      </c>
      <c r="D4849" t="s">
        <v>6558</v>
      </c>
      <c r="E4849" t="s">
        <v>6559</v>
      </c>
      <c r="F4849" t="s">
        <v>138</v>
      </c>
      <c r="G4849" t="s">
        <v>6239</v>
      </c>
      <c r="H4849" t="s">
        <v>6539</v>
      </c>
      <c r="I4849" t="s">
        <v>6241</v>
      </c>
      <c r="K4849">
        <v>0.69964424944373271</v>
      </c>
      <c r="L4849">
        <v>0.47323648991095202</v>
      </c>
      <c r="M4849">
        <v>0.38779737139328796</v>
      </c>
      <c r="N4849">
        <v>0.32661158336497709</v>
      </c>
      <c r="O4849">
        <v>0.14188937570196453</v>
      </c>
      <c r="P4849">
        <v>0.12311886404950938</v>
      </c>
      <c r="Q4849">
        <v>0.11333892420079464</v>
      </c>
      <c r="R4849">
        <v>9.9416535159169983E-2</v>
      </c>
      <c r="S4849">
        <v>8.581641135085756E-2</v>
      </c>
      <c r="T4849">
        <v>6.037873053544579E-2</v>
      </c>
    </row>
    <row r="4850" spans="2:20" x14ac:dyDescent="0.25">
      <c r="B4850" t="s">
        <v>133</v>
      </c>
      <c r="C4850" t="s">
        <v>3265</v>
      </c>
      <c r="D4850" t="s">
        <v>6560</v>
      </c>
      <c r="E4850" t="s">
        <v>6478</v>
      </c>
      <c r="F4850" t="s">
        <v>10326</v>
      </c>
      <c r="G4850" t="s">
        <v>6239</v>
      </c>
      <c r="H4850" t="s">
        <v>6440</v>
      </c>
      <c r="K4850">
        <v>2.0036755473042251E-2</v>
      </c>
    </row>
    <row r="4851" spans="2:20" x14ac:dyDescent="0.25">
      <c r="B4851" t="s">
        <v>133</v>
      </c>
      <c r="C4851" t="s">
        <v>3265</v>
      </c>
      <c r="D4851" t="s">
        <v>6561</v>
      </c>
      <c r="E4851" t="s">
        <v>6475</v>
      </c>
      <c r="F4851" t="s">
        <v>10325</v>
      </c>
      <c r="G4851" t="s">
        <v>6239</v>
      </c>
      <c r="H4851" t="s">
        <v>6440</v>
      </c>
      <c r="K4851">
        <v>2.5979911884728441E-2</v>
      </c>
    </row>
    <row r="4852" spans="2:20" x14ac:dyDescent="0.25">
      <c r="B4852" t="s">
        <v>133</v>
      </c>
      <c r="C4852" t="s">
        <v>3265</v>
      </c>
      <c r="D4852" t="s">
        <v>6562</v>
      </c>
      <c r="E4852" t="s">
        <v>6481</v>
      </c>
      <c r="F4852" t="s">
        <v>10327</v>
      </c>
      <c r="G4852" t="s">
        <v>6239</v>
      </c>
      <c r="H4852" t="s">
        <v>6440</v>
      </c>
      <c r="K4852">
        <v>3.0915885686017223E-2</v>
      </c>
    </row>
    <row r="4853" spans="2:20" x14ac:dyDescent="0.25">
      <c r="B4853" t="s">
        <v>133</v>
      </c>
      <c r="C4853" t="s">
        <v>3265</v>
      </c>
      <c r="D4853" t="s">
        <v>6563</v>
      </c>
      <c r="E4853" t="s">
        <v>6469</v>
      </c>
      <c r="F4853" t="s">
        <v>10323</v>
      </c>
      <c r="G4853" t="s">
        <v>6239</v>
      </c>
      <c r="H4853" t="s">
        <v>6440</v>
      </c>
      <c r="K4853">
        <v>2.4076825811119022E-2</v>
      </c>
    </row>
    <row r="4854" spans="2:20" x14ac:dyDescent="0.25">
      <c r="B4854" t="s">
        <v>133</v>
      </c>
      <c r="C4854" t="s">
        <v>3265</v>
      </c>
      <c r="D4854" t="s">
        <v>6564</v>
      </c>
      <c r="E4854" t="s">
        <v>6484</v>
      </c>
      <c r="F4854" t="s">
        <v>10328</v>
      </c>
      <c r="G4854" t="s">
        <v>6239</v>
      </c>
      <c r="H4854" t="s">
        <v>6440</v>
      </c>
      <c r="K4854">
        <v>2.1661367849970994E-2</v>
      </c>
    </row>
    <row r="4855" spans="2:20" x14ac:dyDescent="0.25">
      <c r="B4855" t="s">
        <v>133</v>
      </c>
      <c r="C4855" t="s">
        <v>3265</v>
      </c>
      <c r="D4855" t="s">
        <v>6565</v>
      </c>
      <c r="E4855" t="s">
        <v>6463</v>
      </c>
      <c r="F4855" t="s">
        <v>10321</v>
      </c>
      <c r="G4855" t="s">
        <v>6239</v>
      </c>
      <c r="H4855" t="s">
        <v>6440</v>
      </c>
      <c r="K4855">
        <v>6.6026235313923307E-2</v>
      </c>
    </row>
    <row r="4856" spans="2:20" x14ac:dyDescent="0.25">
      <c r="B4856" t="s">
        <v>133</v>
      </c>
      <c r="C4856" t="s">
        <v>3265</v>
      </c>
      <c r="D4856" t="s">
        <v>6566</v>
      </c>
      <c r="E4856" t="s">
        <v>6466</v>
      </c>
      <c r="F4856" t="s">
        <v>10322</v>
      </c>
      <c r="G4856" t="s">
        <v>6239</v>
      </c>
      <c r="H4856" t="s">
        <v>6440</v>
      </c>
      <c r="K4856">
        <v>0.16370749333346662</v>
      </c>
    </row>
    <row r="4857" spans="2:20" x14ac:dyDescent="0.25">
      <c r="B4857" t="s">
        <v>133</v>
      </c>
      <c r="C4857" t="s">
        <v>3265</v>
      </c>
      <c r="D4857" t="s">
        <v>6567</v>
      </c>
      <c r="E4857" t="s">
        <v>6502</v>
      </c>
      <c r="F4857" t="s">
        <v>10334</v>
      </c>
      <c r="G4857" t="s">
        <v>6239</v>
      </c>
      <c r="H4857" t="s">
        <v>6440</v>
      </c>
      <c r="K4857">
        <v>4.0438399643629025E-2</v>
      </c>
    </row>
    <row r="4858" spans="2:20" x14ac:dyDescent="0.25">
      <c r="B4858" t="s">
        <v>133</v>
      </c>
      <c r="C4858" t="s">
        <v>3265</v>
      </c>
      <c r="D4858" t="s">
        <v>6568</v>
      </c>
      <c r="E4858" t="s">
        <v>6499</v>
      </c>
      <c r="F4858" t="s">
        <v>10333</v>
      </c>
      <c r="G4858" t="s">
        <v>6239</v>
      </c>
      <c r="H4858" t="s">
        <v>6440</v>
      </c>
      <c r="K4858">
        <v>2.3691285642697603E-2</v>
      </c>
    </row>
    <row r="4859" spans="2:20" x14ac:dyDescent="0.25">
      <c r="B4859" t="s">
        <v>133</v>
      </c>
      <c r="C4859" t="s">
        <v>3265</v>
      </c>
      <c r="D4859" t="s">
        <v>6569</v>
      </c>
      <c r="E4859" t="s">
        <v>6490</v>
      </c>
      <c r="F4859" t="s">
        <v>10330</v>
      </c>
      <c r="G4859" t="s">
        <v>6239</v>
      </c>
      <c r="H4859" t="s">
        <v>6440</v>
      </c>
      <c r="K4859">
        <v>4.3590907092421111E-2</v>
      </c>
    </row>
    <row r="4860" spans="2:20" x14ac:dyDescent="0.25">
      <c r="B4860" t="s">
        <v>133</v>
      </c>
      <c r="C4860" t="s">
        <v>3265</v>
      </c>
      <c r="D4860" t="s">
        <v>6570</v>
      </c>
      <c r="E4860" t="s">
        <v>6472</v>
      </c>
      <c r="F4860" t="s">
        <v>10324</v>
      </c>
      <c r="G4860" t="s">
        <v>6239</v>
      </c>
      <c r="H4860" t="s">
        <v>6440</v>
      </c>
      <c r="K4860">
        <v>9.158959670080449E-3</v>
      </c>
    </row>
    <row r="4861" spans="2:20" x14ac:dyDescent="0.25">
      <c r="B4861" t="s">
        <v>133</v>
      </c>
      <c r="C4861" t="s">
        <v>3265</v>
      </c>
      <c r="D4861" t="s">
        <v>6571</v>
      </c>
      <c r="E4861" t="s">
        <v>6493</v>
      </c>
      <c r="F4861" t="s">
        <v>10331</v>
      </c>
      <c r="G4861" t="s">
        <v>6239</v>
      </c>
      <c r="H4861" t="s">
        <v>6440</v>
      </c>
      <c r="K4861">
        <v>9.5354453151571303E-2</v>
      </c>
    </row>
    <row r="4862" spans="2:20" x14ac:dyDescent="0.25">
      <c r="B4862" t="s">
        <v>133</v>
      </c>
      <c r="C4862" t="s">
        <v>3265</v>
      </c>
      <c r="D4862" t="s">
        <v>6572</v>
      </c>
      <c r="E4862" t="s">
        <v>6496</v>
      </c>
      <c r="F4862" t="s">
        <v>10332</v>
      </c>
      <c r="G4862" t="s">
        <v>6239</v>
      </c>
      <c r="H4862" t="s">
        <v>6440</v>
      </c>
      <c r="K4862">
        <v>2.3953138339723304E-2</v>
      </c>
    </row>
    <row r="4863" spans="2:20" x14ac:dyDescent="0.25">
      <c r="B4863" t="s">
        <v>133</v>
      </c>
      <c r="C4863" t="s">
        <v>3265</v>
      </c>
      <c r="D4863" t="s">
        <v>3170</v>
      </c>
      <c r="E4863" t="s">
        <v>6487</v>
      </c>
      <c r="F4863" t="s">
        <v>10329</v>
      </c>
      <c r="G4863" t="s">
        <v>6239</v>
      </c>
      <c r="H4863" t="s">
        <v>6440</v>
      </c>
      <c r="K4863">
        <v>1.0281666025081047E-2</v>
      </c>
    </row>
    <row r="4864" spans="2:20" x14ac:dyDescent="0.25">
      <c r="B4864" t="s">
        <v>133</v>
      </c>
      <c r="C4864" t="s">
        <v>3265</v>
      </c>
      <c r="D4864" t="s">
        <v>6573</v>
      </c>
      <c r="E4864" t="s">
        <v>6574</v>
      </c>
      <c r="F4864" t="s">
        <v>10342</v>
      </c>
      <c r="G4864" t="s">
        <v>6239</v>
      </c>
      <c r="K4864">
        <v>5.165112369591067E-2</v>
      </c>
      <c r="L4864">
        <v>5.165112369591067E-2</v>
      </c>
    </row>
    <row r="4865" spans="2:12" x14ac:dyDescent="0.25">
      <c r="B4865" t="s">
        <v>133</v>
      </c>
      <c r="C4865" t="s">
        <v>3265</v>
      </c>
      <c r="D4865" t="s">
        <v>6576</v>
      </c>
      <c r="E4865" t="s">
        <v>6577</v>
      </c>
      <c r="F4865" t="s">
        <v>10343</v>
      </c>
      <c r="G4865" t="s">
        <v>6239</v>
      </c>
      <c r="K4865">
        <v>2.073294274761359E-2</v>
      </c>
      <c r="L4865">
        <v>2.073294274761359E-2</v>
      </c>
    </row>
    <row r="4866" spans="2:12" x14ac:dyDescent="0.25">
      <c r="B4866" t="s">
        <v>133</v>
      </c>
      <c r="C4866" t="s">
        <v>3265</v>
      </c>
      <c r="D4866" t="s">
        <v>1113</v>
      </c>
      <c r="E4866" t="s">
        <v>6579</v>
      </c>
      <c r="F4866" t="s">
        <v>10344</v>
      </c>
      <c r="G4866" t="s">
        <v>6239</v>
      </c>
      <c r="K4866">
        <v>1.9544968704985777E-2</v>
      </c>
      <c r="L4866">
        <v>1.9544968704985777E-2</v>
      </c>
    </row>
    <row r="4867" spans="2:12" x14ac:dyDescent="0.25">
      <c r="B4867" t="s">
        <v>133</v>
      </c>
      <c r="C4867" t="s">
        <v>3265</v>
      </c>
      <c r="D4867" t="s">
        <v>873</v>
      </c>
      <c r="E4867" t="s">
        <v>6581</v>
      </c>
      <c r="F4867" t="s">
        <v>10345</v>
      </c>
      <c r="G4867" t="s">
        <v>6239</v>
      </c>
      <c r="K4867">
        <v>4.2559859882051403E-2</v>
      </c>
      <c r="L4867">
        <v>4.2559859882051403E-2</v>
      </c>
    </row>
    <row r="4868" spans="2:12" x14ac:dyDescent="0.25">
      <c r="B4868" t="s">
        <v>133</v>
      </c>
      <c r="C4868" t="s">
        <v>3265</v>
      </c>
      <c r="D4868" t="s">
        <v>871</v>
      </c>
      <c r="E4868" t="s">
        <v>6583</v>
      </c>
      <c r="F4868" t="s">
        <v>10346</v>
      </c>
      <c r="G4868" t="s">
        <v>6239</v>
      </c>
      <c r="K4868">
        <v>5.7974430291252863E-2</v>
      </c>
      <c r="L4868">
        <v>5.7974430291252863E-2</v>
      </c>
    </row>
    <row r="4869" spans="2:12" x14ac:dyDescent="0.25">
      <c r="B4869" t="s">
        <v>133</v>
      </c>
      <c r="C4869" t="s">
        <v>3265</v>
      </c>
      <c r="D4869" t="s">
        <v>6585</v>
      </c>
      <c r="E4869" t="s">
        <v>6586</v>
      </c>
      <c r="F4869" t="s">
        <v>10347</v>
      </c>
      <c r="G4869" t="s">
        <v>6239</v>
      </c>
      <c r="K4869">
        <v>0.14305101944896459</v>
      </c>
      <c r="L4869">
        <v>0.14305101944896459</v>
      </c>
    </row>
    <row r="4870" spans="2:12" x14ac:dyDescent="0.25">
      <c r="B4870" t="s">
        <v>133</v>
      </c>
      <c r="C4870" t="s">
        <v>3265</v>
      </c>
      <c r="D4870" t="s">
        <v>6588</v>
      </c>
      <c r="E4870" t="s">
        <v>6589</v>
      </c>
      <c r="F4870" t="s">
        <v>10348</v>
      </c>
      <c r="G4870" t="s">
        <v>6239</v>
      </c>
      <c r="K4870">
        <v>3.3005773426643875E-2</v>
      </c>
      <c r="L4870">
        <v>3.3005773426643875E-2</v>
      </c>
    </row>
    <row r="4871" spans="2:12" x14ac:dyDescent="0.25">
      <c r="B4871" t="s">
        <v>133</v>
      </c>
      <c r="C4871" t="s">
        <v>3265</v>
      </c>
      <c r="D4871" t="s">
        <v>870</v>
      </c>
      <c r="E4871" t="s">
        <v>6591</v>
      </c>
      <c r="F4871" t="s">
        <v>10349</v>
      </c>
      <c r="G4871" t="s">
        <v>6239</v>
      </c>
      <c r="K4871">
        <v>9.9311106530660165E-2</v>
      </c>
      <c r="L4871">
        <v>9.9311106530660165E-2</v>
      </c>
    </row>
    <row r="4872" spans="2:12" x14ac:dyDescent="0.25">
      <c r="B4872" t="s">
        <v>133</v>
      </c>
      <c r="C4872" t="s">
        <v>3265</v>
      </c>
      <c r="D4872" t="s">
        <v>112</v>
      </c>
      <c r="E4872" t="s">
        <v>6593</v>
      </c>
      <c r="F4872" t="s">
        <v>10350</v>
      </c>
      <c r="G4872" t="s">
        <v>6239</v>
      </c>
      <c r="K4872">
        <v>4.1939314637973006E-2</v>
      </c>
      <c r="L4872">
        <v>4.1939314637973006E-2</v>
      </c>
    </row>
    <row r="4873" spans="2:12" x14ac:dyDescent="0.25">
      <c r="B4873" t="s">
        <v>133</v>
      </c>
      <c r="C4873" t="s">
        <v>3265</v>
      </c>
      <c r="D4873" t="s">
        <v>6595</v>
      </c>
      <c r="E4873" t="s">
        <v>6596</v>
      </c>
      <c r="F4873" t="s">
        <v>10351</v>
      </c>
      <c r="G4873" t="s">
        <v>6239</v>
      </c>
      <c r="K4873">
        <v>4.2367390475665692E-2</v>
      </c>
      <c r="L4873">
        <v>4.2367390475665692E-2</v>
      </c>
    </row>
    <row r="4874" spans="2:12" x14ac:dyDescent="0.25">
      <c r="B4874" t="s">
        <v>133</v>
      </c>
      <c r="C4874" t="s">
        <v>3265</v>
      </c>
      <c r="D4874" t="s">
        <v>232</v>
      </c>
      <c r="E4874" t="s">
        <v>6598</v>
      </c>
      <c r="F4874" t="s">
        <v>10352</v>
      </c>
      <c r="G4874" t="s">
        <v>6239</v>
      </c>
      <c r="K4874">
        <v>2.6426370529587906E-2</v>
      </c>
      <c r="L4874">
        <v>2.6426370529587906E-2</v>
      </c>
    </row>
    <row r="4875" spans="2:12" x14ac:dyDescent="0.25">
      <c r="B4875" t="s">
        <v>133</v>
      </c>
      <c r="C4875" t="s">
        <v>3265</v>
      </c>
      <c r="D4875" t="s">
        <v>32</v>
      </c>
      <c r="E4875" t="s">
        <v>6600</v>
      </c>
      <c r="F4875" t="s">
        <v>10353</v>
      </c>
      <c r="G4875" t="s">
        <v>6239</v>
      </c>
    </row>
    <row r="4876" spans="2:12" x14ac:dyDescent="0.25">
      <c r="B4876" t="s">
        <v>133</v>
      </c>
      <c r="C4876" t="s">
        <v>3265</v>
      </c>
      <c r="D4876" t="s">
        <v>6573</v>
      </c>
      <c r="E4876" t="s">
        <v>6602</v>
      </c>
      <c r="F4876" t="s">
        <v>10354</v>
      </c>
      <c r="G4876" t="s">
        <v>6239</v>
      </c>
      <c r="K4876">
        <v>0.14305101944896459</v>
      </c>
      <c r="L4876">
        <v>0.14305101944896459</v>
      </c>
    </row>
    <row r="4877" spans="2:12" x14ac:dyDescent="0.25">
      <c r="B4877" t="s">
        <v>133</v>
      </c>
      <c r="C4877" t="s">
        <v>3265</v>
      </c>
      <c r="D4877" t="s">
        <v>6595</v>
      </c>
      <c r="E4877" t="s">
        <v>6604</v>
      </c>
      <c r="F4877" t="s">
        <v>10355</v>
      </c>
      <c r="G4877" t="s">
        <v>6239</v>
      </c>
      <c r="K4877">
        <v>9.9311106530660165E-2</v>
      </c>
      <c r="L4877">
        <v>9.9311106530660165E-2</v>
      </c>
    </row>
    <row r="4878" spans="2:12" x14ac:dyDescent="0.25">
      <c r="B4878" t="s">
        <v>133</v>
      </c>
      <c r="C4878" t="s">
        <v>3265</v>
      </c>
      <c r="D4878" t="s">
        <v>112</v>
      </c>
      <c r="E4878" t="s">
        <v>6606</v>
      </c>
      <c r="F4878" t="s">
        <v>10356</v>
      </c>
      <c r="G4878" t="s">
        <v>6239</v>
      </c>
      <c r="K4878">
        <v>5.7974430291252863E-2</v>
      </c>
      <c r="L4878">
        <v>5.7974430291252863E-2</v>
      </c>
    </row>
    <row r="4879" spans="2:12" x14ac:dyDescent="0.25">
      <c r="B4879" t="s">
        <v>133</v>
      </c>
      <c r="C4879" t="s">
        <v>3265</v>
      </c>
      <c r="D4879" t="s">
        <v>6585</v>
      </c>
      <c r="E4879" t="s">
        <v>6608</v>
      </c>
      <c r="F4879" t="s">
        <v>10357</v>
      </c>
      <c r="G4879" t="s">
        <v>6239</v>
      </c>
      <c r="K4879">
        <v>5.165112369591067E-2</v>
      </c>
      <c r="L4879">
        <v>5.165112369591067E-2</v>
      </c>
    </row>
    <row r="4880" spans="2:12" x14ac:dyDescent="0.25">
      <c r="B4880" t="s">
        <v>133</v>
      </c>
      <c r="C4880" t="s">
        <v>3265</v>
      </c>
      <c r="D4880" t="s">
        <v>870</v>
      </c>
      <c r="E4880" t="s">
        <v>6610</v>
      </c>
      <c r="F4880" t="s">
        <v>10358</v>
      </c>
      <c r="G4880" t="s">
        <v>6239</v>
      </c>
      <c r="K4880">
        <v>4.2559859882051403E-2</v>
      </c>
      <c r="L4880">
        <v>4.2559859882051403E-2</v>
      </c>
    </row>
    <row r="4881" spans="2:30" x14ac:dyDescent="0.25">
      <c r="B4881" t="s">
        <v>133</v>
      </c>
      <c r="C4881" t="s">
        <v>3265</v>
      </c>
      <c r="D4881" t="s">
        <v>6588</v>
      </c>
      <c r="E4881" t="s">
        <v>6612</v>
      </c>
      <c r="F4881" t="s">
        <v>10359</v>
      </c>
      <c r="G4881" t="s">
        <v>6239</v>
      </c>
      <c r="K4881">
        <v>4.2367390475665692E-2</v>
      </c>
      <c r="L4881">
        <v>4.2367390475665692E-2</v>
      </c>
    </row>
    <row r="4882" spans="2:30" x14ac:dyDescent="0.25">
      <c r="B4882" t="s">
        <v>133</v>
      </c>
      <c r="C4882" t="s">
        <v>3265</v>
      </c>
      <c r="D4882" t="s">
        <v>6576</v>
      </c>
      <c r="E4882" t="s">
        <v>6614</v>
      </c>
      <c r="F4882" t="s">
        <v>10360</v>
      </c>
      <c r="G4882" t="s">
        <v>6239</v>
      </c>
      <c r="K4882">
        <v>4.1939314637973006E-2</v>
      </c>
      <c r="L4882">
        <v>4.1939314637973006E-2</v>
      </c>
    </row>
    <row r="4883" spans="2:30" x14ac:dyDescent="0.25">
      <c r="B4883" t="s">
        <v>133</v>
      </c>
      <c r="C4883" t="s">
        <v>3265</v>
      </c>
      <c r="D4883" t="s">
        <v>871</v>
      </c>
      <c r="E4883" t="s">
        <v>6616</v>
      </c>
      <c r="F4883" t="s">
        <v>10361</v>
      </c>
      <c r="G4883" t="s">
        <v>6239</v>
      </c>
      <c r="K4883">
        <v>3.3005773426643875E-2</v>
      </c>
      <c r="L4883">
        <v>3.3005773426643875E-2</v>
      </c>
    </row>
    <row r="4884" spans="2:30" x14ac:dyDescent="0.25">
      <c r="B4884" t="s">
        <v>133</v>
      </c>
      <c r="C4884" t="s">
        <v>3265</v>
      </c>
      <c r="D4884" t="s">
        <v>232</v>
      </c>
      <c r="E4884" t="s">
        <v>6618</v>
      </c>
      <c r="F4884" t="s">
        <v>10362</v>
      </c>
      <c r="G4884" t="s">
        <v>6239</v>
      </c>
      <c r="K4884">
        <v>2.6426370529587906E-2</v>
      </c>
      <c r="L4884">
        <v>2.6426370529587906E-2</v>
      </c>
    </row>
    <row r="4885" spans="2:30" x14ac:dyDescent="0.25">
      <c r="B4885" t="s">
        <v>133</v>
      </c>
      <c r="C4885" t="s">
        <v>3265</v>
      </c>
      <c r="D4885" t="s">
        <v>873</v>
      </c>
      <c r="E4885" t="s">
        <v>6620</v>
      </c>
      <c r="F4885" t="s">
        <v>10363</v>
      </c>
      <c r="G4885" t="s">
        <v>6239</v>
      </c>
      <c r="K4885">
        <v>2.073294274761359E-2</v>
      </c>
      <c r="L4885">
        <v>2.073294274761359E-2</v>
      </c>
    </row>
    <row r="4886" spans="2:30" x14ac:dyDescent="0.25">
      <c r="B4886" t="s">
        <v>133</v>
      </c>
      <c r="C4886" t="s">
        <v>3265</v>
      </c>
      <c r="D4886" t="s">
        <v>1113</v>
      </c>
      <c r="E4886" t="s">
        <v>6622</v>
      </c>
      <c r="F4886" t="s">
        <v>10364</v>
      </c>
      <c r="G4886" t="s">
        <v>6239</v>
      </c>
      <c r="K4886">
        <v>1.9544968704985777E-2</v>
      </c>
      <c r="L4886">
        <v>1.9544968704985777E-2</v>
      </c>
    </row>
    <row r="4887" spans="2:30" x14ac:dyDescent="0.25">
      <c r="B4887" t="s">
        <v>133</v>
      </c>
      <c r="C4887" t="s">
        <v>3265</v>
      </c>
      <c r="D4887" t="s">
        <v>6624</v>
      </c>
      <c r="E4887" t="s">
        <v>6625</v>
      </c>
      <c r="F4887" t="s">
        <v>10365</v>
      </c>
      <c r="G4887" t="s">
        <v>3890</v>
      </c>
      <c r="H4887" t="s">
        <v>6627</v>
      </c>
      <c r="K4887">
        <v>1.0009999999999999</v>
      </c>
      <c r="L4887">
        <v>1.0009999999999999</v>
      </c>
      <c r="M4887">
        <v>0.995</v>
      </c>
      <c r="N4887">
        <v>0.99199999999999999</v>
      </c>
      <c r="O4887">
        <v>0.98199999999999998</v>
      </c>
      <c r="P4887">
        <v>0.97599999999999998</v>
      </c>
      <c r="Q4887">
        <v>0.96699999999999997</v>
      </c>
      <c r="R4887">
        <v>0.95599999999999996</v>
      </c>
      <c r="S4887">
        <v>0.94599999999999995</v>
      </c>
      <c r="T4887">
        <v>0.94</v>
      </c>
      <c r="U4887">
        <v>0.93799999999999994</v>
      </c>
      <c r="V4887">
        <v>0.93500000000000005</v>
      </c>
      <c r="W4887">
        <v>0.93300000000000005</v>
      </c>
      <c r="X4887">
        <v>0.93100000000000005</v>
      </c>
      <c r="Y4887">
        <v>0.92900000000000005</v>
      </c>
      <c r="Z4887">
        <v>0.92700000000000005</v>
      </c>
      <c r="AA4887">
        <v>0.92600000000000005</v>
      </c>
      <c r="AB4887">
        <v>0.92400000000000004</v>
      </c>
      <c r="AC4887">
        <v>0.92300000000000004</v>
      </c>
      <c r="AD4887">
        <v>0.92200000000000004</v>
      </c>
    </row>
    <row r="4888" spans="2:30" x14ac:dyDescent="0.25">
      <c r="B4888" t="s">
        <v>133</v>
      </c>
      <c r="C4888" t="s">
        <v>3265</v>
      </c>
      <c r="D4888" t="s">
        <v>6628</v>
      </c>
      <c r="E4888" t="s">
        <v>6629</v>
      </c>
      <c r="F4888" t="s">
        <v>10366</v>
      </c>
      <c r="G4888" t="s">
        <v>3890</v>
      </c>
      <c r="H4888" t="s">
        <v>6627</v>
      </c>
      <c r="K4888">
        <v>0.66800000000000004</v>
      </c>
      <c r="L4888">
        <v>0.66800000000000004</v>
      </c>
      <c r="M4888">
        <v>0.66300000000000003</v>
      </c>
      <c r="N4888">
        <v>0.66100000000000003</v>
      </c>
      <c r="O4888">
        <v>0.65500000000000003</v>
      </c>
      <c r="P4888">
        <v>0.65</v>
      </c>
      <c r="Q4888">
        <v>0.64500000000000002</v>
      </c>
      <c r="R4888">
        <v>0.63700000000000001</v>
      </c>
      <c r="S4888">
        <v>0.63100000000000001</v>
      </c>
      <c r="T4888">
        <v>0.627</v>
      </c>
      <c r="U4888">
        <v>0.625</v>
      </c>
      <c r="V4888">
        <v>0.623</v>
      </c>
      <c r="W4888">
        <v>0.622</v>
      </c>
      <c r="X4888">
        <v>0.621</v>
      </c>
      <c r="Y4888">
        <v>0.61899999999999999</v>
      </c>
      <c r="Z4888">
        <v>0.61799999999999999</v>
      </c>
      <c r="AA4888">
        <v>0.61699999999999999</v>
      </c>
      <c r="AB4888">
        <v>0.61599999999999999</v>
      </c>
      <c r="AC4888">
        <v>0.61499999999999999</v>
      </c>
      <c r="AD4888">
        <v>0.61399999999999999</v>
      </c>
    </row>
    <row r="4889" spans="2:30" x14ac:dyDescent="0.25">
      <c r="B4889" t="s">
        <v>133</v>
      </c>
      <c r="C4889" t="s">
        <v>3265</v>
      </c>
      <c r="D4889" t="s">
        <v>6631</v>
      </c>
      <c r="E4889" t="s">
        <v>6632</v>
      </c>
      <c r="F4889" t="s">
        <v>10367</v>
      </c>
      <c r="G4889" t="s">
        <v>3890</v>
      </c>
      <c r="H4889" t="s">
        <v>6627</v>
      </c>
      <c r="K4889">
        <v>0.51400000000000001</v>
      </c>
      <c r="L4889">
        <v>0.51400000000000001</v>
      </c>
      <c r="M4889">
        <v>0.51</v>
      </c>
      <c r="N4889">
        <v>0.50900000000000001</v>
      </c>
      <c r="O4889">
        <v>0.504</v>
      </c>
      <c r="P4889">
        <v>0.5</v>
      </c>
      <c r="Q4889">
        <v>0.496</v>
      </c>
      <c r="R4889">
        <v>0.49</v>
      </c>
      <c r="S4889">
        <v>0.48499999999999999</v>
      </c>
      <c r="T4889">
        <v>0.48199999999999998</v>
      </c>
      <c r="U4889">
        <v>0.48099999999999998</v>
      </c>
      <c r="V4889">
        <v>0.48</v>
      </c>
      <c r="W4889">
        <v>0.47799999999999998</v>
      </c>
      <c r="X4889">
        <v>0.47699999999999998</v>
      </c>
      <c r="Y4889">
        <v>0.47699999999999998</v>
      </c>
      <c r="Z4889">
        <v>0.47599999999999998</v>
      </c>
      <c r="AA4889">
        <v>0.47499999999999998</v>
      </c>
      <c r="AB4889">
        <v>0.47399999999999998</v>
      </c>
      <c r="AC4889">
        <v>0.47299999999999998</v>
      </c>
      <c r="AD4889">
        <v>0.47299999999999998</v>
      </c>
    </row>
    <row r="4890" spans="2:30" x14ac:dyDescent="0.25">
      <c r="B4890" t="s">
        <v>133</v>
      </c>
      <c r="C4890" t="s">
        <v>3265</v>
      </c>
      <c r="D4890" t="s">
        <v>6634</v>
      </c>
      <c r="E4890" t="s">
        <v>3917</v>
      </c>
      <c r="F4890" t="s">
        <v>10368</v>
      </c>
      <c r="G4890" t="s">
        <v>3890</v>
      </c>
      <c r="H4890" t="s">
        <v>6636</v>
      </c>
      <c r="K4890">
        <v>546.971</v>
      </c>
      <c r="L4890">
        <v>567.53899999999999</v>
      </c>
      <c r="M4890">
        <v>581.15300000000002</v>
      </c>
      <c r="N4890">
        <v>606.67899999999997</v>
      </c>
      <c r="O4890">
        <v>632.40099999999995</v>
      </c>
      <c r="P4890">
        <v>662.94100000000003</v>
      </c>
      <c r="Q4890">
        <v>699.63599999999997</v>
      </c>
      <c r="R4890">
        <v>736.20399999999995</v>
      </c>
      <c r="S4890">
        <v>771.85</v>
      </c>
      <c r="T4890">
        <v>808.81200000000001</v>
      </c>
      <c r="U4890">
        <v>847.11400000000003</v>
      </c>
      <c r="V4890">
        <v>886.779</v>
      </c>
      <c r="W4890">
        <v>927.83100000000002</v>
      </c>
      <c r="X4890">
        <v>970.29</v>
      </c>
      <c r="Y4890">
        <v>1014.177</v>
      </c>
      <c r="Z4890">
        <v>1059.509</v>
      </c>
      <c r="AA4890">
        <v>1106.3050000000001</v>
      </c>
      <c r="AB4890">
        <v>1154.58</v>
      </c>
      <c r="AC4890">
        <v>1204.348</v>
      </c>
      <c r="AD4890">
        <v>1255.6210000000001</v>
      </c>
    </row>
    <row r="4891" spans="2:30" x14ac:dyDescent="0.25">
      <c r="B4891" t="s">
        <v>133</v>
      </c>
      <c r="C4891" t="s">
        <v>3265</v>
      </c>
      <c r="D4891" t="s">
        <v>6637</v>
      </c>
      <c r="E4891" t="s">
        <v>6638</v>
      </c>
      <c r="F4891" t="s">
        <v>10369</v>
      </c>
      <c r="G4891" t="s">
        <v>3890</v>
      </c>
      <c r="H4891" t="s">
        <v>3126</v>
      </c>
      <c r="K4891">
        <v>82.215000000000003</v>
      </c>
      <c r="L4891">
        <v>78.516000000000005</v>
      </c>
      <c r="M4891">
        <v>90.733999999999995</v>
      </c>
      <c r="N4891">
        <v>95.161000000000001</v>
      </c>
      <c r="O4891">
        <v>92.507000000000005</v>
      </c>
      <c r="P4891">
        <v>91.156999999999996</v>
      </c>
      <c r="Q4891">
        <v>92.647999999999996</v>
      </c>
      <c r="R4891">
        <v>94.013000000000005</v>
      </c>
      <c r="S4891">
        <v>94.486999999999995</v>
      </c>
      <c r="T4891">
        <v>94.697999999999993</v>
      </c>
      <c r="U4891">
        <v>94.835999999999999</v>
      </c>
      <c r="V4891">
        <v>95.165999999999997</v>
      </c>
      <c r="W4891">
        <v>95.676000000000002</v>
      </c>
      <c r="X4891">
        <v>96.498000000000005</v>
      </c>
      <c r="Y4891">
        <v>97.632999999999996</v>
      </c>
      <c r="Z4891">
        <v>101.349</v>
      </c>
      <c r="AA4891">
        <v>104.807</v>
      </c>
      <c r="AB4891">
        <v>109.592</v>
      </c>
      <c r="AC4891">
        <v>115.47499999999999</v>
      </c>
      <c r="AD4891">
        <v>122.212</v>
      </c>
    </row>
    <row r="4892" spans="2:30" x14ac:dyDescent="0.25">
      <c r="B4892" t="s">
        <v>133</v>
      </c>
      <c r="C4892" t="s">
        <v>3265</v>
      </c>
      <c r="D4892" t="s">
        <v>6640</v>
      </c>
      <c r="E4892" t="s">
        <v>3126</v>
      </c>
      <c r="F4892" t="s">
        <v>10370</v>
      </c>
      <c r="G4892" t="s">
        <v>3890</v>
      </c>
      <c r="H4892" t="s">
        <v>3126</v>
      </c>
      <c r="K4892">
        <v>210.916</v>
      </c>
      <c r="L4892">
        <v>207.059</v>
      </c>
      <c r="M4892">
        <v>233.304</v>
      </c>
      <c r="N4892">
        <v>242.23699999999999</v>
      </c>
      <c r="O4892">
        <v>244.184</v>
      </c>
      <c r="P4892">
        <v>250.47300000000001</v>
      </c>
      <c r="Q4892">
        <v>260.28300000000002</v>
      </c>
      <c r="R4892">
        <v>270.42899999999997</v>
      </c>
      <c r="S4892">
        <v>280.65100000000001</v>
      </c>
      <c r="T4892">
        <v>291.95</v>
      </c>
      <c r="U4892">
        <v>303.95</v>
      </c>
      <c r="V4892">
        <v>316.88499999999999</v>
      </c>
      <c r="W4892">
        <v>330.65600000000001</v>
      </c>
      <c r="X4892">
        <v>345.399</v>
      </c>
      <c r="Y4892">
        <v>360.74400000000003</v>
      </c>
      <c r="Z4892">
        <v>379.30500000000001</v>
      </c>
      <c r="AA4892">
        <v>398.255</v>
      </c>
      <c r="AB4892">
        <v>419.19799999999998</v>
      </c>
      <c r="AC4892">
        <v>441.93400000000003</v>
      </c>
      <c r="AD4892">
        <v>466.10300000000001</v>
      </c>
    </row>
    <row r="4893" spans="2:30" x14ac:dyDescent="0.25">
      <c r="B4893" t="s">
        <v>133</v>
      </c>
      <c r="C4893" t="s">
        <v>3265</v>
      </c>
      <c r="D4893" t="s">
        <v>6642</v>
      </c>
      <c r="E4893" t="s">
        <v>6643</v>
      </c>
      <c r="F4893" t="s">
        <v>10371</v>
      </c>
      <c r="G4893" t="s">
        <v>3890</v>
      </c>
      <c r="H4893" t="s">
        <v>6645</v>
      </c>
      <c r="K4893">
        <v>0.38561000000000001</v>
      </c>
      <c r="L4893">
        <v>0.36484</v>
      </c>
      <c r="M4893">
        <v>0.40144999999999997</v>
      </c>
      <c r="N4893">
        <v>0.39928000000000002</v>
      </c>
      <c r="O4893">
        <v>0.38612000000000002</v>
      </c>
      <c r="P4893">
        <v>0.37781999999999999</v>
      </c>
      <c r="Q4893">
        <v>0.37203000000000003</v>
      </c>
      <c r="R4893">
        <v>0.36732999999999999</v>
      </c>
      <c r="S4893">
        <v>0.36360999999999999</v>
      </c>
      <c r="T4893">
        <v>0.36096</v>
      </c>
      <c r="U4893">
        <v>0.35881000000000002</v>
      </c>
      <c r="V4893">
        <v>0.35733999999999999</v>
      </c>
      <c r="W4893">
        <v>0.35637999999999997</v>
      </c>
      <c r="X4893">
        <v>0.35597000000000001</v>
      </c>
      <c r="Y4893">
        <v>0.35570000000000002</v>
      </c>
      <c r="Z4893">
        <v>0.35799999999999998</v>
      </c>
      <c r="AA4893">
        <v>0.35998999999999998</v>
      </c>
      <c r="AB4893">
        <v>0.36307</v>
      </c>
      <c r="AC4893">
        <v>0.36695</v>
      </c>
      <c r="AD4893">
        <v>0.37120999999999998</v>
      </c>
    </row>
    <row r="4894" spans="2:30" x14ac:dyDescent="0.25">
      <c r="B4894" t="s">
        <v>133</v>
      </c>
      <c r="C4894" t="s">
        <v>3265</v>
      </c>
      <c r="D4894" t="s">
        <v>6646</v>
      </c>
      <c r="E4894" t="s">
        <v>5467</v>
      </c>
      <c r="F4894" t="s">
        <v>10372</v>
      </c>
      <c r="G4894" t="s">
        <v>3890</v>
      </c>
      <c r="H4894" t="s">
        <v>5467</v>
      </c>
      <c r="K4894">
        <v>208.74</v>
      </c>
      <c r="L4894">
        <v>202.17599999999999</v>
      </c>
      <c r="M4894">
        <v>232.196</v>
      </c>
      <c r="N4894">
        <v>257.23</v>
      </c>
      <c r="O4894">
        <v>270.62599999999998</v>
      </c>
      <c r="P4894">
        <v>275.01499999999999</v>
      </c>
      <c r="Q4894">
        <v>282.78199999999998</v>
      </c>
      <c r="R4894">
        <v>292.03899999999999</v>
      </c>
      <c r="S4894">
        <v>300.22399999999999</v>
      </c>
      <c r="T4894">
        <v>307.673</v>
      </c>
      <c r="U4894">
        <v>314.76799999999997</v>
      </c>
      <c r="V4894">
        <v>322.315</v>
      </c>
      <c r="W4894">
        <v>330.68099999999998</v>
      </c>
      <c r="X4894">
        <v>340.37400000000002</v>
      </c>
      <c r="Y4894">
        <v>351.66899999999998</v>
      </c>
      <c r="Z4894">
        <v>370.14499999999998</v>
      </c>
      <c r="AA4894">
        <v>391.08</v>
      </c>
      <c r="AB4894">
        <v>416.238</v>
      </c>
      <c r="AC4894">
        <v>444.79399999999998</v>
      </c>
      <c r="AD4894">
        <v>476.39299999999997</v>
      </c>
    </row>
    <row r="4895" spans="2:30" x14ac:dyDescent="0.25">
      <c r="B4895" t="s">
        <v>133</v>
      </c>
      <c r="C4895" t="s">
        <v>3265</v>
      </c>
      <c r="D4895" t="s">
        <v>6648</v>
      </c>
      <c r="E4895" t="s">
        <v>6649</v>
      </c>
      <c r="F4895" t="s">
        <v>10373</v>
      </c>
      <c r="G4895" t="s">
        <v>3890</v>
      </c>
      <c r="H4895" t="s">
        <v>6651</v>
      </c>
      <c r="K4895">
        <v>0.12144000000000001</v>
      </c>
      <c r="L4895">
        <v>0.13532</v>
      </c>
      <c r="M4895">
        <v>0.1159</v>
      </c>
      <c r="N4895">
        <v>0.17374000000000001</v>
      </c>
      <c r="O4895">
        <v>0.23710000000000001</v>
      </c>
      <c r="P4895">
        <v>0.25963000000000003</v>
      </c>
      <c r="Q4895">
        <v>0.26529999999999998</v>
      </c>
      <c r="R4895">
        <v>0.27551999999999999</v>
      </c>
      <c r="S4895">
        <v>0.28991</v>
      </c>
      <c r="T4895">
        <v>0.30399999999999999</v>
      </c>
      <c r="U4895">
        <v>0.31730999999999998</v>
      </c>
      <c r="V4895">
        <v>0.3296</v>
      </c>
      <c r="W4895">
        <v>0.34175</v>
      </c>
      <c r="X4895">
        <v>0.35372999999999999</v>
      </c>
      <c r="Y4895">
        <v>0.36597000000000002</v>
      </c>
      <c r="Z4895">
        <v>0.37251000000000001</v>
      </c>
      <c r="AA4895">
        <v>0.38422000000000001</v>
      </c>
      <c r="AB4895">
        <v>0.39316000000000001</v>
      </c>
      <c r="AC4895">
        <v>0.39973999999999998</v>
      </c>
      <c r="AD4895">
        <v>0.40503</v>
      </c>
    </row>
    <row r="4896" spans="2:30" x14ac:dyDescent="0.25">
      <c r="B4896" t="s">
        <v>133</v>
      </c>
      <c r="C4896" t="s">
        <v>3265</v>
      </c>
      <c r="D4896" t="s">
        <v>6652</v>
      </c>
      <c r="E4896" t="s">
        <v>6651</v>
      </c>
      <c r="F4896" t="s">
        <v>10374</v>
      </c>
      <c r="G4896" t="s">
        <v>3890</v>
      </c>
      <c r="H4896" t="s">
        <v>6651</v>
      </c>
      <c r="K4896">
        <v>5.1270000000000003E-2</v>
      </c>
      <c r="L4896">
        <v>6.1170000000000002E-2</v>
      </c>
      <c r="M4896">
        <v>5.1339999999999997E-2</v>
      </c>
      <c r="N4896">
        <v>7.6130000000000003E-2</v>
      </c>
      <c r="O4896">
        <v>0.10351</v>
      </c>
      <c r="P4896">
        <v>0.12439</v>
      </c>
      <c r="Q4896">
        <v>0.13163</v>
      </c>
      <c r="R4896">
        <v>0.14333000000000001</v>
      </c>
      <c r="S4896">
        <v>0.15820999999999999</v>
      </c>
      <c r="T4896">
        <v>0.17246</v>
      </c>
      <c r="U4896">
        <v>0.18565999999999999</v>
      </c>
      <c r="V4896">
        <v>0.19786000000000001</v>
      </c>
      <c r="W4896">
        <v>0.20992</v>
      </c>
      <c r="X4896">
        <v>0.22192000000000001</v>
      </c>
      <c r="Y4896">
        <v>0.23425000000000001</v>
      </c>
      <c r="Z4896">
        <v>0.24307000000000001</v>
      </c>
      <c r="AA4896">
        <v>0.25623000000000001</v>
      </c>
      <c r="AB4896">
        <v>0.26723999999999998</v>
      </c>
      <c r="AC4896">
        <v>0.27587</v>
      </c>
      <c r="AD4896">
        <v>0.28288000000000002</v>
      </c>
    </row>
    <row r="4897" spans="2:30" x14ac:dyDescent="0.25">
      <c r="B4897" t="s">
        <v>133</v>
      </c>
      <c r="C4897" t="s">
        <v>3265</v>
      </c>
      <c r="D4897" t="s">
        <v>6654</v>
      </c>
      <c r="E4897" t="s">
        <v>6655</v>
      </c>
      <c r="F4897" t="s">
        <v>10375</v>
      </c>
      <c r="G4897" t="s">
        <v>3890</v>
      </c>
      <c r="H4897" t="s">
        <v>6657</v>
      </c>
      <c r="K4897">
        <v>0.39385999999999999</v>
      </c>
      <c r="L4897">
        <v>0.38835999999999998</v>
      </c>
      <c r="M4897">
        <v>0.39076</v>
      </c>
      <c r="N4897">
        <v>0.36995</v>
      </c>
      <c r="O4897">
        <v>0.34183000000000002</v>
      </c>
      <c r="P4897">
        <v>0.33145999999999998</v>
      </c>
      <c r="Q4897">
        <v>0.32762999999999998</v>
      </c>
      <c r="R4897">
        <v>0.32191999999999998</v>
      </c>
      <c r="S4897">
        <v>0.31472</v>
      </c>
      <c r="T4897">
        <v>0.30779000000000001</v>
      </c>
      <c r="U4897">
        <v>0.30129</v>
      </c>
      <c r="V4897">
        <v>0.29526000000000002</v>
      </c>
      <c r="W4897">
        <v>0.28932999999999998</v>
      </c>
      <c r="X4897">
        <v>0.28349999999999997</v>
      </c>
      <c r="Y4897">
        <v>0.27762999999999999</v>
      </c>
      <c r="Z4897">
        <v>0.27381</v>
      </c>
      <c r="AA4897">
        <v>0.26799000000000001</v>
      </c>
      <c r="AB4897">
        <v>0.26329000000000002</v>
      </c>
      <c r="AC4897">
        <v>0.25961000000000001</v>
      </c>
      <c r="AD4897">
        <v>0.25653999999999999</v>
      </c>
    </row>
    <row r="4898" spans="2:30" x14ac:dyDescent="0.25">
      <c r="B4898" t="s">
        <v>133</v>
      </c>
      <c r="C4898" t="s">
        <v>3265</v>
      </c>
      <c r="D4898" t="s">
        <v>6658</v>
      </c>
      <c r="E4898" t="s">
        <v>6659</v>
      </c>
      <c r="F4898" t="s">
        <v>10376</v>
      </c>
      <c r="G4898" t="s">
        <v>3890</v>
      </c>
      <c r="H4898" t="s">
        <v>6661</v>
      </c>
      <c r="J4898">
        <v>1</v>
      </c>
      <c r="K4898">
        <v>0.18672085273605965</v>
      </c>
    </row>
    <row r="4899" spans="2:30" x14ac:dyDescent="0.25">
      <c r="B4899" t="s">
        <v>133</v>
      </c>
      <c r="C4899" t="s">
        <v>3265</v>
      </c>
      <c r="D4899" t="s">
        <v>6662</v>
      </c>
      <c r="E4899" t="s">
        <v>6663</v>
      </c>
      <c r="F4899" t="s">
        <v>10377</v>
      </c>
      <c r="G4899" t="s">
        <v>3890</v>
      </c>
      <c r="H4899" t="s">
        <v>6665</v>
      </c>
      <c r="J4899">
        <v>1</v>
      </c>
      <c r="K4899">
        <v>3.8744775031930745E-2</v>
      </c>
    </row>
    <row r="4900" spans="2:30" x14ac:dyDescent="0.25">
      <c r="B4900" t="s">
        <v>133</v>
      </c>
      <c r="C4900" t="s">
        <v>3265</v>
      </c>
      <c r="D4900" t="s">
        <v>6666</v>
      </c>
      <c r="E4900" t="s">
        <v>6667</v>
      </c>
      <c r="F4900" t="s">
        <v>10378</v>
      </c>
      <c r="G4900" t="s">
        <v>3890</v>
      </c>
      <c r="H4900" t="s">
        <v>6669</v>
      </c>
      <c r="J4900">
        <v>1</v>
      </c>
      <c r="K4900">
        <v>9.2562380400507804E-3</v>
      </c>
    </row>
    <row r="4901" spans="2:30" x14ac:dyDescent="0.25">
      <c r="B4901" t="s">
        <v>133</v>
      </c>
      <c r="C4901" t="s">
        <v>3265</v>
      </c>
      <c r="D4901" t="s">
        <v>6670</v>
      </c>
      <c r="E4901" t="s">
        <v>6671</v>
      </c>
      <c r="F4901" t="s">
        <v>10379</v>
      </c>
      <c r="G4901" t="s">
        <v>3890</v>
      </c>
      <c r="H4901" t="s">
        <v>6673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2:30" x14ac:dyDescent="0.25">
      <c r="B4902" t="s">
        <v>133</v>
      </c>
      <c r="C4902" t="s">
        <v>3265</v>
      </c>
      <c r="D4902" t="s">
        <v>6674</v>
      </c>
      <c r="E4902" t="s">
        <v>6675</v>
      </c>
      <c r="F4902" t="s">
        <v>10380</v>
      </c>
      <c r="G4902" t="s">
        <v>3890</v>
      </c>
      <c r="H4902" t="s">
        <v>6673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1.993989130676856</v>
      </c>
      <c r="R4902">
        <v>0</v>
      </c>
      <c r="S4902">
        <v>0</v>
      </c>
      <c r="T4902">
        <v>0</v>
      </c>
      <c r="U4902">
        <v>276.17179900438128</v>
      </c>
      <c r="V4902">
        <v>0</v>
      </c>
      <c r="W4902">
        <v>0</v>
      </c>
      <c r="X4902">
        <v>1728.6923838696923</v>
      </c>
      <c r="Y4902">
        <v>0</v>
      </c>
      <c r="Z4902">
        <v>0</v>
      </c>
      <c r="AA4902">
        <v>0</v>
      </c>
      <c r="AB4902">
        <v>0</v>
      </c>
    </row>
    <row r="4903" spans="2:30" x14ac:dyDescent="0.25">
      <c r="B4903" t="s">
        <v>133</v>
      </c>
      <c r="C4903" t="s">
        <v>3265</v>
      </c>
      <c r="D4903" t="s">
        <v>6677</v>
      </c>
      <c r="E4903" t="s">
        <v>6678</v>
      </c>
      <c r="F4903" t="s">
        <v>10381</v>
      </c>
      <c r="G4903" t="s">
        <v>3890</v>
      </c>
      <c r="H4903" t="s">
        <v>6673</v>
      </c>
      <c r="J4903">
        <v>1</v>
      </c>
      <c r="K4903">
        <v>186311.96671707492</v>
      </c>
      <c r="L4903">
        <v>29824.34270264889</v>
      </c>
      <c r="M4903">
        <v>463.90032659835072</v>
      </c>
      <c r="N4903">
        <v>0</v>
      </c>
      <c r="O4903">
        <v>0</v>
      </c>
      <c r="P4903">
        <v>0</v>
      </c>
      <c r="Q4903">
        <v>2743.7479817675635</v>
      </c>
      <c r="R4903">
        <v>0</v>
      </c>
      <c r="S4903">
        <v>0</v>
      </c>
      <c r="T4903">
        <v>0</v>
      </c>
      <c r="U4903">
        <v>1557.4882109374457</v>
      </c>
      <c r="V4903">
        <v>0</v>
      </c>
      <c r="W4903">
        <v>0</v>
      </c>
      <c r="X4903">
        <v>1742.9509630814039</v>
      </c>
      <c r="Y4903">
        <v>951.24441541027238</v>
      </c>
      <c r="Z4903">
        <v>0</v>
      </c>
      <c r="AA4903">
        <v>7033.624667825371</v>
      </c>
      <c r="AB4903">
        <v>0</v>
      </c>
    </row>
    <row r="4904" spans="2:30" x14ac:dyDescent="0.25">
      <c r="B4904" t="s">
        <v>133</v>
      </c>
      <c r="C4904" t="s">
        <v>3265</v>
      </c>
      <c r="D4904" t="s">
        <v>6680</v>
      </c>
      <c r="E4904" t="s">
        <v>6681</v>
      </c>
      <c r="F4904" t="s">
        <v>10382</v>
      </c>
      <c r="G4904" t="s">
        <v>3890</v>
      </c>
      <c r="H4904" t="s">
        <v>6673</v>
      </c>
      <c r="J4904">
        <v>1</v>
      </c>
      <c r="K4904">
        <v>20149.568606494697</v>
      </c>
      <c r="L4904">
        <v>5639.238359032689</v>
      </c>
      <c r="M4904">
        <v>0</v>
      </c>
      <c r="N4904">
        <v>0</v>
      </c>
      <c r="O4904">
        <v>0</v>
      </c>
      <c r="P4904">
        <v>406.19916287344472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3738.2677813151518</v>
      </c>
      <c r="Z4904">
        <v>0</v>
      </c>
      <c r="AA4904">
        <v>458.93271398915772</v>
      </c>
      <c r="AB4904">
        <v>132.16618156616914</v>
      </c>
    </row>
    <row r="4905" spans="2:30" x14ac:dyDescent="0.25">
      <c r="B4905" t="s">
        <v>133</v>
      </c>
      <c r="C4905" t="s">
        <v>3265</v>
      </c>
      <c r="D4905" t="s">
        <v>6683</v>
      </c>
      <c r="E4905" t="s">
        <v>6684</v>
      </c>
      <c r="F4905" t="s">
        <v>10383</v>
      </c>
      <c r="G4905" t="s">
        <v>3890</v>
      </c>
      <c r="H4905" t="s">
        <v>6673</v>
      </c>
      <c r="J4905">
        <v>1</v>
      </c>
      <c r="K4905">
        <v>0</v>
      </c>
      <c r="L4905">
        <v>0</v>
      </c>
      <c r="M4905">
        <v>6886.5366168853025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</row>
    <row r="4906" spans="2:30" x14ac:dyDescent="0.25">
      <c r="B4906" t="s">
        <v>133</v>
      </c>
      <c r="C4906" t="s">
        <v>3265</v>
      </c>
      <c r="D4906" t="s">
        <v>6686</v>
      </c>
      <c r="E4906" t="s">
        <v>6687</v>
      </c>
      <c r="F4906" t="s">
        <v>10384</v>
      </c>
      <c r="G4906" t="s">
        <v>3890</v>
      </c>
      <c r="H4906" t="s">
        <v>6673</v>
      </c>
      <c r="J4906">
        <v>1</v>
      </c>
      <c r="K4906">
        <v>0</v>
      </c>
      <c r="L4906">
        <v>0</v>
      </c>
      <c r="M4906">
        <v>9684.2069787763849</v>
      </c>
      <c r="N4906">
        <v>0</v>
      </c>
      <c r="O4906">
        <v>0</v>
      </c>
      <c r="P4906">
        <v>0</v>
      </c>
      <c r="Q4906">
        <v>0</v>
      </c>
      <c r="R4906">
        <v>1387.0134096766124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5596.4219107402141</v>
      </c>
      <c r="Z4906">
        <v>0</v>
      </c>
      <c r="AA4906">
        <v>1263.5535407034979</v>
      </c>
      <c r="AB4906">
        <v>0</v>
      </c>
    </row>
    <row r="4907" spans="2:30" x14ac:dyDescent="0.25">
      <c r="B4907" t="s">
        <v>133</v>
      </c>
      <c r="C4907" t="s">
        <v>3265</v>
      </c>
      <c r="D4907" t="s">
        <v>6689</v>
      </c>
      <c r="E4907" t="s">
        <v>6690</v>
      </c>
      <c r="F4907" t="s">
        <v>10385</v>
      </c>
      <c r="G4907" t="s">
        <v>3890</v>
      </c>
      <c r="H4907" t="s">
        <v>6673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3.3419856694580128</v>
      </c>
      <c r="R4907">
        <v>0.43375111192193644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5.3963225426605339</v>
      </c>
      <c r="Z4907">
        <v>0</v>
      </c>
      <c r="AA4907">
        <v>0</v>
      </c>
      <c r="AB4907">
        <v>0</v>
      </c>
    </row>
    <row r="4908" spans="2:30" x14ac:dyDescent="0.25">
      <c r="B4908" t="s">
        <v>133</v>
      </c>
      <c r="C4908" t="s">
        <v>3265</v>
      </c>
      <c r="D4908" t="s">
        <v>6692</v>
      </c>
      <c r="E4908" t="s">
        <v>6693</v>
      </c>
      <c r="F4908" t="s">
        <v>10386</v>
      </c>
      <c r="G4908" t="s">
        <v>3890</v>
      </c>
      <c r="H4908" t="s">
        <v>6673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4252.483517832944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25.700629101682985</v>
      </c>
      <c r="Z4908">
        <v>0</v>
      </c>
      <c r="AA4908">
        <v>3382.6414899306828</v>
      </c>
      <c r="AB4908">
        <v>0</v>
      </c>
    </row>
    <row r="4909" spans="2:30" x14ac:dyDescent="0.25">
      <c r="B4909" t="s">
        <v>133</v>
      </c>
      <c r="C4909" t="s">
        <v>3265</v>
      </c>
      <c r="D4909" t="s">
        <v>6695</v>
      </c>
      <c r="E4909" t="s">
        <v>6696</v>
      </c>
      <c r="F4909" t="s">
        <v>10387</v>
      </c>
      <c r="G4909" t="s">
        <v>3890</v>
      </c>
      <c r="H4909" t="s">
        <v>6673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911.12642426304808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2:30" x14ac:dyDescent="0.25">
      <c r="B4910" t="s">
        <v>133</v>
      </c>
      <c r="C4910" t="s">
        <v>3265</v>
      </c>
      <c r="D4910" t="s">
        <v>6698</v>
      </c>
      <c r="E4910" t="s">
        <v>6699</v>
      </c>
      <c r="F4910" t="s">
        <v>10388</v>
      </c>
      <c r="G4910" t="s">
        <v>3890</v>
      </c>
      <c r="H4910" t="s">
        <v>6673</v>
      </c>
      <c r="J4910">
        <v>1</v>
      </c>
      <c r="K4910">
        <v>14986.852035370563</v>
      </c>
      <c r="L4910">
        <v>420.30197326158748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</row>
    <row r="4911" spans="2:30" x14ac:dyDescent="0.25">
      <c r="B4911" t="s">
        <v>133</v>
      </c>
      <c r="C4911" t="s">
        <v>3265</v>
      </c>
      <c r="D4911" t="s">
        <v>6701</v>
      </c>
      <c r="E4911" t="s">
        <v>6702</v>
      </c>
      <c r="F4911" t="s">
        <v>10389</v>
      </c>
      <c r="G4911" t="s">
        <v>3890</v>
      </c>
      <c r="H4911" t="s">
        <v>6673</v>
      </c>
      <c r="J4911">
        <v>1</v>
      </c>
      <c r="K4911">
        <v>13025.177174955468</v>
      </c>
      <c r="L4911">
        <v>365.93155579022817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</row>
    <row r="4912" spans="2:30" x14ac:dyDescent="0.25">
      <c r="B4912" t="s">
        <v>133</v>
      </c>
      <c r="C4912" t="s">
        <v>3265</v>
      </c>
      <c r="D4912" t="s">
        <v>6704</v>
      </c>
      <c r="E4912" t="s">
        <v>6705</v>
      </c>
      <c r="F4912" t="s">
        <v>10390</v>
      </c>
      <c r="G4912" t="s">
        <v>3890</v>
      </c>
      <c r="H4912" t="s">
        <v>6673</v>
      </c>
      <c r="J4912">
        <v>1</v>
      </c>
      <c r="K4912">
        <v>36152.849196597024</v>
      </c>
      <c r="L4912">
        <v>1254.5881724800295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</row>
    <row r="4913" spans="2:30" x14ac:dyDescent="0.25">
      <c r="B4913" t="s">
        <v>133</v>
      </c>
      <c r="C4913" t="s">
        <v>3265</v>
      </c>
      <c r="D4913" t="s">
        <v>6707</v>
      </c>
      <c r="E4913" t="s">
        <v>6708</v>
      </c>
      <c r="F4913" t="s">
        <v>10391</v>
      </c>
      <c r="G4913" t="s">
        <v>3890</v>
      </c>
      <c r="H4913" t="s">
        <v>6673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</row>
    <row r="4914" spans="2:30" x14ac:dyDescent="0.25">
      <c r="B4914" t="s">
        <v>133</v>
      </c>
      <c r="C4914" t="s">
        <v>3265</v>
      </c>
      <c r="D4914" t="s">
        <v>6710</v>
      </c>
      <c r="E4914" t="s">
        <v>6711</v>
      </c>
      <c r="F4914" t="s">
        <v>10392</v>
      </c>
      <c r="G4914" t="s">
        <v>3890</v>
      </c>
      <c r="H4914" t="s">
        <v>6673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2:30" x14ac:dyDescent="0.25">
      <c r="B4915" t="s">
        <v>133</v>
      </c>
      <c r="C4915" t="s">
        <v>3265</v>
      </c>
      <c r="D4915" t="s">
        <v>6713</v>
      </c>
      <c r="E4915" t="s">
        <v>6714</v>
      </c>
      <c r="F4915" t="s">
        <v>10393</v>
      </c>
      <c r="G4915" t="s">
        <v>3890</v>
      </c>
      <c r="H4915" t="s">
        <v>6673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1304.2656404773859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</row>
    <row r="4916" spans="2:30" x14ac:dyDescent="0.25">
      <c r="B4916" t="s">
        <v>133</v>
      </c>
      <c r="C4916" t="s">
        <v>3265</v>
      </c>
      <c r="D4916" t="s">
        <v>6716</v>
      </c>
      <c r="E4916" t="s">
        <v>6717</v>
      </c>
      <c r="F4916" t="s">
        <v>10394</v>
      </c>
      <c r="G4916" t="s">
        <v>3890</v>
      </c>
      <c r="H4916" t="s">
        <v>6673</v>
      </c>
      <c r="J4916">
        <v>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2:30" x14ac:dyDescent="0.25">
      <c r="B4917" t="s">
        <v>133</v>
      </c>
      <c r="C4917" t="s">
        <v>3265</v>
      </c>
      <c r="D4917" t="s">
        <v>6719</v>
      </c>
      <c r="E4917" t="s">
        <v>6720</v>
      </c>
      <c r="F4917" t="s">
        <v>10395</v>
      </c>
      <c r="G4917" t="s">
        <v>3890</v>
      </c>
      <c r="H4917" t="s">
        <v>6673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</row>
    <row r="4918" spans="2:30" x14ac:dyDescent="0.25">
      <c r="B4918" t="s">
        <v>133</v>
      </c>
      <c r="C4918" t="s">
        <v>3265</v>
      </c>
      <c r="D4918" t="s">
        <v>6722</v>
      </c>
      <c r="E4918" t="s">
        <v>6723</v>
      </c>
      <c r="F4918" t="s">
        <v>10396</v>
      </c>
      <c r="G4918" t="s">
        <v>3890</v>
      </c>
      <c r="H4918" t="s">
        <v>6673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</row>
    <row r="4919" spans="2:30" x14ac:dyDescent="0.25">
      <c r="B4919" t="s">
        <v>133</v>
      </c>
      <c r="C4919" t="s">
        <v>3265</v>
      </c>
      <c r="D4919" t="s">
        <v>6725</v>
      </c>
      <c r="E4919" t="s">
        <v>6726</v>
      </c>
      <c r="F4919" t="s">
        <v>10397</v>
      </c>
      <c r="G4919" t="s">
        <v>3890</v>
      </c>
      <c r="H4919" t="s">
        <v>6673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2:30" x14ac:dyDescent="0.25">
      <c r="B4920" t="s">
        <v>133</v>
      </c>
      <c r="C4920" t="s">
        <v>3265</v>
      </c>
      <c r="D4920" t="s">
        <v>6728</v>
      </c>
      <c r="E4920" t="s">
        <v>6729</v>
      </c>
      <c r="F4920" t="s">
        <v>10398</v>
      </c>
      <c r="G4920" t="s">
        <v>3890</v>
      </c>
      <c r="K4920">
        <v>208.73974100000004</v>
      </c>
      <c r="L4920">
        <v>202.17573700254144</v>
      </c>
      <c r="M4920">
        <v>232.19628888015956</v>
      </c>
      <c r="N4920">
        <v>257.22993241027774</v>
      </c>
      <c r="O4920">
        <v>270.62641373049263</v>
      </c>
      <c r="P4920">
        <v>275.01542944374165</v>
      </c>
      <c r="Q4920">
        <v>282.78171152982401</v>
      </c>
      <c r="R4920">
        <v>292.88695538737221</v>
      </c>
      <c r="S4920">
        <v>303.33819120609371</v>
      </c>
      <c r="T4920">
        <v>314.25822880033718</v>
      </c>
      <c r="U4920">
        <v>325.75156006165827</v>
      </c>
      <c r="V4920">
        <v>338.35413530215936</v>
      </c>
      <c r="W4920">
        <v>352.29561639858815</v>
      </c>
      <c r="X4920">
        <v>367.98281566372367</v>
      </c>
      <c r="Y4920">
        <v>385.65573459479606</v>
      </c>
      <c r="Z4920">
        <v>405.74391066212473</v>
      </c>
      <c r="AA4920">
        <v>428.72027458148068</v>
      </c>
      <c r="AB4920">
        <v>455.17876485118734</v>
      </c>
      <c r="AC4920">
        <v>485.61140969269115</v>
      </c>
      <c r="AD4920">
        <v>519.09878414632362</v>
      </c>
    </row>
    <row r="4921" spans="2:30" x14ac:dyDescent="0.25">
      <c r="B4921" t="s">
        <v>133</v>
      </c>
      <c r="C4921" t="s">
        <v>3265</v>
      </c>
      <c r="D4921" t="s">
        <v>6731</v>
      </c>
      <c r="E4921" t="s">
        <v>6732</v>
      </c>
      <c r="F4921" t="s">
        <v>10399</v>
      </c>
      <c r="G4921" t="s">
        <v>3890</v>
      </c>
      <c r="K4921">
        <v>208.73974100000004</v>
      </c>
      <c r="L4921">
        <v>202.17573700254144</v>
      </c>
      <c r="M4921">
        <v>232.19628888015956</v>
      </c>
      <c r="N4921">
        <v>257.22993241027774</v>
      </c>
      <c r="O4921">
        <v>270.62641373049263</v>
      </c>
      <c r="P4921">
        <v>275.01542944374165</v>
      </c>
      <c r="Q4921">
        <v>282.78171152982401</v>
      </c>
      <c r="R4921">
        <v>292.03883316067703</v>
      </c>
      <c r="S4921">
        <v>300.22407395829805</v>
      </c>
      <c r="T4921">
        <v>307.67288553791587</v>
      </c>
      <c r="U4921">
        <v>314.76788738300729</v>
      </c>
      <c r="V4921">
        <v>322.31523392681498</v>
      </c>
      <c r="W4921">
        <v>330.68075779886493</v>
      </c>
      <c r="X4921">
        <v>340.37350784993993</v>
      </c>
      <c r="Y4921">
        <v>351.66936136547258</v>
      </c>
      <c r="Z4921">
        <v>370.14520729298965</v>
      </c>
      <c r="AA4921">
        <v>391.07968862765102</v>
      </c>
      <c r="AB4921">
        <v>416.2384326992663</v>
      </c>
      <c r="AC4921">
        <v>444.7935572327749</v>
      </c>
      <c r="AD4921">
        <v>476.39271189056535</v>
      </c>
    </row>
    <row r="4922" spans="2:30" x14ac:dyDescent="0.25">
      <c r="B4922" t="s">
        <v>133</v>
      </c>
      <c r="C4922" t="s">
        <v>3265</v>
      </c>
      <c r="D4922" t="s">
        <v>6734</v>
      </c>
      <c r="E4922" t="s">
        <v>6735</v>
      </c>
      <c r="F4922" t="s">
        <v>10400</v>
      </c>
      <c r="G4922" t="s">
        <v>3890</v>
      </c>
      <c r="H4922" t="s">
        <v>6737</v>
      </c>
      <c r="I4922" t="s">
        <v>6738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</row>
    <row r="4923" spans="2:30" x14ac:dyDescent="0.25">
      <c r="B4923" t="s">
        <v>133</v>
      </c>
      <c r="C4923" t="s">
        <v>3265</v>
      </c>
      <c r="D4923" t="s">
        <v>6739</v>
      </c>
      <c r="E4923" t="s">
        <v>6740</v>
      </c>
      <c r="F4923" t="s">
        <v>10401</v>
      </c>
      <c r="G4923" t="s">
        <v>3890</v>
      </c>
      <c r="H4923" t="s">
        <v>6742</v>
      </c>
      <c r="I4923" t="s">
        <v>6738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</row>
    <row r="4924" spans="2:30" x14ac:dyDescent="0.25">
      <c r="B4924" t="s">
        <v>133</v>
      </c>
      <c r="C4924" t="s">
        <v>3265</v>
      </c>
      <c r="D4924" t="s">
        <v>6743</v>
      </c>
      <c r="E4924" t="s">
        <v>6744</v>
      </c>
      <c r="F4924" t="s">
        <v>10402</v>
      </c>
      <c r="G4924" t="s">
        <v>3890</v>
      </c>
      <c r="H4924" t="s">
        <v>6746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</row>
    <row r="4925" spans="2:30" x14ac:dyDescent="0.25">
      <c r="B4925" t="s">
        <v>133</v>
      </c>
      <c r="C4925" t="s">
        <v>3265</v>
      </c>
      <c r="D4925" t="s">
        <v>6747</v>
      </c>
      <c r="E4925" t="s">
        <v>6748</v>
      </c>
      <c r="F4925" t="s">
        <v>10403</v>
      </c>
      <c r="G4925" t="s">
        <v>3890</v>
      </c>
      <c r="H4925" t="s">
        <v>6746</v>
      </c>
      <c r="J4925">
        <v>1</v>
      </c>
      <c r="K4925">
        <v>805.95961391973492</v>
      </c>
      <c r="L4925">
        <v>0</v>
      </c>
      <c r="M4925">
        <v>2040.3778086602601</v>
      </c>
      <c r="N4925">
        <v>2304.3482542661814</v>
      </c>
      <c r="O4925">
        <v>2471.9114533007887</v>
      </c>
      <c r="P4925">
        <v>1435.6913396425737</v>
      </c>
      <c r="Q4925">
        <v>1820.6499276213412</v>
      </c>
      <c r="R4925">
        <v>2084.5526161435255</v>
      </c>
      <c r="S4925">
        <v>2120.9847587309005</v>
      </c>
      <c r="T4925">
        <v>2207.9707994489268</v>
      </c>
      <c r="U4925">
        <v>2305.2559186959675</v>
      </c>
      <c r="V4925">
        <v>2462.0138701987953</v>
      </c>
      <c r="W4925">
        <v>2643.6608934562469</v>
      </c>
      <c r="X4925">
        <v>2870.756978480304</v>
      </c>
      <c r="Y4925">
        <v>3129.0055062729721</v>
      </c>
      <c r="Z4925">
        <v>3433.8315667191118</v>
      </c>
      <c r="AA4925">
        <v>3794.5558004182717</v>
      </c>
      <c r="AB4925">
        <v>4269.7419469460856</v>
      </c>
      <c r="AC4925">
        <v>4552.9896451352515</v>
      </c>
      <c r="AD4925">
        <v>4859.8841870772612</v>
      </c>
    </row>
    <row r="4926" spans="2:30" x14ac:dyDescent="0.25">
      <c r="B4926" t="s">
        <v>133</v>
      </c>
      <c r="C4926" t="s">
        <v>3265</v>
      </c>
      <c r="D4926" t="s">
        <v>6750</v>
      </c>
      <c r="E4926" t="s">
        <v>6751</v>
      </c>
      <c r="F4926" t="s">
        <v>10404</v>
      </c>
      <c r="G4926" t="s">
        <v>3890</v>
      </c>
      <c r="H4926" t="s">
        <v>6746</v>
      </c>
      <c r="J4926">
        <v>1</v>
      </c>
      <c r="K4926">
        <v>19.434151922131466</v>
      </c>
      <c r="L4926">
        <v>0</v>
      </c>
      <c r="M4926">
        <v>3447.32489463196</v>
      </c>
      <c r="N4926">
        <v>138.70540668286202</v>
      </c>
      <c r="O4926">
        <v>101.95638440937793</v>
      </c>
      <c r="P4926">
        <v>64.416503483641478</v>
      </c>
      <c r="Q4926">
        <v>81.688799790566023</v>
      </c>
      <c r="R4926">
        <v>93.529568056789486</v>
      </c>
      <c r="S4926">
        <v>95.164203005886861</v>
      </c>
      <c r="T4926">
        <v>99.067086892012341</v>
      </c>
      <c r="U4926">
        <v>103.43206914818701</v>
      </c>
      <c r="V4926">
        <v>110.46547448417262</v>
      </c>
      <c r="W4926">
        <v>118.61560103530847</v>
      </c>
      <c r="X4926">
        <v>128.80493306521083</v>
      </c>
      <c r="Y4926">
        <v>140.3920108240996</v>
      </c>
      <c r="Z4926">
        <v>154.06892621840848</v>
      </c>
      <c r="AA4926">
        <v>170.25387713028118</v>
      </c>
      <c r="AB4926">
        <v>188.09988516996475</v>
      </c>
      <c r="AC4926">
        <v>208.27009742232821</v>
      </c>
      <c r="AD4926">
        <v>227.24084890588921</v>
      </c>
    </row>
    <row r="4927" spans="2:30" x14ac:dyDescent="0.25">
      <c r="B4927" t="s">
        <v>133</v>
      </c>
      <c r="C4927" t="s">
        <v>3265</v>
      </c>
      <c r="D4927" t="s">
        <v>6753</v>
      </c>
      <c r="E4927" t="s">
        <v>6754</v>
      </c>
      <c r="F4927" t="s">
        <v>10405</v>
      </c>
      <c r="G4927" t="s">
        <v>3890</v>
      </c>
      <c r="H4927" t="s">
        <v>6746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</row>
    <row r="4928" spans="2:30" x14ac:dyDescent="0.25">
      <c r="B4928" t="s">
        <v>133</v>
      </c>
      <c r="C4928" t="s">
        <v>3265</v>
      </c>
      <c r="D4928" t="s">
        <v>6756</v>
      </c>
      <c r="E4928" t="s">
        <v>6757</v>
      </c>
      <c r="F4928" t="s">
        <v>10406</v>
      </c>
      <c r="G4928" t="s">
        <v>3890</v>
      </c>
      <c r="H4928" t="s">
        <v>6746</v>
      </c>
      <c r="J4928">
        <v>1</v>
      </c>
      <c r="K4928">
        <v>602.95086128679395</v>
      </c>
      <c r="L4928">
        <v>0</v>
      </c>
      <c r="M4928">
        <v>1539.8051196022761</v>
      </c>
      <c r="N4928">
        <v>1739.0148158862114</v>
      </c>
      <c r="O4928">
        <v>1919.5977281545797</v>
      </c>
      <c r="P4928">
        <v>1092.2536853934698</v>
      </c>
      <c r="Q4928">
        <v>1405.1709562061765</v>
      </c>
      <c r="R4928">
        <v>1623.0477582998385</v>
      </c>
      <c r="S4928">
        <v>1663.0639883193519</v>
      </c>
      <c r="T4928">
        <v>1721.5065540523653</v>
      </c>
      <c r="U4928">
        <v>1792.5700636951369</v>
      </c>
      <c r="V4928">
        <v>1915.1116298601403</v>
      </c>
      <c r="W4928">
        <v>2061.3694805461159</v>
      </c>
      <c r="X4928">
        <v>2248.3000904132145</v>
      </c>
      <c r="Y4928">
        <v>2459.3306385272517</v>
      </c>
      <c r="Z4928">
        <v>2715.6640154730367</v>
      </c>
      <c r="AA4928">
        <v>3021.7174935731846</v>
      </c>
      <c r="AB4928">
        <v>3234.6311454244237</v>
      </c>
      <c r="AC4928">
        <v>3435.9895188620699</v>
      </c>
      <c r="AD4928">
        <v>3667.5925998476396</v>
      </c>
    </row>
    <row r="4929" spans="2:30" x14ac:dyDescent="0.25">
      <c r="B4929" t="s">
        <v>133</v>
      </c>
      <c r="C4929" t="s">
        <v>3265</v>
      </c>
      <c r="D4929" t="s">
        <v>6759</v>
      </c>
      <c r="E4929" t="s">
        <v>6760</v>
      </c>
      <c r="F4929" t="s">
        <v>10407</v>
      </c>
      <c r="G4929" t="s">
        <v>3890</v>
      </c>
      <c r="H4929" t="s">
        <v>6746</v>
      </c>
      <c r="J4929">
        <v>1</v>
      </c>
      <c r="K4929">
        <v>297.34754076203683</v>
      </c>
      <c r="L4929">
        <v>0</v>
      </c>
      <c r="M4929">
        <v>2566.3418660037933</v>
      </c>
      <c r="N4929">
        <v>2898.3580264770189</v>
      </c>
      <c r="O4929">
        <v>1377.3717767420226</v>
      </c>
      <c r="P4929">
        <v>876.43011736880885</v>
      </c>
      <c r="Q4929">
        <v>1255.4009742322939</v>
      </c>
      <c r="R4929">
        <v>1621.5764095964125</v>
      </c>
      <c r="S4929">
        <v>1853.11235046719</v>
      </c>
      <c r="T4929">
        <v>1965.8377226285727</v>
      </c>
      <c r="U4929">
        <v>2097.786645907172</v>
      </c>
      <c r="V4929">
        <v>2290.6530495235397</v>
      </c>
      <c r="W4929">
        <v>2526.7789816381573</v>
      </c>
      <c r="X4929">
        <v>2824.3068856188011</v>
      </c>
      <c r="Y4929">
        <v>3162.8727604923752</v>
      </c>
      <c r="Z4929">
        <v>3579.2087739505923</v>
      </c>
      <c r="AA4929">
        <v>4070.4731677359232</v>
      </c>
      <c r="AB4929">
        <v>4782.9376266933468</v>
      </c>
      <c r="AC4929">
        <v>5726.6491981034487</v>
      </c>
      <c r="AD4929">
        <v>6112.6543330793993</v>
      </c>
    </row>
    <row r="4930" spans="2:30" x14ac:dyDescent="0.25">
      <c r="B4930" t="s">
        <v>133</v>
      </c>
      <c r="C4930" t="s">
        <v>3265</v>
      </c>
      <c r="D4930" t="s">
        <v>6762</v>
      </c>
      <c r="E4930" t="s">
        <v>6763</v>
      </c>
      <c r="F4930" t="s">
        <v>10408</v>
      </c>
      <c r="G4930" t="s">
        <v>3890</v>
      </c>
      <c r="H4930" t="s">
        <v>6746</v>
      </c>
      <c r="J4930">
        <v>1</v>
      </c>
      <c r="K4930">
        <v>90.935703837345002</v>
      </c>
      <c r="L4930">
        <v>0</v>
      </c>
      <c r="M4930">
        <v>2671.4619869672465</v>
      </c>
      <c r="N4930">
        <v>2916.900344154114</v>
      </c>
      <c r="O4930">
        <v>274.96334326337751</v>
      </c>
      <c r="P4930">
        <v>159.69928458208554</v>
      </c>
      <c r="Q4930">
        <v>202.52019559297483</v>
      </c>
      <c r="R4930">
        <v>231.87544027027025</v>
      </c>
      <c r="S4930">
        <v>235.92797367096961</v>
      </c>
      <c r="T4930">
        <v>245.60387550844627</v>
      </c>
      <c r="U4930">
        <v>256.42539648251801</v>
      </c>
      <c r="V4930">
        <v>273.86238451490897</v>
      </c>
      <c r="W4930">
        <v>294.06791119023353</v>
      </c>
      <c r="X4930">
        <v>319.32896926610334</v>
      </c>
      <c r="Y4930">
        <v>348.05527275076003</v>
      </c>
      <c r="Z4930">
        <v>381.9626332195802</v>
      </c>
      <c r="AA4930">
        <v>422.08783315811201</v>
      </c>
      <c r="AB4930">
        <v>466.33107149698526</v>
      </c>
      <c r="AC4930">
        <v>833.60410166860527</v>
      </c>
      <c r="AD4930">
        <v>1163.6493548969411</v>
      </c>
    </row>
    <row r="4931" spans="2:30" x14ac:dyDescent="0.25">
      <c r="B4931" t="s">
        <v>133</v>
      </c>
      <c r="C4931" t="s">
        <v>3265</v>
      </c>
      <c r="D4931" t="s">
        <v>6765</v>
      </c>
      <c r="E4931" t="s">
        <v>6766</v>
      </c>
      <c r="F4931" t="s">
        <v>10409</v>
      </c>
      <c r="G4931" t="s">
        <v>3890</v>
      </c>
      <c r="H4931" t="s">
        <v>6746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</row>
    <row r="4932" spans="2:30" x14ac:dyDescent="0.25">
      <c r="B4932" t="s">
        <v>133</v>
      </c>
      <c r="C4932" t="s">
        <v>3265</v>
      </c>
      <c r="D4932" t="s">
        <v>6768</v>
      </c>
      <c r="E4932" t="s">
        <v>6769</v>
      </c>
      <c r="F4932" t="s">
        <v>10410</v>
      </c>
      <c r="G4932" t="s">
        <v>3890</v>
      </c>
      <c r="H4932" t="s">
        <v>6746</v>
      </c>
      <c r="J4932">
        <v>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</row>
    <row r="4933" spans="2:30" x14ac:dyDescent="0.25">
      <c r="B4933" t="s">
        <v>133</v>
      </c>
      <c r="C4933" t="s">
        <v>3265</v>
      </c>
      <c r="D4933" t="s">
        <v>6771</v>
      </c>
      <c r="E4933" t="s">
        <v>6772</v>
      </c>
      <c r="F4933" t="s">
        <v>10411</v>
      </c>
      <c r="G4933" t="s">
        <v>3890</v>
      </c>
      <c r="H4933" t="s">
        <v>6746</v>
      </c>
      <c r="J4933">
        <v>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</row>
    <row r="4934" spans="2:30" x14ac:dyDescent="0.25">
      <c r="B4934" t="s">
        <v>133</v>
      </c>
      <c r="C4934" t="s">
        <v>3265</v>
      </c>
      <c r="D4934" t="s">
        <v>6774</v>
      </c>
      <c r="E4934" t="s">
        <v>6775</v>
      </c>
      <c r="F4934" t="s">
        <v>10412</v>
      </c>
      <c r="G4934" t="s">
        <v>3890</v>
      </c>
      <c r="H4934" t="s">
        <v>6746</v>
      </c>
      <c r="J4934">
        <v>2</v>
      </c>
      <c r="K4934">
        <v>805.95961391973492</v>
      </c>
      <c r="L4934">
        <v>0</v>
      </c>
      <c r="M4934">
        <v>2040.3778086602601</v>
      </c>
      <c r="N4934">
        <v>2304.3482542661814</v>
      </c>
      <c r="O4934">
        <v>2471.9114533007887</v>
      </c>
      <c r="P4934">
        <v>1435.6913396425737</v>
      </c>
      <c r="Q4934">
        <v>1753.0271367355647</v>
      </c>
      <c r="R4934">
        <v>1839.6654505905776</v>
      </c>
      <c r="S4934">
        <v>1657.6978435397928</v>
      </c>
      <c r="T4934">
        <v>1549.2638906021939</v>
      </c>
      <c r="U4934">
        <v>1479.9514794093318</v>
      </c>
      <c r="V4934">
        <v>1485.8877393725545</v>
      </c>
      <c r="W4934">
        <v>1522.9501374032186</v>
      </c>
      <c r="X4934">
        <v>1601.5527133570708</v>
      </c>
      <c r="Y4934">
        <v>1751.3358957903872</v>
      </c>
      <c r="Z4934">
        <v>2549.628025678313</v>
      </c>
      <c r="AA4934">
        <v>2874.9380993588784</v>
      </c>
      <c r="AB4934">
        <v>3612.004379417127</v>
      </c>
      <c r="AC4934">
        <v>4160.3002991689955</v>
      </c>
      <c r="AD4934">
        <v>4448.2612013333937</v>
      </c>
    </row>
    <row r="4935" spans="2:30" x14ac:dyDescent="0.25">
      <c r="B4935" t="s">
        <v>133</v>
      </c>
      <c r="C4935" t="s">
        <v>3265</v>
      </c>
      <c r="D4935" t="s">
        <v>6777</v>
      </c>
      <c r="E4935" t="s">
        <v>6778</v>
      </c>
      <c r="F4935" t="s">
        <v>10413</v>
      </c>
      <c r="G4935" t="s">
        <v>3890</v>
      </c>
      <c r="H4935" t="s">
        <v>6746</v>
      </c>
      <c r="J4935">
        <v>2</v>
      </c>
      <c r="K4935">
        <v>19.434151922131466</v>
      </c>
      <c r="L4935">
        <v>0</v>
      </c>
      <c r="M4935">
        <v>3447.32489463196</v>
      </c>
      <c r="N4935">
        <v>138.70540668286202</v>
      </c>
      <c r="O4935">
        <v>101.95638440937793</v>
      </c>
      <c r="P4935">
        <v>64.416503483641478</v>
      </c>
      <c r="Q4935">
        <v>72.631482965436646</v>
      </c>
      <c r="R4935">
        <v>78.95746839643374</v>
      </c>
      <c r="S4935">
        <v>79.846692013158005</v>
      </c>
      <c r="T4935">
        <v>88.338844234650566</v>
      </c>
      <c r="U4935">
        <v>103.30997586959748</v>
      </c>
      <c r="V4935">
        <v>129.46613133690175</v>
      </c>
      <c r="W4935">
        <v>167.17608560904824</v>
      </c>
      <c r="X4935">
        <v>222.0109402398603</v>
      </c>
      <c r="Y4935">
        <v>242.77423131782626</v>
      </c>
      <c r="Z4935">
        <v>326.65532508386229</v>
      </c>
      <c r="AA4935">
        <v>359.29777054647531</v>
      </c>
      <c r="AB4935">
        <v>408.68529843399415</v>
      </c>
      <c r="AC4935">
        <v>448.50374591375947</v>
      </c>
      <c r="AD4935">
        <v>491.79307867319324</v>
      </c>
    </row>
    <row r="4936" spans="2:30" x14ac:dyDescent="0.25">
      <c r="B4936" t="s">
        <v>133</v>
      </c>
      <c r="C4936" t="s">
        <v>3265</v>
      </c>
      <c r="D4936" t="s">
        <v>6780</v>
      </c>
      <c r="E4936" t="s">
        <v>6781</v>
      </c>
      <c r="F4936" t="s">
        <v>10414</v>
      </c>
      <c r="G4936" t="s">
        <v>3890</v>
      </c>
      <c r="H4936" t="s">
        <v>6746</v>
      </c>
      <c r="J4936">
        <v>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</row>
    <row r="4937" spans="2:30" x14ac:dyDescent="0.25">
      <c r="B4937" t="s">
        <v>133</v>
      </c>
      <c r="C4937" t="s">
        <v>3265</v>
      </c>
      <c r="D4937" t="s">
        <v>6783</v>
      </c>
      <c r="E4937" t="s">
        <v>6784</v>
      </c>
      <c r="F4937" t="s">
        <v>10415</v>
      </c>
      <c r="G4937" t="s">
        <v>3890</v>
      </c>
      <c r="H4937" t="s">
        <v>6746</v>
      </c>
      <c r="J4937">
        <v>2</v>
      </c>
      <c r="K4937">
        <v>602.95086128679395</v>
      </c>
      <c r="L4937">
        <v>0</v>
      </c>
      <c r="M4937">
        <v>1539.8051196022761</v>
      </c>
      <c r="N4937">
        <v>1739.0148158862114</v>
      </c>
      <c r="O4937">
        <v>1919.5977281545797</v>
      </c>
      <c r="P4937">
        <v>1092.2536853934698</v>
      </c>
      <c r="Q4937">
        <v>1481.7874313853411</v>
      </c>
      <c r="R4937">
        <v>1697.9388040952635</v>
      </c>
      <c r="S4937">
        <v>1650.8349696916127</v>
      </c>
      <c r="T4937">
        <v>1632.0348957742951</v>
      </c>
      <c r="U4937">
        <v>1642.7096814137294</v>
      </c>
      <c r="V4937">
        <v>1731.5820770781693</v>
      </c>
      <c r="W4937">
        <v>1855.2156155218302</v>
      </c>
      <c r="X4937">
        <v>2031.5167041034049</v>
      </c>
      <c r="Y4937">
        <v>2223.6709529916134</v>
      </c>
      <c r="Z4937">
        <v>2648.2467221671327</v>
      </c>
      <c r="AA4937">
        <v>2788.8543776276883</v>
      </c>
      <c r="AB4937">
        <v>2948.1731092461168</v>
      </c>
      <c r="AC4937">
        <v>3139.6399591062022</v>
      </c>
      <c r="AD4937">
        <v>3356.9544532729337</v>
      </c>
    </row>
    <row r="4938" spans="2:30" x14ac:dyDescent="0.25">
      <c r="B4938" t="s">
        <v>133</v>
      </c>
      <c r="C4938" t="s">
        <v>3265</v>
      </c>
      <c r="D4938" t="s">
        <v>6786</v>
      </c>
      <c r="E4938" t="s">
        <v>6787</v>
      </c>
      <c r="F4938" t="s">
        <v>10416</v>
      </c>
      <c r="G4938" t="s">
        <v>3890</v>
      </c>
      <c r="H4938" t="s">
        <v>6746</v>
      </c>
      <c r="J4938">
        <v>2</v>
      </c>
      <c r="K4938">
        <v>297.34754076203683</v>
      </c>
      <c r="L4938">
        <v>0</v>
      </c>
      <c r="M4938">
        <v>2566.3418660037933</v>
      </c>
      <c r="N4938">
        <v>2898.3580264770189</v>
      </c>
      <c r="O4938">
        <v>1377.3717767420226</v>
      </c>
      <c r="P4938">
        <v>876.43011736880885</v>
      </c>
      <c r="Q4938">
        <v>1322.1884359611126</v>
      </c>
      <c r="R4938">
        <v>1703.9858823979957</v>
      </c>
      <c r="S4938">
        <v>1860.4258248743877</v>
      </c>
      <c r="T4938">
        <v>1901.4460770488779</v>
      </c>
      <c r="U4938">
        <v>1978.5103234575233</v>
      </c>
      <c r="V4938">
        <v>2149.0656044123511</v>
      </c>
      <c r="W4938">
        <v>2375.434924478348</v>
      </c>
      <c r="X4938">
        <v>2679.4257672341928</v>
      </c>
      <c r="Y4938">
        <v>2990.4722936931926</v>
      </c>
      <c r="Z4938">
        <v>4134.6632585562502</v>
      </c>
      <c r="AA4938">
        <v>4643.3682202265127</v>
      </c>
      <c r="AB4938">
        <v>4913.6218487435272</v>
      </c>
      <c r="AC4938">
        <v>5232.733265177003</v>
      </c>
      <c r="AD4938">
        <v>5594.9240887882224</v>
      </c>
    </row>
    <row r="4939" spans="2:30" x14ac:dyDescent="0.25">
      <c r="B4939" t="s">
        <v>133</v>
      </c>
      <c r="C4939" t="s">
        <v>3265</v>
      </c>
      <c r="D4939" t="s">
        <v>6789</v>
      </c>
      <c r="E4939" t="s">
        <v>6790</v>
      </c>
      <c r="F4939" t="s">
        <v>10417</v>
      </c>
      <c r="G4939" t="s">
        <v>3890</v>
      </c>
      <c r="H4939" t="s">
        <v>6746</v>
      </c>
      <c r="J4939">
        <v>2</v>
      </c>
      <c r="K4939">
        <v>90.935703837345002</v>
      </c>
      <c r="L4939">
        <v>0</v>
      </c>
      <c r="M4939">
        <v>2671.4619869672465</v>
      </c>
      <c r="N4939">
        <v>2916.900344154114</v>
      </c>
      <c r="O4939">
        <v>274.96334326337751</v>
      </c>
      <c r="P4939">
        <v>159.69928458208554</v>
      </c>
      <c r="Q4939">
        <v>212.88699839138036</v>
      </c>
      <c r="R4939">
        <v>246.62635295806848</v>
      </c>
      <c r="S4939">
        <v>246.45680769279502</v>
      </c>
      <c r="T4939">
        <v>255.49861717854236</v>
      </c>
      <c r="U4939">
        <v>270.03449945937797</v>
      </c>
      <c r="V4939">
        <v>298.69238147103187</v>
      </c>
      <c r="W4939">
        <v>335.55077649081193</v>
      </c>
      <c r="X4939">
        <v>384.63324745313821</v>
      </c>
      <c r="Y4939">
        <v>420.60558317003807</v>
      </c>
      <c r="Z4939">
        <v>565.92931118224419</v>
      </c>
      <c r="AA4939">
        <v>622.48224406713723</v>
      </c>
      <c r="AB4939">
        <v>708.04597896477537</v>
      </c>
      <c r="AC4939">
        <v>817.07022797533</v>
      </c>
      <c r="AD4939">
        <v>1163.6326050520067</v>
      </c>
    </row>
    <row r="4940" spans="2:30" x14ac:dyDescent="0.25">
      <c r="B4940" t="s">
        <v>133</v>
      </c>
      <c r="C4940" t="s">
        <v>3265</v>
      </c>
      <c r="D4940" t="s">
        <v>6792</v>
      </c>
      <c r="E4940" t="s">
        <v>6793</v>
      </c>
      <c r="F4940" t="s">
        <v>10418</v>
      </c>
      <c r="G4940" t="s">
        <v>3890</v>
      </c>
      <c r="H4940" t="s">
        <v>6746</v>
      </c>
      <c r="J4940">
        <v>2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</row>
    <row r="4941" spans="2:30" x14ac:dyDescent="0.25">
      <c r="B4941" t="s">
        <v>133</v>
      </c>
      <c r="C4941" t="s">
        <v>3265</v>
      </c>
      <c r="D4941" t="s">
        <v>6795</v>
      </c>
      <c r="E4941" t="s">
        <v>6796</v>
      </c>
      <c r="F4941" t="s">
        <v>10419</v>
      </c>
      <c r="G4941" t="s">
        <v>3890</v>
      </c>
      <c r="H4941" t="s">
        <v>6746</v>
      </c>
      <c r="J4941">
        <v>2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</row>
    <row r="4942" spans="2:30" x14ac:dyDescent="0.25">
      <c r="B4942" t="s">
        <v>133</v>
      </c>
      <c r="C4942" t="s">
        <v>3265</v>
      </c>
      <c r="D4942" t="s">
        <v>6798</v>
      </c>
      <c r="E4942" t="s">
        <v>6799</v>
      </c>
      <c r="F4942" t="s">
        <v>10420</v>
      </c>
      <c r="G4942" t="s">
        <v>3890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</row>
    <row r="4943" spans="2:30" x14ac:dyDescent="0.25">
      <c r="B4943" t="s">
        <v>133</v>
      </c>
      <c r="C4943" t="s">
        <v>3265</v>
      </c>
      <c r="D4943" t="s">
        <v>6801</v>
      </c>
      <c r="E4943" t="s">
        <v>6802</v>
      </c>
      <c r="F4943" t="s">
        <v>10421</v>
      </c>
      <c r="G4943" t="s">
        <v>3890</v>
      </c>
      <c r="K4943">
        <v>1.0511284986760485</v>
      </c>
      <c r="L4943">
        <v>0</v>
      </c>
      <c r="M4943">
        <v>2.6610505361656678</v>
      </c>
      <c r="N4943">
        <v>3.0053194714726823</v>
      </c>
      <c r="O4943">
        <v>3.2238545578376221</v>
      </c>
      <c r="P4943">
        <v>1.8724214667051462</v>
      </c>
      <c r="Q4943">
        <v>2.374482532354115</v>
      </c>
      <c r="R4943">
        <v>2.7186630992113052</v>
      </c>
      <c r="S4943">
        <v>2.7661777174130466</v>
      </c>
      <c r="T4943">
        <v>2.8796244767872925</v>
      </c>
      <c r="U4943">
        <v>3.0065032428836878</v>
      </c>
      <c r="V4943">
        <v>3.2109461794439174</v>
      </c>
      <c r="W4943">
        <v>3.4478493189411696</v>
      </c>
      <c r="X4943">
        <v>3.7440268975491198</v>
      </c>
      <c r="Y4943">
        <v>4.0808333362536784</v>
      </c>
      <c r="Z4943">
        <v>4.4783859601572313</v>
      </c>
      <c r="AA4943">
        <v>4.9488407021265077</v>
      </c>
      <c r="AB4943">
        <v>5.5685760984973491</v>
      </c>
      <c r="AC4943">
        <v>5.9379863302371687</v>
      </c>
      <c r="AD4943">
        <v>6.3382366573652282</v>
      </c>
    </row>
    <row r="4944" spans="2:30" x14ac:dyDescent="0.25">
      <c r="B4944" t="s">
        <v>133</v>
      </c>
      <c r="C4944" t="s">
        <v>3265</v>
      </c>
      <c r="D4944" t="s">
        <v>6804</v>
      </c>
      <c r="E4944" t="s">
        <v>6805</v>
      </c>
      <c r="F4944" t="s">
        <v>10422</v>
      </c>
      <c r="G4944" t="s">
        <v>3890</v>
      </c>
      <c r="K4944">
        <v>2.6146318836059706E-2</v>
      </c>
      <c r="L4944">
        <v>0</v>
      </c>
      <c r="M4944">
        <v>4.6379618821384359</v>
      </c>
      <c r="N4944">
        <v>0.18661147663899094</v>
      </c>
      <c r="O4944">
        <v>0.13717007795455624</v>
      </c>
      <c r="P4944">
        <v>8.6664673875962897E-2</v>
      </c>
      <c r="Q4944">
        <v>0.10990247545749005</v>
      </c>
      <c r="R4944">
        <v>0.12583280797691504</v>
      </c>
      <c r="S4944">
        <v>0.12803201310461573</v>
      </c>
      <c r="T4944">
        <v>0.13328287493154978</v>
      </c>
      <c r="U4944">
        <v>0.13915543465224015</v>
      </c>
      <c r="V4944">
        <v>0.1486180373505602</v>
      </c>
      <c r="W4944">
        <v>0.15958305440991338</v>
      </c>
      <c r="X4944">
        <v>0.17329157768624495</v>
      </c>
      <c r="Y4944">
        <v>0.18888060007713783</v>
      </c>
      <c r="Z4944">
        <v>0.20728124817468516</v>
      </c>
      <c r="AA4944">
        <v>0.22905615703530222</v>
      </c>
      <c r="AB4944">
        <v>0.25306581889376917</v>
      </c>
      <c r="AC4944">
        <v>0.28020241855885258</v>
      </c>
      <c r="AD4944">
        <v>0.30572528772424074</v>
      </c>
    </row>
    <row r="4945" spans="2:30" x14ac:dyDescent="0.25">
      <c r="B4945" t="s">
        <v>133</v>
      </c>
      <c r="C4945" t="s">
        <v>3265</v>
      </c>
      <c r="D4945" t="s">
        <v>6807</v>
      </c>
      <c r="E4945" t="s">
        <v>6808</v>
      </c>
      <c r="F4945" t="s">
        <v>10423</v>
      </c>
      <c r="G4945" t="s">
        <v>3890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</row>
    <row r="4946" spans="2:30" x14ac:dyDescent="0.25">
      <c r="B4946" t="s">
        <v>133</v>
      </c>
      <c r="C4946" t="s">
        <v>3265</v>
      </c>
      <c r="D4946" t="s">
        <v>6810</v>
      </c>
      <c r="E4946" t="s">
        <v>6811</v>
      </c>
      <c r="F4946" t="s">
        <v>10424</v>
      </c>
      <c r="G4946" t="s">
        <v>3890</v>
      </c>
      <c r="K4946">
        <v>0.78383611967283207</v>
      </c>
      <c r="L4946">
        <v>0</v>
      </c>
      <c r="M4946">
        <v>2.0017466554829593</v>
      </c>
      <c r="N4946">
        <v>2.2607192606520754</v>
      </c>
      <c r="O4946">
        <v>2.4954770466009535</v>
      </c>
      <c r="P4946">
        <v>1.4199297910115107</v>
      </c>
      <c r="Q4946">
        <v>1.8267222430680294</v>
      </c>
      <c r="R4946">
        <v>2.1099620857897898</v>
      </c>
      <c r="S4946">
        <v>2.1619831848151576</v>
      </c>
      <c r="T4946">
        <v>2.2379585202680752</v>
      </c>
      <c r="U4946">
        <v>2.3303410828036775</v>
      </c>
      <c r="V4946">
        <v>2.4896451188181827</v>
      </c>
      <c r="W4946">
        <v>2.679780324709951</v>
      </c>
      <c r="X4946">
        <v>2.9227901175371791</v>
      </c>
      <c r="Y4946">
        <v>3.1971298300854269</v>
      </c>
      <c r="Z4946">
        <v>3.5303632201149475</v>
      </c>
      <c r="AA4946">
        <v>3.9282327416451404</v>
      </c>
      <c r="AB4946">
        <v>4.2050204890517504</v>
      </c>
      <c r="AC4946">
        <v>4.4667863745206917</v>
      </c>
      <c r="AD4946">
        <v>4.7678703798019315</v>
      </c>
    </row>
    <row r="4947" spans="2:30" x14ac:dyDescent="0.25">
      <c r="B4947" t="s">
        <v>133</v>
      </c>
      <c r="C4947" t="s">
        <v>3265</v>
      </c>
      <c r="D4947" t="s">
        <v>6813</v>
      </c>
      <c r="E4947" t="s">
        <v>6814</v>
      </c>
      <c r="F4947" t="s">
        <v>10425</v>
      </c>
      <c r="G4947" t="s">
        <v>3890</v>
      </c>
      <c r="K4947">
        <v>0.36356178318154947</v>
      </c>
      <c r="L4947">
        <v>0</v>
      </c>
      <c r="M4947">
        <v>3.1378225717511161</v>
      </c>
      <c r="N4947">
        <v>3.5437730868870014</v>
      </c>
      <c r="O4947">
        <v>1.6840890561022663</v>
      </c>
      <c r="P4947">
        <v>1.0715962051948473</v>
      </c>
      <c r="Q4947">
        <v>1.5349574293772639</v>
      </c>
      <c r="R4947">
        <v>1.9826739092145704</v>
      </c>
      <c r="S4947">
        <v>2.2657689680062747</v>
      </c>
      <c r="T4947">
        <v>2.4035963642166713</v>
      </c>
      <c r="U4947">
        <v>2.5649280695777188</v>
      </c>
      <c r="V4947">
        <v>2.8007425425505899</v>
      </c>
      <c r="W4947">
        <v>3.0894497056062873</v>
      </c>
      <c r="X4947">
        <v>3.4532320158290521</v>
      </c>
      <c r="Y4947">
        <v>3.867190755417099</v>
      </c>
      <c r="Z4947">
        <v>4.3762377213602326</v>
      </c>
      <c r="AA4947">
        <v>4.9768983441468615</v>
      </c>
      <c r="AB4947">
        <v>5.8480165262183021</v>
      </c>
      <c r="AC4947">
        <v>7.001876621484719</v>
      </c>
      <c r="AD4947">
        <v>7.4738385379325187</v>
      </c>
    </row>
    <row r="4948" spans="2:30" x14ac:dyDescent="0.25">
      <c r="B4948" t="s">
        <v>133</v>
      </c>
      <c r="C4948" t="s">
        <v>3265</v>
      </c>
      <c r="D4948" t="s">
        <v>6816</v>
      </c>
      <c r="E4948" t="s">
        <v>6817</v>
      </c>
      <c r="F4948" t="s">
        <v>10426</v>
      </c>
      <c r="G4948" t="s">
        <v>3890</v>
      </c>
      <c r="K4948">
        <v>0.30008782266323852</v>
      </c>
      <c r="L4948">
        <v>0</v>
      </c>
      <c r="M4948">
        <v>8.8158245569919149</v>
      </c>
      <c r="N4948">
        <v>9.6257711357085753</v>
      </c>
      <c r="O4948">
        <v>0.90737903276914578</v>
      </c>
      <c r="P4948">
        <v>0.52700763912088222</v>
      </c>
      <c r="Q4948">
        <v>0.6683166454568169</v>
      </c>
      <c r="R4948">
        <v>0.76518895289189182</v>
      </c>
      <c r="S4948">
        <v>0.77856231311419966</v>
      </c>
      <c r="T4948">
        <v>0.81049278917787271</v>
      </c>
      <c r="U4948">
        <v>0.84620380839230946</v>
      </c>
      <c r="V4948">
        <v>0.90374586889919961</v>
      </c>
      <c r="W4948">
        <v>0.9704241069277707</v>
      </c>
      <c r="X4948">
        <v>1.0537855985781412</v>
      </c>
      <c r="Y4948">
        <v>1.148582400077508</v>
      </c>
      <c r="Z4948">
        <v>1.2604766896246145</v>
      </c>
      <c r="AA4948">
        <v>1.3928898494217696</v>
      </c>
      <c r="AB4948">
        <v>1.5388925359400514</v>
      </c>
      <c r="AC4948">
        <v>2.7508935355063979</v>
      </c>
      <c r="AD4948">
        <v>3.8400428711599055</v>
      </c>
    </row>
    <row r="4949" spans="2:30" x14ac:dyDescent="0.25">
      <c r="B4949" t="s">
        <v>133</v>
      </c>
      <c r="C4949" t="s">
        <v>3265</v>
      </c>
      <c r="D4949" t="s">
        <v>6819</v>
      </c>
      <c r="E4949" t="s">
        <v>6820</v>
      </c>
      <c r="F4949" t="s">
        <v>10427</v>
      </c>
      <c r="G4949" t="s">
        <v>3890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</row>
    <row r="4950" spans="2:30" x14ac:dyDescent="0.25">
      <c r="B4950" t="s">
        <v>133</v>
      </c>
      <c r="C4950" t="s">
        <v>3265</v>
      </c>
      <c r="D4950" t="s">
        <v>6822</v>
      </c>
      <c r="E4950" t="s">
        <v>6823</v>
      </c>
      <c r="F4950" t="s">
        <v>10428</v>
      </c>
      <c r="G4950" t="s">
        <v>3890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</row>
    <row r="4951" spans="2:30" x14ac:dyDescent="0.25">
      <c r="B4951" t="s">
        <v>133</v>
      </c>
      <c r="C4951" t="s">
        <v>3265</v>
      </c>
      <c r="D4951" t="s">
        <v>6825</v>
      </c>
      <c r="E4951" t="s">
        <v>6826</v>
      </c>
      <c r="F4951" t="s">
        <v>10429</v>
      </c>
      <c r="G4951" t="s">
        <v>3890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</row>
    <row r="4952" spans="2:30" x14ac:dyDescent="0.25">
      <c r="B4952" t="s">
        <v>133</v>
      </c>
      <c r="C4952" t="s">
        <v>3265</v>
      </c>
      <c r="D4952" t="s">
        <v>6828</v>
      </c>
      <c r="E4952" t="s">
        <v>6829</v>
      </c>
      <c r="F4952" t="s">
        <v>10430</v>
      </c>
      <c r="G4952" t="s">
        <v>3890</v>
      </c>
      <c r="K4952">
        <v>1.0511284986760485</v>
      </c>
      <c r="L4952">
        <v>0</v>
      </c>
      <c r="M4952">
        <v>2.6610505361656678</v>
      </c>
      <c r="N4952">
        <v>3.0053194714726823</v>
      </c>
      <c r="O4952">
        <v>3.2238545578376221</v>
      </c>
      <c r="P4952">
        <v>1.8724214667051462</v>
      </c>
      <c r="Q4952">
        <v>2.2862892265948398</v>
      </c>
      <c r="R4952">
        <v>2.3992824823329784</v>
      </c>
      <c r="S4952">
        <v>2.1619612390553797</v>
      </c>
      <c r="T4952">
        <v>2.0205422198039282</v>
      </c>
      <c r="U4952">
        <v>1.9301453196882532</v>
      </c>
      <c r="V4952">
        <v>1.9378873602509887</v>
      </c>
      <c r="W4952">
        <v>1.9862239544505906</v>
      </c>
      <c r="X4952">
        <v>2.0887370409967247</v>
      </c>
      <c r="Y4952">
        <v>2.2840835186103434</v>
      </c>
      <c r="Z4952">
        <v>3.3252121229495271</v>
      </c>
      <c r="AA4952">
        <v>3.7494798944933523</v>
      </c>
      <c r="AB4952">
        <v>4.7107580516139196</v>
      </c>
      <c r="AC4952">
        <v>5.4258428486747077</v>
      </c>
      <c r="AD4952">
        <v>5.8014000174730045</v>
      </c>
    </row>
    <row r="4953" spans="2:30" x14ac:dyDescent="0.25">
      <c r="B4953" t="s">
        <v>133</v>
      </c>
      <c r="C4953" t="s">
        <v>3265</v>
      </c>
      <c r="D4953" t="s">
        <v>6831</v>
      </c>
      <c r="E4953" t="s">
        <v>6832</v>
      </c>
      <c r="F4953" t="s">
        <v>10431</v>
      </c>
      <c r="G4953" t="s">
        <v>3890</v>
      </c>
      <c r="K4953">
        <v>2.6146318836059706E-2</v>
      </c>
      <c r="L4953">
        <v>0</v>
      </c>
      <c r="M4953">
        <v>4.6379618821384359</v>
      </c>
      <c r="N4953">
        <v>0.18661147663899094</v>
      </c>
      <c r="O4953">
        <v>0.13717007795455624</v>
      </c>
      <c r="P4953">
        <v>8.6664673875962897E-2</v>
      </c>
      <c r="Q4953">
        <v>9.771694276957496E-2</v>
      </c>
      <c r="R4953">
        <v>0.10622779689348252</v>
      </c>
      <c r="S4953">
        <v>0.10742414054112839</v>
      </c>
      <c r="T4953">
        <v>0.11884931208847241</v>
      </c>
      <c r="U4953">
        <v>0.13899117280008766</v>
      </c>
      <c r="V4953">
        <v>0.17418114060078588</v>
      </c>
      <c r="W4953">
        <v>0.22491535795399858</v>
      </c>
      <c r="X4953">
        <v>0.29868907333148703</v>
      </c>
      <c r="Y4953">
        <v>0.32662358937240471</v>
      </c>
      <c r="Z4953">
        <v>0.43947553324481098</v>
      </c>
      <c r="AA4953">
        <v>0.48339202572021633</v>
      </c>
      <c r="AB4953">
        <v>0.54983701677749697</v>
      </c>
      <c r="AC4953">
        <v>0.60340795867063091</v>
      </c>
      <c r="AD4953">
        <v>0.66164856011614537</v>
      </c>
    </row>
    <row r="4954" spans="2:30" x14ac:dyDescent="0.25">
      <c r="B4954" t="s">
        <v>133</v>
      </c>
      <c r="C4954" t="s">
        <v>3265</v>
      </c>
      <c r="D4954" t="s">
        <v>6834</v>
      </c>
      <c r="E4954" t="s">
        <v>6835</v>
      </c>
      <c r="F4954" t="s">
        <v>10432</v>
      </c>
      <c r="G4954" t="s">
        <v>3890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</row>
    <row r="4955" spans="2:30" x14ac:dyDescent="0.25">
      <c r="B4955" t="s">
        <v>133</v>
      </c>
      <c r="C4955" t="s">
        <v>3265</v>
      </c>
      <c r="D4955" t="s">
        <v>6837</v>
      </c>
      <c r="E4955" t="s">
        <v>6838</v>
      </c>
      <c r="F4955" t="s">
        <v>10433</v>
      </c>
      <c r="G4955" t="s">
        <v>3890</v>
      </c>
      <c r="K4955">
        <v>0.78383611967283207</v>
      </c>
      <c r="L4955">
        <v>0</v>
      </c>
      <c r="M4955">
        <v>2.0017466554829593</v>
      </c>
      <c r="N4955">
        <v>2.2607192606520754</v>
      </c>
      <c r="O4955">
        <v>2.4954770466009535</v>
      </c>
      <c r="P4955">
        <v>1.4199297910115107</v>
      </c>
      <c r="Q4955">
        <v>1.9263236608009433</v>
      </c>
      <c r="R4955">
        <v>2.2073204453238429</v>
      </c>
      <c r="S4955">
        <v>2.1460854605990969</v>
      </c>
      <c r="T4955">
        <v>2.1216453645065836</v>
      </c>
      <c r="U4955">
        <v>2.1355225858378479</v>
      </c>
      <c r="V4955">
        <v>2.25105670020162</v>
      </c>
      <c r="W4955">
        <v>2.4117803001783793</v>
      </c>
      <c r="X4955">
        <v>2.6409717153344263</v>
      </c>
      <c r="Y4955">
        <v>2.8907722388890971</v>
      </c>
      <c r="Z4955">
        <v>3.4427207388172727</v>
      </c>
      <c r="AA4955">
        <v>3.6255106909159949</v>
      </c>
      <c r="AB4955">
        <v>3.8326250420199521</v>
      </c>
      <c r="AC4955">
        <v>4.0815319468380622</v>
      </c>
      <c r="AD4955">
        <v>4.3640407892548136</v>
      </c>
    </row>
    <row r="4956" spans="2:30" x14ac:dyDescent="0.25">
      <c r="B4956" t="s">
        <v>133</v>
      </c>
      <c r="C4956" t="s">
        <v>3265</v>
      </c>
      <c r="D4956" t="s">
        <v>6840</v>
      </c>
      <c r="E4956" t="s">
        <v>6841</v>
      </c>
      <c r="F4956" t="s">
        <v>10434</v>
      </c>
      <c r="G4956" t="s">
        <v>3890</v>
      </c>
      <c r="K4956">
        <v>0.36356178318154947</v>
      </c>
      <c r="L4956">
        <v>0</v>
      </c>
      <c r="M4956">
        <v>3.1378225717511161</v>
      </c>
      <c r="N4956">
        <v>3.5437730868870014</v>
      </c>
      <c r="O4956">
        <v>1.6840890561022663</v>
      </c>
      <c r="P4956">
        <v>1.0715962051948473</v>
      </c>
      <c r="Q4956">
        <v>1.6166173234462411</v>
      </c>
      <c r="R4956">
        <v>2.0834345706480284</v>
      </c>
      <c r="S4956">
        <v>2.2747110288348908</v>
      </c>
      <c r="T4956">
        <v>2.3248657938243533</v>
      </c>
      <c r="U4956">
        <v>2.4190909378160148</v>
      </c>
      <c r="V4956">
        <v>2.6276259803997069</v>
      </c>
      <c r="W4956">
        <v>2.9044038997659598</v>
      </c>
      <c r="X4956">
        <v>3.2760883353592045</v>
      </c>
      <c r="Y4956">
        <v>3.6563996354696737</v>
      </c>
      <c r="Z4956">
        <v>5.0553824769613307</v>
      </c>
      <c r="AA4956">
        <v>5.6773673856112126</v>
      </c>
      <c r="AB4956">
        <v>6.007801902887282</v>
      </c>
      <c r="AC4956">
        <v>6.3979740068664128</v>
      </c>
      <c r="AD4956">
        <v>6.8408185696518506</v>
      </c>
    </row>
    <row r="4957" spans="2:30" x14ac:dyDescent="0.25">
      <c r="B4957" t="s">
        <v>133</v>
      </c>
      <c r="C4957" t="s">
        <v>3265</v>
      </c>
      <c r="D4957" t="s">
        <v>6843</v>
      </c>
      <c r="E4957" t="s">
        <v>6844</v>
      </c>
      <c r="F4957" t="s">
        <v>10435</v>
      </c>
      <c r="G4957" t="s">
        <v>3890</v>
      </c>
      <c r="K4957">
        <v>0.30008782266323852</v>
      </c>
      <c r="L4957">
        <v>0</v>
      </c>
      <c r="M4957">
        <v>8.8158245569919149</v>
      </c>
      <c r="N4957">
        <v>9.6257711357085753</v>
      </c>
      <c r="O4957">
        <v>0.90737903276914578</v>
      </c>
      <c r="P4957">
        <v>0.52700763912088222</v>
      </c>
      <c r="Q4957">
        <v>0.70252709469155517</v>
      </c>
      <c r="R4957">
        <v>0.8138669647616259</v>
      </c>
      <c r="S4957">
        <v>0.81330746538622356</v>
      </c>
      <c r="T4957">
        <v>0.84314543668918973</v>
      </c>
      <c r="U4957">
        <v>0.8911138482159473</v>
      </c>
      <c r="V4957">
        <v>0.98568485885440504</v>
      </c>
      <c r="W4957">
        <v>1.1073175624196792</v>
      </c>
      <c r="X4957">
        <v>1.2692897165953561</v>
      </c>
      <c r="Y4957">
        <v>1.3879984244611254</v>
      </c>
      <c r="Z4957">
        <v>1.8675667269014056</v>
      </c>
      <c r="AA4957">
        <v>2.0541914054215531</v>
      </c>
      <c r="AB4957">
        <v>2.3365517305837584</v>
      </c>
      <c r="AC4957">
        <v>2.696331752318589</v>
      </c>
      <c r="AD4957">
        <v>3.8399875966716221</v>
      </c>
    </row>
    <row r="4958" spans="2:30" x14ac:dyDescent="0.25">
      <c r="B4958" t="s">
        <v>133</v>
      </c>
      <c r="C4958" t="s">
        <v>3265</v>
      </c>
      <c r="D4958" t="s">
        <v>6846</v>
      </c>
      <c r="E4958" t="s">
        <v>6847</v>
      </c>
      <c r="F4958" t="s">
        <v>10436</v>
      </c>
      <c r="G4958" t="s">
        <v>3890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</row>
    <row r="4959" spans="2:30" x14ac:dyDescent="0.25">
      <c r="B4959" t="s">
        <v>133</v>
      </c>
      <c r="C4959" t="s">
        <v>3265</v>
      </c>
      <c r="D4959" t="s">
        <v>6849</v>
      </c>
      <c r="E4959" t="s">
        <v>6850</v>
      </c>
      <c r="F4959" t="s">
        <v>10437</v>
      </c>
      <c r="G4959" t="s">
        <v>3890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</row>
    <row r="4960" spans="2:30" x14ac:dyDescent="0.25">
      <c r="B4960" t="s">
        <v>133</v>
      </c>
      <c r="C4960" t="s">
        <v>3265</v>
      </c>
      <c r="D4960" t="s">
        <v>6852</v>
      </c>
      <c r="E4960" t="s">
        <v>6853</v>
      </c>
      <c r="F4960" t="s">
        <v>10438</v>
      </c>
      <c r="G4960" t="s">
        <v>3890</v>
      </c>
      <c r="H4960" t="s">
        <v>6853</v>
      </c>
      <c r="I4960" t="s">
        <v>4165</v>
      </c>
      <c r="K4960">
        <v>1.1368175895069652</v>
      </c>
      <c r="L4960">
        <v>1.0917610197470982</v>
      </c>
      <c r="M4960">
        <v>1.0604552177698889</v>
      </c>
      <c r="N4960">
        <v>1.03227909878657</v>
      </c>
      <c r="O4960">
        <v>1</v>
      </c>
      <c r="P4960">
        <v>0.97903567880143105</v>
      </c>
      <c r="Q4960">
        <v>0.95811374720502052</v>
      </c>
      <c r="R4960">
        <v>0.93759960694773214</v>
      </c>
      <c r="S4960">
        <v>0.91750779927332549</v>
      </c>
      <c r="T4960">
        <v>0.897896011223145</v>
      </c>
      <c r="U4960">
        <v>0.897896011223145</v>
      </c>
      <c r="V4960">
        <v>0.897896011223145</v>
      </c>
      <c r="W4960">
        <v>0.897896011223145</v>
      </c>
      <c r="X4960">
        <v>0.897896011223145</v>
      </c>
      <c r="Y4960">
        <v>0.897896011223145</v>
      </c>
      <c r="Z4960">
        <v>0.897896011223145</v>
      </c>
      <c r="AA4960">
        <v>0.897896011223145</v>
      </c>
      <c r="AB4960">
        <v>0.897896011223145</v>
      </c>
      <c r="AC4960">
        <v>0.897896011223145</v>
      </c>
      <c r="AD4960">
        <v>0.897896011223145</v>
      </c>
    </row>
    <row r="4961" spans="2:30" x14ac:dyDescent="0.25">
      <c r="B4961" t="s">
        <v>133</v>
      </c>
      <c r="C4961" t="s">
        <v>3265</v>
      </c>
      <c r="D4961" t="s">
        <v>6855</v>
      </c>
      <c r="E4961" t="s">
        <v>4476</v>
      </c>
      <c r="F4961" t="s">
        <v>10439</v>
      </c>
      <c r="G4961" t="s">
        <v>3890</v>
      </c>
      <c r="H4961" t="s">
        <v>4476</v>
      </c>
      <c r="I4961" t="s">
        <v>3892</v>
      </c>
      <c r="K4961">
        <v>0.14000000000000001</v>
      </c>
      <c r="L4961">
        <v>0.14000000000000001</v>
      </c>
      <c r="M4961">
        <v>0.14000000000000001</v>
      </c>
      <c r="N4961">
        <v>0.14000000000000001</v>
      </c>
      <c r="O4961">
        <v>0.14000000000000001</v>
      </c>
      <c r="P4961">
        <v>0.14000000000000001</v>
      </c>
      <c r="Q4961">
        <v>0.14000000000000001</v>
      </c>
      <c r="R4961">
        <v>0.14000000000000001</v>
      </c>
      <c r="S4961">
        <v>0.14000000000000001</v>
      </c>
      <c r="T4961">
        <v>0.14000000000000001</v>
      </c>
      <c r="U4961">
        <v>0.14000000000000001</v>
      </c>
      <c r="V4961">
        <v>0.14000000000000001</v>
      </c>
      <c r="W4961">
        <v>0.14000000000000001</v>
      </c>
      <c r="X4961">
        <v>0.14000000000000001</v>
      </c>
      <c r="Y4961">
        <v>0.14000000000000001</v>
      </c>
      <c r="Z4961">
        <v>0.14000000000000001</v>
      </c>
      <c r="AA4961">
        <v>0.14000000000000001</v>
      </c>
      <c r="AB4961">
        <v>0.14000000000000001</v>
      </c>
      <c r="AC4961">
        <v>0.14000000000000001</v>
      </c>
      <c r="AD4961">
        <v>0.14000000000000001</v>
      </c>
    </row>
    <row r="4962" spans="2:30" x14ac:dyDescent="0.25">
      <c r="B4962" t="s">
        <v>133</v>
      </c>
      <c r="C4962" t="s">
        <v>3265</v>
      </c>
      <c r="D4962" t="s">
        <v>6857</v>
      </c>
      <c r="E4962" t="s">
        <v>6858</v>
      </c>
      <c r="F4962" t="s">
        <v>10440</v>
      </c>
      <c r="G4962" t="s">
        <v>3890</v>
      </c>
      <c r="H4962" t="s">
        <v>6858</v>
      </c>
      <c r="I4962" t="s">
        <v>6860</v>
      </c>
      <c r="K4962">
        <v>111.75716230528862</v>
      </c>
      <c r="L4962">
        <v>89.403538478705627</v>
      </c>
      <c r="M4962">
        <v>84.949161735266472</v>
      </c>
      <c r="N4962">
        <v>72.686827484089392</v>
      </c>
      <c r="O4962">
        <v>76.093255999999997</v>
      </c>
      <c r="P4962">
        <v>70.958268078865274</v>
      </c>
      <c r="Q4962">
        <v>69.545549719803304</v>
      </c>
      <c r="R4962">
        <v>68.833425107272674</v>
      </c>
      <c r="S4962">
        <v>68.210667701936828</v>
      </c>
      <c r="T4962">
        <v>67.534099175383218</v>
      </c>
      <c r="U4962">
        <v>67.534099175383218</v>
      </c>
      <c r="V4962">
        <v>67.534099175383218</v>
      </c>
      <c r="W4962">
        <v>67.534099175383218</v>
      </c>
      <c r="X4962">
        <v>67.534099175383218</v>
      </c>
      <c r="Y4962">
        <v>67.534099175383218</v>
      </c>
      <c r="Z4962">
        <v>67.534099175383218</v>
      </c>
      <c r="AA4962">
        <v>67.534099175383218</v>
      </c>
      <c r="AB4962">
        <v>67.534099175383218</v>
      </c>
      <c r="AC4962">
        <v>67.534099175383218</v>
      </c>
      <c r="AD4962">
        <v>67.534099175383218</v>
      </c>
    </row>
    <row r="4963" spans="2:30" x14ac:dyDescent="0.25">
      <c r="B4963" t="s">
        <v>133</v>
      </c>
      <c r="C4963" t="s">
        <v>3265</v>
      </c>
      <c r="D4963" t="s">
        <v>6861</v>
      </c>
      <c r="E4963" t="s">
        <v>6862</v>
      </c>
      <c r="F4963" t="s">
        <v>10441</v>
      </c>
      <c r="G4963" t="s">
        <v>3890</v>
      </c>
      <c r="H4963" t="s">
        <v>6862</v>
      </c>
      <c r="I4963" t="s">
        <v>6864</v>
      </c>
      <c r="K4963">
        <v>409.80694455874033</v>
      </c>
      <c r="L4963">
        <v>195.64124003578868</v>
      </c>
      <c r="M4963">
        <v>147.93633497530044</v>
      </c>
      <c r="N4963">
        <v>119.54828976084644</v>
      </c>
      <c r="O4963">
        <v>120.300743</v>
      </c>
      <c r="P4963">
        <v>122.55003123620016</v>
      </c>
      <c r="Q4963">
        <v>121.48350328436834</v>
      </c>
      <c r="R4963">
        <v>120.3397797631516</v>
      </c>
      <c r="S4963">
        <v>119.11569833746792</v>
      </c>
      <c r="T4963">
        <v>117.93440993934053</v>
      </c>
      <c r="U4963">
        <v>117.93440993934054</v>
      </c>
      <c r="V4963">
        <v>117.93440993934055</v>
      </c>
      <c r="W4963">
        <v>117.93440993934054</v>
      </c>
      <c r="X4963">
        <v>117.93440993934053</v>
      </c>
      <c r="Y4963">
        <v>117.93440993934054</v>
      </c>
      <c r="Z4963">
        <v>117.93440993934051</v>
      </c>
      <c r="AA4963">
        <v>117.93440993934053</v>
      </c>
      <c r="AB4963">
        <v>117.93440993934053</v>
      </c>
      <c r="AC4963">
        <v>117.93440993934053</v>
      </c>
      <c r="AD4963">
        <v>117.93440993934051</v>
      </c>
    </row>
    <row r="4964" spans="2:30" x14ac:dyDescent="0.25">
      <c r="B4964" t="s">
        <v>133</v>
      </c>
      <c r="C4964" t="s">
        <v>3265</v>
      </c>
      <c r="D4964" t="s">
        <v>6865</v>
      </c>
      <c r="E4964" t="s">
        <v>6866</v>
      </c>
      <c r="F4964" t="s">
        <v>10442</v>
      </c>
      <c r="G4964" t="s">
        <v>3890</v>
      </c>
      <c r="H4964" t="s">
        <v>6866</v>
      </c>
      <c r="I4964" t="s">
        <v>6868</v>
      </c>
      <c r="K4964">
        <v>26.693896382197355</v>
      </c>
      <c r="L4964">
        <v>10.670418595749961</v>
      </c>
      <c r="M4964">
        <v>8.9942369846005317</v>
      </c>
      <c r="N4964">
        <v>9.6066996433622407</v>
      </c>
      <c r="O4964">
        <v>9.9645608333333335</v>
      </c>
      <c r="P4964">
        <v>9.0393681253503324</v>
      </c>
      <c r="Q4964">
        <v>7.9510314623354663</v>
      </c>
      <c r="R4964">
        <v>7.563351911337068</v>
      </c>
      <c r="S4964">
        <v>7.4533706916082316</v>
      </c>
      <c r="T4964">
        <v>7.3910456015428156</v>
      </c>
      <c r="U4964">
        <v>7.3910456015428165</v>
      </c>
      <c r="V4964">
        <v>7.3910456015428165</v>
      </c>
      <c r="W4964">
        <v>7.3910456015428165</v>
      </c>
      <c r="X4964">
        <v>7.3910456015428156</v>
      </c>
      <c r="Y4964">
        <v>7.3910456015428165</v>
      </c>
      <c r="Z4964">
        <v>7.3910456015428165</v>
      </c>
      <c r="AA4964">
        <v>7.3910456015428156</v>
      </c>
      <c r="AB4964">
        <v>7.3910456015428156</v>
      </c>
      <c r="AC4964">
        <v>7.3910456015428174</v>
      </c>
      <c r="AD4964">
        <v>7.3910456015428156</v>
      </c>
    </row>
    <row r="4965" spans="2:30" x14ac:dyDescent="0.25">
      <c r="B4965" t="s">
        <v>133</v>
      </c>
      <c r="C4965" t="s">
        <v>3265</v>
      </c>
      <c r="D4965" t="s">
        <v>6857</v>
      </c>
      <c r="E4965" t="s">
        <v>6869</v>
      </c>
      <c r="F4965" t="s">
        <v>10443</v>
      </c>
      <c r="G4965" t="s">
        <v>3890</v>
      </c>
      <c r="H4965" t="s">
        <v>6869</v>
      </c>
      <c r="I4965" t="s">
        <v>6860</v>
      </c>
      <c r="K4965">
        <v>18.260974232890298</v>
      </c>
      <c r="L4965">
        <v>14.608421320049938</v>
      </c>
      <c r="M4965">
        <v>13.880581982886678</v>
      </c>
      <c r="N4965">
        <v>11.876932595439444</v>
      </c>
      <c r="O4965">
        <v>12.433538562091503</v>
      </c>
      <c r="P4965">
        <v>11.5944882481806</v>
      </c>
      <c r="Q4965">
        <v>11.36365191500054</v>
      </c>
      <c r="R4965">
        <v>11.247291684194881</v>
      </c>
      <c r="S4965">
        <v>11.145533938224972</v>
      </c>
      <c r="T4965">
        <v>11.034983525389414</v>
      </c>
      <c r="U4965">
        <v>11.034983525389414</v>
      </c>
      <c r="V4965">
        <v>11.034983525389414</v>
      </c>
      <c r="W4965">
        <v>11.034983525389414</v>
      </c>
      <c r="X4965">
        <v>11.034983525389414</v>
      </c>
      <c r="Y4965">
        <v>11.034983525389414</v>
      </c>
      <c r="Z4965">
        <v>11.034983525389414</v>
      </c>
      <c r="AA4965">
        <v>11.034983525389414</v>
      </c>
      <c r="AB4965">
        <v>11.034983525389414</v>
      </c>
      <c r="AC4965">
        <v>11.034983525389414</v>
      </c>
      <c r="AD4965">
        <v>11.034983525389414</v>
      </c>
    </row>
    <row r="4966" spans="2:30" x14ac:dyDescent="0.25">
      <c r="B4966" t="s">
        <v>133</v>
      </c>
      <c r="C4966" t="s">
        <v>3265</v>
      </c>
      <c r="D4966" t="s">
        <v>6861</v>
      </c>
      <c r="E4966" t="s">
        <v>6871</v>
      </c>
      <c r="F4966" t="s">
        <v>10444</v>
      </c>
      <c r="G4966" t="s">
        <v>3890</v>
      </c>
      <c r="H4966" t="s">
        <v>6871</v>
      </c>
      <c r="I4966" t="s">
        <v>6864</v>
      </c>
      <c r="K4966">
        <v>16.300992225884656</v>
      </c>
      <c r="L4966">
        <v>7.7820700093790238</v>
      </c>
      <c r="M4966">
        <v>5.8845001979037557</v>
      </c>
      <c r="N4966">
        <v>4.7553018997950049</v>
      </c>
      <c r="O4966">
        <v>4.7852324184566415</v>
      </c>
      <c r="P4966">
        <v>4.8747029131344526</v>
      </c>
      <c r="Q4966">
        <v>4.8322793669199813</v>
      </c>
      <c r="R4966">
        <v>4.7867851934427836</v>
      </c>
      <c r="S4966">
        <v>4.7380946037178955</v>
      </c>
      <c r="T4966">
        <v>4.6911062028377293</v>
      </c>
      <c r="U4966">
        <v>4.6911062028377293</v>
      </c>
      <c r="V4966">
        <v>4.6911062028377302</v>
      </c>
      <c r="W4966">
        <v>4.6911062028377293</v>
      </c>
      <c r="X4966">
        <v>4.6911062028377293</v>
      </c>
      <c r="Y4966">
        <v>4.6911062028377293</v>
      </c>
      <c r="Z4966">
        <v>4.6911062028377284</v>
      </c>
      <c r="AA4966">
        <v>4.6911062028377293</v>
      </c>
      <c r="AB4966">
        <v>4.6911062028377293</v>
      </c>
      <c r="AC4966">
        <v>4.6911062028377293</v>
      </c>
      <c r="AD4966">
        <v>4.6911062028377284</v>
      </c>
    </row>
    <row r="4967" spans="2:30" x14ac:dyDescent="0.25">
      <c r="B4967" t="s">
        <v>133</v>
      </c>
      <c r="C4967" t="s">
        <v>3265</v>
      </c>
      <c r="D4967" t="s">
        <v>6865</v>
      </c>
      <c r="E4967" t="s">
        <v>6873</v>
      </c>
      <c r="F4967" t="s">
        <v>10445</v>
      </c>
      <c r="G4967" t="s">
        <v>3890</v>
      </c>
      <c r="H4967" t="s">
        <v>6873</v>
      </c>
      <c r="I4967" t="s">
        <v>6868</v>
      </c>
      <c r="K4967">
        <v>25.300928464647711</v>
      </c>
      <c r="L4967">
        <v>10.113604013199263</v>
      </c>
      <c r="M4967">
        <v>8.5248906073237176</v>
      </c>
      <c r="N4967">
        <v>9.1053931197606968</v>
      </c>
      <c r="O4967">
        <v>9.4445800349302154</v>
      </c>
      <c r="P4967">
        <v>8.5676666692102899</v>
      </c>
      <c r="Q4967">
        <v>7.5361226914357777</v>
      </c>
      <c r="R4967">
        <v>7.1686734271328421</v>
      </c>
      <c r="S4967">
        <v>7.0644313587224108</v>
      </c>
      <c r="T4967">
        <v>7.0053585795851747</v>
      </c>
      <c r="U4967">
        <v>7.0053585795851756</v>
      </c>
      <c r="V4967">
        <v>7.0053585795851756</v>
      </c>
      <c r="W4967">
        <v>7.0053585795851756</v>
      </c>
      <c r="X4967">
        <v>7.0053585795851747</v>
      </c>
      <c r="Y4967">
        <v>7.0053585795851756</v>
      </c>
      <c r="Z4967">
        <v>7.0053585795851756</v>
      </c>
      <c r="AA4967">
        <v>7.0053585795851747</v>
      </c>
      <c r="AB4967">
        <v>7.0053585795851747</v>
      </c>
      <c r="AC4967">
        <v>7.0053585795851756</v>
      </c>
      <c r="AD4967">
        <v>7.0053585795851747</v>
      </c>
    </row>
    <row r="4968" spans="2:30" x14ac:dyDescent="0.25">
      <c r="B4968" t="s">
        <v>133</v>
      </c>
      <c r="C4968" t="s">
        <v>3265</v>
      </c>
      <c r="D4968" t="s">
        <v>6875</v>
      </c>
      <c r="E4968" t="s">
        <v>6876</v>
      </c>
      <c r="F4968" t="s">
        <v>10446</v>
      </c>
      <c r="G4968" t="s">
        <v>3890</v>
      </c>
      <c r="H4968" t="s">
        <v>6876</v>
      </c>
      <c r="I4968" t="s">
        <v>6878</v>
      </c>
      <c r="K4968">
        <v>0.66649403623702208</v>
      </c>
      <c r="L4968">
        <v>0.52974010355228474</v>
      </c>
      <c r="M4968">
        <v>0.5026069413629517</v>
      </c>
      <c r="N4968">
        <v>0.44257796119644682</v>
      </c>
      <c r="O4968">
        <v>0.46331913590053142</v>
      </c>
      <c r="P4968">
        <v>0.43205305147276285</v>
      </c>
      <c r="Q4968">
        <v>0.4234512451656256</v>
      </c>
      <c r="R4968">
        <v>0.41911523725276678</v>
      </c>
      <c r="S4968">
        <v>0.4153233713492252</v>
      </c>
      <c r="T4968">
        <v>0.41120385850960756</v>
      </c>
      <c r="U4968">
        <v>0.41120385850960756</v>
      </c>
      <c r="V4968">
        <v>0.41120385850960756</v>
      </c>
      <c r="W4968">
        <v>0.41120385850960756</v>
      </c>
      <c r="X4968">
        <v>0.41120385850960756</v>
      </c>
      <c r="Y4968">
        <v>0.41120385850960756</v>
      </c>
      <c r="Z4968">
        <v>0.41120385850960756</v>
      </c>
      <c r="AA4968">
        <v>0.41120385850960756</v>
      </c>
      <c r="AB4968">
        <v>0.41120385850960756</v>
      </c>
      <c r="AC4968">
        <v>0.41120385850960756</v>
      </c>
      <c r="AD4968">
        <v>0.41120385850960756</v>
      </c>
    </row>
    <row r="4969" spans="2:30" x14ac:dyDescent="0.25">
      <c r="B4969" t="s">
        <v>133</v>
      </c>
      <c r="C4969" t="s">
        <v>3265</v>
      </c>
      <c r="D4969" t="s">
        <v>6879</v>
      </c>
      <c r="E4969" t="s">
        <v>6880</v>
      </c>
      <c r="F4969" t="s">
        <v>10447</v>
      </c>
      <c r="G4969" t="s">
        <v>3890</v>
      </c>
      <c r="H4969" t="s">
        <v>6880</v>
      </c>
      <c r="I4969" t="s">
        <v>6878</v>
      </c>
      <c r="K4969">
        <v>0.69186626801993456</v>
      </c>
      <c r="L4969">
        <v>0.54990635855423164</v>
      </c>
      <c r="M4969">
        <v>0.52174028557704244</v>
      </c>
      <c r="N4969">
        <v>0.45942610987139121</v>
      </c>
      <c r="O4969">
        <v>0.48095686387165837</v>
      </c>
      <c r="P4969">
        <v>0.44850053572389442</v>
      </c>
      <c r="Q4969">
        <v>0.43957127408856161</v>
      </c>
      <c r="R4969">
        <v>0.43507020213642233</v>
      </c>
      <c r="S4969">
        <v>0.43113398670330721</v>
      </c>
      <c r="T4969">
        <v>0.42685765140329729</v>
      </c>
      <c r="U4969">
        <v>0.42685765140329729</v>
      </c>
      <c r="V4969">
        <v>0.42685765140329729</v>
      </c>
      <c r="W4969">
        <v>0.42685765140329729</v>
      </c>
      <c r="X4969">
        <v>0.42685765140329729</v>
      </c>
      <c r="Y4969">
        <v>0.42685765140329729</v>
      </c>
      <c r="Z4969">
        <v>0.42685765140329729</v>
      </c>
      <c r="AA4969">
        <v>0.42685765140329729</v>
      </c>
      <c r="AB4969">
        <v>0.42685765140329729</v>
      </c>
      <c r="AC4969">
        <v>0.42685765140329729</v>
      </c>
      <c r="AD4969">
        <v>0.42685765140329729</v>
      </c>
    </row>
    <row r="4970" spans="2:30" x14ac:dyDescent="0.25">
      <c r="B4970" t="s">
        <v>133</v>
      </c>
      <c r="C4970" t="s">
        <v>3265</v>
      </c>
      <c r="D4970" t="s">
        <v>6882</v>
      </c>
      <c r="E4970" t="s">
        <v>6883</v>
      </c>
      <c r="F4970" t="s">
        <v>10448</v>
      </c>
      <c r="G4970" t="s">
        <v>3890</v>
      </c>
      <c r="H4970" t="s">
        <v>6883</v>
      </c>
      <c r="I4970" t="s">
        <v>6878</v>
      </c>
      <c r="K4970">
        <v>0.69186626801993456</v>
      </c>
      <c r="L4970">
        <v>0.54990635855423164</v>
      </c>
      <c r="M4970">
        <v>0.52174028557704244</v>
      </c>
      <c r="N4970">
        <v>0.45942610987139121</v>
      </c>
      <c r="O4970">
        <v>0.48095686387165837</v>
      </c>
      <c r="P4970">
        <v>0.44850053572389442</v>
      </c>
      <c r="Q4970">
        <v>0.43957127408856161</v>
      </c>
      <c r="R4970">
        <v>0.43507020213642233</v>
      </c>
      <c r="S4970">
        <v>0.43113398670330721</v>
      </c>
      <c r="T4970">
        <v>0.42685765140329729</v>
      </c>
      <c r="U4970">
        <v>0.42685765140329729</v>
      </c>
      <c r="V4970">
        <v>0.42685765140329729</v>
      </c>
      <c r="W4970">
        <v>0.42685765140329729</v>
      </c>
      <c r="X4970">
        <v>0.42685765140329729</v>
      </c>
      <c r="Y4970">
        <v>0.42685765140329729</v>
      </c>
      <c r="Z4970">
        <v>0.42685765140329729</v>
      </c>
      <c r="AA4970">
        <v>0.42685765140329729</v>
      </c>
      <c r="AB4970">
        <v>0.42685765140329729</v>
      </c>
      <c r="AC4970">
        <v>0.42685765140329729</v>
      </c>
      <c r="AD4970">
        <v>0.42685765140329729</v>
      </c>
    </row>
    <row r="4971" spans="2:30" x14ac:dyDescent="0.25">
      <c r="B4971" t="s">
        <v>133</v>
      </c>
      <c r="C4971" t="s">
        <v>3265</v>
      </c>
      <c r="D4971" t="s">
        <v>6885</v>
      </c>
      <c r="E4971" t="s">
        <v>6886</v>
      </c>
      <c r="F4971" t="s">
        <v>10449</v>
      </c>
      <c r="G4971" t="s">
        <v>3890</v>
      </c>
      <c r="H4971" t="s">
        <v>6886</v>
      </c>
      <c r="I4971" t="s">
        <v>6878</v>
      </c>
      <c r="K4971">
        <v>0.55763179275081687</v>
      </c>
      <c r="L4971">
        <v>0.44321465395800225</v>
      </c>
      <c r="M4971">
        <v>0.42051330473054166</v>
      </c>
      <c r="N4971">
        <v>0.37028919767589552</v>
      </c>
      <c r="O4971">
        <v>0.38764259891455777</v>
      </c>
      <c r="P4971">
        <v>0.36148338103139183</v>
      </c>
      <c r="Q4971">
        <v>0.35428655643709278</v>
      </c>
      <c r="R4971">
        <v>0.35065877323969097</v>
      </c>
      <c r="S4971">
        <v>0.34748625425722457</v>
      </c>
      <c r="T4971">
        <v>0.34403960476732715</v>
      </c>
      <c r="U4971">
        <v>0.34403960476732715</v>
      </c>
      <c r="V4971">
        <v>0.34403960476732715</v>
      </c>
      <c r="W4971">
        <v>0.34403960476732715</v>
      </c>
      <c r="X4971">
        <v>0.34403960476732715</v>
      </c>
      <c r="Y4971">
        <v>0.34403960476732715</v>
      </c>
      <c r="Z4971">
        <v>0.34403960476732715</v>
      </c>
      <c r="AA4971">
        <v>0.34403960476732715</v>
      </c>
      <c r="AB4971">
        <v>0.34403960476732715</v>
      </c>
      <c r="AC4971">
        <v>0.34403960476732715</v>
      </c>
      <c r="AD4971">
        <v>0.34403960476732715</v>
      </c>
    </row>
    <row r="4972" spans="2:30" x14ac:dyDescent="0.25">
      <c r="B4972" t="s">
        <v>133</v>
      </c>
      <c r="C4972" t="s">
        <v>3265</v>
      </c>
      <c r="D4972" t="s">
        <v>6888</v>
      </c>
      <c r="E4972" t="s">
        <v>6889</v>
      </c>
      <c r="F4972" t="s">
        <v>10450</v>
      </c>
      <c r="G4972" t="s">
        <v>3890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</row>
    <row r="4973" spans="2:30" x14ac:dyDescent="0.25">
      <c r="B4973" t="s">
        <v>133</v>
      </c>
      <c r="C4973" t="s">
        <v>3265</v>
      </c>
      <c r="D4973" t="s">
        <v>6891</v>
      </c>
      <c r="E4973" t="s">
        <v>6892</v>
      </c>
      <c r="F4973" t="s">
        <v>10451</v>
      </c>
      <c r="G4973" t="s">
        <v>3890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</row>
    <row r="4974" spans="2:30" x14ac:dyDescent="0.25">
      <c r="B4974" t="s">
        <v>133</v>
      </c>
      <c r="C4974" t="s">
        <v>3265</v>
      </c>
      <c r="D4974" t="s">
        <v>6894</v>
      </c>
      <c r="E4974" t="s">
        <v>6895</v>
      </c>
      <c r="F4974" t="s">
        <v>10452</v>
      </c>
      <c r="G4974" t="s">
        <v>3890</v>
      </c>
      <c r="H4974" t="s">
        <v>6897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</row>
    <row r="4975" spans="2:30" x14ac:dyDescent="0.25">
      <c r="B4975" t="s">
        <v>133</v>
      </c>
      <c r="C4975" t="s">
        <v>3265</v>
      </c>
      <c r="D4975" t="s">
        <v>6898</v>
      </c>
      <c r="E4975" t="s">
        <v>6899</v>
      </c>
      <c r="F4975" t="s">
        <v>10453</v>
      </c>
      <c r="G4975" t="s">
        <v>3890</v>
      </c>
      <c r="H4975" t="s">
        <v>6897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</row>
    <row r="4976" spans="2:30" x14ac:dyDescent="0.25">
      <c r="B4976" t="s">
        <v>133</v>
      </c>
      <c r="C4976" t="s">
        <v>3265</v>
      </c>
      <c r="D4976" t="s">
        <v>6901</v>
      </c>
      <c r="E4976" t="s">
        <v>6902</v>
      </c>
      <c r="F4976" t="s">
        <v>10454</v>
      </c>
      <c r="G4976" t="s">
        <v>3890</v>
      </c>
      <c r="H4976" t="s">
        <v>6897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</row>
    <row r="4977" spans="2:30" x14ac:dyDescent="0.25">
      <c r="B4977" t="s">
        <v>133</v>
      </c>
      <c r="C4977" t="s">
        <v>3265</v>
      </c>
      <c r="D4977" t="s">
        <v>6904</v>
      </c>
      <c r="E4977" t="s">
        <v>6905</v>
      </c>
      <c r="F4977" t="s">
        <v>10455</v>
      </c>
      <c r="G4977" t="s">
        <v>3890</v>
      </c>
      <c r="H4977" t="s">
        <v>6897</v>
      </c>
      <c r="J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</row>
    <row r="4978" spans="2:30" x14ac:dyDescent="0.25">
      <c r="B4978" t="s">
        <v>133</v>
      </c>
      <c r="C4978" t="s">
        <v>3265</v>
      </c>
      <c r="D4978" t="s">
        <v>6907</v>
      </c>
      <c r="E4978" t="s">
        <v>6908</v>
      </c>
      <c r="F4978" t="s">
        <v>10456</v>
      </c>
      <c r="G4978" t="s">
        <v>3890</v>
      </c>
      <c r="H4978" t="s">
        <v>6897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</row>
    <row r="4979" spans="2:30" x14ac:dyDescent="0.25">
      <c r="B4979" t="s">
        <v>133</v>
      </c>
      <c r="C4979" t="s">
        <v>3265</v>
      </c>
      <c r="D4979" t="s">
        <v>6910</v>
      </c>
      <c r="E4979" t="s">
        <v>6911</v>
      </c>
      <c r="F4979" t="s">
        <v>10457</v>
      </c>
      <c r="G4979" t="s">
        <v>3890</v>
      </c>
      <c r="H4979" t="s">
        <v>6897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</row>
    <row r="4980" spans="2:30" x14ac:dyDescent="0.25">
      <c r="B4980" t="s">
        <v>133</v>
      </c>
      <c r="C4980" t="s">
        <v>3265</v>
      </c>
      <c r="D4980" t="s">
        <v>6913</v>
      </c>
      <c r="E4980" t="s">
        <v>6914</v>
      </c>
      <c r="F4980" t="s">
        <v>10458</v>
      </c>
      <c r="G4980" t="s">
        <v>3890</v>
      </c>
      <c r="H4980" t="s">
        <v>6897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</row>
    <row r="4981" spans="2:30" x14ac:dyDescent="0.25">
      <c r="B4981" t="s">
        <v>133</v>
      </c>
      <c r="C4981" t="s">
        <v>3265</v>
      </c>
      <c r="D4981" t="s">
        <v>6916</v>
      </c>
      <c r="E4981" t="s">
        <v>6917</v>
      </c>
      <c r="F4981" t="s">
        <v>10459</v>
      </c>
      <c r="G4981" t="s">
        <v>3890</v>
      </c>
      <c r="H4981" t="s">
        <v>6897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</row>
    <row r="4982" spans="2:30" x14ac:dyDescent="0.25">
      <c r="B4982" t="s">
        <v>133</v>
      </c>
      <c r="C4982" t="s">
        <v>3265</v>
      </c>
      <c r="D4982" t="s">
        <v>6919</v>
      </c>
      <c r="E4982" t="s">
        <v>6920</v>
      </c>
      <c r="F4982" t="s">
        <v>10460</v>
      </c>
      <c r="G4982" t="s">
        <v>3890</v>
      </c>
      <c r="H4982" t="s">
        <v>6897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</row>
    <row r="4983" spans="2:30" x14ac:dyDescent="0.25">
      <c r="B4983" t="s">
        <v>133</v>
      </c>
      <c r="C4983" t="s">
        <v>3265</v>
      </c>
      <c r="D4983" t="s">
        <v>6922</v>
      </c>
      <c r="E4983" t="s">
        <v>6923</v>
      </c>
      <c r="F4983" t="s">
        <v>10461</v>
      </c>
      <c r="G4983" t="s">
        <v>3890</v>
      </c>
      <c r="H4983" t="s">
        <v>6925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</row>
    <row r="4984" spans="2:30" x14ac:dyDescent="0.25">
      <c r="B4984" t="s">
        <v>133</v>
      </c>
      <c r="C4984" t="s">
        <v>3265</v>
      </c>
      <c r="D4984" t="s">
        <v>6926</v>
      </c>
      <c r="E4984" t="s">
        <v>6927</v>
      </c>
      <c r="F4984" t="s">
        <v>10462</v>
      </c>
      <c r="G4984" t="s">
        <v>3890</v>
      </c>
      <c r="H4984" t="s">
        <v>6925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</row>
    <row r="4985" spans="2:30" x14ac:dyDescent="0.25">
      <c r="B4985" t="s">
        <v>133</v>
      </c>
      <c r="C4985" t="s">
        <v>3265</v>
      </c>
      <c r="D4985" t="s">
        <v>6929</v>
      </c>
      <c r="E4985" t="s">
        <v>6930</v>
      </c>
      <c r="F4985" t="s">
        <v>10463</v>
      </c>
      <c r="G4985" t="s">
        <v>3890</v>
      </c>
      <c r="H4985" t="s">
        <v>6925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</row>
    <row r="4986" spans="2:30" x14ac:dyDescent="0.25">
      <c r="B4986" t="s">
        <v>133</v>
      </c>
      <c r="C4986" t="s">
        <v>3265</v>
      </c>
      <c r="D4986" t="s">
        <v>6932</v>
      </c>
      <c r="E4986" t="s">
        <v>6933</v>
      </c>
      <c r="F4986" t="s">
        <v>10464</v>
      </c>
      <c r="G4986" t="s">
        <v>3890</v>
      </c>
      <c r="H4986" t="s">
        <v>6925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</row>
    <row r="4987" spans="2:30" x14ac:dyDescent="0.25">
      <c r="B4987" t="s">
        <v>133</v>
      </c>
      <c r="C4987" t="s">
        <v>3265</v>
      </c>
      <c r="D4987" t="s">
        <v>6935</v>
      </c>
      <c r="E4987" t="s">
        <v>6936</v>
      </c>
      <c r="F4987" t="s">
        <v>10465</v>
      </c>
      <c r="G4987" t="s">
        <v>3890</v>
      </c>
      <c r="H4987" t="s">
        <v>6925</v>
      </c>
      <c r="J4987">
        <v>1</v>
      </c>
      <c r="K4987">
        <v>6.5115671266546826E-4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</row>
    <row r="4988" spans="2:30" x14ac:dyDescent="0.25">
      <c r="B4988" t="s">
        <v>133</v>
      </c>
      <c r="C4988" t="s">
        <v>3265</v>
      </c>
      <c r="D4988" t="s">
        <v>6938</v>
      </c>
      <c r="E4988" t="s">
        <v>6939</v>
      </c>
      <c r="F4988" t="s">
        <v>10466</v>
      </c>
      <c r="G4988" t="s">
        <v>3890</v>
      </c>
      <c r="H4988" t="s">
        <v>6925</v>
      </c>
      <c r="J4988">
        <v>1</v>
      </c>
      <c r="K4988">
        <v>0.16861237962541242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</row>
    <row r="4989" spans="2:30" x14ac:dyDescent="0.25">
      <c r="B4989" t="s">
        <v>133</v>
      </c>
      <c r="C4989" t="s">
        <v>3265</v>
      </c>
      <c r="D4989" t="s">
        <v>6941</v>
      </c>
      <c r="E4989" t="s">
        <v>6942</v>
      </c>
      <c r="F4989" t="s">
        <v>10467</v>
      </c>
      <c r="G4989" t="s">
        <v>3890</v>
      </c>
      <c r="H4989" t="s">
        <v>6925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</row>
    <row r="4990" spans="2:30" x14ac:dyDescent="0.25">
      <c r="B4990" t="s">
        <v>133</v>
      </c>
      <c r="C4990" t="s">
        <v>3265</v>
      </c>
      <c r="D4990" t="s">
        <v>6944</v>
      </c>
      <c r="E4990" t="s">
        <v>6945</v>
      </c>
      <c r="F4990" t="s">
        <v>10468</v>
      </c>
      <c r="G4990" t="s">
        <v>3890</v>
      </c>
      <c r="H4990" t="s">
        <v>6925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</row>
    <row r="4991" spans="2:30" x14ac:dyDescent="0.25">
      <c r="B4991" t="s">
        <v>133</v>
      </c>
      <c r="C4991" t="s">
        <v>3265</v>
      </c>
      <c r="D4991" t="s">
        <v>6947</v>
      </c>
      <c r="E4991" t="s">
        <v>6948</v>
      </c>
      <c r="F4991" t="s">
        <v>10469</v>
      </c>
      <c r="G4991" t="s">
        <v>3890</v>
      </c>
      <c r="H4991" t="s">
        <v>6925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</row>
    <row r="4992" spans="2:30" x14ac:dyDescent="0.25">
      <c r="B4992" t="s">
        <v>133</v>
      </c>
      <c r="C4992" t="s">
        <v>3265</v>
      </c>
      <c r="D4992" t="s">
        <v>6950</v>
      </c>
      <c r="E4992" t="s">
        <v>6951</v>
      </c>
      <c r="F4992" t="s">
        <v>10470</v>
      </c>
      <c r="G4992" t="s">
        <v>3890</v>
      </c>
      <c r="H4992" t="s">
        <v>6925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</row>
    <row r="4993" spans="2:30" x14ac:dyDescent="0.25">
      <c r="B4993" t="s">
        <v>133</v>
      </c>
      <c r="C4993" t="s">
        <v>3265</v>
      </c>
      <c r="D4993" t="s">
        <v>6953</v>
      </c>
      <c r="E4993" t="s">
        <v>6954</v>
      </c>
      <c r="F4993" t="s">
        <v>10471</v>
      </c>
      <c r="G4993" t="s">
        <v>3890</v>
      </c>
      <c r="H4993" t="s">
        <v>6925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</row>
    <row r="4994" spans="2:30" x14ac:dyDescent="0.25">
      <c r="B4994" t="s">
        <v>133</v>
      </c>
      <c r="C4994" t="s">
        <v>3265</v>
      </c>
      <c r="D4994" t="s">
        <v>6956</v>
      </c>
      <c r="E4994" t="s">
        <v>6957</v>
      </c>
      <c r="F4994" t="s">
        <v>10472</v>
      </c>
      <c r="G4994" t="s">
        <v>3890</v>
      </c>
      <c r="H4994" t="s">
        <v>6925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</row>
    <row r="4995" spans="2:30" x14ac:dyDescent="0.25">
      <c r="B4995" t="s">
        <v>133</v>
      </c>
      <c r="C4995" t="s">
        <v>3265</v>
      </c>
      <c r="D4995" t="s">
        <v>6959</v>
      </c>
      <c r="E4995" t="s">
        <v>6960</v>
      </c>
      <c r="F4995" t="s">
        <v>10473</v>
      </c>
      <c r="G4995" t="s">
        <v>3890</v>
      </c>
      <c r="H4995" t="s">
        <v>4401</v>
      </c>
      <c r="J4995">
        <v>1</v>
      </c>
      <c r="K4995">
        <v>13.300765797231492</v>
      </c>
      <c r="L4995">
        <v>6.6597422204572982</v>
      </c>
      <c r="M4995">
        <v>5.9120378390671311</v>
      </c>
      <c r="N4995">
        <v>10.667339738862136</v>
      </c>
      <c r="O4995">
        <v>10.697270257523773</v>
      </c>
      <c r="P4995">
        <v>10.786740752201585</v>
      </c>
      <c r="Q4995">
        <v>10.744317205987112</v>
      </c>
      <c r="R4995">
        <v>10.698823032509914</v>
      </c>
      <c r="S4995">
        <v>10.650132442785026</v>
      </c>
      <c r="T4995">
        <v>10.60314404190486</v>
      </c>
      <c r="U4995">
        <v>10.60314404190486</v>
      </c>
      <c r="V4995">
        <v>10.603144041904862</v>
      </c>
      <c r="W4995">
        <v>10.60314404190486</v>
      </c>
      <c r="X4995">
        <v>10.60314404190486</v>
      </c>
      <c r="Y4995">
        <v>10.60314404190486</v>
      </c>
      <c r="Z4995">
        <v>10.603144041904859</v>
      </c>
      <c r="AA4995">
        <v>10.60314404190486</v>
      </c>
      <c r="AB4995">
        <v>10.60314404190486</v>
      </c>
      <c r="AC4995">
        <v>10.60314404190486</v>
      </c>
      <c r="AD4995">
        <v>10.603144041904859</v>
      </c>
    </row>
    <row r="4996" spans="2:30" x14ac:dyDescent="0.25">
      <c r="B4996" t="s">
        <v>133</v>
      </c>
      <c r="C4996" t="s">
        <v>3265</v>
      </c>
      <c r="D4996" t="s">
        <v>6962</v>
      </c>
      <c r="E4996" t="s">
        <v>6963</v>
      </c>
      <c r="F4996" t="s">
        <v>10474</v>
      </c>
      <c r="G4996" t="s">
        <v>3890</v>
      </c>
      <c r="H4996" t="s">
        <v>4401</v>
      </c>
      <c r="J4996">
        <v>1</v>
      </c>
      <c r="K4996">
        <v>20.341077129048131</v>
      </c>
      <c r="L4996">
        <v>13.728894823319759</v>
      </c>
      <c r="M4996">
        <v>12.932251380703796</v>
      </c>
      <c r="N4996">
        <v>4.7553018997950049</v>
      </c>
      <c r="O4996">
        <v>4.7852324184566415</v>
      </c>
      <c r="P4996">
        <v>4.8747029131344526</v>
      </c>
      <c r="Q4996">
        <v>4.8322793669199813</v>
      </c>
      <c r="R4996">
        <v>4.7867851934427836</v>
      </c>
      <c r="S4996">
        <v>4.7380946037178955</v>
      </c>
      <c r="T4996">
        <v>4.6911062028377293</v>
      </c>
      <c r="U4996">
        <v>4.6911062028377293</v>
      </c>
      <c r="V4996">
        <v>4.6911062028377302</v>
      </c>
      <c r="W4996">
        <v>4.6911062028377293</v>
      </c>
      <c r="X4996">
        <v>4.6911062028377293</v>
      </c>
      <c r="Y4996">
        <v>4.6911062028377293</v>
      </c>
      <c r="Z4996">
        <v>4.6911062028377284</v>
      </c>
      <c r="AA4996">
        <v>4.6911062028377293</v>
      </c>
      <c r="AB4996">
        <v>4.6911062028377293</v>
      </c>
      <c r="AC4996">
        <v>4.6911062028377293</v>
      </c>
      <c r="AD4996">
        <v>4.6911062028377284</v>
      </c>
    </row>
    <row r="4997" spans="2:30" x14ac:dyDescent="0.25">
      <c r="B4997" t="s">
        <v>133</v>
      </c>
      <c r="C4997" t="s">
        <v>3265</v>
      </c>
      <c r="D4997" t="s">
        <v>6965</v>
      </c>
      <c r="E4997" t="s">
        <v>6966</v>
      </c>
      <c r="F4997" t="s">
        <v>10475</v>
      </c>
      <c r="G4997" t="s">
        <v>3890</v>
      </c>
      <c r="H4997" t="s">
        <v>4401</v>
      </c>
      <c r="J4997">
        <v>1</v>
      </c>
      <c r="K4997">
        <v>11.120349660557133</v>
      </c>
      <c r="L4997">
        <v>8.6107191627453634</v>
      </c>
      <c r="M4997">
        <v>7.5769525309658565</v>
      </c>
      <c r="N4997">
        <v>4.7553018997950049</v>
      </c>
      <c r="O4997">
        <v>4.7852324184566415</v>
      </c>
      <c r="P4997">
        <v>4.8747029131344526</v>
      </c>
      <c r="Q4997">
        <v>4.8322793669199813</v>
      </c>
      <c r="R4997">
        <v>4.7867851934427836</v>
      </c>
      <c r="S4997">
        <v>4.7380946037178955</v>
      </c>
      <c r="T4997">
        <v>4.6911062028377293</v>
      </c>
      <c r="U4997">
        <v>4.6911062028377293</v>
      </c>
      <c r="V4997">
        <v>4.6911062028377302</v>
      </c>
      <c r="W4997">
        <v>4.6911062028377293</v>
      </c>
      <c r="X4997">
        <v>4.6911062028377293</v>
      </c>
      <c r="Y4997">
        <v>4.6911062028377293</v>
      </c>
      <c r="Z4997">
        <v>4.6911062028377284</v>
      </c>
      <c r="AA4997">
        <v>4.6911062028377293</v>
      </c>
      <c r="AB4997">
        <v>4.6911062028377293</v>
      </c>
      <c r="AC4997">
        <v>4.6911062028377293</v>
      </c>
      <c r="AD4997">
        <v>4.6911062028377284</v>
      </c>
    </row>
    <row r="4998" spans="2:30" x14ac:dyDescent="0.25">
      <c r="B4998" t="s">
        <v>133</v>
      </c>
      <c r="C4998" t="s">
        <v>3265</v>
      </c>
      <c r="D4998" t="s">
        <v>6968</v>
      </c>
      <c r="E4998" t="s">
        <v>6969</v>
      </c>
      <c r="F4998" t="s">
        <v>10476</v>
      </c>
      <c r="G4998" t="s">
        <v>3890</v>
      </c>
      <c r="H4998" t="s">
        <v>4401</v>
      </c>
      <c r="J4998">
        <v>1</v>
      </c>
      <c r="K4998">
        <v>11.487541741967885</v>
      </c>
      <c r="L4998">
        <v>9.3891447698250445</v>
      </c>
      <c r="M4998">
        <v>8.7667832853036707</v>
      </c>
      <c r="N4998">
        <v>9.1053931197606968</v>
      </c>
      <c r="O4998">
        <v>9.4445800349302154</v>
      </c>
      <c r="P4998">
        <v>8.5676666692102899</v>
      </c>
      <c r="Q4998">
        <v>7.5361226914357777</v>
      </c>
      <c r="R4998">
        <v>7.1686734271328421</v>
      </c>
      <c r="S4998">
        <v>7.0644313587224108</v>
      </c>
      <c r="T4998">
        <v>7.0053585795851747</v>
      </c>
      <c r="U4998">
        <v>7.0053585795851756</v>
      </c>
      <c r="V4998">
        <v>7.0053585795851756</v>
      </c>
      <c r="W4998">
        <v>7.0053585795851756</v>
      </c>
      <c r="X4998">
        <v>7.0053585795851747</v>
      </c>
      <c r="Y4998">
        <v>7.0053585795851756</v>
      </c>
      <c r="Z4998">
        <v>7.0053585795851756</v>
      </c>
      <c r="AA4998">
        <v>7.0053585795851747</v>
      </c>
      <c r="AB4998">
        <v>7.0053585795851747</v>
      </c>
      <c r="AC4998">
        <v>7.0053585795851756</v>
      </c>
      <c r="AD4998">
        <v>7.0053585795851747</v>
      </c>
    </row>
    <row r="4999" spans="2:30" x14ac:dyDescent="0.25">
      <c r="B4999" t="s">
        <v>133</v>
      </c>
      <c r="C4999" t="s">
        <v>3265</v>
      </c>
      <c r="D4999" t="s">
        <v>6971</v>
      </c>
      <c r="E4999" t="s">
        <v>6972</v>
      </c>
      <c r="F4999" t="s">
        <v>10477</v>
      </c>
      <c r="G4999" t="s">
        <v>3890</v>
      </c>
      <c r="H4999" t="s">
        <v>4401</v>
      </c>
      <c r="J4999">
        <v>1</v>
      </c>
      <c r="K4999">
        <v>16.896519832842024</v>
      </c>
      <c r="L4999">
        <v>15.007346977443612</v>
      </c>
      <c r="M4999">
        <v>14.387195939484084</v>
      </c>
      <c r="N4999">
        <v>9.1053931197606968</v>
      </c>
      <c r="O4999">
        <v>9.4445800349302154</v>
      </c>
      <c r="P4999">
        <v>8.5676666692102899</v>
      </c>
      <c r="Q4999">
        <v>7.5361226914357777</v>
      </c>
      <c r="R4999">
        <v>7.1686734271328421</v>
      </c>
      <c r="S4999">
        <v>7.0644313587224108</v>
      </c>
      <c r="T4999">
        <v>7.0053585795851747</v>
      </c>
      <c r="U4999">
        <v>7.0053585795851756</v>
      </c>
      <c r="V4999">
        <v>7.0053585795851756</v>
      </c>
      <c r="W4999">
        <v>7.0053585795851756</v>
      </c>
      <c r="X4999">
        <v>7.0053585795851747</v>
      </c>
      <c r="Y4999">
        <v>7.0053585795851756</v>
      </c>
      <c r="Z4999">
        <v>7.0053585795851756</v>
      </c>
      <c r="AA4999">
        <v>7.0053585795851747</v>
      </c>
      <c r="AB4999">
        <v>7.0053585795851747</v>
      </c>
      <c r="AC4999">
        <v>7.0053585795851756</v>
      </c>
      <c r="AD4999">
        <v>7.0053585795851747</v>
      </c>
    </row>
    <row r="5000" spans="2:30" x14ac:dyDescent="0.25">
      <c r="B5000" t="s">
        <v>133</v>
      </c>
      <c r="C5000" t="s">
        <v>3265</v>
      </c>
      <c r="D5000" t="s">
        <v>6974</v>
      </c>
      <c r="E5000" t="s">
        <v>6975</v>
      </c>
      <c r="F5000" t="s">
        <v>10478</v>
      </c>
      <c r="G5000" t="s">
        <v>3890</v>
      </c>
      <c r="H5000" t="s">
        <v>4401</v>
      </c>
      <c r="J5000">
        <v>1</v>
      </c>
      <c r="K5000">
        <v>12.26057770283262</v>
      </c>
      <c r="L5000">
        <v>10.191589119339163</v>
      </c>
      <c r="M5000">
        <v>9.5695478851554761</v>
      </c>
      <c r="N5000">
        <v>9.1053931197606968</v>
      </c>
      <c r="O5000">
        <v>9.4445800349302154</v>
      </c>
      <c r="P5000">
        <v>8.5676666692102899</v>
      </c>
      <c r="Q5000">
        <v>7.5361226914357777</v>
      </c>
      <c r="R5000">
        <v>7.1686734271328421</v>
      </c>
      <c r="S5000">
        <v>7.0644313587224108</v>
      </c>
      <c r="T5000">
        <v>7.0053585795851747</v>
      </c>
      <c r="U5000">
        <v>7.0053585795851756</v>
      </c>
      <c r="V5000">
        <v>7.0053585795851756</v>
      </c>
      <c r="W5000">
        <v>7.0053585795851756</v>
      </c>
      <c r="X5000">
        <v>7.0053585795851747</v>
      </c>
      <c r="Y5000">
        <v>7.0053585795851756</v>
      </c>
      <c r="Z5000">
        <v>7.0053585795851756</v>
      </c>
      <c r="AA5000">
        <v>7.0053585795851747</v>
      </c>
      <c r="AB5000">
        <v>7.0053585795851747</v>
      </c>
      <c r="AC5000">
        <v>7.0053585795851756</v>
      </c>
      <c r="AD5000">
        <v>7.0053585795851747</v>
      </c>
    </row>
    <row r="5001" spans="2:30" x14ac:dyDescent="0.25">
      <c r="B5001" t="s">
        <v>133</v>
      </c>
      <c r="C5001" t="s">
        <v>3265</v>
      </c>
      <c r="D5001" t="s">
        <v>6977</v>
      </c>
      <c r="E5001" t="s">
        <v>6978</v>
      </c>
      <c r="F5001" t="s">
        <v>10479</v>
      </c>
      <c r="G5001" t="s">
        <v>3890</v>
      </c>
      <c r="H5001" t="s">
        <v>4401</v>
      </c>
      <c r="J5001">
        <v>1</v>
      </c>
      <c r="K5001">
        <v>0.96288449831239953</v>
      </c>
      <c r="L5001">
        <v>0.81772900379057656</v>
      </c>
      <c r="M5001">
        <v>0.76352775679432006</v>
      </c>
      <c r="N5001">
        <v>0.44257796119644682</v>
      </c>
      <c r="O5001">
        <v>0.46331913590053142</v>
      </c>
      <c r="P5001">
        <v>0.43205305147276285</v>
      </c>
      <c r="Q5001">
        <v>0.4234512451656256</v>
      </c>
      <c r="R5001">
        <v>0.41911523725276678</v>
      </c>
      <c r="S5001">
        <v>0.4153233713492252</v>
      </c>
      <c r="T5001">
        <v>0.41120385850960756</v>
      </c>
      <c r="U5001">
        <v>0.41120385850960756</v>
      </c>
      <c r="V5001">
        <v>0.41120385850960756</v>
      </c>
      <c r="W5001">
        <v>0.41120385850960756</v>
      </c>
      <c r="X5001">
        <v>0.41120385850960756</v>
      </c>
      <c r="Y5001">
        <v>0.41120385850960756</v>
      </c>
      <c r="Z5001">
        <v>0.41120385850960756</v>
      </c>
      <c r="AA5001">
        <v>0.41120385850960756</v>
      </c>
      <c r="AB5001">
        <v>0.41120385850960756</v>
      </c>
      <c r="AC5001">
        <v>0.41120385850960756</v>
      </c>
      <c r="AD5001">
        <v>0.41120385850960756</v>
      </c>
    </row>
    <row r="5002" spans="2:30" x14ac:dyDescent="0.25">
      <c r="B5002" t="s">
        <v>133</v>
      </c>
      <c r="C5002" t="s">
        <v>3265</v>
      </c>
      <c r="D5002" t="s">
        <v>6980</v>
      </c>
      <c r="E5002" t="s">
        <v>6981</v>
      </c>
      <c r="F5002" t="s">
        <v>10480</v>
      </c>
      <c r="G5002" t="s">
        <v>3890</v>
      </c>
      <c r="H5002" t="s">
        <v>4401</v>
      </c>
      <c r="J5002">
        <v>1</v>
      </c>
      <c r="K5002">
        <v>1.0765662572630961</v>
      </c>
      <c r="L5002">
        <v>0.85484887846197788</v>
      </c>
      <c r="M5002">
        <v>0.77837412984309851</v>
      </c>
      <c r="N5002">
        <v>0.44257796119644682</v>
      </c>
      <c r="O5002">
        <v>0.48095686387165837</v>
      </c>
      <c r="P5002">
        <v>0.44850053572389442</v>
      </c>
      <c r="Q5002">
        <v>0.43957127408856161</v>
      </c>
      <c r="R5002">
        <v>0.43507020213642233</v>
      </c>
      <c r="S5002">
        <v>0.43113398670330721</v>
      </c>
      <c r="T5002">
        <v>0.42685765140329729</v>
      </c>
      <c r="U5002">
        <v>0.42685765140329729</v>
      </c>
      <c r="V5002">
        <v>0.42685765140329729</v>
      </c>
      <c r="W5002">
        <v>0.42685765140329729</v>
      </c>
      <c r="X5002">
        <v>0.42685765140329729</v>
      </c>
      <c r="Y5002">
        <v>0.42685765140329729</v>
      </c>
      <c r="Z5002">
        <v>0.42685765140329729</v>
      </c>
      <c r="AA5002">
        <v>0.42685765140329729</v>
      </c>
      <c r="AB5002">
        <v>0.42685765140329729</v>
      </c>
      <c r="AC5002">
        <v>0.42685765140329729</v>
      </c>
      <c r="AD5002">
        <v>0.42685765140329729</v>
      </c>
    </row>
    <row r="5003" spans="2:30" x14ac:dyDescent="0.25">
      <c r="B5003" t="s">
        <v>133</v>
      </c>
      <c r="C5003" t="s">
        <v>3265</v>
      </c>
      <c r="D5003" t="s">
        <v>6983</v>
      </c>
      <c r="E5003" t="s">
        <v>6984</v>
      </c>
      <c r="F5003" t="s">
        <v>10481</v>
      </c>
      <c r="G5003" t="s">
        <v>3890</v>
      </c>
      <c r="H5003" t="s">
        <v>4401</v>
      </c>
      <c r="J5003">
        <v>1</v>
      </c>
      <c r="K5003">
        <v>0.67072237780910948</v>
      </c>
      <c r="L5003">
        <v>0.57754157944621498</v>
      </c>
      <c r="M5003">
        <v>0.54295307149818317</v>
      </c>
      <c r="N5003">
        <v>0.37028919767589552</v>
      </c>
      <c r="O5003">
        <v>0.38764259891455777</v>
      </c>
      <c r="P5003">
        <v>0.36148338103139183</v>
      </c>
      <c r="Q5003">
        <v>0.35428655643709278</v>
      </c>
      <c r="R5003">
        <v>0.35065877323969097</v>
      </c>
      <c r="S5003">
        <v>0.34748625425722457</v>
      </c>
      <c r="T5003">
        <v>0.34403960476732715</v>
      </c>
      <c r="U5003">
        <v>0.34403960476732715</v>
      </c>
      <c r="V5003">
        <v>0.34403960476732715</v>
      </c>
      <c r="W5003">
        <v>0.34403960476732715</v>
      </c>
      <c r="X5003">
        <v>0.34403960476732715</v>
      </c>
      <c r="Y5003">
        <v>0.34403960476732715</v>
      </c>
      <c r="Z5003">
        <v>0.34403960476732715</v>
      </c>
      <c r="AA5003">
        <v>0.34403960476732715</v>
      </c>
      <c r="AB5003">
        <v>0.34403960476732715</v>
      </c>
      <c r="AC5003">
        <v>0.34403960476732715</v>
      </c>
      <c r="AD5003">
        <v>0.34403960476732715</v>
      </c>
    </row>
    <row r="5004" spans="2:30" x14ac:dyDescent="0.25">
      <c r="B5004" t="s">
        <v>133</v>
      </c>
      <c r="C5004" t="s">
        <v>3265</v>
      </c>
      <c r="D5004" t="s">
        <v>6986</v>
      </c>
      <c r="E5004" t="s">
        <v>6987</v>
      </c>
      <c r="F5004" t="s">
        <v>10482</v>
      </c>
      <c r="G5004" t="s">
        <v>3890</v>
      </c>
      <c r="H5004" t="s">
        <v>4401</v>
      </c>
      <c r="J5004">
        <v>1</v>
      </c>
      <c r="K5004">
        <v>0.78326731917029901</v>
      </c>
      <c r="L5004">
        <v>0.69872705263814272</v>
      </c>
      <c r="M5004">
        <v>0.69141680198596767</v>
      </c>
      <c r="N5004">
        <v>0.45942610987139121</v>
      </c>
      <c r="O5004">
        <v>0.48095686387165837</v>
      </c>
      <c r="P5004">
        <v>0.44850053572389442</v>
      </c>
      <c r="Q5004">
        <v>0.43957127408856161</v>
      </c>
      <c r="R5004">
        <v>0.43507020213642233</v>
      </c>
      <c r="S5004">
        <v>0.43113398670330721</v>
      </c>
      <c r="T5004">
        <v>0.42685765140329729</v>
      </c>
      <c r="U5004">
        <v>0.42685765140329729</v>
      </c>
      <c r="V5004">
        <v>0.42685765140329729</v>
      </c>
      <c r="W5004">
        <v>0.42685765140329729</v>
      </c>
      <c r="X5004">
        <v>0.42685765140329729</v>
      </c>
      <c r="Y5004">
        <v>0.42685765140329729</v>
      </c>
      <c r="Z5004">
        <v>0.42685765140329729</v>
      </c>
      <c r="AA5004">
        <v>0.42685765140329729</v>
      </c>
      <c r="AB5004">
        <v>0.42685765140329729</v>
      </c>
      <c r="AC5004">
        <v>0.42685765140329729</v>
      </c>
      <c r="AD5004">
        <v>0.42685765140329729</v>
      </c>
    </row>
    <row r="5005" spans="2:30" x14ac:dyDescent="0.25">
      <c r="B5005" t="s">
        <v>133</v>
      </c>
      <c r="C5005" t="s">
        <v>3265</v>
      </c>
      <c r="D5005" t="s">
        <v>6989</v>
      </c>
      <c r="E5005" t="s">
        <v>6990</v>
      </c>
      <c r="F5005" t="s">
        <v>10483</v>
      </c>
      <c r="G5005" t="s">
        <v>3890</v>
      </c>
      <c r="H5005" t="s">
        <v>4401</v>
      </c>
      <c r="J5005">
        <v>1</v>
      </c>
      <c r="K5005">
        <v>116.49765611990527</v>
      </c>
      <c r="L5005">
        <v>95.069457838557554</v>
      </c>
      <c r="M5005">
        <v>91.60742398705186</v>
      </c>
      <c r="N5005">
        <v>78.383975634268623</v>
      </c>
      <c r="O5005">
        <v>82.05739789017133</v>
      </c>
      <c r="P5005">
        <v>76.519932822231851</v>
      </c>
      <c r="Q5005">
        <v>74.996486480333985</v>
      </c>
      <c r="R5005">
        <v>74.228545985347012</v>
      </c>
      <c r="S5005">
        <v>73.556977243450959</v>
      </c>
      <c r="T5005">
        <v>72.827379698257502</v>
      </c>
      <c r="U5005">
        <v>72.827379698257502</v>
      </c>
      <c r="V5005">
        <v>72.827379698257502</v>
      </c>
      <c r="W5005">
        <v>72.827379698257502</v>
      </c>
      <c r="X5005">
        <v>72.827379698257502</v>
      </c>
      <c r="Y5005">
        <v>72.827379698257502</v>
      </c>
      <c r="Z5005">
        <v>72.827379698257502</v>
      </c>
      <c r="AA5005">
        <v>72.827379698257502</v>
      </c>
      <c r="AB5005">
        <v>72.827379698257502</v>
      </c>
      <c r="AC5005">
        <v>72.827379698257502</v>
      </c>
      <c r="AD5005">
        <v>72.827379698257502</v>
      </c>
    </row>
    <row r="5006" spans="2:30" x14ac:dyDescent="0.25">
      <c r="B5006" t="s">
        <v>133</v>
      </c>
      <c r="C5006" t="s">
        <v>3265</v>
      </c>
      <c r="D5006" t="s">
        <v>6992</v>
      </c>
      <c r="E5006" t="s">
        <v>4362</v>
      </c>
      <c r="F5006" t="s">
        <v>9676</v>
      </c>
      <c r="G5006" t="s">
        <v>3890</v>
      </c>
      <c r="H5006" t="s">
        <v>4262</v>
      </c>
      <c r="J5006">
        <v>1</v>
      </c>
      <c r="K5006">
        <v>13.300765797231492</v>
      </c>
      <c r="L5006">
        <v>6.6597422204572982</v>
      </c>
      <c r="M5006">
        <v>5.9120378390671311</v>
      </c>
      <c r="N5006">
        <v>5.0316224519831581</v>
      </c>
      <c r="O5006">
        <v>5.0549587333229749</v>
      </c>
      <c r="P5006">
        <v>5.1247172516773594</v>
      </c>
      <c r="Q5006">
        <v>5.0916403838460447</v>
      </c>
      <c r="R5006">
        <v>5.056169403754172</v>
      </c>
      <c r="S5006">
        <v>5.0182062360166881</v>
      </c>
      <c r="T5006">
        <v>4.9815702339799719</v>
      </c>
      <c r="U5006">
        <v>4.9815702339799719</v>
      </c>
      <c r="V5006">
        <v>4.9815702339799728</v>
      </c>
      <c r="W5006">
        <v>4.9815702339799719</v>
      </c>
      <c r="X5006">
        <v>4.9815702339799719</v>
      </c>
      <c r="Y5006">
        <v>4.9815702339799719</v>
      </c>
      <c r="Z5006">
        <v>4.981570233979971</v>
      </c>
      <c r="AA5006">
        <v>4.9815702339799719</v>
      </c>
      <c r="AB5006">
        <v>4.9815702339799719</v>
      </c>
      <c r="AC5006">
        <v>4.9815702339799719</v>
      </c>
      <c r="AD5006">
        <v>4.981570233979971</v>
      </c>
    </row>
    <row r="5007" spans="2:30" x14ac:dyDescent="0.25">
      <c r="B5007" t="s">
        <v>133</v>
      </c>
      <c r="C5007" t="s">
        <v>3265</v>
      </c>
      <c r="D5007" t="s">
        <v>6993</v>
      </c>
      <c r="E5007" t="s">
        <v>4356</v>
      </c>
      <c r="F5007" t="s">
        <v>9674</v>
      </c>
      <c r="G5007" t="s">
        <v>3890</v>
      </c>
      <c r="H5007" t="s">
        <v>4262</v>
      </c>
      <c r="J5007">
        <v>1</v>
      </c>
      <c r="K5007">
        <v>23.399139181173656</v>
      </c>
      <c r="L5007">
        <v>15.863833497435211</v>
      </c>
      <c r="M5007">
        <v>14.743508892654766</v>
      </c>
      <c r="N5007">
        <v>13.652285126927826</v>
      </c>
      <c r="O5007">
        <v>13.68120909301847</v>
      </c>
      <c r="P5007">
        <v>13.767670727159517</v>
      </c>
      <c r="Q5007">
        <v>13.726673869536567</v>
      </c>
      <c r="R5007">
        <v>13.682709648740651</v>
      </c>
      <c r="S5007">
        <v>13.635656506025111</v>
      </c>
      <c r="T5007">
        <v>13.59024830815604</v>
      </c>
      <c r="U5007">
        <v>13.59024830815604</v>
      </c>
      <c r="V5007">
        <v>13.59024830815604</v>
      </c>
      <c r="W5007">
        <v>13.59024830815604</v>
      </c>
      <c r="X5007">
        <v>13.59024830815604</v>
      </c>
      <c r="Y5007">
        <v>13.59024830815604</v>
      </c>
      <c r="Z5007">
        <v>13.590248308156037</v>
      </c>
      <c r="AA5007">
        <v>13.59024830815604</v>
      </c>
      <c r="AB5007">
        <v>13.59024830815604</v>
      </c>
      <c r="AC5007">
        <v>13.59024830815604</v>
      </c>
      <c r="AD5007">
        <v>13.590248308156037</v>
      </c>
    </row>
    <row r="5008" spans="2:30" x14ac:dyDescent="0.25">
      <c r="B5008" t="s">
        <v>133</v>
      </c>
      <c r="C5008" t="s">
        <v>3265</v>
      </c>
      <c r="D5008" t="s">
        <v>6994</v>
      </c>
      <c r="E5008" t="s">
        <v>4350</v>
      </c>
      <c r="F5008" t="s">
        <v>9672</v>
      </c>
      <c r="G5008" t="s">
        <v>3890</v>
      </c>
      <c r="H5008" t="s">
        <v>4262</v>
      </c>
      <c r="J5008">
        <v>1</v>
      </c>
      <c r="K5008">
        <v>11.465942207767251</v>
      </c>
      <c r="L5008">
        <v>8.8301631277145294</v>
      </c>
      <c r="M5008">
        <v>7.7455649105912689</v>
      </c>
      <c r="N5008">
        <v>7.0537973643552112</v>
      </c>
      <c r="O5008">
        <v>7.072133347934721</v>
      </c>
      <c r="P5008">
        <v>7.1269446106398249</v>
      </c>
      <c r="Q5008">
        <v>7.1009551697094144</v>
      </c>
      <c r="R5008">
        <v>7.0730846063131816</v>
      </c>
      <c r="S5008">
        <v>7.0432558598164983</v>
      </c>
      <c r="T5008">
        <v>7.0144699053629092</v>
      </c>
      <c r="U5008">
        <v>7.0144699053629092</v>
      </c>
      <c r="V5008">
        <v>7.0144699053629092</v>
      </c>
      <c r="W5008">
        <v>7.0144699053629092</v>
      </c>
      <c r="X5008">
        <v>7.0144699053629092</v>
      </c>
      <c r="Y5008">
        <v>7.0144699053629092</v>
      </c>
      <c r="Z5008">
        <v>7.0144699053629083</v>
      </c>
      <c r="AA5008">
        <v>7.0144699053629092</v>
      </c>
      <c r="AB5008">
        <v>7.0144699053629092</v>
      </c>
      <c r="AC5008">
        <v>7.0144699053629092</v>
      </c>
      <c r="AD5008">
        <v>7.0144699053629083</v>
      </c>
    </row>
    <row r="5009" spans="2:30" x14ac:dyDescent="0.25">
      <c r="B5009" t="s">
        <v>133</v>
      </c>
      <c r="C5009" t="s">
        <v>3265</v>
      </c>
      <c r="D5009" t="s">
        <v>6995</v>
      </c>
      <c r="E5009" t="s">
        <v>4365</v>
      </c>
      <c r="F5009" t="s">
        <v>9677</v>
      </c>
      <c r="G5009" t="s">
        <v>3890</v>
      </c>
      <c r="H5009" t="s">
        <v>4262</v>
      </c>
      <c r="J5009">
        <v>1</v>
      </c>
      <c r="K5009">
        <v>2.7840662767025575</v>
      </c>
      <c r="L5009">
        <v>2.6136758812745531</v>
      </c>
      <c r="M5009">
        <v>2.6543194100780321</v>
      </c>
      <c r="N5009">
        <v>2.6543194100780321</v>
      </c>
      <c r="O5009">
        <v>2.6543194100780321</v>
      </c>
      <c r="P5009">
        <v>2.6543194100780321</v>
      </c>
      <c r="Q5009">
        <v>2.6543194100780321</v>
      </c>
      <c r="R5009">
        <v>2.6543194100780321</v>
      </c>
      <c r="S5009">
        <v>2.6543194100780321</v>
      </c>
      <c r="T5009">
        <v>2.6543194100780321</v>
      </c>
      <c r="U5009">
        <v>2.6543194100780321</v>
      </c>
      <c r="V5009">
        <v>2.6543194100780321</v>
      </c>
      <c r="W5009">
        <v>2.6543194100780321</v>
      </c>
      <c r="X5009">
        <v>2.6543194100780321</v>
      </c>
      <c r="Y5009">
        <v>2.6543194100780321</v>
      </c>
      <c r="Z5009">
        <v>2.6543194100780321</v>
      </c>
      <c r="AA5009">
        <v>2.6543194100780321</v>
      </c>
      <c r="AB5009">
        <v>2.6543194100780321</v>
      </c>
      <c r="AC5009">
        <v>2.6543194100780321</v>
      </c>
      <c r="AD5009">
        <v>2.6543194100780321</v>
      </c>
    </row>
    <row r="5010" spans="2:30" x14ac:dyDescent="0.25">
      <c r="B5010" t="s">
        <v>133</v>
      </c>
      <c r="C5010" t="s">
        <v>3265</v>
      </c>
      <c r="D5010" t="s">
        <v>6996</v>
      </c>
      <c r="E5010" t="s">
        <v>4359</v>
      </c>
      <c r="F5010" t="s">
        <v>9675</v>
      </c>
      <c r="G5010" t="s">
        <v>3890</v>
      </c>
      <c r="H5010" t="s">
        <v>4262</v>
      </c>
      <c r="J5010">
        <v>1</v>
      </c>
      <c r="K5010">
        <v>4.6336684948303901</v>
      </c>
      <c r="L5010">
        <v>3.2086856370367216</v>
      </c>
      <c r="M5010">
        <v>2.3308805686582157</v>
      </c>
      <c r="N5010">
        <v>2.3308805686582161</v>
      </c>
      <c r="O5010">
        <v>2.3308805686582161</v>
      </c>
      <c r="P5010">
        <v>2.3308805686582161</v>
      </c>
      <c r="Q5010">
        <v>2.3308805686582161</v>
      </c>
      <c r="R5010">
        <v>2.3308805686582161</v>
      </c>
      <c r="S5010">
        <v>2.3308805686582161</v>
      </c>
      <c r="T5010">
        <v>2.3308805686582161</v>
      </c>
      <c r="U5010">
        <v>2.3308805686582161</v>
      </c>
      <c r="V5010">
        <v>2.3308805686582161</v>
      </c>
      <c r="W5010">
        <v>2.3308805686582161</v>
      </c>
      <c r="X5010">
        <v>2.3308805686582161</v>
      </c>
      <c r="Y5010">
        <v>2.3308805686582161</v>
      </c>
      <c r="Z5010">
        <v>2.3308805686582161</v>
      </c>
      <c r="AA5010">
        <v>2.3308805686582161</v>
      </c>
      <c r="AB5010">
        <v>2.3308805686582161</v>
      </c>
      <c r="AC5010">
        <v>2.3308805686582161</v>
      </c>
      <c r="AD5010">
        <v>2.3308805686582161</v>
      </c>
    </row>
    <row r="5011" spans="2:30" x14ac:dyDescent="0.25">
      <c r="B5011" t="s">
        <v>133</v>
      </c>
      <c r="C5011" t="s">
        <v>3265</v>
      </c>
      <c r="D5011" t="s">
        <v>6997</v>
      </c>
      <c r="E5011" t="s">
        <v>4353</v>
      </c>
      <c r="F5011" t="s">
        <v>9673</v>
      </c>
      <c r="G5011" t="s">
        <v>3890</v>
      </c>
      <c r="H5011" t="s">
        <v>4262</v>
      </c>
      <c r="J5011">
        <v>1</v>
      </c>
      <c r="K5011">
        <v>5.3362217651456945</v>
      </c>
      <c r="L5011">
        <v>5.0100913196194341</v>
      </c>
      <c r="M5011">
        <v>5.0870036796421569</v>
      </c>
      <c r="N5011">
        <v>5.0870036796421569</v>
      </c>
      <c r="O5011">
        <v>5.0870036796421569</v>
      </c>
      <c r="P5011">
        <v>5.0870036796421569</v>
      </c>
      <c r="Q5011">
        <v>5.0870036796421569</v>
      </c>
      <c r="R5011">
        <v>5.0870036796421569</v>
      </c>
      <c r="S5011">
        <v>5.0870036796421569</v>
      </c>
      <c r="T5011">
        <v>5.0870036796421569</v>
      </c>
      <c r="U5011">
        <v>5.0870036796421569</v>
      </c>
      <c r="V5011">
        <v>5.0870036796421569</v>
      </c>
      <c r="W5011">
        <v>5.0870036796421569</v>
      </c>
      <c r="X5011">
        <v>5.0870036796421569</v>
      </c>
      <c r="Y5011">
        <v>5.0870036796421569</v>
      </c>
      <c r="Z5011">
        <v>5.0870036796421569</v>
      </c>
      <c r="AA5011">
        <v>5.0870036796421569</v>
      </c>
      <c r="AB5011">
        <v>5.0870036796421569</v>
      </c>
      <c r="AC5011">
        <v>5.0870036796421569</v>
      </c>
      <c r="AD5011">
        <v>5.0870036796421569</v>
      </c>
    </row>
    <row r="5012" spans="2:30" x14ac:dyDescent="0.25">
      <c r="B5012" t="s">
        <v>133</v>
      </c>
      <c r="C5012" t="s">
        <v>3265</v>
      </c>
      <c r="D5012" t="s">
        <v>6998</v>
      </c>
      <c r="E5012" t="s">
        <v>6999</v>
      </c>
      <c r="F5012" t="s">
        <v>10484</v>
      </c>
      <c r="G5012" t="s">
        <v>3890</v>
      </c>
      <c r="H5012" t="s">
        <v>4262</v>
      </c>
      <c r="J5012">
        <v>1</v>
      </c>
      <c r="K5012">
        <v>0.41380160258053544</v>
      </c>
      <c r="L5012">
        <v>0.28058258207500419</v>
      </c>
      <c r="M5012">
        <v>0.24920697617592391</v>
      </c>
      <c r="N5012">
        <v>0.24920697617592391</v>
      </c>
      <c r="O5012">
        <v>0.24920697617592391</v>
      </c>
      <c r="P5012">
        <v>0.24920697617592391</v>
      </c>
      <c r="Q5012">
        <v>0.24920697617592391</v>
      </c>
      <c r="R5012">
        <v>0.24920697617592391</v>
      </c>
      <c r="S5012">
        <v>0.24920697617592391</v>
      </c>
      <c r="T5012">
        <v>0.24920697617592391</v>
      </c>
      <c r="U5012">
        <v>0.24920697617592391</v>
      </c>
      <c r="V5012">
        <v>0.24920697617592391</v>
      </c>
      <c r="W5012">
        <v>0.24920697617592391</v>
      </c>
      <c r="X5012">
        <v>0.24920697617592391</v>
      </c>
      <c r="Y5012">
        <v>0.24920697617592391</v>
      </c>
      <c r="Z5012">
        <v>0.24920697617592391</v>
      </c>
      <c r="AA5012">
        <v>0.24920697617592391</v>
      </c>
      <c r="AB5012">
        <v>0.24920697617592391</v>
      </c>
      <c r="AC5012">
        <v>0.24920697617592391</v>
      </c>
      <c r="AD5012">
        <v>0.24920697617592391</v>
      </c>
    </row>
    <row r="5013" spans="2:30" x14ac:dyDescent="0.25">
      <c r="B5013" t="s">
        <v>133</v>
      </c>
      <c r="C5013" t="s">
        <v>3265</v>
      </c>
      <c r="D5013" t="s">
        <v>7001</v>
      </c>
      <c r="E5013" t="s">
        <v>7002</v>
      </c>
      <c r="F5013" t="s">
        <v>10485</v>
      </c>
      <c r="G5013" t="s">
        <v>3890</v>
      </c>
      <c r="H5013" t="s">
        <v>4262</v>
      </c>
      <c r="J5013">
        <v>1</v>
      </c>
      <c r="K5013">
        <v>0.17506990878407264</v>
      </c>
      <c r="L5013">
        <v>0.10153377483648018</v>
      </c>
      <c r="M5013">
        <v>8.8017783074900768E-2</v>
      </c>
      <c r="N5013">
        <v>8.8017783074900768E-2</v>
      </c>
      <c r="O5013">
        <v>8.8017783074900768E-2</v>
      </c>
      <c r="P5013">
        <v>8.8017783074900768E-2</v>
      </c>
      <c r="Q5013">
        <v>8.8017783074900768E-2</v>
      </c>
      <c r="R5013">
        <v>8.8017783074900768E-2</v>
      </c>
      <c r="S5013">
        <v>8.8017783074900768E-2</v>
      </c>
      <c r="T5013">
        <v>8.8017783074900768E-2</v>
      </c>
      <c r="U5013">
        <v>8.8017783074900768E-2</v>
      </c>
      <c r="V5013">
        <v>8.8017783074900768E-2</v>
      </c>
      <c r="W5013">
        <v>8.8017783074900768E-2</v>
      </c>
      <c r="X5013">
        <v>8.8017783074900768E-2</v>
      </c>
      <c r="Y5013">
        <v>8.8017783074900768E-2</v>
      </c>
      <c r="Z5013">
        <v>8.8017783074900768E-2</v>
      </c>
      <c r="AA5013">
        <v>8.8017783074900768E-2</v>
      </c>
      <c r="AB5013">
        <v>8.8017783074900768E-2</v>
      </c>
      <c r="AC5013">
        <v>8.8017783074900768E-2</v>
      </c>
      <c r="AD5013">
        <v>8.8017783074900768E-2</v>
      </c>
    </row>
    <row r="5014" spans="2:30" x14ac:dyDescent="0.25">
      <c r="B5014" t="s">
        <v>133</v>
      </c>
      <c r="C5014" t="s">
        <v>3265</v>
      </c>
      <c r="D5014" t="s">
        <v>7004</v>
      </c>
      <c r="E5014" t="s">
        <v>7005</v>
      </c>
      <c r="F5014" t="s">
        <v>10486</v>
      </c>
      <c r="G5014" t="s">
        <v>3890</v>
      </c>
      <c r="H5014" t="s">
        <v>4262</v>
      </c>
      <c r="J5014">
        <v>1</v>
      </c>
      <c r="K5014">
        <v>0.41380160258053539</v>
      </c>
      <c r="L5014">
        <v>0.25874736168006218</v>
      </c>
      <c r="M5014">
        <v>0.24390470008707449</v>
      </c>
      <c r="N5014">
        <v>0.24390470008707449</v>
      </c>
      <c r="O5014">
        <v>0.24390470008707449</v>
      </c>
      <c r="P5014">
        <v>0.24390470008707449</v>
      </c>
      <c r="Q5014">
        <v>0.24390470008707449</v>
      </c>
      <c r="R5014">
        <v>0.24390470008707449</v>
      </c>
      <c r="S5014">
        <v>0.24390470008707449</v>
      </c>
      <c r="T5014">
        <v>0.24390470008707449</v>
      </c>
      <c r="U5014">
        <v>0.24390470008707449</v>
      </c>
      <c r="V5014">
        <v>0.24390470008707449</v>
      </c>
      <c r="W5014">
        <v>0.24390470008707449</v>
      </c>
      <c r="X5014">
        <v>0.24390470008707449</v>
      </c>
      <c r="Y5014">
        <v>0.24390470008707449</v>
      </c>
      <c r="Z5014">
        <v>0.24390470008707449</v>
      </c>
      <c r="AA5014">
        <v>0.24390470008707449</v>
      </c>
      <c r="AB5014">
        <v>0.24390470008707449</v>
      </c>
      <c r="AC5014">
        <v>0.24390470008707449</v>
      </c>
      <c r="AD5014">
        <v>0.24390470008707449</v>
      </c>
    </row>
    <row r="5015" spans="2:30" x14ac:dyDescent="0.25">
      <c r="B5015" t="s">
        <v>133</v>
      </c>
      <c r="C5015" t="s">
        <v>3265</v>
      </c>
      <c r="D5015" t="s">
        <v>7007</v>
      </c>
      <c r="E5015" t="s">
        <v>7008</v>
      </c>
      <c r="F5015" t="s">
        <v>10487</v>
      </c>
      <c r="G5015" t="s">
        <v>3890</v>
      </c>
      <c r="H5015" t="s">
        <v>4262</v>
      </c>
      <c r="J5015">
        <v>1</v>
      </c>
      <c r="K5015">
        <v>33.050697779735998</v>
      </c>
      <c r="L5015">
        <v>26.300522965707586</v>
      </c>
      <c r="M5015">
        <v>23.176248784360922</v>
      </c>
      <c r="N5015">
        <v>15</v>
      </c>
      <c r="O5015">
        <v>15</v>
      </c>
      <c r="P5015">
        <v>15</v>
      </c>
      <c r="Q5015">
        <v>15</v>
      </c>
      <c r="R5015">
        <v>15</v>
      </c>
      <c r="S5015">
        <v>15</v>
      </c>
      <c r="T5015">
        <v>15</v>
      </c>
      <c r="U5015">
        <v>15</v>
      </c>
      <c r="V5015">
        <v>15</v>
      </c>
      <c r="W5015">
        <v>15</v>
      </c>
      <c r="X5015">
        <v>15</v>
      </c>
      <c r="Y5015">
        <v>15</v>
      </c>
      <c r="Z5015">
        <v>15</v>
      </c>
      <c r="AA5015">
        <v>15</v>
      </c>
      <c r="AB5015">
        <v>15</v>
      </c>
      <c r="AC5015">
        <v>15</v>
      </c>
      <c r="AD5015">
        <v>15</v>
      </c>
    </row>
    <row r="5016" spans="2:30" x14ac:dyDescent="0.25">
      <c r="B5016" t="s">
        <v>133</v>
      </c>
      <c r="C5016" t="s">
        <v>3265</v>
      </c>
      <c r="D5016" t="s">
        <v>7010</v>
      </c>
      <c r="E5016" t="s">
        <v>7011</v>
      </c>
      <c r="F5016" t="s">
        <v>10488</v>
      </c>
      <c r="G5016" t="s">
        <v>3890</v>
      </c>
      <c r="H5016" t="s">
        <v>7013</v>
      </c>
      <c r="J5016">
        <v>1</v>
      </c>
      <c r="K5016">
        <v>0.61781329947639674</v>
      </c>
      <c r="L5016">
        <v>0.6195087385311161</v>
      </c>
      <c r="M5016">
        <v>0.61795996668478836</v>
      </c>
      <c r="N5016">
        <v>0.61641506676807645</v>
      </c>
      <c r="O5016">
        <v>0.61487402910115629</v>
      </c>
      <c r="P5016">
        <v>0.61333684402840338</v>
      </c>
      <c r="Q5016">
        <v>0.61180350191833244</v>
      </c>
      <c r="R5016">
        <v>0.61027399316353659</v>
      </c>
      <c r="S5016">
        <v>0.60874830818062775</v>
      </c>
      <c r="T5016">
        <v>0.60722643741017623</v>
      </c>
      <c r="U5016">
        <v>0.60570837131665078</v>
      </c>
      <c r="V5016">
        <v>0.60419410038835919</v>
      </c>
      <c r="W5016">
        <v>0.60268361513738833</v>
      </c>
      <c r="X5016">
        <v>0.60117690609954488</v>
      </c>
      <c r="Y5016">
        <v>0.59967396383429605</v>
      </c>
      <c r="Z5016">
        <v>0.59817477892471038</v>
      </c>
      <c r="AA5016">
        <v>0.59667934197739869</v>
      </c>
      <c r="AB5016">
        <v>0.59518764362245524</v>
      </c>
      <c r="AC5016">
        <v>0.59369967451339911</v>
      </c>
      <c r="AD5016">
        <v>0.59221542532711569</v>
      </c>
    </row>
    <row r="5017" spans="2:30" x14ac:dyDescent="0.25">
      <c r="B5017" t="s">
        <v>133</v>
      </c>
      <c r="C5017" t="s">
        <v>3265</v>
      </c>
      <c r="D5017" t="s">
        <v>7014</v>
      </c>
      <c r="E5017" t="s">
        <v>7015</v>
      </c>
      <c r="F5017" t="s">
        <v>10489</v>
      </c>
      <c r="G5017" t="s">
        <v>3890</v>
      </c>
      <c r="H5017" t="s">
        <v>7013</v>
      </c>
      <c r="J5017">
        <v>2</v>
      </c>
      <c r="K5017">
        <v>0.61781329947639674</v>
      </c>
      <c r="L5017">
        <v>0.6195087385311161</v>
      </c>
      <c r="M5017">
        <v>0.61795996668478836</v>
      </c>
      <c r="N5017">
        <v>0.61641506676807645</v>
      </c>
      <c r="O5017">
        <v>0.61487402910115629</v>
      </c>
      <c r="P5017">
        <v>0.61333684402840338</v>
      </c>
      <c r="Q5017">
        <v>0.61180350191833244</v>
      </c>
      <c r="R5017">
        <v>0.61027399316353659</v>
      </c>
      <c r="S5017">
        <v>0.60874830818062775</v>
      </c>
      <c r="T5017">
        <v>0.60722643741017623</v>
      </c>
      <c r="U5017">
        <v>0.60570837131665078</v>
      </c>
      <c r="V5017">
        <v>0.60419410038835919</v>
      </c>
      <c r="W5017">
        <v>0.60268361513738833</v>
      </c>
      <c r="X5017">
        <v>0.60117690609954488</v>
      </c>
      <c r="Y5017">
        <v>0.59967396383429605</v>
      </c>
      <c r="Z5017">
        <v>0.59817477892471038</v>
      </c>
      <c r="AA5017">
        <v>0.59667934197739869</v>
      </c>
      <c r="AB5017">
        <v>0.59518764362245524</v>
      </c>
      <c r="AC5017">
        <v>0.59369967451339911</v>
      </c>
      <c r="AD5017">
        <v>0.59221542532711569</v>
      </c>
    </row>
    <row r="5018" spans="2:30" x14ac:dyDescent="0.25">
      <c r="B5018" t="s">
        <v>133</v>
      </c>
      <c r="C5018" t="s">
        <v>3265</v>
      </c>
      <c r="D5018" t="s">
        <v>7017</v>
      </c>
      <c r="E5018" t="s">
        <v>7018</v>
      </c>
      <c r="F5018" t="s">
        <v>10490</v>
      </c>
      <c r="G5018" t="s">
        <v>3890</v>
      </c>
      <c r="H5018" t="s">
        <v>7013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</row>
    <row r="5019" spans="2:30" x14ac:dyDescent="0.25">
      <c r="B5019" t="s">
        <v>133</v>
      </c>
      <c r="C5019" t="s">
        <v>3265</v>
      </c>
      <c r="D5019" t="s">
        <v>7020</v>
      </c>
      <c r="E5019" t="s">
        <v>7021</v>
      </c>
      <c r="F5019" t="s">
        <v>10491</v>
      </c>
      <c r="G5019" t="s">
        <v>3890</v>
      </c>
      <c r="H5019" t="s">
        <v>7013</v>
      </c>
      <c r="J5019">
        <v>2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</row>
    <row r="5020" spans="2:30" x14ac:dyDescent="0.25">
      <c r="B5020" t="s">
        <v>133</v>
      </c>
      <c r="C5020" t="s">
        <v>3265</v>
      </c>
      <c r="D5020" t="s">
        <v>7023</v>
      </c>
      <c r="E5020" t="s">
        <v>4116</v>
      </c>
      <c r="F5020" t="s">
        <v>9601</v>
      </c>
      <c r="G5020" t="s">
        <v>3890</v>
      </c>
      <c r="H5020" t="s">
        <v>7013</v>
      </c>
      <c r="J5020">
        <v>1</v>
      </c>
      <c r="K5020">
        <v>1.9183594836308</v>
      </c>
      <c r="L5020">
        <v>1.9236239568823399</v>
      </c>
      <c r="M5020">
        <v>1.9495780256401187</v>
      </c>
      <c r="N5020">
        <v>1.9528319166460941</v>
      </c>
      <c r="O5020">
        <v>1.9534439722194796</v>
      </c>
      <c r="P5020">
        <v>1.9551539594789236</v>
      </c>
      <c r="Q5020">
        <v>1.9589968159542679</v>
      </c>
      <c r="R5020">
        <v>1.9630212129721305</v>
      </c>
      <c r="S5020">
        <v>1.9667601690414818</v>
      </c>
      <c r="T5020">
        <v>1.9705513164395547</v>
      </c>
      <c r="U5020">
        <v>1.960262079853526</v>
      </c>
      <c r="V5020">
        <v>1.9502851376444088</v>
      </c>
      <c r="W5020">
        <v>1.9406113610357976</v>
      </c>
      <c r="X5020">
        <v>1.9313154910413786</v>
      </c>
      <c r="Y5020">
        <v>1.9224034182281791</v>
      </c>
      <c r="Z5020">
        <v>1.9126512726824023</v>
      </c>
      <c r="AA5020">
        <v>1.9034368098451628</v>
      </c>
      <c r="AB5020">
        <v>1.8948537515444903</v>
      </c>
      <c r="AC5020">
        <v>1.8870112347442751</v>
      </c>
      <c r="AD5020">
        <v>1.8792372714815473</v>
      </c>
    </row>
    <row r="5021" spans="2:30" x14ac:dyDescent="0.25">
      <c r="B5021" t="s">
        <v>133</v>
      </c>
      <c r="C5021" t="s">
        <v>3265</v>
      </c>
      <c r="D5021" t="s">
        <v>7024</v>
      </c>
      <c r="E5021" t="s">
        <v>4122</v>
      </c>
      <c r="F5021" t="s">
        <v>9603</v>
      </c>
      <c r="G5021" t="s">
        <v>3890</v>
      </c>
      <c r="H5021" t="s">
        <v>7013</v>
      </c>
      <c r="J5021">
        <v>1</v>
      </c>
      <c r="K5021">
        <v>15.788350712964199</v>
      </c>
      <c r="L5021">
        <v>17.709445005999601</v>
      </c>
      <c r="M5021">
        <v>18.013645438268195</v>
      </c>
      <c r="N5021">
        <v>18.257946899703906</v>
      </c>
      <c r="O5021">
        <v>18.54387298167482</v>
      </c>
      <c r="P5021">
        <v>18.938934819449567</v>
      </c>
      <c r="Q5021">
        <v>19.358782038364822</v>
      </c>
      <c r="R5021">
        <v>19.807872441783321</v>
      </c>
      <c r="S5021">
        <v>20.258477071761995</v>
      </c>
      <c r="T5021">
        <v>20.860030119397162</v>
      </c>
      <c r="U5021">
        <v>21.634014903127714</v>
      </c>
      <c r="V5021">
        <v>22.435010302638723</v>
      </c>
      <c r="W5021">
        <v>23.263891338460716</v>
      </c>
      <c r="X5021">
        <v>24.121558811041407</v>
      </c>
      <c r="Y5021">
        <v>25.008939966964491</v>
      </c>
      <c r="Z5021">
        <v>25.926989179128281</v>
      </c>
      <c r="AA5021">
        <v>26.876688641065538</v>
      </c>
      <c r="AB5021">
        <v>27.859049075584327</v>
      </c>
      <c r="AC5021">
        <v>28.875110457908111</v>
      </c>
      <c r="AD5021">
        <v>29.92594275349088</v>
      </c>
    </row>
    <row r="5022" spans="2:30" x14ac:dyDescent="0.25">
      <c r="B5022" t="s">
        <v>133</v>
      </c>
      <c r="C5022" t="s">
        <v>3265</v>
      </c>
      <c r="D5022" t="s">
        <v>7025</v>
      </c>
      <c r="E5022" t="s">
        <v>4128</v>
      </c>
      <c r="F5022" t="s">
        <v>9605</v>
      </c>
      <c r="G5022" t="s">
        <v>3890</v>
      </c>
      <c r="H5022" t="s">
        <v>7013</v>
      </c>
      <c r="J5022">
        <v>1</v>
      </c>
      <c r="K5022">
        <v>35.126042972388703</v>
      </c>
      <c r="L5022">
        <v>35.772328129626999</v>
      </c>
      <c r="M5022">
        <v>36.324796517729354</v>
      </c>
      <c r="N5022">
        <v>36.808206357318902</v>
      </c>
      <c r="O5022">
        <v>37.257086922652057</v>
      </c>
      <c r="P5022">
        <v>38.002228661105107</v>
      </c>
      <c r="Q5022">
        <v>38.762273234327196</v>
      </c>
      <c r="R5022">
        <v>39.537518629955187</v>
      </c>
      <c r="S5022">
        <v>40.32826905089528</v>
      </c>
      <c r="T5022">
        <v>41.538117156951415</v>
      </c>
      <c r="U5022">
        <v>43.199641663677241</v>
      </c>
      <c r="V5022">
        <v>44.927627143490007</v>
      </c>
      <c r="W5022">
        <v>46.724732035025916</v>
      </c>
      <c r="X5022">
        <v>48.593721114455107</v>
      </c>
      <c r="Y5022">
        <v>50.537469748982602</v>
      </c>
      <c r="Z5022">
        <v>52.558968320489171</v>
      </c>
      <c r="AA5022">
        <v>54.661326826117879</v>
      </c>
      <c r="AB5022">
        <v>56.847779662884115</v>
      </c>
      <c r="AC5022">
        <v>59.121690603669862</v>
      </c>
      <c r="AD5022">
        <v>61.486557972257835</v>
      </c>
    </row>
    <row r="5023" spans="2:30" x14ac:dyDescent="0.25">
      <c r="B5023" t="s">
        <v>133</v>
      </c>
      <c r="C5023" t="s">
        <v>3265</v>
      </c>
      <c r="D5023" t="s">
        <v>7026</v>
      </c>
      <c r="E5023" t="s">
        <v>4131</v>
      </c>
      <c r="F5023" t="s">
        <v>9606</v>
      </c>
      <c r="G5023" t="s">
        <v>3890</v>
      </c>
      <c r="H5023" t="s">
        <v>7013</v>
      </c>
      <c r="J5023">
        <v>1</v>
      </c>
      <c r="K5023">
        <v>8.9167735999999997E-2</v>
      </c>
      <c r="L5023">
        <v>0.106864256591645</v>
      </c>
      <c r="M5023">
        <v>0.10843425056703646</v>
      </c>
      <c r="N5023">
        <v>0.11010891080745402</v>
      </c>
      <c r="O5023">
        <v>0.11157423851781936</v>
      </c>
      <c r="P5023">
        <v>0.11293489996315863</v>
      </c>
      <c r="Q5023">
        <v>0.1151935979624218</v>
      </c>
      <c r="R5023">
        <v>0.11749746992167022</v>
      </c>
      <c r="S5023">
        <v>0.1198474191107711</v>
      </c>
      <c r="T5023">
        <v>0.12224436763951929</v>
      </c>
      <c r="U5023">
        <v>0.12591169877337113</v>
      </c>
      <c r="V5023">
        <v>0.13094816618004138</v>
      </c>
      <c r="W5023">
        <v>0.13618609226120784</v>
      </c>
      <c r="X5023">
        <v>0.14163353536297957</v>
      </c>
      <c r="Y5023">
        <v>0.14729887616527509</v>
      </c>
      <c r="Z5023">
        <v>0.15319083057517352</v>
      </c>
      <c r="AA5023">
        <v>0.15931846313599937</v>
      </c>
      <c r="AB5023">
        <v>0.16569120097277101</v>
      </c>
      <c r="AC5023">
        <v>0.17231884829546679</v>
      </c>
      <c r="AD5023">
        <v>0.1792116014824218</v>
      </c>
    </row>
    <row r="5024" spans="2:30" x14ac:dyDescent="0.25">
      <c r="B5024" t="s">
        <v>133</v>
      </c>
      <c r="C5024" t="s">
        <v>3265</v>
      </c>
      <c r="D5024" t="s">
        <v>7027</v>
      </c>
      <c r="E5024" t="s">
        <v>4110</v>
      </c>
      <c r="F5024" t="s">
        <v>9599</v>
      </c>
      <c r="G5024" t="s">
        <v>3890</v>
      </c>
      <c r="H5024" t="s">
        <v>7013</v>
      </c>
      <c r="J5024">
        <v>1</v>
      </c>
      <c r="K5024">
        <v>53.087639112183702</v>
      </c>
      <c r="L5024">
        <v>55.678150773981152</v>
      </c>
      <c r="M5024">
        <v>56.591948867542605</v>
      </c>
      <c r="N5024">
        <v>57.34045259418123</v>
      </c>
      <c r="O5024">
        <v>58.083367879767209</v>
      </c>
      <c r="P5024">
        <v>59.233699236790713</v>
      </c>
      <c r="Q5024">
        <v>60.428261287523682</v>
      </c>
      <c r="R5024">
        <v>61.667207939465698</v>
      </c>
      <c r="S5024">
        <v>62.922474733584934</v>
      </c>
      <c r="T5024">
        <v>64.748003401025059</v>
      </c>
      <c r="U5024">
        <v>67.184913820615279</v>
      </c>
      <c r="V5024">
        <v>69.717120218788224</v>
      </c>
      <c r="W5024">
        <v>72.346978350843145</v>
      </c>
      <c r="X5024">
        <v>75.078235602849347</v>
      </c>
      <c r="Y5024">
        <v>77.914707775673349</v>
      </c>
      <c r="Z5024">
        <v>80.859123289515139</v>
      </c>
      <c r="AA5024">
        <v>83.916959875607418</v>
      </c>
      <c r="AB5024">
        <v>87.092564421671469</v>
      </c>
      <c r="AC5024">
        <v>90.39045813119985</v>
      </c>
      <c r="AD5024">
        <v>93.814545907880699</v>
      </c>
    </row>
    <row r="5025" spans="2:30" x14ac:dyDescent="0.25">
      <c r="B5025" t="s">
        <v>133</v>
      </c>
      <c r="C5025" t="s">
        <v>3265</v>
      </c>
      <c r="D5025" t="s">
        <v>7028</v>
      </c>
      <c r="E5025" t="s">
        <v>4113</v>
      </c>
      <c r="F5025" t="s">
        <v>9600</v>
      </c>
      <c r="G5025" t="s">
        <v>3890</v>
      </c>
      <c r="H5025" t="s">
        <v>7013</v>
      </c>
      <c r="J5025">
        <v>1</v>
      </c>
      <c r="K5025">
        <v>53.087639112183702</v>
      </c>
      <c r="L5025">
        <v>55.678150773981152</v>
      </c>
      <c r="M5025">
        <v>56.591948867542605</v>
      </c>
      <c r="N5025">
        <v>57.34045259418123</v>
      </c>
      <c r="O5025">
        <v>58.083367879767209</v>
      </c>
      <c r="P5025">
        <v>59.233699236790713</v>
      </c>
      <c r="Q5025">
        <v>60.428261287523682</v>
      </c>
      <c r="R5025">
        <v>61.667207939465698</v>
      </c>
      <c r="S5025">
        <v>62.922474733584934</v>
      </c>
      <c r="T5025">
        <v>64.748003401025059</v>
      </c>
      <c r="U5025">
        <v>67.184913820615279</v>
      </c>
      <c r="V5025">
        <v>69.717120218788224</v>
      </c>
      <c r="W5025">
        <v>72.346978350843145</v>
      </c>
      <c r="X5025">
        <v>75.078235602849347</v>
      </c>
      <c r="Y5025">
        <v>77.914707775673349</v>
      </c>
      <c r="Z5025">
        <v>80.859123289515139</v>
      </c>
      <c r="AA5025">
        <v>83.916959875607418</v>
      </c>
      <c r="AB5025">
        <v>87.092564421671469</v>
      </c>
      <c r="AC5025">
        <v>90.39045813119985</v>
      </c>
      <c r="AD5025">
        <v>93.814545907880699</v>
      </c>
    </row>
    <row r="5026" spans="2:30" x14ac:dyDescent="0.25">
      <c r="B5026" t="s">
        <v>133</v>
      </c>
      <c r="C5026" t="s">
        <v>3265</v>
      </c>
      <c r="D5026" t="s">
        <v>7029</v>
      </c>
      <c r="E5026" t="s">
        <v>4143</v>
      </c>
      <c r="F5026" t="s">
        <v>9610</v>
      </c>
      <c r="G5026" t="s">
        <v>3890</v>
      </c>
      <c r="H5026" t="s">
        <v>7013</v>
      </c>
      <c r="J5026">
        <v>2</v>
      </c>
      <c r="K5026">
        <v>1.9183594836308</v>
      </c>
      <c r="L5026">
        <v>1.9236239568823399</v>
      </c>
      <c r="M5026">
        <v>1.9495780256401187</v>
      </c>
      <c r="N5026">
        <v>1.9528319166460941</v>
      </c>
      <c r="O5026">
        <v>1.9534439722194796</v>
      </c>
      <c r="P5026">
        <v>1.9551539594789236</v>
      </c>
      <c r="Q5026">
        <v>1.9588956354732685</v>
      </c>
      <c r="R5026">
        <v>1.9625295153030955</v>
      </c>
      <c r="S5026">
        <v>1.96550732753019</v>
      </c>
      <c r="T5026">
        <v>1.9683322809386972</v>
      </c>
      <c r="U5026">
        <v>1.9569295349455125</v>
      </c>
      <c r="V5026">
        <v>1.9457373523617965</v>
      </c>
      <c r="W5026">
        <v>1.9347393778784066</v>
      </c>
      <c r="X5026">
        <v>1.9240188532660678</v>
      </c>
      <c r="Y5026">
        <v>1.9134683150638305</v>
      </c>
      <c r="Z5026">
        <v>1.9034131848203619</v>
      </c>
      <c r="AA5026">
        <v>1.8932094833842066</v>
      </c>
      <c r="AB5026">
        <v>1.8839632695778668</v>
      </c>
      <c r="AC5026">
        <v>1.8755097334299691</v>
      </c>
      <c r="AD5026">
        <v>1.8676851598433024</v>
      </c>
    </row>
    <row r="5027" spans="2:30" x14ac:dyDescent="0.25">
      <c r="B5027" t="s">
        <v>133</v>
      </c>
      <c r="C5027" t="s">
        <v>3265</v>
      </c>
      <c r="D5027" t="s">
        <v>7030</v>
      </c>
      <c r="E5027" t="s">
        <v>4148</v>
      </c>
      <c r="F5027" t="s">
        <v>9612</v>
      </c>
      <c r="G5027" t="s">
        <v>3890</v>
      </c>
      <c r="H5027" t="s">
        <v>7013</v>
      </c>
      <c r="J5027">
        <v>2</v>
      </c>
      <c r="K5027">
        <v>15.788350712964199</v>
      </c>
      <c r="L5027">
        <v>17.709445005999601</v>
      </c>
      <c r="M5027">
        <v>18.013645438268195</v>
      </c>
      <c r="N5027">
        <v>18.257946899703906</v>
      </c>
      <c r="O5027">
        <v>18.54387298167482</v>
      </c>
      <c r="P5027">
        <v>18.938934819449567</v>
      </c>
      <c r="Q5027">
        <v>19.358782038364822</v>
      </c>
      <c r="R5027">
        <v>19.807872441783321</v>
      </c>
      <c r="S5027">
        <v>20.258511961802927</v>
      </c>
      <c r="T5027">
        <v>20.860080432083873</v>
      </c>
      <c r="U5027">
        <v>21.633999852322649</v>
      </c>
      <c r="V5027">
        <v>22.434838770344303</v>
      </c>
      <c r="W5027">
        <v>23.263510331982456</v>
      </c>
      <c r="X5027">
        <v>24.121058930305608</v>
      </c>
      <c r="Y5027">
        <v>25.008555405914809</v>
      </c>
      <c r="Z5027">
        <v>25.927064718890556</v>
      </c>
      <c r="AA5027">
        <v>26.877479964820495</v>
      </c>
      <c r="AB5027">
        <v>27.861725385993612</v>
      </c>
      <c r="AC5027">
        <v>28.880323270704139</v>
      </c>
      <c r="AD5027">
        <v>29.934571566539603</v>
      </c>
    </row>
    <row r="5028" spans="2:30" x14ac:dyDescent="0.25">
      <c r="B5028" t="s">
        <v>133</v>
      </c>
      <c r="C5028" t="s">
        <v>3265</v>
      </c>
      <c r="D5028" t="s">
        <v>7031</v>
      </c>
      <c r="E5028" t="s">
        <v>4154</v>
      </c>
      <c r="F5028" t="s">
        <v>9614</v>
      </c>
      <c r="G5028" t="s">
        <v>3890</v>
      </c>
      <c r="H5028" t="s">
        <v>7013</v>
      </c>
      <c r="J5028">
        <v>2</v>
      </c>
      <c r="K5028">
        <v>35.126042972388703</v>
      </c>
      <c r="L5028">
        <v>35.772328129626999</v>
      </c>
      <c r="M5028">
        <v>36.324796517729354</v>
      </c>
      <c r="N5028">
        <v>36.808206357318902</v>
      </c>
      <c r="O5028">
        <v>37.257086922652057</v>
      </c>
      <c r="P5028">
        <v>38.002228661105107</v>
      </c>
      <c r="Q5028">
        <v>38.762273234327196</v>
      </c>
      <c r="R5028">
        <v>39.537518629955187</v>
      </c>
      <c r="S5028">
        <v>40.32826905089528</v>
      </c>
      <c r="T5028">
        <v>41.538117156951415</v>
      </c>
      <c r="U5028">
        <v>43.199641663677241</v>
      </c>
      <c r="V5028">
        <v>44.927627143490007</v>
      </c>
      <c r="W5028">
        <v>46.724732035025916</v>
      </c>
      <c r="X5028">
        <v>48.593721114455107</v>
      </c>
      <c r="Y5028">
        <v>50.537469748982602</v>
      </c>
      <c r="Z5028">
        <v>52.558968320489171</v>
      </c>
      <c r="AA5028">
        <v>54.661326826117879</v>
      </c>
      <c r="AB5028">
        <v>56.847779662884115</v>
      </c>
      <c r="AC5028">
        <v>59.121690603669862</v>
      </c>
      <c r="AD5028">
        <v>61.486557972257835</v>
      </c>
    </row>
    <row r="5029" spans="2:30" x14ac:dyDescent="0.25">
      <c r="B5029" t="s">
        <v>133</v>
      </c>
      <c r="C5029" t="s">
        <v>3265</v>
      </c>
      <c r="D5029" t="s">
        <v>7032</v>
      </c>
      <c r="E5029" t="s">
        <v>4157</v>
      </c>
      <c r="F5029" t="s">
        <v>9615</v>
      </c>
      <c r="G5029" t="s">
        <v>3890</v>
      </c>
      <c r="H5029" t="s">
        <v>7013</v>
      </c>
      <c r="J5029">
        <v>2</v>
      </c>
      <c r="K5029">
        <v>8.9167735999999997E-2</v>
      </c>
      <c r="L5029">
        <v>0.106864256591645</v>
      </c>
      <c r="M5029">
        <v>0.10843425056703646</v>
      </c>
      <c r="N5029">
        <v>0.11010891080745402</v>
      </c>
      <c r="O5029">
        <v>0.11157423851781936</v>
      </c>
      <c r="P5029">
        <v>0.11293489996315863</v>
      </c>
      <c r="Q5029">
        <v>0.1151935979624218</v>
      </c>
      <c r="R5029">
        <v>0.11749746992167022</v>
      </c>
      <c r="S5029">
        <v>0.1198474191107711</v>
      </c>
      <c r="T5029">
        <v>0.12224436763951929</v>
      </c>
      <c r="U5029">
        <v>0.12591169877337113</v>
      </c>
      <c r="V5029">
        <v>0.13094816618004138</v>
      </c>
      <c r="W5029">
        <v>0.13618609226120784</v>
      </c>
      <c r="X5029">
        <v>0.14163353536297957</v>
      </c>
      <c r="Y5029">
        <v>0.14729887616527509</v>
      </c>
      <c r="Z5029">
        <v>0.15319083057517352</v>
      </c>
      <c r="AA5029">
        <v>0.15931846313599937</v>
      </c>
      <c r="AB5029">
        <v>0.16569120097277101</v>
      </c>
      <c r="AC5029">
        <v>0.17231884829546679</v>
      </c>
      <c r="AD5029">
        <v>0.1792116014824218</v>
      </c>
    </row>
    <row r="5030" spans="2:30" x14ac:dyDescent="0.25">
      <c r="B5030" t="s">
        <v>133</v>
      </c>
      <c r="C5030" t="s">
        <v>3265</v>
      </c>
      <c r="D5030" t="s">
        <v>7033</v>
      </c>
      <c r="E5030" t="s">
        <v>4137</v>
      </c>
      <c r="F5030" t="s">
        <v>9608</v>
      </c>
      <c r="G5030" t="s">
        <v>3890</v>
      </c>
      <c r="H5030" t="s">
        <v>7013</v>
      </c>
      <c r="J5030">
        <v>2</v>
      </c>
      <c r="K5030">
        <v>53.087639112183702</v>
      </c>
      <c r="L5030">
        <v>55.678150773981152</v>
      </c>
      <c r="M5030">
        <v>56.591948867542605</v>
      </c>
      <c r="N5030">
        <v>57.34045259418123</v>
      </c>
      <c r="O5030">
        <v>58.083367879767209</v>
      </c>
      <c r="P5030">
        <v>59.233699236790713</v>
      </c>
      <c r="Q5030">
        <v>60.427141611159435</v>
      </c>
      <c r="R5030">
        <v>61.665135196187528</v>
      </c>
      <c r="S5030">
        <v>62.919423313780442</v>
      </c>
      <c r="T5030">
        <v>64.743980469891639</v>
      </c>
      <c r="U5030">
        <v>67.179888797919133</v>
      </c>
      <c r="V5030">
        <v>69.71107269101401</v>
      </c>
      <c r="W5030">
        <v>72.339922218478861</v>
      </c>
      <c r="X5030">
        <v>75.070359081369972</v>
      </c>
      <c r="Y5030">
        <v>77.905310207487389</v>
      </c>
      <c r="Z5030">
        <v>80.849924821342029</v>
      </c>
      <c r="AA5030">
        <v>83.907635568957915</v>
      </c>
      <c r="AB5030">
        <v>87.084752075253945</v>
      </c>
      <c r="AC5030">
        <v>90.385054259627935</v>
      </c>
      <c r="AD5030">
        <v>93.813199764022301</v>
      </c>
    </row>
    <row r="5031" spans="2:30" x14ac:dyDescent="0.25">
      <c r="B5031" t="s">
        <v>133</v>
      </c>
      <c r="C5031" t="s">
        <v>3265</v>
      </c>
      <c r="D5031" t="s">
        <v>7034</v>
      </c>
      <c r="E5031" t="s">
        <v>4140</v>
      </c>
      <c r="F5031" t="s">
        <v>9609</v>
      </c>
      <c r="G5031" t="s">
        <v>3890</v>
      </c>
      <c r="H5031" t="s">
        <v>7013</v>
      </c>
      <c r="J5031">
        <v>2</v>
      </c>
      <c r="K5031">
        <v>53.087639112183702</v>
      </c>
      <c r="L5031">
        <v>55.678150773981152</v>
      </c>
      <c r="M5031">
        <v>56.591948867542605</v>
      </c>
      <c r="N5031">
        <v>57.34045259418123</v>
      </c>
      <c r="O5031">
        <v>58.083367879767209</v>
      </c>
      <c r="P5031">
        <v>59.233699236790713</v>
      </c>
      <c r="Q5031">
        <v>60.427141611159435</v>
      </c>
      <c r="R5031">
        <v>61.665135196187528</v>
      </c>
      <c r="S5031">
        <v>62.919423313780442</v>
      </c>
      <c r="T5031">
        <v>64.743980469891639</v>
      </c>
      <c r="U5031">
        <v>67.179888797919133</v>
      </c>
      <c r="V5031">
        <v>69.71107269101401</v>
      </c>
      <c r="W5031">
        <v>72.339922218478861</v>
      </c>
      <c r="X5031">
        <v>75.070359081369972</v>
      </c>
      <c r="Y5031">
        <v>77.905310207487389</v>
      </c>
      <c r="Z5031">
        <v>80.849924821342029</v>
      </c>
      <c r="AA5031">
        <v>83.907635568957915</v>
      </c>
      <c r="AB5031">
        <v>87.084752075253945</v>
      </c>
      <c r="AC5031">
        <v>90.385054259627935</v>
      </c>
      <c r="AD5031">
        <v>93.813199764022301</v>
      </c>
    </row>
    <row r="5032" spans="2:30" x14ac:dyDescent="0.25">
      <c r="B5032" t="s">
        <v>133</v>
      </c>
      <c r="C5032" t="s">
        <v>3265</v>
      </c>
      <c r="D5032" t="s">
        <v>7035</v>
      </c>
      <c r="E5032" t="s">
        <v>7036</v>
      </c>
      <c r="F5032" t="s">
        <v>10492</v>
      </c>
      <c r="G5032" t="s">
        <v>3890</v>
      </c>
      <c r="H5032" t="s">
        <v>7013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</row>
    <row r="5033" spans="2:30" x14ac:dyDescent="0.25">
      <c r="B5033" t="s">
        <v>133</v>
      </c>
      <c r="C5033" t="s">
        <v>3265</v>
      </c>
      <c r="D5033" t="s">
        <v>7038</v>
      </c>
      <c r="E5033" t="s">
        <v>7039</v>
      </c>
      <c r="F5033" t="s">
        <v>10493</v>
      </c>
      <c r="G5033" t="s">
        <v>3890</v>
      </c>
      <c r="H5033" t="s">
        <v>7013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</row>
    <row r="5034" spans="2:30" x14ac:dyDescent="0.25">
      <c r="B5034" t="s">
        <v>133</v>
      </c>
      <c r="C5034" t="s">
        <v>3265</v>
      </c>
      <c r="D5034" t="s">
        <v>7041</v>
      </c>
      <c r="E5034" t="s">
        <v>7042</v>
      </c>
      <c r="F5034" t="s">
        <v>10494</v>
      </c>
      <c r="G5034" t="s">
        <v>3890</v>
      </c>
      <c r="H5034" t="s">
        <v>7013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</row>
    <row r="5035" spans="2:30" x14ac:dyDescent="0.25">
      <c r="B5035" t="s">
        <v>133</v>
      </c>
      <c r="C5035" t="s">
        <v>3265</v>
      </c>
      <c r="D5035" t="s">
        <v>7044</v>
      </c>
      <c r="E5035" t="s">
        <v>7045</v>
      </c>
      <c r="F5035" t="s">
        <v>10495</v>
      </c>
      <c r="G5035" t="s">
        <v>3890</v>
      </c>
      <c r="H5035" t="s">
        <v>7013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</row>
    <row r="5036" spans="2:30" x14ac:dyDescent="0.25">
      <c r="B5036" t="s">
        <v>133</v>
      </c>
      <c r="C5036" t="s">
        <v>3265</v>
      </c>
      <c r="D5036" t="s">
        <v>7047</v>
      </c>
      <c r="E5036" t="s">
        <v>7048</v>
      </c>
      <c r="F5036" t="s">
        <v>10496</v>
      </c>
      <c r="G5036" t="s">
        <v>3890</v>
      </c>
      <c r="H5036" t="s">
        <v>7013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</row>
    <row r="5037" spans="2:30" x14ac:dyDescent="0.25">
      <c r="B5037" t="s">
        <v>133</v>
      </c>
      <c r="C5037" t="s">
        <v>3265</v>
      </c>
      <c r="D5037" t="s">
        <v>7050</v>
      </c>
      <c r="E5037" t="s">
        <v>7051</v>
      </c>
      <c r="F5037" t="s">
        <v>10497</v>
      </c>
      <c r="G5037" t="s">
        <v>3890</v>
      </c>
      <c r="H5037" t="s">
        <v>7013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</row>
    <row r="5038" spans="2:30" x14ac:dyDescent="0.25">
      <c r="B5038" t="s">
        <v>133</v>
      </c>
      <c r="C5038" t="s">
        <v>3265</v>
      </c>
      <c r="D5038" t="s">
        <v>7053</v>
      </c>
      <c r="E5038" t="s">
        <v>7054</v>
      </c>
      <c r="F5038" t="s">
        <v>10498</v>
      </c>
      <c r="G5038" t="s">
        <v>3890</v>
      </c>
      <c r="H5038" t="s">
        <v>7013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</row>
    <row r="5039" spans="2:30" x14ac:dyDescent="0.25">
      <c r="B5039" t="s">
        <v>133</v>
      </c>
      <c r="C5039" t="s">
        <v>3265</v>
      </c>
      <c r="D5039" t="s">
        <v>7056</v>
      </c>
      <c r="E5039" t="s">
        <v>7057</v>
      </c>
      <c r="F5039" t="s">
        <v>10499</v>
      </c>
      <c r="G5039" t="s">
        <v>3890</v>
      </c>
      <c r="H5039" t="s">
        <v>7013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</row>
    <row r="5040" spans="2:30" x14ac:dyDescent="0.25">
      <c r="B5040" t="s">
        <v>133</v>
      </c>
      <c r="C5040" t="s">
        <v>3265</v>
      </c>
      <c r="D5040" t="s">
        <v>7059</v>
      </c>
      <c r="E5040" t="s">
        <v>7060</v>
      </c>
      <c r="F5040" t="s">
        <v>10500</v>
      </c>
      <c r="G5040" t="s">
        <v>3890</v>
      </c>
      <c r="H5040" t="s">
        <v>7013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</row>
    <row r="5041" spans="2:30" x14ac:dyDescent="0.25">
      <c r="B5041" t="s">
        <v>133</v>
      </c>
      <c r="C5041" t="s">
        <v>3265</v>
      </c>
      <c r="D5041" t="s">
        <v>7062</v>
      </c>
      <c r="E5041" t="s">
        <v>7063</v>
      </c>
      <c r="F5041" t="s">
        <v>10501</v>
      </c>
      <c r="G5041" t="s">
        <v>3890</v>
      </c>
      <c r="H5041" t="s">
        <v>7013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</row>
    <row r="5042" spans="2:30" x14ac:dyDescent="0.25">
      <c r="B5042" t="s">
        <v>133</v>
      </c>
      <c r="C5042" t="s">
        <v>3265</v>
      </c>
      <c r="D5042" t="s">
        <v>7065</v>
      </c>
      <c r="E5042" t="s">
        <v>7066</v>
      </c>
      <c r="F5042" t="s">
        <v>10502</v>
      </c>
      <c r="G5042" t="s">
        <v>3890</v>
      </c>
      <c r="H5042" t="s">
        <v>7068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v>1</v>
      </c>
      <c r="AC5042">
        <v>1</v>
      </c>
      <c r="AD5042">
        <v>1</v>
      </c>
    </row>
    <row r="5043" spans="2:30" x14ac:dyDescent="0.25">
      <c r="B5043" t="s">
        <v>133</v>
      </c>
      <c r="C5043" t="s">
        <v>3265</v>
      </c>
      <c r="D5043" t="s">
        <v>7069</v>
      </c>
      <c r="E5043" t="s">
        <v>7070</v>
      </c>
      <c r="F5043" t="s">
        <v>10503</v>
      </c>
      <c r="G5043" t="s">
        <v>3890</v>
      </c>
      <c r="H5043" t="s">
        <v>4476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</row>
    <row r="5044" spans="2:30" x14ac:dyDescent="0.25">
      <c r="B5044" t="s">
        <v>133</v>
      </c>
      <c r="C5044" t="s">
        <v>3265</v>
      </c>
      <c r="D5044" t="s">
        <v>7072</v>
      </c>
      <c r="E5044" t="s">
        <v>7073</v>
      </c>
      <c r="F5044" t="s">
        <v>10504</v>
      </c>
      <c r="G5044" t="s">
        <v>3890</v>
      </c>
      <c r="H5044" t="s">
        <v>884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1</v>
      </c>
      <c r="U5044">
        <v>1</v>
      </c>
      <c r="V5044">
        <v>1</v>
      </c>
      <c r="W5044">
        <v>1</v>
      </c>
      <c r="X5044">
        <v>1</v>
      </c>
      <c r="Y5044">
        <v>1</v>
      </c>
      <c r="Z5044">
        <v>1</v>
      </c>
      <c r="AA5044">
        <v>1</v>
      </c>
      <c r="AB5044">
        <v>1</v>
      </c>
      <c r="AC5044">
        <v>1</v>
      </c>
      <c r="AD5044">
        <v>1</v>
      </c>
    </row>
    <row r="5045" spans="2:30" x14ac:dyDescent="0.25">
      <c r="B5045" t="s">
        <v>133</v>
      </c>
      <c r="C5045" t="s">
        <v>3265</v>
      </c>
      <c r="D5045" t="s">
        <v>7075</v>
      </c>
      <c r="E5045" t="s">
        <v>7076</v>
      </c>
      <c r="F5045" t="s">
        <v>10505</v>
      </c>
      <c r="G5045" t="s">
        <v>3890</v>
      </c>
      <c r="H5045" t="s">
        <v>7078</v>
      </c>
      <c r="J5045">
        <v>1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  <c r="W5045" t="e">
        <v>#N/A</v>
      </c>
      <c r="X5045" t="e">
        <v>#N/A</v>
      </c>
      <c r="Y5045" t="e">
        <v>#N/A</v>
      </c>
      <c r="Z5045" t="e">
        <v>#N/A</v>
      </c>
      <c r="AA5045" t="e">
        <v>#N/A</v>
      </c>
      <c r="AB5045" t="e">
        <v>#N/A</v>
      </c>
      <c r="AC5045" t="e">
        <v>#N/A</v>
      </c>
      <c r="AD5045" t="e">
        <v>#N/A</v>
      </c>
    </row>
    <row r="5046" spans="2:30" x14ac:dyDescent="0.25">
      <c r="B5046" t="s">
        <v>133</v>
      </c>
      <c r="C5046" t="s">
        <v>3265</v>
      </c>
      <c r="D5046" t="s">
        <v>7079</v>
      </c>
      <c r="E5046" t="s">
        <v>7080</v>
      </c>
      <c r="F5046" t="s">
        <v>10506</v>
      </c>
      <c r="G5046" t="s">
        <v>3890</v>
      </c>
      <c r="H5046" t="s">
        <v>7082</v>
      </c>
      <c r="J5046">
        <v>1</v>
      </c>
      <c r="K5046">
        <v>8.8716917086029241</v>
      </c>
      <c r="L5046">
        <v>8.5644978351756595</v>
      </c>
      <c r="M5046">
        <v>8.3886588486919944</v>
      </c>
      <c r="N5046">
        <v>8.0920965483836973</v>
      </c>
      <c r="O5046">
        <v>8.2513019612812162</v>
      </c>
      <c r="P5046">
        <v>9.0448654267797277</v>
      </c>
      <c r="Q5046">
        <v>9.9024312371334275</v>
      </c>
      <c r="R5046">
        <v>10.830429417337079</v>
      </c>
      <c r="S5046">
        <v>11.937329869291304</v>
      </c>
      <c r="T5046">
        <v>13.245864479105258</v>
      </c>
      <c r="U5046">
        <v>14.659603599109307</v>
      </c>
      <c r="V5046">
        <v>16.170955829457984</v>
      </c>
      <c r="W5046">
        <v>17.771959864521129</v>
      </c>
      <c r="X5046">
        <v>19.453947782354163</v>
      </c>
      <c r="Y5046">
        <v>21.205650019447415</v>
      </c>
      <c r="Z5046">
        <v>23.042872194723678</v>
      </c>
      <c r="AA5046">
        <v>24.962694281014663</v>
      </c>
      <c r="AB5046">
        <v>26.962109012185223</v>
      </c>
      <c r="AC5046">
        <v>29.039069371308585</v>
      </c>
      <c r="AD5046">
        <v>31.153532277183039</v>
      </c>
    </row>
    <row r="5047" spans="2:30" x14ac:dyDescent="0.25">
      <c r="B5047" t="s">
        <v>133</v>
      </c>
      <c r="C5047" t="s">
        <v>3265</v>
      </c>
      <c r="D5047" t="s">
        <v>7083</v>
      </c>
      <c r="E5047" t="s">
        <v>7084</v>
      </c>
      <c r="F5047" t="s">
        <v>10507</v>
      </c>
      <c r="G5047" t="s">
        <v>3890</v>
      </c>
      <c r="H5047" t="s">
        <v>7086</v>
      </c>
      <c r="J5047">
        <v>1</v>
      </c>
      <c r="K5047">
        <v>3.2172729633843065</v>
      </c>
      <c r="L5047">
        <v>3.4876935640271411</v>
      </c>
      <c r="M5047">
        <v>3.5939020066595377</v>
      </c>
      <c r="N5047">
        <v>2.7186556230175296</v>
      </c>
      <c r="O5047">
        <v>2.9840769507201821</v>
      </c>
      <c r="P5047">
        <v>2.9208651343774727</v>
      </c>
      <c r="Q5047">
        <v>3.0923180046331722</v>
      </c>
      <c r="R5047">
        <v>3.3239579117726987</v>
      </c>
      <c r="S5047">
        <v>3.6076220050487424</v>
      </c>
      <c r="T5047">
        <v>3.9355061529413216</v>
      </c>
      <c r="U5047">
        <v>4.3555451027740331</v>
      </c>
      <c r="V5047">
        <v>4.8045860854280082</v>
      </c>
      <c r="W5047">
        <v>5.2802637009444622</v>
      </c>
      <c r="X5047">
        <v>5.7800026051320135</v>
      </c>
      <c r="Y5047">
        <v>6.3004544747005324</v>
      </c>
      <c r="Z5047">
        <v>6.8463153497325537</v>
      </c>
      <c r="AA5047">
        <v>7.4167176549251845</v>
      </c>
      <c r="AB5047">
        <v>8.0107678952259054</v>
      </c>
      <c r="AC5047">
        <v>8.627857877207763</v>
      </c>
      <c r="AD5047">
        <v>9.2560903183113137</v>
      </c>
    </row>
    <row r="5048" spans="2:30" x14ac:dyDescent="0.25">
      <c r="B5048" t="s">
        <v>133</v>
      </c>
      <c r="C5048" t="s">
        <v>3265</v>
      </c>
      <c r="D5048" t="s">
        <v>7087</v>
      </c>
      <c r="E5048" t="s">
        <v>7088</v>
      </c>
      <c r="F5048" t="s">
        <v>10508</v>
      </c>
      <c r="G5048" t="s">
        <v>3890</v>
      </c>
      <c r="H5048" t="s">
        <v>7090</v>
      </c>
      <c r="J5048">
        <v>1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  <c r="W5048" t="e">
        <v>#N/A</v>
      </c>
      <c r="X5048" t="e">
        <v>#N/A</v>
      </c>
      <c r="Y5048" t="e">
        <v>#N/A</v>
      </c>
      <c r="Z5048" t="e">
        <v>#N/A</v>
      </c>
      <c r="AA5048" t="e">
        <v>#N/A</v>
      </c>
      <c r="AB5048" t="e">
        <v>#N/A</v>
      </c>
      <c r="AC5048" t="e">
        <v>#N/A</v>
      </c>
      <c r="AD5048" t="e">
        <v>#N/A</v>
      </c>
    </row>
    <row r="5049" spans="2:30" x14ac:dyDescent="0.25">
      <c r="B5049" t="s">
        <v>133</v>
      </c>
      <c r="C5049" t="s">
        <v>3265</v>
      </c>
      <c r="D5049" t="s">
        <v>7091</v>
      </c>
      <c r="E5049" t="s">
        <v>7092</v>
      </c>
      <c r="F5049" t="s">
        <v>10509</v>
      </c>
      <c r="G5049" t="s">
        <v>3890</v>
      </c>
      <c r="H5049" t="s">
        <v>7068</v>
      </c>
      <c r="J5049">
        <v>1</v>
      </c>
      <c r="K5049">
        <v>0.65794924908352259</v>
      </c>
      <c r="L5049">
        <v>0.60845193959275345</v>
      </c>
      <c r="M5049">
        <v>0.54630541792531939</v>
      </c>
      <c r="N5049">
        <v>0.53003725334707352</v>
      </c>
      <c r="O5049">
        <v>0.54007591380097097</v>
      </c>
      <c r="P5049">
        <v>0.55729901228151901</v>
      </c>
      <c r="Q5049">
        <v>0.57353529360378053</v>
      </c>
      <c r="R5049">
        <v>0.58991413651847269</v>
      </c>
      <c r="S5049">
        <v>0.60850355337294981</v>
      </c>
      <c r="T5049">
        <v>0.62857511110475939</v>
      </c>
      <c r="U5049">
        <v>0.64784576878344247</v>
      </c>
      <c r="V5049">
        <v>0.66607122797369978</v>
      </c>
      <c r="W5049">
        <v>0.68295973796164067</v>
      </c>
      <c r="X5049">
        <v>0.69864231030899482</v>
      </c>
      <c r="Y5049">
        <v>0.71313752682621911</v>
      </c>
      <c r="Z5049">
        <v>0.72662762166536721</v>
      </c>
      <c r="AA5049">
        <v>0.7391837727817947</v>
      </c>
      <c r="AB5049">
        <v>0.75089918919432774</v>
      </c>
      <c r="AC5049">
        <v>0.76186151260115687</v>
      </c>
      <c r="AD5049">
        <v>0.7720811067147455</v>
      </c>
    </row>
    <row r="5050" spans="2:30" x14ac:dyDescent="0.25">
      <c r="B5050" t="s">
        <v>133</v>
      </c>
      <c r="C5050" t="s">
        <v>3265</v>
      </c>
      <c r="D5050" t="s">
        <v>7094</v>
      </c>
      <c r="E5050" t="s">
        <v>7095</v>
      </c>
      <c r="F5050" t="s">
        <v>10510</v>
      </c>
      <c r="G5050" t="s">
        <v>3890</v>
      </c>
      <c r="H5050" t="s">
        <v>4476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</row>
    <row r="5051" spans="2:30" x14ac:dyDescent="0.25">
      <c r="B5051" t="s">
        <v>133</v>
      </c>
      <c r="C5051" t="s">
        <v>3265</v>
      </c>
      <c r="D5051" t="s">
        <v>7097</v>
      </c>
      <c r="E5051" t="s">
        <v>7098</v>
      </c>
      <c r="F5051" t="s">
        <v>10511</v>
      </c>
      <c r="G5051" t="s">
        <v>3890</v>
      </c>
      <c r="H5051" t="s">
        <v>884</v>
      </c>
      <c r="J5051">
        <v>1</v>
      </c>
      <c r="K5051">
        <v>3.1462278217077255E-2</v>
      </c>
      <c r="L5051">
        <v>3.1462278217077255E-2</v>
      </c>
      <c r="M5051">
        <v>3.1462278217077255E-2</v>
      </c>
      <c r="N5051">
        <v>3.1462278217077255E-2</v>
      </c>
      <c r="O5051">
        <v>3.1462278217077255E-2</v>
      </c>
      <c r="P5051">
        <v>3.1462278217077255E-2</v>
      </c>
      <c r="Q5051">
        <v>3.1462278217077255E-2</v>
      </c>
      <c r="R5051">
        <v>3.1462278217077255E-2</v>
      </c>
      <c r="S5051">
        <v>3.1462278217077255E-2</v>
      </c>
      <c r="T5051">
        <v>3.1462278217077255E-2</v>
      </c>
      <c r="U5051">
        <v>3.1462278217077255E-2</v>
      </c>
      <c r="V5051">
        <v>3.1462278217077255E-2</v>
      </c>
      <c r="W5051">
        <v>3.1462278217077255E-2</v>
      </c>
      <c r="X5051">
        <v>3.1462278217077255E-2</v>
      </c>
      <c r="Y5051">
        <v>3.1462278217077255E-2</v>
      </c>
      <c r="Z5051">
        <v>3.1462278217077255E-2</v>
      </c>
      <c r="AA5051">
        <v>3.1462278217077255E-2</v>
      </c>
      <c r="AB5051">
        <v>3.1462278217077255E-2</v>
      </c>
      <c r="AC5051">
        <v>3.1462278217077255E-2</v>
      </c>
      <c r="AD5051">
        <v>3.1462278217077255E-2</v>
      </c>
    </row>
    <row r="5052" spans="2:30" x14ac:dyDescent="0.25">
      <c r="B5052" t="s">
        <v>133</v>
      </c>
      <c r="C5052" t="s">
        <v>3265</v>
      </c>
      <c r="D5052" t="s">
        <v>7100</v>
      </c>
      <c r="E5052" t="s">
        <v>7101</v>
      </c>
      <c r="F5052" t="s">
        <v>10512</v>
      </c>
      <c r="G5052" t="s">
        <v>3890</v>
      </c>
      <c r="H5052" t="s">
        <v>7078</v>
      </c>
      <c r="J5052">
        <v>1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  <c r="W5052" t="e">
        <v>#N/A</v>
      </c>
      <c r="X5052" t="e">
        <v>#N/A</v>
      </c>
      <c r="Y5052" t="e">
        <v>#N/A</v>
      </c>
      <c r="Z5052" t="e">
        <v>#N/A</v>
      </c>
      <c r="AA5052" t="e">
        <v>#N/A</v>
      </c>
      <c r="AB5052" t="e">
        <v>#N/A</v>
      </c>
      <c r="AC5052" t="e">
        <v>#N/A</v>
      </c>
      <c r="AD5052" t="e">
        <v>#N/A</v>
      </c>
    </row>
    <row r="5053" spans="2:30" x14ac:dyDescent="0.25">
      <c r="B5053" t="s">
        <v>133</v>
      </c>
      <c r="C5053" t="s">
        <v>3265</v>
      </c>
      <c r="D5053" t="s">
        <v>7103</v>
      </c>
      <c r="E5053" t="s">
        <v>7104</v>
      </c>
      <c r="F5053" t="s">
        <v>10513</v>
      </c>
      <c r="G5053" t="s">
        <v>3890</v>
      </c>
      <c r="H5053" t="s">
        <v>7082</v>
      </c>
      <c r="J5053">
        <v>1</v>
      </c>
      <c r="K5053">
        <v>17.093399168632743</v>
      </c>
      <c r="L5053">
        <v>18.164558263381714</v>
      </c>
      <c r="M5053">
        <v>19.625046708005698</v>
      </c>
      <c r="N5053">
        <v>19.335582542555347</v>
      </c>
      <c r="O5053">
        <v>20.145147556338291</v>
      </c>
      <c r="P5053">
        <v>21.396616015750215</v>
      </c>
      <c r="Q5053">
        <v>22.778580583773433</v>
      </c>
      <c r="R5053">
        <v>24.251237948100801</v>
      </c>
      <c r="S5053">
        <v>25.953300201814237</v>
      </c>
      <c r="T5053">
        <v>27.937863372485943</v>
      </c>
      <c r="U5053">
        <v>30.08450932791796</v>
      </c>
      <c r="V5053">
        <v>32.382001546936927</v>
      </c>
      <c r="W5053">
        <v>34.801419065632096</v>
      </c>
      <c r="X5053">
        <v>37.347124938226187</v>
      </c>
      <c r="Y5053">
        <v>40.010140476730491</v>
      </c>
      <c r="Z5053">
        <v>42.802765143694458</v>
      </c>
      <c r="AA5053">
        <v>45.7251065446981</v>
      </c>
      <c r="AB5053">
        <v>48.781956171161148</v>
      </c>
      <c r="AC5053">
        <v>51.979701267053535</v>
      </c>
      <c r="AD5053">
        <v>55.309262303675631</v>
      </c>
    </row>
    <row r="5054" spans="2:30" x14ac:dyDescent="0.25">
      <c r="B5054" t="s">
        <v>133</v>
      </c>
      <c r="C5054" t="s">
        <v>3265</v>
      </c>
      <c r="D5054" t="s">
        <v>7106</v>
      </c>
      <c r="E5054" t="s">
        <v>7107</v>
      </c>
      <c r="F5054" t="s">
        <v>10514</v>
      </c>
      <c r="G5054" t="s">
        <v>3890</v>
      </c>
      <c r="H5054" t="s">
        <v>7086</v>
      </c>
      <c r="J5054">
        <v>1</v>
      </c>
      <c r="K5054">
        <v>11.328900797350048</v>
      </c>
      <c r="L5054">
        <v>10.431293599417616</v>
      </c>
      <c r="M5054">
        <v>10.384930107060731</v>
      </c>
      <c r="N5054">
        <v>8.4025576431049362</v>
      </c>
      <c r="O5054">
        <v>9.2837853479862744</v>
      </c>
      <c r="P5054">
        <v>9.0128716206580268</v>
      </c>
      <c r="Q5054">
        <v>9.3467316904583875</v>
      </c>
      <c r="R5054">
        <v>9.8177714288528524</v>
      </c>
      <c r="S5054">
        <v>10.382134422293531</v>
      </c>
      <c r="T5054">
        <v>11.030195888998909</v>
      </c>
      <c r="U5054">
        <v>11.877716870723701</v>
      </c>
      <c r="V5054">
        <v>12.784793725218856</v>
      </c>
      <c r="W5054">
        <v>13.740008116981015</v>
      </c>
      <c r="X5054">
        <v>14.74508263095195</v>
      </c>
      <c r="Y5054">
        <v>15.796472375884212</v>
      </c>
      <c r="Z5054">
        <v>16.899033323741047</v>
      </c>
      <c r="AA5054">
        <v>18.052807958466577</v>
      </c>
      <c r="AB5054">
        <v>19.259688017029205</v>
      </c>
      <c r="AC5054">
        <v>20.522195258206256</v>
      </c>
      <c r="AD5054">
        <v>21.836744977655762</v>
      </c>
    </row>
    <row r="5055" spans="2:30" x14ac:dyDescent="0.25">
      <c r="B5055" t="s">
        <v>133</v>
      </c>
      <c r="C5055" t="s">
        <v>3265</v>
      </c>
      <c r="D5055" t="s">
        <v>7109</v>
      </c>
      <c r="E5055" t="s">
        <v>7110</v>
      </c>
      <c r="F5055" t="s">
        <v>10515</v>
      </c>
      <c r="G5055" t="s">
        <v>3890</v>
      </c>
      <c r="H5055" t="s">
        <v>7090</v>
      </c>
      <c r="J5055">
        <v>1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  <c r="W5055" t="e">
        <v>#N/A</v>
      </c>
      <c r="X5055" t="e">
        <v>#N/A</v>
      </c>
      <c r="Y5055" t="e">
        <v>#N/A</v>
      </c>
      <c r="Z5055" t="e">
        <v>#N/A</v>
      </c>
      <c r="AA5055" t="e">
        <v>#N/A</v>
      </c>
      <c r="AB5055" t="e">
        <v>#N/A</v>
      </c>
      <c r="AC5055" t="e">
        <v>#N/A</v>
      </c>
      <c r="AD5055" t="e">
        <v>#N/A</v>
      </c>
    </row>
    <row r="5056" spans="2:30" x14ac:dyDescent="0.25">
      <c r="B5056" t="s">
        <v>133</v>
      </c>
      <c r="C5056" t="s">
        <v>3265</v>
      </c>
      <c r="D5056" t="s">
        <v>7112</v>
      </c>
      <c r="E5056" t="s">
        <v>7113</v>
      </c>
      <c r="F5056" t="s">
        <v>10516</v>
      </c>
      <c r="G5056" t="s">
        <v>3890</v>
      </c>
      <c r="H5056" t="s">
        <v>4476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</row>
    <row r="5057" spans="2:30" x14ac:dyDescent="0.25">
      <c r="B5057" t="s">
        <v>133</v>
      </c>
      <c r="C5057" t="s">
        <v>3265</v>
      </c>
      <c r="D5057" t="s">
        <v>7115</v>
      </c>
      <c r="E5057" t="s">
        <v>7116</v>
      </c>
      <c r="F5057" t="s">
        <v>10517</v>
      </c>
      <c r="G5057" t="s">
        <v>3890</v>
      </c>
      <c r="H5057" t="s">
        <v>884</v>
      </c>
      <c r="J5057">
        <v>1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  <c r="W5057" t="e">
        <v>#N/A</v>
      </c>
      <c r="X5057" t="e">
        <v>#N/A</v>
      </c>
      <c r="Y5057" t="e">
        <v>#N/A</v>
      </c>
      <c r="Z5057" t="e">
        <v>#N/A</v>
      </c>
      <c r="AA5057" t="e">
        <v>#N/A</v>
      </c>
      <c r="AB5057" t="e">
        <v>#N/A</v>
      </c>
      <c r="AC5057" t="e">
        <v>#N/A</v>
      </c>
      <c r="AD5057" t="e">
        <v>#N/A</v>
      </c>
    </row>
    <row r="5058" spans="2:30" x14ac:dyDescent="0.25">
      <c r="B5058" t="s">
        <v>133</v>
      </c>
      <c r="C5058" t="s">
        <v>3265</v>
      </c>
      <c r="D5058" t="s">
        <v>7118</v>
      </c>
      <c r="E5058" t="s">
        <v>7119</v>
      </c>
      <c r="F5058" t="s">
        <v>10518</v>
      </c>
      <c r="G5058" t="s">
        <v>3890</v>
      </c>
      <c r="H5058" t="s">
        <v>7078</v>
      </c>
      <c r="J5058">
        <v>1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  <c r="W5058" t="e">
        <v>#N/A</v>
      </c>
      <c r="X5058" t="e">
        <v>#N/A</v>
      </c>
      <c r="Y5058" t="e">
        <v>#N/A</v>
      </c>
      <c r="Z5058" t="e">
        <v>#N/A</v>
      </c>
      <c r="AA5058" t="e">
        <v>#N/A</v>
      </c>
      <c r="AB5058" t="e">
        <v>#N/A</v>
      </c>
      <c r="AC5058" t="e">
        <v>#N/A</v>
      </c>
      <c r="AD5058" t="e">
        <v>#N/A</v>
      </c>
    </row>
    <row r="5059" spans="2:30" x14ac:dyDescent="0.25">
      <c r="B5059" t="s">
        <v>133</v>
      </c>
      <c r="C5059" t="s">
        <v>3265</v>
      </c>
      <c r="D5059" t="s">
        <v>7121</v>
      </c>
      <c r="E5059" t="s">
        <v>7122</v>
      </c>
      <c r="F5059" t="s">
        <v>10519</v>
      </c>
      <c r="G5059" t="s">
        <v>3890</v>
      </c>
      <c r="H5059" t="s">
        <v>7082</v>
      </c>
      <c r="J5059">
        <v>1</v>
      </c>
      <c r="K5059">
        <v>8.7592273594097882</v>
      </c>
      <c r="L5059">
        <v>9.8483367689349723</v>
      </c>
      <c r="M5059">
        <v>11.872645748894794</v>
      </c>
      <c r="N5059">
        <v>12.165496369500795</v>
      </c>
      <c r="O5059">
        <v>12.451220798302455</v>
      </c>
      <c r="P5059">
        <v>12.787576079133844</v>
      </c>
      <c r="Q5059">
        <v>13.185926293726901</v>
      </c>
      <c r="R5059">
        <v>13.567516333534819</v>
      </c>
      <c r="S5059">
        <v>13.924630751853487</v>
      </c>
      <c r="T5059">
        <v>14.284805547580049</v>
      </c>
      <c r="U5059">
        <v>14.649307370291794</v>
      </c>
      <c r="V5059">
        <v>15.018063306158167</v>
      </c>
      <c r="W5059">
        <v>15.390998538298842</v>
      </c>
      <c r="X5059">
        <v>15.768036297169033</v>
      </c>
      <c r="Y5059">
        <v>16.149097798433552</v>
      </c>
      <c r="Z5059">
        <v>16.534102168271236</v>
      </c>
      <c r="AA5059">
        <v>16.922966356059909</v>
      </c>
      <c r="AB5059">
        <v>17.315605034396299</v>
      </c>
      <c r="AC5059">
        <v>17.711930486408583</v>
      </c>
      <c r="AD5059">
        <v>18.111852480319339</v>
      </c>
    </row>
    <row r="5060" spans="2:30" x14ac:dyDescent="0.25">
      <c r="B5060" t="s">
        <v>133</v>
      </c>
      <c r="C5060" t="s">
        <v>3265</v>
      </c>
      <c r="D5060" t="s">
        <v>7124</v>
      </c>
      <c r="E5060" t="s">
        <v>7125</v>
      </c>
      <c r="F5060" t="s">
        <v>10520</v>
      </c>
      <c r="G5060" t="s">
        <v>3890</v>
      </c>
      <c r="H5060" t="s">
        <v>7086</v>
      </c>
      <c r="J5060">
        <v>1</v>
      </c>
      <c r="K5060">
        <v>4.3415326674431149</v>
      </c>
      <c r="L5060">
        <v>4.6878851644380655</v>
      </c>
      <c r="M5060">
        <v>5.4012855181209103</v>
      </c>
      <c r="N5060">
        <v>4.7970431075413851</v>
      </c>
      <c r="O5060">
        <v>5.1193866689866239</v>
      </c>
      <c r="P5060">
        <v>4.9330654080764651</v>
      </c>
      <c r="Q5060">
        <v>4.9946480086541092</v>
      </c>
      <c r="R5060">
        <v>5.0914253757795098</v>
      </c>
      <c r="S5060">
        <v>5.1825691281617061</v>
      </c>
      <c r="T5060">
        <v>5.2688435912409322</v>
      </c>
      <c r="U5060">
        <v>5.4032873599148266</v>
      </c>
      <c r="V5060">
        <v>5.539300226379833</v>
      </c>
      <c r="W5060">
        <v>5.6768545949897167</v>
      </c>
      <c r="X5060">
        <v>5.8159221498725753</v>
      </c>
      <c r="Y5060">
        <v>5.9564738320161474</v>
      </c>
      <c r="Z5060">
        <v>6.0984798117169134</v>
      </c>
      <c r="AA5060">
        <v>6.2419094563745929</v>
      </c>
      <c r="AB5060">
        <v>6.3867312936152452</v>
      </c>
      <c r="AC5060">
        <v>6.5329129697273389</v>
      </c>
      <c r="AD5060">
        <v>6.680421203395241</v>
      </c>
    </row>
    <row r="5061" spans="2:30" x14ac:dyDescent="0.25">
      <c r="B5061" t="s">
        <v>133</v>
      </c>
      <c r="C5061" t="s">
        <v>3265</v>
      </c>
      <c r="D5061" t="s">
        <v>7127</v>
      </c>
      <c r="E5061" t="s">
        <v>7128</v>
      </c>
      <c r="F5061" t="s">
        <v>10521</v>
      </c>
      <c r="G5061" t="s">
        <v>3890</v>
      </c>
      <c r="H5061" t="s">
        <v>7090</v>
      </c>
      <c r="J5061">
        <v>1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  <c r="W5061" t="e">
        <v>#N/A</v>
      </c>
      <c r="X5061" t="e">
        <v>#N/A</v>
      </c>
      <c r="Y5061" t="e">
        <v>#N/A</v>
      </c>
      <c r="Z5061" t="e">
        <v>#N/A</v>
      </c>
      <c r="AA5061" t="e">
        <v>#N/A</v>
      </c>
      <c r="AB5061" t="e">
        <v>#N/A</v>
      </c>
      <c r="AC5061" t="e">
        <v>#N/A</v>
      </c>
      <c r="AD5061" t="e">
        <v>#N/A</v>
      </c>
    </row>
    <row r="5062" spans="2:30" x14ac:dyDescent="0.25">
      <c r="B5062" t="s">
        <v>133</v>
      </c>
      <c r="C5062" t="s">
        <v>3265</v>
      </c>
      <c r="D5062" t="s">
        <v>7130</v>
      </c>
      <c r="E5062" t="s">
        <v>7131</v>
      </c>
      <c r="F5062" t="s">
        <v>10522</v>
      </c>
      <c r="G5062" t="s">
        <v>3890</v>
      </c>
      <c r="H5062" t="s">
        <v>4476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</row>
    <row r="5063" spans="2:30" x14ac:dyDescent="0.25">
      <c r="B5063" t="s">
        <v>133</v>
      </c>
      <c r="C5063" t="s">
        <v>3265</v>
      </c>
      <c r="D5063" t="s">
        <v>7133</v>
      </c>
      <c r="E5063" t="s">
        <v>7134</v>
      </c>
      <c r="F5063" t="s">
        <v>10523</v>
      </c>
      <c r="G5063" t="s">
        <v>3890</v>
      </c>
      <c r="H5063" t="s">
        <v>884</v>
      </c>
      <c r="J5063">
        <v>1</v>
      </c>
      <c r="K5063">
        <v>0.38980710506439209</v>
      </c>
      <c r="L5063">
        <v>0.38980710506439209</v>
      </c>
      <c r="M5063">
        <v>0.38980710506439209</v>
      </c>
      <c r="N5063">
        <v>0.38980710506439209</v>
      </c>
      <c r="O5063">
        <v>0.38980710506439209</v>
      </c>
      <c r="P5063">
        <v>0.38980710506439209</v>
      </c>
      <c r="Q5063">
        <v>0.38980710506439209</v>
      </c>
      <c r="R5063">
        <v>0.38980710506439209</v>
      </c>
      <c r="S5063">
        <v>0.38980710506439209</v>
      </c>
      <c r="T5063">
        <v>0.38980710506439209</v>
      </c>
      <c r="U5063">
        <v>0.38980710506439209</v>
      </c>
      <c r="V5063">
        <v>0.38980710506439209</v>
      </c>
      <c r="W5063">
        <v>0.38980710506439209</v>
      </c>
      <c r="X5063">
        <v>0.38980710506439209</v>
      </c>
      <c r="Y5063">
        <v>0.38980710506439209</v>
      </c>
      <c r="Z5063">
        <v>0.38980710506439209</v>
      </c>
      <c r="AA5063">
        <v>0.38980710506439209</v>
      </c>
      <c r="AB5063">
        <v>0.38980710506439209</v>
      </c>
      <c r="AC5063">
        <v>0.38980710506439209</v>
      </c>
      <c r="AD5063">
        <v>0.38980710506439209</v>
      </c>
    </row>
    <row r="5064" spans="2:30" x14ac:dyDescent="0.25">
      <c r="B5064" t="s">
        <v>133</v>
      </c>
      <c r="C5064" t="s">
        <v>3265</v>
      </c>
      <c r="D5064" t="s">
        <v>7136</v>
      </c>
      <c r="E5064" t="s">
        <v>7137</v>
      </c>
      <c r="F5064" t="s">
        <v>10524</v>
      </c>
      <c r="G5064" t="s">
        <v>3890</v>
      </c>
      <c r="H5064" t="s">
        <v>7078</v>
      </c>
      <c r="J5064">
        <v>1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  <c r="W5064" t="e">
        <v>#N/A</v>
      </c>
      <c r="X5064" t="e">
        <v>#N/A</v>
      </c>
      <c r="Y5064" t="e">
        <v>#N/A</v>
      </c>
      <c r="Z5064" t="e">
        <v>#N/A</v>
      </c>
      <c r="AA5064" t="e">
        <v>#N/A</v>
      </c>
      <c r="AB5064" t="e">
        <v>#N/A</v>
      </c>
      <c r="AC5064" t="e">
        <v>#N/A</v>
      </c>
      <c r="AD5064" t="e">
        <v>#N/A</v>
      </c>
    </row>
    <row r="5065" spans="2:30" x14ac:dyDescent="0.25">
      <c r="B5065" t="s">
        <v>133</v>
      </c>
      <c r="C5065" t="s">
        <v>3265</v>
      </c>
      <c r="D5065" t="s">
        <v>7139</v>
      </c>
      <c r="E5065" t="s">
        <v>7140</v>
      </c>
      <c r="F5065" t="s">
        <v>10525</v>
      </c>
      <c r="G5065" t="s">
        <v>3890</v>
      </c>
      <c r="H5065" t="s">
        <v>7082</v>
      </c>
      <c r="J5065">
        <v>1</v>
      </c>
      <c r="K5065">
        <v>0.74072845747668814</v>
      </c>
      <c r="L5065">
        <v>0.86721354102799408</v>
      </c>
      <c r="M5065">
        <v>0.96364265512465508</v>
      </c>
      <c r="N5065">
        <v>0.9988957686311748</v>
      </c>
      <c r="O5065">
        <v>1.0339270684047732</v>
      </c>
      <c r="P5065">
        <v>1.0762198961506069</v>
      </c>
      <c r="Q5065">
        <v>1.1277638855092658</v>
      </c>
      <c r="R5065">
        <v>1.1783280880287157</v>
      </c>
      <c r="S5065">
        <v>1.2266700805639159</v>
      </c>
      <c r="T5065">
        <v>1.2763498867482865</v>
      </c>
      <c r="U5065">
        <v>1.3273714719702523</v>
      </c>
      <c r="V5065">
        <v>1.3797355811327254</v>
      </c>
      <c r="W5065">
        <v>1.4334408714602123</v>
      </c>
      <c r="X5065">
        <v>1.4884838304763481</v>
      </c>
      <c r="Y5065">
        <v>1.5448586963577673</v>
      </c>
      <c r="Z5065">
        <v>1.6025573810131351</v>
      </c>
      <c r="AA5065">
        <v>1.6615693962402645</v>
      </c>
      <c r="AB5065">
        <v>1.7218817833169799</v>
      </c>
      <c r="AC5065">
        <v>1.7834790463827501</v>
      </c>
      <c r="AD5065">
        <v>1.8463430899680089</v>
      </c>
    </row>
    <row r="5066" spans="2:30" x14ac:dyDescent="0.25">
      <c r="B5066" t="s">
        <v>133</v>
      </c>
      <c r="C5066" t="s">
        <v>3265</v>
      </c>
      <c r="D5066" t="s">
        <v>7142</v>
      </c>
      <c r="E5066" t="s">
        <v>7143</v>
      </c>
      <c r="F5066" t="s">
        <v>10526</v>
      </c>
      <c r="G5066" t="s">
        <v>3890</v>
      </c>
      <c r="H5066" t="s">
        <v>7086</v>
      </c>
      <c r="J5066">
        <v>1</v>
      </c>
      <c r="K5066">
        <v>0.27367377034005486</v>
      </c>
      <c r="L5066">
        <v>0.38155634577615954</v>
      </c>
      <c r="M5066">
        <v>0.43124175007426463</v>
      </c>
      <c r="N5066">
        <v>0.36505809917876048</v>
      </c>
      <c r="O5066">
        <v>0.40142729937355043</v>
      </c>
      <c r="P5066">
        <v>0.38086928737994213</v>
      </c>
      <c r="Q5066">
        <v>0.38844987055893182</v>
      </c>
      <c r="R5066">
        <v>0.40025158852473763</v>
      </c>
      <c r="S5066">
        <v>0.41156070572289422</v>
      </c>
      <c r="T5066">
        <v>0.4224506458058534</v>
      </c>
      <c r="U5066">
        <v>0.43933794438349538</v>
      </c>
      <c r="V5066">
        <v>0.45666959612132135</v>
      </c>
      <c r="W5066">
        <v>0.47444515658291136</v>
      </c>
      <c r="X5066">
        <v>0.49266346319683868</v>
      </c>
      <c r="Y5066">
        <v>0.51132260889512215</v>
      </c>
      <c r="Z5066">
        <v>0.53041991665366117</v>
      </c>
      <c r="AA5066">
        <v>0.54995191505146579</v>
      </c>
      <c r="AB5066">
        <v>0.56991431496640055</v>
      </c>
      <c r="AC5066">
        <v>0.59030198752560969</v>
      </c>
      <c r="AD5066">
        <v>0.61110894342875799</v>
      </c>
    </row>
    <row r="5067" spans="2:30" x14ac:dyDescent="0.25">
      <c r="B5067" t="s">
        <v>133</v>
      </c>
      <c r="C5067" t="s">
        <v>3265</v>
      </c>
      <c r="D5067" t="s">
        <v>7145</v>
      </c>
      <c r="E5067" t="s">
        <v>7146</v>
      </c>
      <c r="F5067" t="s">
        <v>10527</v>
      </c>
      <c r="G5067" t="s">
        <v>3890</v>
      </c>
      <c r="H5067" t="s">
        <v>7090</v>
      </c>
      <c r="J5067">
        <v>1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  <c r="W5067" t="e">
        <v>#N/A</v>
      </c>
      <c r="X5067" t="e">
        <v>#N/A</v>
      </c>
      <c r="Y5067" t="e">
        <v>#N/A</v>
      </c>
      <c r="Z5067" t="e">
        <v>#N/A</v>
      </c>
      <c r="AA5067" t="e">
        <v>#N/A</v>
      </c>
      <c r="AB5067" t="e">
        <v>#N/A</v>
      </c>
      <c r="AC5067" t="e">
        <v>#N/A</v>
      </c>
      <c r="AD5067" t="e">
        <v>#N/A</v>
      </c>
    </row>
    <row r="5068" spans="2:30" x14ac:dyDescent="0.25">
      <c r="B5068" t="s">
        <v>133</v>
      </c>
      <c r="C5068" t="s">
        <v>3265</v>
      </c>
      <c r="D5068" t="s">
        <v>7148</v>
      </c>
      <c r="E5068" t="s">
        <v>7149</v>
      </c>
      <c r="F5068" t="s">
        <v>10528</v>
      </c>
      <c r="G5068" t="s">
        <v>3890</v>
      </c>
      <c r="H5068" t="s">
        <v>4476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</row>
    <row r="5069" spans="2:30" x14ac:dyDescent="0.25">
      <c r="B5069" t="s">
        <v>133</v>
      </c>
      <c r="C5069" t="s">
        <v>3265</v>
      </c>
      <c r="D5069" t="s">
        <v>7151</v>
      </c>
      <c r="E5069" t="s">
        <v>7152</v>
      </c>
      <c r="F5069" t="s">
        <v>10529</v>
      </c>
      <c r="G5069" t="s">
        <v>3890</v>
      </c>
      <c r="H5069" t="s">
        <v>884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</row>
    <row r="5070" spans="2:30" x14ac:dyDescent="0.25">
      <c r="B5070" t="s">
        <v>133</v>
      </c>
      <c r="C5070" t="s">
        <v>3265</v>
      </c>
      <c r="D5070" t="s">
        <v>7154</v>
      </c>
      <c r="E5070" t="s">
        <v>7155</v>
      </c>
      <c r="F5070" t="s">
        <v>10530</v>
      </c>
      <c r="G5070" t="s">
        <v>3890</v>
      </c>
      <c r="H5070" t="s">
        <v>7078</v>
      </c>
      <c r="J5070">
        <v>1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  <c r="W5070" t="e">
        <v>#N/A</v>
      </c>
      <c r="X5070" t="e">
        <v>#N/A</v>
      </c>
      <c r="Y5070" t="e">
        <v>#N/A</v>
      </c>
      <c r="Z5070" t="e">
        <v>#N/A</v>
      </c>
      <c r="AA5070" t="e">
        <v>#N/A</v>
      </c>
      <c r="AB5070" t="e">
        <v>#N/A</v>
      </c>
      <c r="AC5070" t="e">
        <v>#N/A</v>
      </c>
      <c r="AD5070" t="e">
        <v>#N/A</v>
      </c>
    </row>
    <row r="5071" spans="2:30" x14ac:dyDescent="0.25">
      <c r="B5071" t="s">
        <v>133</v>
      </c>
      <c r="C5071" t="s">
        <v>3265</v>
      </c>
      <c r="D5071" t="s">
        <v>7157</v>
      </c>
      <c r="E5071" t="s">
        <v>7158</v>
      </c>
      <c r="F5071" t="s">
        <v>10531</v>
      </c>
      <c r="G5071" t="s">
        <v>3890</v>
      </c>
      <c r="H5071" t="s">
        <v>7160</v>
      </c>
      <c r="J5071">
        <v>1</v>
      </c>
      <c r="K5071">
        <v>5.4004408136823523</v>
      </c>
      <c r="L5071">
        <v>4.2974710728280368</v>
      </c>
      <c r="M5071">
        <v>3.7869687556145295</v>
      </c>
      <c r="N5071">
        <v>2.4509803921568629</v>
      </c>
      <c r="O5071">
        <v>2.4509803921568629</v>
      </c>
      <c r="P5071">
        <v>2.4509803921568629</v>
      </c>
      <c r="Q5071">
        <v>2.4509803921568629</v>
      </c>
      <c r="R5071">
        <v>2.4509803921568629</v>
      </c>
      <c r="S5071">
        <v>2.4509803921568629</v>
      </c>
      <c r="T5071">
        <v>2.4509803921568629</v>
      </c>
      <c r="U5071">
        <v>2.4509803921568629</v>
      </c>
      <c r="V5071">
        <v>2.4509803921568629</v>
      </c>
      <c r="W5071">
        <v>2.4509803921568629</v>
      </c>
      <c r="X5071">
        <v>2.4509803921568629</v>
      </c>
      <c r="Y5071">
        <v>2.4509803921568629</v>
      </c>
      <c r="Z5071">
        <v>2.4509803921568629</v>
      </c>
      <c r="AA5071">
        <v>2.4509803921568629</v>
      </c>
      <c r="AB5071">
        <v>2.4509803921568629</v>
      </c>
      <c r="AC5071">
        <v>2.4509803921568629</v>
      </c>
      <c r="AD5071">
        <v>2.4509803921568629</v>
      </c>
    </row>
    <row r="5072" spans="2:30" x14ac:dyDescent="0.25">
      <c r="B5072" t="s">
        <v>133</v>
      </c>
      <c r="C5072" t="s">
        <v>3265</v>
      </c>
      <c r="D5072" t="s">
        <v>7161</v>
      </c>
      <c r="E5072" t="s">
        <v>7162</v>
      </c>
      <c r="F5072" t="s">
        <v>10532</v>
      </c>
      <c r="G5072" t="s">
        <v>3890</v>
      </c>
      <c r="H5072" t="s">
        <v>7082</v>
      </c>
      <c r="J5072">
        <v>1</v>
      </c>
      <c r="K5072">
        <v>0.32188346580599997</v>
      </c>
      <c r="L5072">
        <v>0.3089390562367787</v>
      </c>
      <c r="M5072">
        <v>0.32729765615329354</v>
      </c>
      <c r="N5072">
        <v>0.41701501105380473</v>
      </c>
      <c r="O5072">
        <v>0.41808214023011825</v>
      </c>
      <c r="P5072">
        <v>0.41983936716622972</v>
      </c>
      <c r="Q5072">
        <v>0.42252803814562168</v>
      </c>
      <c r="R5072">
        <v>0.42531263014148041</v>
      </c>
      <c r="S5072">
        <v>0.42795050605972601</v>
      </c>
      <c r="T5072">
        <v>0.43084783735949062</v>
      </c>
      <c r="U5072">
        <v>0.4340548222194997</v>
      </c>
      <c r="V5072">
        <v>0.43757109321610066</v>
      </c>
      <c r="W5072">
        <v>0.44142443526464747</v>
      </c>
      <c r="X5072">
        <v>0.44562185501042934</v>
      </c>
      <c r="Y5072">
        <v>0.45018185469187577</v>
      </c>
      <c r="Z5072">
        <v>0.45511407317962493</v>
      </c>
      <c r="AA5072">
        <v>0.46043661231306099</v>
      </c>
      <c r="AB5072">
        <v>0.46617228364777208</v>
      </c>
      <c r="AC5072">
        <v>0.4723322681696388</v>
      </c>
      <c r="AD5072">
        <v>0.47893578168238266</v>
      </c>
    </row>
    <row r="5073" spans="2:30" x14ac:dyDescent="0.25">
      <c r="B5073" t="s">
        <v>133</v>
      </c>
      <c r="C5073" t="s">
        <v>3265</v>
      </c>
      <c r="D5073" t="s">
        <v>7164</v>
      </c>
      <c r="E5073" t="s">
        <v>7165</v>
      </c>
      <c r="F5073" t="s">
        <v>10533</v>
      </c>
      <c r="G5073" t="s">
        <v>3890</v>
      </c>
      <c r="H5073" t="s">
        <v>7086</v>
      </c>
      <c r="J5073">
        <v>1</v>
      </c>
      <c r="K5073">
        <v>4.3889209414219907</v>
      </c>
      <c r="L5073">
        <v>3.4714721957560077</v>
      </c>
      <c r="M5073">
        <v>3.6596998777215894</v>
      </c>
      <c r="N5073">
        <v>4.3189655718559834</v>
      </c>
      <c r="O5073">
        <v>4.5809641222525235</v>
      </c>
      <c r="P5073">
        <v>4.220341448397841</v>
      </c>
      <c r="Q5073">
        <v>4.1421891712689272</v>
      </c>
      <c r="R5073">
        <v>4.1161190641312997</v>
      </c>
      <c r="S5073">
        <v>4.0946875889971723</v>
      </c>
      <c r="T5073">
        <v>4.0710459939804498</v>
      </c>
      <c r="U5073">
        <v>4.101348531755991</v>
      </c>
      <c r="V5073">
        <v>4.1345734889524639</v>
      </c>
      <c r="W5073">
        <v>4.1709834029636692</v>
      </c>
      <c r="X5073">
        <v>4.2106444790081614</v>
      </c>
      <c r="Y5073">
        <v>4.253731543224327</v>
      </c>
      <c r="Z5073">
        <v>4.3003356725128628</v>
      </c>
      <c r="AA5073">
        <v>4.3506279096743068</v>
      </c>
      <c r="AB5073">
        <v>4.4048237992325996</v>
      </c>
      <c r="AC5073">
        <v>4.4630289894092954</v>
      </c>
      <c r="AD5073">
        <v>4.5254250487628918</v>
      </c>
    </row>
    <row r="5074" spans="2:30" x14ac:dyDescent="0.25">
      <c r="B5074" t="s">
        <v>133</v>
      </c>
      <c r="C5074" t="s">
        <v>3265</v>
      </c>
      <c r="D5074" t="s">
        <v>7167</v>
      </c>
      <c r="E5074" t="s">
        <v>7168</v>
      </c>
      <c r="F5074" t="s">
        <v>10534</v>
      </c>
      <c r="G5074" t="s">
        <v>3890</v>
      </c>
      <c r="H5074" t="s">
        <v>4476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</row>
    <row r="5075" spans="2:30" x14ac:dyDescent="0.25">
      <c r="B5075" t="s">
        <v>133</v>
      </c>
      <c r="C5075" t="s">
        <v>3265</v>
      </c>
      <c r="D5075" t="s">
        <v>7170</v>
      </c>
      <c r="E5075" t="s">
        <v>7171</v>
      </c>
      <c r="F5075" t="s">
        <v>10535</v>
      </c>
      <c r="G5075" t="s">
        <v>3890</v>
      </c>
      <c r="H5075" t="s">
        <v>7078</v>
      </c>
      <c r="J5075">
        <v>1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  <c r="W5075" t="e">
        <v>#N/A</v>
      </c>
      <c r="X5075" t="e">
        <v>#N/A</v>
      </c>
      <c r="Y5075" t="e">
        <v>#N/A</v>
      </c>
      <c r="Z5075" t="e">
        <v>#N/A</v>
      </c>
      <c r="AA5075" t="e">
        <v>#N/A</v>
      </c>
      <c r="AB5075" t="e">
        <v>#N/A</v>
      </c>
      <c r="AC5075" t="e">
        <v>#N/A</v>
      </c>
      <c r="AD5075" t="e">
        <v>#N/A</v>
      </c>
    </row>
    <row r="5076" spans="2:30" x14ac:dyDescent="0.25">
      <c r="B5076" t="s">
        <v>133</v>
      </c>
      <c r="C5076" t="s">
        <v>3265</v>
      </c>
      <c r="D5076" t="s">
        <v>7173</v>
      </c>
      <c r="E5076" t="s">
        <v>7174</v>
      </c>
      <c r="F5076" t="s">
        <v>10536</v>
      </c>
      <c r="G5076" t="s">
        <v>3890</v>
      </c>
      <c r="H5076" t="s">
        <v>7082</v>
      </c>
      <c r="J5076">
        <v>1</v>
      </c>
      <c r="K5076">
        <v>0.4637672137728</v>
      </c>
      <c r="L5076">
        <v>0.39792308812516519</v>
      </c>
      <c r="M5076">
        <v>0.43807968256506025</v>
      </c>
      <c r="N5076">
        <v>0.45539144372591023</v>
      </c>
      <c r="O5076">
        <v>0.47249328611473107</v>
      </c>
      <c r="P5076">
        <v>0.49287018315998643</v>
      </c>
      <c r="Q5076">
        <v>0.51734449869533039</v>
      </c>
      <c r="R5076">
        <v>0.5411488016992192</v>
      </c>
      <c r="S5076">
        <v>0.56374026880622363</v>
      </c>
      <c r="T5076">
        <v>0.58682088394191312</v>
      </c>
      <c r="U5076">
        <v>0.61047490501407875</v>
      </c>
      <c r="V5076">
        <v>0.63470239672366058</v>
      </c>
      <c r="W5076">
        <v>0.65950299482287689</v>
      </c>
      <c r="X5076">
        <v>0.68487589963987638</v>
      </c>
      <c r="Y5076">
        <v>0.71081986871967007</v>
      </c>
      <c r="Z5076">
        <v>0.73733320850855688</v>
      </c>
      <c r="AA5076">
        <v>0.76441376501215852</v>
      </c>
      <c r="AB5076">
        <v>0.79205891335993706</v>
      </c>
      <c r="AC5076">
        <v>0.82026554621181647</v>
      </c>
      <c r="AD5076">
        <v>0.84903006094513367</v>
      </c>
    </row>
    <row r="5077" spans="2:30" x14ac:dyDescent="0.25">
      <c r="B5077" t="s">
        <v>133</v>
      </c>
      <c r="C5077" t="s">
        <v>3265</v>
      </c>
      <c r="D5077" t="s">
        <v>7176</v>
      </c>
      <c r="E5077" t="s">
        <v>7177</v>
      </c>
      <c r="F5077" t="s">
        <v>10537</v>
      </c>
      <c r="G5077" t="s">
        <v>3890</v>
      </c>
      <c r="H5077" t="s">
        <v>7086</v>
      </c>
      <c r="J5077">
        <v>1</v>
      </c>
      <c r="K5077">
        <v>3.2112892603922094</v>
      </c>
      <c r="L5077">
        <v>2.0618376055782233</v>
      </c>
      <c r="M5077">
        <v>1.963711542635125</v>
      </c>
      <c r="N5077">
        <v>2.0734284673921919</v>
      </c>
      <c r="O5077">
        <v>2.1707645000789553</v>
      </c>
      <c r="P5077">
        <v>2.2118737304513205</v>
      </c>
      <c r="Q5077">
        <v>2.2568741472875389</v>
      </c>
      <c r="R5077">
        <v>2.336561180963785</v>
      </c>
      <c r="S5077">
        <v>2.4269668290236366</v>
      </c>
      <c r="T5077">
        <v>2.5221201225048731</v>
      </c>
      <c r="U5077">
        <v>2.6237836524793252</v>
      </c>
      <c r="V5077">
        <v>2.7279119240365537</v>
      </c>
      <c r="W5077">
        <v>2.834503371661961</v>
      </c>
      <c r="X5077">
        <v>2.943554558415038</v>
      </c>
      <c r="Y5077">
        <v>3.055060144300541</v>
      </c>
      <c r="Z5077">
        <v>3.1690128505286643</v>
      </c>
      <c r="AA5077">
        <v>3.2854034193638468</v>
      </c>
      <c r="AB5077">
        <v>3.40422056927371</v>
      </c>
      <c r="AC5077">
        <v>3.5254509451014284</v>
      </c>
      <c r="AD5077">
        <v>3.6490790629960337</v>
      </c>
    </row>
    <row r="5078" spans="2:30" x14ac:dyDescent="0.25">
      <c r="B5078" t="s">
        <v>133</v>
      </c>
      <c r="C5078" t="s">
        <v>3265</v>
      </c>
      <c r="D5078" t="s">
        <v>7179</v>
      </c>
      <c r="E5078" t="s">
        <v>7180</v>
      </c>
      <c r="F5078" t="s">
        <v>10538</v>
      </c>
      <c r="G5078" t="s">
        <v>3890</v>
      </c>
      <c r="H5078" t="s">
        <v>7090</v>
      </c>
      <c r="J5078">
        <v>1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  <c r="W5078" t="e">
        <v>#N/A</v>
      </c>
      <c r="X5078" t="e">
        <v>#N/A</v>
      </c>
      <c r="Y5078" t="e">
        <v>#N/A</v>
      </c>
      <c r="Z5078" t="e">
        <v>#N/A</v>
      </c>
      <c r="AA5078" t="e">
        <v>#N/A</v>
      </c>
      <c r="AB5078" t="e">
        <v>#N/A</v>
      </c>
      <c r="AC5078" t="e">
        <v>#N/A</v>
      </c>
      <c r="AD5078" t="e">
        <v>#N/A</v>
      </c>
    </row>
    <row r="5079" spans="2:30" x14ac:dyDescent="0.25">
      <c r="B5079" t="s">
        <v>133</v>
      </c>
      <c r="C5079" t="s">
        <v>3265</v>
      </c>
      <c r="D5079" t="s">
        <v>7182</v>
      </c>
      <c r="E5079" t="s">
        <v>7183</v>
      </c>
      <c r="F5079" t="s">
        <v>10539</v>
      </c>
      <c r="G5079" t="s">
        <v>3890</v>
      </c>
      <c r="H5079" t="s">
        <v>4476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</row>
    <row r="5080" spans="2:30" x14ac:dyDescent="0.25">
      <c r="B5080" t="s">
        <v>133</v>
      </c>
      <c r="C5080" t="s">
        <v>3265</v>
      </c>
      <c r="D5080" t="s">
        <v>7185</v>
      </c>
      <c r="E5080" t="s">
        <v>7186</v>
      </c>
      <c r="F5080" t="s">
        <v>10540</v>
      </c>
      <c r="G5080" t="s">
        <v>3890</v>
      </c>
      <c r="H5080" t="s">
        <v>7078</v>
      </c>
      <c r="J5080">
        <v>1</v>
      </c>
      <c r="K5080">
        <v>22.748523734833093</v>
      </c>
      <c r="L5080">
        <v>20.734316067986583</v>
      </c>
      <c r="M5080">
        <v>20.172373844852086</v>
      </c>
      <c r="N5080">
        <v>20.399377857533974</v>
      </c>
      <c r="O5080">
        <v>20.600749016259378</v>
      </c>
      <c r="P5080">
        <v>20.648807028287941</v>
      </c>
      <c r="Q5080">
        <v>20.683098121759521</v>
      </c>
      <c r="R5080">
        <v>20.811322848956539</v>
      </c>
      <c r="S5080">
        <v>20.98114506741744</v>
      </c>
      <c r="T5080">
        <v>21.164234393512217</v>
      </c>
      <c r="U5080">
        <v>21.362709066461147</v>
      </c>
      <c r="V5080">
        <v>21.56912238959184</v>
      </c>
      <c r="W5080">
        <v>21.78379195378011</v>
      </c>
      <c r="X5080">
        <v>22.007047981391352</v>
      </c>
      <c r="Y5080">
        <v>22.239233952314844</v>
      </c>
      <c r="Z5080">
        <v>22.480707055515111</v>
      </c>
      <c r="AA5080">
        <v>22.731834212537358</v>
      </c>
      <c r="AB5080">
        <v>22.993006455840501</v>
      </c>
      <c r="AC5080">
        <v>23.26462558887577</v>
      </c>
      <c r="AD5080">
        <v>23.547109487232447</v>
      </c>
    </row>
    <row r="5081" spans="2:30" x14ac:dyDescent="0.25">
      <c r="B5081" t="s">
        <v>133</v>
      </c>
      <c r="C5081" t="s">
        <v>3265</v>
      </c>
      <c r="D5081" t="s">
        <v>7188</v>
      </c>
      <c r="E5081" t="s">
        <v>7189</v>
      </c>
      <c r="F5081" t="s">
        <v>10541</v>
      </c>
      <c r="G5081" t="s">
        <v>3890</v>
      </c>
      <c r="H5081" t="s">
        <v>7082</v>
      </c>
      <c r="J5081">
        <v>1</v>
      </c>
      <c r="K5081">
        <v>8.0436035415600002E-2</v>
      </c>
      <c r="L5081">
        <v>8.2826328027928303E-2</v>
      </c>
      <c r="M5081">
        <v>0.11330860976480066</v>
      </c>
      <c r="N5081">
        <v>0.11412159141724208</v>
      </c>
      <c r="O5081">
        <v>0.11487524050064434</v>
      </c>
      <c r="P5081">
        <v>0.11581982025604542</v>
      </c>
      <c r="Q5081">
        <v>0.1169910005586642</v>
      </c>
      <c r="R5081">
        <v>0.11805078974817901</v>
      </c>
      <c r="S5081">
        <v>0.11897425274284208</v>
      </c>
      <c r="T5081">
        <v>0.11987712491385735</v>
      </c>
      <c r="U5081">
        <v>0.12076480283842975</v>
      </c>
      <c r="V5081">
        <v>0.12163721140263649</v>
      </c>
      <c r="W5081">
        <v>0.12249428500567361</v>
      </c>
      <c r="X5081">
        <v>0.12333596678715079</v>
      </c>
      <c r="Y5081">
        <v>0.12416220786644326</v>
      </c>
      <c r="Z5081">
        <v>0.12497296659523903</v>
      </c>
      <c r="AA5081">
        <v>0.12576820782419945</v>
      </c>
      <c r="AB5081">
        <v>0.12654790218444076</v>
      </c>
      <c r="AC5081">
        <v>0.12731202538435987</v>
      </c>
      <c r="AD5081">
        <v>0.12806055752215423</v>
      </c>
    </row>
    <row r="5082" spans="2:30" x14ac:dyDescent="0.25">
      <c r="B5082" t="s">
        <v>133</v>
      </c>
      <c r="C5082" t="s">
        <v>3265</v>
      </c>
      <c r="D5082" t="s">
        <v>7191</v>
      </c>
      <c r="E5082" t="s">
        <v>7192</v>
      </c>
      <c r="F5082" t="s">
        <v>10542</v>
      </c>
      <c r="G5082" t="s">
        <v>3890</v>
      </c>
      <c r="H5082" t="s">
        <v>7086</v>
      </c>
      <c r="J5082">
        <v>1</v>
      </c>
      <c r="K5082">
        <v>0.98637514452054165</v>
      </c>
      <c r="L5082">
        <v>0.97723979447097742</v>
      </c>
      <c r="M5082">
        <v>1.3660843335542761</v>
      </c>
      <c r="N5082">
        <v>1.3835118739348162</v>
      </c>
      <c r="O5082">
        <v>1.3971337415339518</v>
      </c>
      <c r="P5082">
        <v>1.3969305843117998</v>
      </c>
      <c r="Q5082">
        <v>1.3971645021213579</v>
      </c>
      <c r="R5082">
        <v>1.4048277045120772</v>
      </c>
      <c r="S5082">
        <v>1.4143894535822581</v>
      </c>
      <c r="T5082">
        <v>1.4243078082352829</v>
      </c>
      <c r="U5082">
        <v>1.4348546627755057</v>
      </c>
      <c r="V5082">
        <v>1.4452200959710706</v>
      </c>
      <c r="W5082">
        <v>1.4554033283927301</v>
      </c>
      <c r="X5082">
        <v>1.4654036844595677</v>
      </c>
      <c r="Y5082">
        <v>1.4752205834014356</v>
      </c>
      <c r="Z5082">
        <v>1.4848535303781714</v>
      </c>
      <c r="AA5082">
        <v>1.4943021077665002</v>
      </c>
      <c r="AB5082">
        <v>1.5035659666230312</v>
      </c>
      <c r="AC5082">
        <v>1.5126448183295649</v>
      </c>
      <c r="AD5082">
        <v>1.5215384264248681</v>
      </c>
    </row>
    <row r="5083" spans="2:30" x14ac:dyDescent="0.25">
      <c r="B5083" t="s">
        <v>133</v>
      </c>
      <c r="C5083" t="s">
        <v>3265</v>
      </c>
      <c r="D5083" t="s">
        <v>7194</v>
      </c>
      <c r="E5083" t="s">
        <v>7195</v>
      </c>
      <c r="F5083" t="s">
        <v>10543</v>
      </c>
      <c r="G5083" t="s">
        <v>3890</v>
      </c>
      <c r="H5083" t="s">
        <v>7090</v>
      </c>
      <c r="J5083">
        <v>1</v>
      </c>
      <c r="K5083">
        <v>0.470711993112783</v>
      </c>
      <c r="L5083">
        <v>0.47434382049911833</v>
      </c>
      <c r="M5083">
        <v>0.65551046569928983</v>
      </c>
      <c r="N5083">
        <v>0.67849379118980924</v>
      </c>
      <c r="O5083">
        <v>0.70162179029936533</v>
      </c>
      <c r="P5083">
        <v>0.72464836570597346</v>
      </c>
      <c r="Q5083">
        <v>0.74987979188624376</v>
      </c>
      <c r="R5083">
        <v>0.7768031015727781</v>
      </c>
      <c r="S5083">
        <v>0.80451182861397685</v>
      </c>
      <c r="T5083">
        <v>0.83338050077361325</v>
      </c>
      <c r="U5083">
        <v>0.86352035341647393</v>
      </c>
      <c r="V5083">
        <v>0.89486599141687495</v>
      </c>
      <c r="W5083">
        <v>0.92746714300650412</v>
      </c>
      <c r="X5083">
        <v>0.96137544605570513</v>
      </c>
      <c r="Y5083">
        <v>0.99664452769874778</v>
      </c>
      <c r="Z5083">
        <v>1.0333300620636581</v>
      </c>
      <c r="AA5083">
        <v>1.0714892699287506</v>
      </c>
      <c r="AB5083">
        <v>1.1111827190707138</v>
      </c>
      <c r="AC5083">
        <v>1.1524726590740895</v>
      </c>
      <c r="AD5083">
        <v>1.1954236774053992</v>
      </c>
    </row>
    <row r="5084" spans="2:30" x14ac:dyDescent="0.25">
      <c r="B5084" t="s">
        <v>133</v>
      </c>
      <c r="C5084" t="s">
        <v>3265</v>
      </c>
      <c r="D5084" t="s">
        <v>7197</v>
      </c>
      <c r="E5084" t="s">
        <v>7198</v>
      </c>
      <c r="F5084" t="s">
        <v>10544</v>
      </c>
      <c r="G5084" t="s">
        <v>3890</v>
      </c>
      <c r="H5084" t="s">
        <v>7078</v>
      </c>
      <c r="J5084">
        <v>1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  <c r="W5084" t="e">
        <v>#N/A</v>
      </c>
      <c r="X5084" t="e">
        <v>#N/A</v>
      </c>
      <c r="Y5084" t="e">
        <v>#N/A</v>
      </c>
      <c r="Z5084" t="e">
        <v>#N/A</v>
      </c>
      <c r="AA5084" t="e">
        <v>#N/A</v>
      </c>
      <c r="AB5084" t="e">
        <v>#N/A</v>
      </c>
      <c r="AC5084" t="e">
        <v>#N/A</v>
      </c>
      <c r="AD5084" t="e">
        <v>#N/A</v>
      </c>
    </row>
    <row r="5085" spans="2:30" x14ac:dyDescent="0.25">
      <c r="B5085" t="s">
        <v>133</v>
      </c>
      <c r="C5085" t="s">
        <v>3265</v>
      </c>
      <c r="D5085" t="s">
        <v>7200</v>
      </c>
      <c r="E5085" t="s">
        <v>7201</v>
      </c>
      <c r="F5085" t="s">
        <v>10545</v>
      </c>
      <c r="G5085" t="s">
        <v>3890</v>
      </c>
      <c r="H5085" t="s">
        <v>7082</v>
      </c>
      <c r="J5085">
        <v>1</v>
      </c>
      <c r="K5085">
        <v>1.2327486599412001</v>
      </c>
      <c r="L5085">
        <v>1.1725161299119944</v>
      </c>
      <c r="M5085">
        <v>1.4033438491942496</v>
      </c>
      <c r="N5085">
        <v>1.4308770262397683</v>
      </c>
      <c r="O5085">
        <v>1.3887387896228849</v>
      </c>
      <c r="P5085">
        <v>1.370907789247888</v>
      </c>
      <c r="Q5085">
        <v>1.4054509993396014</v>
      </c>
      <c r="R5085">
        <v>1.4461695706943829</v>
      </c>
      <c r="S5085">
        <v>1.4810098615122791</v>
      </c>
      <c r="T5085">
        <v>1.5170366130452062</v>
      </c>
      <c r="U5085">
        <v>1.555972587375041</v>
      </c>
      <c r="V5085">
        <v>1.6013434190064768</v>
      </c>
      <c r="W5085">
        <v>1.6529827077736425</v>
      </c>
      <c r="X5085">
        <v>1.7129788505549797</v>
      </c>
      <c r="Y5085">
        <v>1.7815906572751365</v>
      </c>
      <c r="Z5085">
        <v>1.8611546506829606</v>
      </c>
      <c r="AA5085">
        <v>1.9534573077171447</v>
      </c>
      <c r="AB5085">
        <v>2.0611593294346604</v>
      </c>
      <c r="AC5085">
        <v>2.1873655562847389</v>
      </c>
      <c r="AD5085">
        <v>2.3139671624881553</v>
      </c>
    </row>
    <row r="5086" spans="2:30" x14ac:dyDescent="0.25">
      <c r="B5086" t="s">
        <v>133</v>
      </c>
      <c r="C5086" t="s">
        <v>3265</v>
      </c>
      <c r="D5086" t="s">
        <v>7203</v>
      </c>
      <c r="E5086" t="s">
        <v>7204</v>
      </c>
      <c r="F5086" t="s">
        <v>10546</v>
      </c>
      <c r="G5086" t="s">
        <v>3890</v>
      </c>
      <c r="H5086" t="s">
        <v>7086</v>
      </c>
      <c r="J5086">
        <v>1</v>
      </c>
      <c r="K5086">
        <v>10.729197716636946</v>
      </c>
      <c r="L5086">
        <v>7.9443465595423444</v>
      </c>
      <c r="M5086">
        <v>8.5778885827199467</v>
      </c>
      <c r="N5086">
        <v>8.8592007681384199</v>
      </c>
      <c r="O5086">
        <v>8.6623948539867364</v>
      </c>
      <c r="P5086">
        <v>8.3876032744290576</v>
      </c>
      <c r="Q5086">
        <v>8.4016882703472966</v>
      </c>
      <c r="R5086">
        <v>8.5727986818170994</v>
      </c>
      <c r="S5086">
        <v>8.7583239594189664</v>
      </c>
      <c r="T5086">
        <v>8.9591839587988513</v>
      </c>
      <c r="U5086">
        <v>9.1891286770979228</v>
      </c>
      <c r="V5086">
        <v>9.4570758205315748</v>
      </c>
      <c r="W5086">
        <v>9.7620426773550797</v>
      </c>
      <c r="X5086">
        <v>10.116362721692957</v>
      </c>
      <c r="Y5086">
        <v>10.521564410871385</v>
      </c>
      <c r="Z5086">
        <v>10.991446579375193</v>
      </c>
      <c r="AA5086">
        <v>11.536559648594526</v>
      </c>
      <c r="AB5086">
        <v>12.172616957300376</v>
      </c>
      <c r="AC5086">
        <v>12.917954804371874</v>
      </c>
      <c r="AD5086">
        <v>13.66562764872004</v>
      </c>
    </row>
    <row r="5087" spans="2:30" x14ac:dyDescent="0.25">
      <c r="B5087" t="s">
        <v>133</v>
      </c>
      <c r="C5087" t="s">
        <v>3265</v>
      </c>
      <c r="D5087" t="s">
        <v>7206</v>
      </c>
      <c r="E5087" t="s">
        <v>7207</v>
      </c>
      <c r="F5087" t="s">
        <v>10547</v>
      </c>
      <c r="G5087" t="s">
        <v>3890</v>
      </c>
      <c r="H5087" t="s">
        <v>7090</v>
      </c>
      <c r="J5087">
        <v>1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  <c r="W5087" t="e">
        <v>#N/A</v>
      </c>
      <c r="X5087" t="e">
        <v>#N/A</v>
      </c>
      <c r="Y5087" t="e">
        <v>#N/A</v>
      </c>
      <c r="Z5087" t="e">
        <v>#N/A</v>
      </c>
      <c r="AA5087" t="e">
        <v>#N/A</v>
      </c>
      <c r="AB5087" t="e">
        <v>#N/A</v>
      </c>
      <c r="AC5087" t="e">
        <v>#N/A</v>
      </c>
      <c r="AD5087" t="e">
        <v>#N/A</v>
      </c>
    </row>
    <row r="5088" spans="2:30" x14ac:dyDescent="0.25">
      <c r="B5088" t="s">
        <v>133</v>
      </c>
      <c r="C5088" t="s">
        <v>3265</v>
      </c>
      <c r="D5088" t="s">
        <v>7209</v>
      </c>
      <c r="E5088" t="s">
        <v>7210</v>
      </c>
      <c r="F5088" t="s">
        <v>10548</v>
      </c>
      <c r="G5088" t="s">
        <v>3890</v>
      </c>
      <c r="H5088" t="s">
        <v>7212</v>
      </c>
      <c r="J5088">
        <v>1</v>
      </c>
      <c r="K5088">
        <v>11.934141046607984</v>
      </c>
      <c r="L5088">
        <v>9.8637486194305826</v>
      </c>
      <c r="M5088">
        <v>9.2724873581166705</v>
      </c>
      <c r="N5088">
        <v>9.3465408993948493</v>
      </c>
      <c r="O5088">
        <v>9.4062629183432183</v>
      </c>
      <c r="P5088">
        <v>9.3010961194615671</v>
      </c>
      <c r="Q5088">
        <v>9.1630512401761948</v>
      </c>
      <c r="R5088">
        <v>9.1104078616575883</v>
      </c>
      <c r="S5088">
        <v>9.0934950928381184</v>
      </c>
      <c r="T5088">
        <v>9.0824195816451176</v>
      </c>
      <c r="U5088">
        <v>9.0786463925315566</v>
      </c>
      <c r="V5088">
        <v>9.0737133676193658</v>
      </c>
      <c r="W5088">
        <v>9.0677982101240708</v>
      </c>
      <c r="X5088">
        <v>9.0606241934607912</v>
      </c>
      <c r="Y5088">
        <v>9.0523401317632786</v>
      </c>
      <c r="Z5088">
        <v>9.0427317499168307</v>
      </c>
      <c r="AA5088">
        <v>9.0317683073067272</v>
      </c>
      <c r="AB5088">
        <v>9.019349859661407</v>
      </c>
      <c r="AC5088">
        <v>9.005413893379604</v>
      </c>
      <c r="AD5088">
        <v>8.9927822514617102</v>
      </c>
    </row>
    <row r="5089" spans="2:30" x14ac:dyDescent="0.25">
      <c r="B5089" t="s">
        <v>133</v>
      </c>
      <c r="C5089" t="s">
        <v>3265</v>
      </c>
      <c r="D5089" t="s">
        <v>7213</v>
      </c>
      <c r="E5089" t="s">
        <v>7214</v>
      </c>
      <c r="F5089" t="s">
        <v>10549</v>
      </c>
      <c r="G5089" t="s">
        <v>3890</v>
      </c>
      <c r="H5089" t="s">
        <v>5985</v>
      </c>
      <c r="J5089">
        <v>1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  <c r="W5089" t="e">
        <v>#N/A</v>
      </c>
      <c r="X5089" t="e">
        <v>#N/A</v>
      </c>
      <c r="Y5089" t="e">
        <v>#N/A</v>
      </c>
      <c r="Z5089" t="e">
        <v>#N/A</v>
      </c>
      <c r="AA5089" t="e">
        <v>#N/A</v>
      </c>
      <c r="AB5089" t="e">
        <v>#N/A</v>
      </c>
      <c r="AC5089" t="e">
        <v>#N/A</v>
      </c>
      <c r="AD5089" t="e">
        <v>#N/A</v>
      </c>
    </row>
    <row r="5090" spans="2:30" x14ac:dyDescent="0.25">
      <c r="B5090" t="s">
        <v>133</v>
      </c>
      <c r="C5090" t="s">
        <v>3265</v>
      </c>
      <c r="D5090" t="s">
        <v>7216</v>
      </c>
      <c r="E5090" t="s">
        <v>7217</v>
      </c>
      <c r="F5090" t="s">
        <v>10550</v>
      </c>
      <c r="G5090" t="s">
        <v>3890</v>
      </c>
      <c r="H5090" t="s">
        <v>4476</v>
      </c>
      <c r="J5090">
        <v>1</v>
      </c>
      <c r="K5090">
        <v>0.12645947806431773</v>
      </c>
      <c r="L5090">
        <v>0.12756710262967647</v>
      </c>
      <c r="M5090">
        <v>0.14360046605128196</v>
      </c>
      <c r="N5090">
        <v>0.14292007580549382</v>
      </c>
      <c r="O5090">
        <v>0.14706932627781147</v>
      </c>
      <c r="P5090">
        <v>0.14836247705827427</v>
      </c>
      <c r="Q5090">
        <v>0.14568220931156309</v>
      </c>
      <c r="R5090">
        <v>0.14330571498619898</v>
      </c>
      <c r="S5090">
        <v>0.14167832621971377</v>
      </c>
      <c r="T5090">
        <v>0.14011321800855736</v>
      </c>
      <c r="U5090">
        <v>0.13852029571623406</v>
      </c>
      <c r="V5090">
        <v>0.13665851502508181</v>
      </c>
      <c r="W5090">
        <v>0.13457893768310827</v>
      </c>
      <c r="X5090">
        <v>0.13221143461145649</v>
      </c>
      <c r="Y5090">
        <v>0.12959839499343714</v>
      </c>
      <c r="Z5090">
        <v>0.12668584634613109</v>
      </c>
      <c r="AA5090">
        <v>0.12346789159471433</v>
      </c>
      <c r="AB5090">
        <v>0.11992002605446374</v>
      </c>
      <c r="AC5090">
        <v>0.11602698648889921</v>
      </c>
      <c r="AD5090">
        <v>0.11252283573597721</v>
      </c>
    </row>
    <row r="5091" spans="2:30" x14ac:dyDescent="0.25">
      <c r="B5091" t="s">
        <v>133</v>
      </c>
      <c r="C5091" t="s">
        <v>3265</v>
      </c>
      <c r="D5091" t="s">
        <v>7219</v>
      </c>
      <c r="E5091" t="s">
        <v>7220</v>
      </c>
      <c r="F5091" t="s">
        <v>10551</v>
      </c>
      <c r="G5091" t="s">
        <v>3890</v>
      </c>
      <c r="H5091" t="s">
        <v>7078</v>
      </c>
      <c r="J5091">
        <v>1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  <c r="W5091" t="e">
        <v>#N/A</v>
      </c>
      <c r="X5091" t="e">
        <v>#N/A</v>
      </c>
      <c r="Y5091" t="e">
        <v>#N/A</v>
      </c>
      <c r="Z5091" t="e">
        <v>#N/A</v>
      </c>
      <c r="AA5091" t="e">
        <v>#N/A</v>
      </c>
      <c r="AB5091" t="e">
        <v>#N/A</v>
      </c>
      <c r="AC5091" t="e">
        <v>#N/A</v>
      </c>
      <c r="AD5091" t="e">
        <v>#N/A</v>
      </c>
    </row>
    <row r="5092" spans="2:30" x14ac:dyDescent="0.25">
      <c r="B5092" t="s">
        <v>133</v>
      </c>
      <c r="C5092" t="s">
        <v>3265</v>
      </c>
      <c r="D5092" t="s">
        <v>7222</v>
      </c>
      <c r="E5092" t="s">
        <v>7223</v>
      </c>
      <c r="F5092" t="s">
        <v>10552</v>
      </c>
      <c r="G5092" t="s">
        <v>3890</v>
      </c>
      <c r="H5092" t="s">
        <v>7160</v>
      </c>
      <c r="J5092">
        <v>1</v>
      </c>
      <c r="K5092">
        <v>3.5338787520243979</v>
      </c>
      <c r="L5092">
        <v>3.2202762590871252</v>
      </c>
      <c r="M5092">
        <v>3.1807655278177687</v>
      </c>
      <c r="N5092">
        <v>3.1896711232318111</v>
      </c>
      <c r="O5092">
        <v>3.2171794636645696</v>
      </c>
      <c r="P5092">
        <v>3.2410734049238012</v>
      </c>
      <c r="Q5092">
        <v>3.2527626251331769</v>
      </c>
      <c r="R5092">
        <v>3.2614632733527991</v>
      </c>
      <c r="S5092">
        <v>3.2703503611610603</v>
      </c>
      <c r="T5092">
        <v>3.2788440279639213</v>
      </c>
      <c r="U5092">
        <v>3.2865443563562202</v>
      </c>
      <c r="V5092">
        <v>3.2925257848614029</v>
      </c>
      <c r="W5092">
        <v>3.2969296818585874</v>
      </c>
      <c r="X5092">
        <v>3.2993301879223651</v>
      </c>
      <c r="Y5092">
        <v>3.2998361238347442</v>
      </c>
      <c r="Z5092">
        <v>3.2980877248784335</v>
      </c>
      <c r="AA5092">
        <v>3.2939571554826528</v>
      </c>
      <c r="AB5092">
        <v>3.2872210072083647</v>
      </c>
      <c r="AC5092">
        <v>3.2777021501875101</v>
      </c>
      <c r="AD5092">
        <v>3.2693199509388364</v>
      </c>
    </row>
    <row r="5093" spans="2:30" x14ac:dyDescent="0.25">
      <c r="B5093" t="s">
        <v>133</v>
      </c>
      <c r="C5093" t="s">
        <v>3265</v>
      </c>
      <c r="D5093" t="s">
        <v>7225</v>
      </c>
      <c r="E5093" t="s">
        <v>7226</v>
      </c>
      <c r="F5093" t="s">
        <v>10553</v>
      </c>
      <c r="G5093" t="s">
        <v>3890</v>
      </c>
      <c r="H5093" t="s">
        <v>7082</v>
      </c>
      <c r="J5093">
        <v>1</v>
      </c>
      <c r="K5093">
        <v>2.07346120236E-2</v>
      </c>
      <c r="L5093">
        <v>2.0285868083065432E-2</v>
      </c>
      <c r="M5093">
        <v>1.9772134898585956E-2</v>
      </c>
      <c r="N5093">
        <v>1.9035859948046196E-2</v>
      </c>
      <c r="O5093">
        <v>1.9422578874019748E-2</v>
      </c>
      <c r="P5093">
        <v>2.1329279644178134E-2</v>
      </c>
      <c r="Q5093">
        <v>2.3413355304330353E-2</v>
      </c>
      <c r="R5093">
        <v>2.56832923996635E-2</v>
      </c>
      <c r="S5093">
        <v>2.8390849605552115E-2</v>
      </c>
      <c r="T5093">
        <v>3.1593743302303239E-2</v>
      </c>
      <c r="U5093">
        <v>3.5067931022397698E-2</v>
      </c>
      <c r="V5093">
        <v>3.8798021648496821E-2</v>
      </c>
      <c r="W5093">
        <v>4.2764568414669933E-2</v>
      </c>
      <c r="X5093">
        <v>4.6948278559746537E-2</v>
      </c>
      <c r="Y5093">
        <v>5.1323133560418496E-2</v>
      </c>
      <c r="Z5093">
        <v>5.5929757309189351E-2</v>
      </c>
      <c r="AA5093">
        <v>6.0763071791670398E-2</v>
      </c>
      <c r="AB5093">
        <v>6.5817840962198546E-2</v>
      </c>
      <c r="AC5093">
        <v>7.1091234429457167E-2</v>
      </c>
      <c r="AD5093">
        <v>7.6489276972337109E-2</v>
      </c>
    </row>
    <row r="5094" spans="2:30" x14ac:dyDescent="0.25">
      <c r="B5094" t="s">
        <v>133</v>
      </c>
      <c r="C5094" t="s">
        <v>3265</v>
      </c>
      <c r="D5094" t="s">
        <v>7228</v>
      </c>
      <c r="E5094" t="s">
        <v>7229</v>
      </c>
      <c r="F5094" t="s">
        <v>10554</v>
      </c>
      <c r="G5094" t="s">
        <v>3890</v>
      </c>
      <c r="H5094" t="s">
        <v>7086</v>
      </c>
      <c r="J5094">
        <v>1</v>
      </c>
      <c r="K5094">
        <v>0.17417617957466655</v>
      </c>
      <c r="L5094">
        <v>0.1347686039154187</v>
      </c>
      <c r="M5094">
        <v>0.12044634579333083</v>
      </c>
      <c r="N5094">
        <v>0.11720131077739812</v>
      </c>
      <c r="O5094">
        <v>0.12020796155638667</v>
      </c>
      <c r="P5094">
        <v>0.1292559191284475</v>
      </c>
      <c r="Q5094">
        <v>0.13837968729514075</v>
      </c>
      <c r="R5094">
        <v>0.15022015409086134</v>
      </c>
      <c r="S5094">
        <v>0.16532402630840648</v>
      </c>
      <c r="T5094">
        <v>0.18335667627852612</v>
      </c>
      <c r="U5094">
        <v>0.20311703467928596</v>
      </c>
      <c r="V5094">
        <v>0.22429864098986446</v>
      </c>
      <c r="W5094">
        <v>0.24678870198907485</v>
      </c>
      <c r="X5094">
        <v>0.27048283583661592</v>
      </c>
      <c r="Y5094">
        <v>0.29523653150575885</v>
      </c>
      <c r="Z5094">
        <v>0.32129654614808223</v>
      </c>
      <c r="AA5094">
        <v>0.34864703094533323</v>
      </c>
      <c r="AB5094">
        <v>0.37727634518558401</v>
      </c>
      <c r="AC5094">
        <v>0.40719009827962394</v>
      </c>
      <c r="AD5094">
        <v>0.43778349314542381</v>
      </c>
    </row>
    <row r="5095" spans="2:30" x14ac:dyDescent="0.25">
      <c r="B5095" t="s">
        <v>133</v>
      </c>
      <c r="C5095" t="s">
        <v>3265</v>
      </c>
      <c r="D5095" t="s">
        <v>7231</v>
      </c>
      <c r="E5095" t="s">
        <v>7232</v>
      </c>
      <c r="F5095" t="s">
        <v>10555</v>
      </c>
      <c r="G5095" t="s">
        <v>3890</v>
      </c>
      <c r="H5095" t="s">
        <v>7090</v>
      </c>
      <c r="J5095">
        <v>1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  <c r="W5095" t="e">
        <v>#N/A</v>
      </c>
      <c r="X5095" t="e">
        <v>#N/A</v>
      </c>
      <c r="Y5095" t="e">
        <v>#N/A</v>
      </c>
      <c r="Z5095" t="e">
        <v>#N/A</v>
      </c>
      <c r="AA5095" t="e">
        <v>#N/A</v>
      </c>
      <c r="AB5095" t="e">
        <v>#N/A</v>
      </c>
      <c r="AC5095" t="e">
        <v>#N/A</v>
      </c>
      <c r="AD5095" t="e">
        <v>#N/A</v>
      </c>
    </row>
    <row r="5096" spans="2:30" x14ac:dyDescent="0.25">
      <c r="B5096" t="s">
        <v>133</v>
      </c>
      <c r="C5096" t="s">
        <v>3265</v>
      </c>
      <c r="D5096" t="s">
        <v>7234</v>
      </c>
      <c r="E5096" t="s">
        <v>7235</v>
      </c>
      <c r="F5096" t="s">
        <v>10556</v>
      </c>
      <c r="G5096" t="s">
        <v>3890</v>
      </c>
      <c r="H5096" t="s">
        <v>7078</v>
      </c>
      <c r="J5096">
        <v>1</v>
      </c>
      <c r="K5096">
        <v>16.392425627687448</v>
      </c>
      <c r="L5096">
        <v>14.09367816856089</v>
      </c>
      <c r="M5096">
        <v>13.279229897014005</v>
      </c>
      <c r="N5096">
        <v>12.815553445419873</v>
      </c>
      <c r="O5096">
        <v>13.071104167426984</v>
      </c>
      <c r="P5096">
        <v>13.372618758096797</v>
      </c>
      <c r="Q5096">
        <v>13.603200778249683</v>
      </c>
      <c r="R5096">
        <v>13.842164534380075</v>
      </c>
      <c r="S5096">
        <v>14.089843480191085</v>
      </c>
      <c r="T5096">
        <v>14.349665525737496</v>
      </c>
      <c r="U5096">
        <v>14.649817845737497</v>
      </c>
      <c r="V5096">
        <v>14.961976258537497</v>
      </c>
      <c r="W5096">
        <v>15.286621007849497</v>
      </c>
      <c r="X5096">
        <v>15.624251547133976</v>
      </c>
      <c r="Y5096">
        <v>15.975387307989836</v>
      </c>
      <c r="Z5096">
        <v>16.340568499279929</v>
      </c>
      <c r="AA5096">
        <v>16.720356938221627</v>
      </c>
      <c r="AB5096">
        <v>17.115336914720992</v>
      </c>
      <c r="AC5096">
        <v>17.526116090280333</v>
      </c>
      <c r="AD5096">
        <v>17.953326432862045</v>
      </c>
    </row>
    <row r="5097" spans="2:30" x14ac:dyDescent="0.25">
      <c r="B5097" t="s">
        <v>133</v>
      </c>
      <c r="C5097" t="s">
        <v>3265</v>
      </c>
      <c r="D5097" t="s">
        <v>7237</v>
      </c>
      <c r="E5097" t="s">
        <v>7238</v>
      </c>
      <c r="F5097" t="s">
        <v>10557</v>
      </c>
      <c r="G5097" t="s">
        <v>3890</v>
      </c>
      <c r="H5097" t="s">
        <v>7082</v>
      </c>
      <c r="J5097">
        <v>1</v>
      </c>
      <c r="K5097">
        <v>6.9059390313599991E-2</v>
      </c>
      <c r="L5097">
        <v>6.4623086170915042E-2</v>
      </c>
      <c r="M5097">
        <v>7.6825636347470722E-2</v>
      </c>
      <c r="N5097">
        <v>8.2613612343509196E-2</v>
      </c>
      <c r="O5097">
        <v>8.393965360857171E-2</v>
      </c>
      <c r="P5097">
        <v>8.5261902309808402E-2</v>
      </c>
      <c r="Q5097">
        <v>8.7450641271725596E-2</v>
      </c>
      <c r="R5097">
        <v>8.9554234089705073E-2</v>
      </c>
      <c r="S5097">
        <v>9.1536842493587303E-2</v>
      </c>
      <c r="T5097">
        <v>9.3520080623973406E-2</v>
      </c>
      <c r="U5097">
        <v>9.5290608477598807E-2</v>
      </c>
      <c r="V5097">
        <v>9.7065604041481776E-2</v>
      </c>
      <c r="W5097">
        <v>9.8844561385924623E-2</v>
      </c>
      <c r="X5097">
        <v>0.10062697903987067</v>
      </c>
      <c r="Y5097">
        <v>0.10241235956622304</v>
      </c>
      <c r="Z5097">
        <v>0.10420020909157315</v>
      </c>
      <c r="AA5097">
        <v>0.10599003679268053</v>
      </c>
      <c r="AB5097">
        <v>0.10778135434189404</v>
      </c>
      <c r="AC5097">
        <v>0.10957367531355508</v>
      </c>
      <c r="AD5097">
        <v>0.11136651455327028</v>
      </c>
    </row>
    <row r="5098" spans="2:30" x14ac:dyDescent="0.25">
      <c r="B5098" t="s">
        <v>133</v>
      </c>
      <c r="C5098" t="s">
        <v>3265</v>
      </c>
      <c r="D5098" t="s">
        <v>7240</v>
      </c>
      <c r="E5098" t="s">
        <v>7241</v>
      </c>
      <c r="F5098" t="s">
        <v>10558</v>
      </c>
      <c r="G5098" t="s">
        <v>3890</v>
      </c>
      <c r="H5098" t="s">
        <v>7086</v>
      </c>
      <c r="J5098">
        <v>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</row>
    <row r="5099" spans="2:30" x14ac:dyDescent="0.25">
      <c r="B5099" t="s">
        <v>133</v>
      </c>
      <c r="C5099" t="s">
        <v>3265</v>
      </c>
      <c r="D5099" t="s">
        <v>7243</v>
      </c>
      <c r="E5099" t="s">
        <v>7244</v>
      </c>
      <c r="F5099" t="s">
        <v>10559</v>
      </c>
      <c r="G5099" t="s">
        <v>3890</v>
      </c>
      <c r="H5099" t="s">
        <v>7090</v>
      </c>
      <c r="J5099">
        <v>1</v>
      </c>
      <c r="K5099">
        <v>0.34021994136974787</v>
      </c>
      <c r="L5099">
        <v>0.34014458604652181</v>
      </c>
      <c r="M5099">
        <v>0.42512733391564467</v>
      </c>
      <c r="N5099">
        <v>0.47599948329893271</v>
      </c>
      <c r="O5099">
        <v>0.50355153259611019</v>
      </c>
      <c r="P5099">
        <v>0.53251805901937221</v>
      </c>
      <c r="Q5099">
        <v>0.56862554817310806</v>
      </c>
      <c r="R5099">
        <v>0.60619976845002654</v>
      </c>
      <c r="S5099">
        <v>0.64502238112349075</v>
      </c>
      <c r="T5099">
        <v>0.685988085810048</v>
      </c>
      <c r="U5099">
        <v>0.72757695117647525</v>
      </c>
      <c r="V5099">
        <v>0.77142950479440542</v>
      </c>
      <c r="W5099">
        <v>0.81765714744337969</v>
      </c>
      <c r="X5099">
        <v>0.86637631680436056</v>
      </c>
      <c r="Y5099">
        <v>0.91770869508105413</v>
      </c>
      <c r="Z5099">
        <v>0.97178142349477992</v>
      </c>
      <c r="AA5099">
        <v>1.0287273237182966</v>
      </c>
      <c r="AB5099">
        <v>1.0886851262959711</v>
      </c>
      <c r="AC5099">
        <v>1.1517997060771119</v>
      </c>
      <c r="AD5099">
        <v>1.2182223246658683</v>
      </c>
    </row>
    <row r="5100" spans="2:30" x14ac:dyDescent="0.25">
      <c r="B5100" t="s">
        <v>133</v>
      </c>
      <c r="C5100" t="s">
        <v>3265</v>
      </c>
      <c r="D5100" t="s">
        <v>7246</v>
      </c>
      <c r="E5100" t="s">
        <v>7247</v>
      </c>
      <c r="F5100" t="s">
        <v>10560</v>
      </c>
      <c r="G5100" t="s">
        <v>3890</v>
      </c>
      <c r="H5100" t="s">
        <v>4476</v>
      </c>
      <c r="J5100">
        <v>1</v>
      </c>
      <c r="K5100">
        <v>0.14000000000000001</v>
      </c>
      <c r="L5100">
        <v>0.14000000000000001</v>
      </c>
      <c r="M5100">
        <v>0.14000000000000001</v>
      </c>
      <c r="N5100">
        <v>0.14000000000000001</v>
      </c>
      <c r="O5100">
        <v>0.14000000000000001</v>
      </c>
      <c r="P5100">
        <v>0.14000000000000001</v>
      </c>
      <c r="Q5100">
        <v>0.14000000000000001</v>
      </c>
      <c r="R5100">
        <v>0.14000000000000001</v>
      </c>
      <c r="S5100">
        <v>0.14000000000000001</v>
      </c>
      <c r="T5100">
        <v>0.14000000000000001</v>
      </c>
      <c r="U5100">
        <v>0.14000000000000001</v>
      </c>
      <c r="V5100">
        <v>0.14000000000000001</v>
      </c>
      <c r="W5100">
        <v>0.14000000000000001</v>
      </c>
      <c r="X5100">
        <v>0.14000000000000001</v>
      </c>
      <c r="Y5100">
        <v>0.14000000000000001</v>
      </c>
      <c r="Z5100">
        <v>0.14000000000000001</v>
      </c>
      <c r="AA5100">
        <v>0.14000000000000001</v>
      </c>
      <c r="AB5100">
        <v>0.14000000000000001</v>
      </c>
      <c r="AC5100">
        <v>0.14000000000000001</v>
      </c>
      <c r="AD5100">
        <v>0.14000000000000001</v>
      </c>
    </row>
    <row r="5101" spans="2:30" x14ac:dyDescent="0.25">
      <c r="B5101" t="s">
        <v>133</v>
      </c>
      <c r="C5101" t="s">
        <v>3265</v>
      </c>
      <c r="D5101" t="s">
        <v>7249</v>
      </c>
      <c r="E5101" t="s">
        <v>7250</v>
      </c>
      <c r="F5101" t="s">
        <v>10561</v>
      </c>
      <c r="G5101" t="s">
        <v>3890</v>
      </c>
      <c r="H5101" t="s">
        <v>7078</v>
      </c>
      <c r="J5101">
        <v>1</v>
      </c>
      <c r="K5101">
        <v>29.198994529643425</v>
      </c>
      <c r="L5101">
        <v>21.901513365214228</v>
      </c>
      <c r="M5101">
        <v>21.243362771297214</v>
      </c>
      <c r="N5101">
        <v>20.412162853462071</v>
      </c>
      <c r="O5101">
        <v>20.711511621360181</v>
      </c>
      <c r="P5101">
        <v>21.079215049380998</v>
      </c>
      <c r="Q5101">
        <v>21.330709657393001</v>
      </c>
      <c r="R5101">
        <v>21.590936560857443</v>
      </c>
      <c r="S5101">
        <v>21.86024218737267</v>
      </c>
      <c r="T5101">
        <v>22.1438471095036</v>
      </c>
      <c r="U5101">
        <v>22.486020754303599</v>
      </c>
      <c r="V5101">
        <v>22.841881344895601</v>
      </c>
      <c r="W5101">
        <v>23.211976359111283</v>
      </c>
      <c r="X5101">
        <v>23.596875173895587</v>
      </c>
      <c r="Y5101">
        <v>23.997169941271267</v>
      </c>
      <c r="Z5101">
        <v>24.413476499341975</v>
      </c>
      <c r="AA5101">
        <v>24.846435319735509</v>
      </c>
      <c r="AB5101">
        <v>25.296712492944785</v>
      </c>
      <c r="AC5101">
        <v>25.765000753082433</v>
      </c>
      <c r="AD5101">
        <v>26.252020543625587</v>
      </c>
    </row>
    <row r="5102" spans="2:30" x14ac:dyDescent="0.25">
      <c r="B5102" t="s">
        <v>133</v>
      </c>
      <c r="C5102" t="s">
        <v>3265</v>
      </c>
      <c r="D5102" t="s">
        <v>7252</v>
      </c>
      <c r="E5102" t="s">
        <v>7253</v>
      </c>
      <c r="F5102" t="s">
        <v>10562</v>
      </c>
      <c r="G5102" t="s">
        <v>3890</v>
      </c>
      <c r="H5102" t="s">
        <v>7082</v>
      </c>
      <c r="J5102">
        <v>1</v>
      </c>
      <c r="K5102">
        <v>6.858397079999999E-5</v>
      </c>
      <c r="L5102">
        <v>6.8580036717958112E-5</v>
      </c>
      <c r="M5102">
        <v>7.8460671290462932E-5</v>
      </c>
      <c r="N5102">
        <v>8.2832906860848496E-5</v>
      </c>
      <c r="O5102">
        <v>8.3484336923178609E-5</v>
      </c>
      <c r="P5102">
        <v>8.4071957938455815E-5</v>
      </c>
      <c r="Q5102">
        <v>8.5280257200442635E-5</v>
      </c>
      <c r="R5102">
        <v>8.6427028704826199E-5</v>
      </c>
      <c r="S5102">
        <v>8.7493938512133836E-5</v>
      </c>
      <c r="T5102">
        <v>8.8547866882130361E-5</v>
      </c>
      <c r="U5102">
        <v>8.9424957569430083E-5</v>
      </c>
      <c r="V5102">
        <v>9.0294521793758361E-5</v>
      </c>
      <c r="W5102">
        <v>9.1156439839580711E-5</v>
      </c>
      <c r="X5102">
        <v>9.201059765179075E-5</v>
      </c>
      <c r="Y5102">
        <v>9.2856886343157879E-5</v>
      </c>
      <c r="Z5102">
        <v>9.3695201703777883E-5</v>
      </c>
      <c r="AA5102">
        <v>9.4525443713318116E-5</v>
      </c>
      <c r="AB5102">
        <v>9.5347516056705107E-5</v>
      </c>
      <c r="AC5102">
        <v>9.6161325643775688E-5</v>
      </c>
      <c r="AD5102">
        <v>9.696678213329031E-5</v>
      </c>
    </row>
    <row r="5103" spans="2:30" x14ac:dyDescent="0.25">
      <c r="B5103" t="s">
        <v>133</v>
      </c>
      <c r="C5103" t="s">
        <v>3265</v>
      </c>
      <c r="D5103" t="s">
        <v>7255</v>
      </c>
      <c r="E5103" t="s">
        <v>7256</v>
      </c>
      <c r="F5103" t="s">
        <v>10563</v>
      </c>
      <c r="G5103" t="s">
        <v>3890</v>
      </c>
      <c r="H5103" t="s">
        <v>7086</v>
      </c>
      <c r="J5103">
        <v>1</v>
      </c>
      <c r="K5103">
        <v>1.029092562136108E-3</v>
      </c>
      <c r="L5103">
        <v>5.9793586442043016E-4</v>
      </c>
      <c r="M5103">
        <v>6.1554340106525726E-4</v>
      </c>
      <c r="N5103">
        <v>5.7055586813039118E-4</v>
      </c>
      <c r="O5103">
        <v>5.7716109671923838E-4</v>
      </c>
      <c r="P5103">
        <v>5.8759987403493325E-4</v>
      </c>
      <c r="Q5103">
        <v>5.9297811692145632E-4</v>
      </c>
      <c r="R5103">
        <v>5.9761888097207064E-4</v>
      </c>
      <c r="S5103">
        <v>6.0138498084958867E-4</v>
      </c>
      <c r="T5103">
        <v>6.05102085304453E-4</v>
      </c>
      <c r="U5103">
        <v>6.1109578591604034E-4</v>
      </c>
      <c r="V5103">
        <v>6.1703805357278248E-4</v>
      </c>
      <c r="W5103">
        <v>6.2292807018473424E-4</v>
      </c>
      <c r="X5103">
        <v>6.2876505634314043E-4</v>
      </c>
      <c r="Y5103">
        <v>6.3454826795452226E-4</v>
      </c>
      <c r="Z5103">
        <v>6.4027699288845142E-4</v>
      </c>
      <c r="AA5103">
        <v>6.4595054764442206E-4</v>
      </c>
      <c r="AB5103">
        <v>6.5156827404224424E-4</v>
      </c>
      <c r="AC5103">
        <v>6.5712953593952594E-4</v>
      </c>
      <c r="AD5103">
        <v>6.6263371597896224E-4</v>
      </c>
    </row>
    <row r="5104" spans="2:30" x14ac:dyDescent="0.25">
      <c r="B5104" t="s">
        <v>133</v>
      </c>
      <c r="C5104" t="s">
        <v>3265</v>
      </c>
      <c r="D5104" t="s">
        <v>7258</v>
      </c>
      <c r="E5104" t="s">
        <v>7259</v>
      </c>
      <c r="F5104" t="s">
        <v>10564</v>
      </c>
      <c r="G5104" t="s">
        <v>3890</v>
      </c>
      <c r="H5104" t="s">
        <v>7090</v>
      </c>
      <c r="J5104">
        <v>1</v>
      </c>
      <c r="K5104">
        <v>6.0751114835123953E-4</v>
      </c>
      <c r="L5104">
        <v>5.6047847968498791E-4</v>
      </c>
      <c r="M5104">
        <v>6.5209537887577244E-4</v>
      </c>
      <c r="N5104">
        <v>6.9887161434231172E-4</v>
      </c>
      <c r="O5104">
        <v>7.2724058854602906E-4</v>
      </c>
      <c r="P5104">
        <v>7.5689664758464548E-4</v>
      </c>
      <c r="Q5104">
        <v>7.9228930674950313E-4</v>
      </c>
      <c r="R5104">
        <v>8.2876699989524786E-4</v>
      </c>
      <c r="S5104">
        <v>8.6617171779514038E-4</v>
      </c>
      <c r="T5104">
        <v>9.0524501615225786E-4</v>
      </c>
      <c r="U5104">
        <v>9.4481057773534863E-4</v>
      </c>
      <c r="V5104">
        <v>9.8613013471795814E-4</v>
      </c>
      <c r="W5104">
        <v>1.0292799114653371E-3</v>
      </c>
      <c r="X5104">
        <v>1.0743392823009627E-3</v>
      </c>
      <c r="Y5104">
        <v>1.1213908913317908E-3</v>
      </c>
      <c r="Z5104">
        <v>1.1705207761759039E-3</v>
      </c>
      <c r="AA5104">
        <v>1.2218184956583791E-3</v>
      </c>
      <c r="AB5104">
        <v>1.2753772615354628E-3</v>
      </c>
      <c r="AC5104">
        <v>1.331294074300605E-3</v>
      </c>
      <c r="AD5104">
        <v>1.3896698631183342E-3</v>
      </c>
    </row>
    <row r="5105" spans="2:30" x14ac:dyDescent="0.25">
      <c r="B5105" t="s">
        <v>133</v>
      </c>
      <c r="C5105" t="s">
        <v>3265</v>
      </c>
      <c r="D5105" t="s">
        <v>7261</v>
      </c>
      <c r="E5105" t="s">
        <v>7262</v>
      </c>
      <c r="F5105" t="s">
        <v>10565</v>
      </c>
      <c r="G5105" t="s">
        <v>3890</v>
      </c>
      <c r="H5105" t="s">
        <v>7078</v>
      </c>
      <c r="J5105">
        <v>1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  <c r="W5105" t="e">
        <v>#N/A</v>
      </c>
      <c r="X5105" t="e">
        <v>#N/A</v>
      </c>
      <c r="Y5105" t="e">
        <v>#N/A</v>
      </c>
      <c r="Z5105" t="e">
        <v>#N/A</v>
      </c>
      <c r="AA5105" t="e">
        <v>#N/A</v>
      </c>
      <c r="AB5105" t="e">
        <v>#N/A</v>
      </c>
      <c r="AC5105" t="e">
        <v>#N/A</v>
      </c>
      <c r="AD5105" t="e">
        <v>#N/A</v>
      </c>
    </row>
    <row r="5106" spans="2:30" x14ac:dyDescent="0.25">
      <c r="B5106" t="s">
        <v>133</v>
      </c>
      <c r="C5106" t="s">
        <v>3265</v>
      </c>
      <c r="D5106" t="s">
        <v>7264</v>
      </c>
      <c r="E5106" t="s">
        <v>7265</v>
      </c>
      <c r="F5106" t="s">
        <v>10566</v>
      </c>
      <c r="G5106" t="s">
        <v>3890</v>
      </c>
      <c r="H5106" t="s">
        <v>7082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</row>
    <row r="5107" spans="2:30" x14ac:dyDescent="0.25">
      <c r="B5107" t="s">
        <v>133</v>
      </c>
      <c r="C5107" t="s">
        <v>3265</v>
      </c>
      <c r="D5107" t="s">
        <v>7267</v>
      </c>
      <c r="E5107" t="s">
        <v>7268</v>
      </c>
      <c r="F5107" t="s">
        <v>10567</v>
      </c>
      <c r="G5107" t="s">
        <v>3890</v>
      </c>
      <c r="H5107" t="s">
        <v>7086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</row>
    <row r="5108" spans="2:30" x14ac:dyDescent="0.25">
      <c r="B5108" t="s">
        <v>133</v>
      </c>
      <c r="C5108" t="s">
        <v>3265</v>
      </c>
      <c r="D5108" t="s">
        <v>7270</v>
      </c>
      <c r="E5108" t="s">
        <v>7271</v>
      </c>
      <c r="F5108" t="s">
        <v>10568</v>
      </c>
      <c r="G5108" t="s">
        <v>3890</v>
      </c>
      <c r="H5108" t="s">
        <v>7090</v>
      </c>
      <c r="J5108">
        <v>1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  <c r="W5108" t="e">
        <v>#N/A</v>
      </c>
      <c r="X5108" t="e">
        <v>#N/A</v>
      </c>
      <c r="Y5108" t="e">
        <v>#N/A</v>
      </c>
      <c r="Z5108" t="e">
        <v>#N/A</v>
      </c>
      <c r="AA5108" t="e">
        <v>#N/A</v>
      </c>
      <c r="AB5108" t="e">
        <v>#N/A</v>
      </c>
      <c r="AC5108" t="e">
        <v>#N/A</v>
      </c>
      <c r="AD5108" t="e">
        <v>#N/A</v>
      </c>
    </row>
    <row r="5109" spans="2:30" x14ac:dyDescent="0.25">
      <c r="B5109" t="s">
        <v>133</v>
      </c>
      <c r="C5109" t="s">
        <v>3265</v>
      </c>
      <c r="D5109" t="s">
        <v>7273</v>
      </c>
      <c r="E5109" t="s">
        <v>7274</v>
      </c>
      <c r="F5109" t="s">
        <v>10569</v>
      </c>
      <c r="G5109" t="s">
        <v>3890</v>
      </c>
      <c r="H5109" t="s">
        <v>7212</v>
      </c>
      <c r="J5109">
        <v>1</v>
      </c>
      <c r="K5109">
        <v>11.129497825391994</v>
      </c>
      <c r="L5109">
        <v>8.6161449725182102</v>
      </c>
      <c r="M5109">
        <v>7.5824162235258123</v>
      </c>
      <c r="N5109">
        <v>6.8902832363207906</v>
      </c>
      <c r="O5109">
        <v>6.9085851728340364</v>
      </c>
      <c r="P5109">
        <v>6.9633737531537587</v>
      </c>
      <c r="Q5109">
        <v>6.9373191142644348</v>
      </c>
      <c r="R5109">
        <v>6.9093867428146023</v>
      </c>
      <c r="S5109">
        <v>6.8795000210555131</v>
      </c>
      <c r="T5109">
        <v>6.8506579307463058</v>
      </c>
      <c r="U5109">
        <v>6.8506154435009314</v>
      </c>
      <c r="V5109">
        <v>6.8505738959570159</v>
      </c>
      <c r="W5109">
        <v>6.8505332609071869</v>
      </c>
      <c r="X5109">
        <v>6.8504935121037445</v>
      </c>
      <c r="Y5109">
        <v>6.8504546242323965</v>
      </c>
      <c r="Z5109">
        <v>6.85041657288635</v>
      </c>
      <c r="AA5109">
        <v>6.8503793345408033</v>
      </c>
      <c r="AB5109">
        <v>6.850342886527887</v>
      </c>
      <c r="AC5109">
        <v>6.8503072070121291</v>
      </c>
      <c r="AD5109">
        <v>6.8502722749664349</v>
      </c>
    </row>
    <row r="5110" spans="2:30" x14ac:dyDescent="0.25">
      <c r="B5110" t="s">
        <v>133</v>
      </c>
      <c r="C5110" t="s">
        <v>3265</v>
      </c>
      <c r="D5110" t="s">
        <v>7276</v>
      </c>
      <c r="E5110" t="s">
        <v>7277</v>
      </c>
      <c r="F5110" t="s">
        <v>10570</v>
      </c>
      <c r="G5110" t="s">
        <v>3890</v>
      </c>
      <c r="H5110" t="s">
        <v>5985</v>
      </c>
      <c r="J5110">
        <v>1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  <c r="W5110" t="e">
        <v>#N/A</v>
      </c>
      <c r="X5110" t="e">
        <v>#N/A</v>
      </c>
      <c r="Y5110" t="e">
        <v>#N/A</v>
      </c>
      <c r="Z5110" t="e">
        <v>#N/A</v>
      </c>
      <c r="AA5110" t="e">
        <v>#N/A</v>
      </c>
      <c r="AB5110" t="e">
        <v>#N/A</v>
      </c>
      <c r="AC5110" t="e">
        <v>#N/A</v>
      </c>
      <c r="AD5110" t="e">
        <v>#N/A</v>
      </c>
    </row>
    <row r="5111" spans="2:30" x14ac:dyDescent="0.25">
      <c r="B5111" t="s">
        <v>133</v>
      </c>
      <c r="C5111" t="s">
        <v>3265</v>
      </c>
      <c r="D5111" t="s">
        <v>7279</v>
      </c>
      <c r="E5111" t="s">
        <v>7280</v>
      </c>
      <c r="F5111" t="s">
        <v>10571</v>
      </c>
      <c r="G5111" t="s">
        <v>3890</v>
      </c>
      <c r="H5111" t="s">
        <v>4476</v>
      </c>
      <c r="J5111">
        <v>1</v>
      </c>
      <c r="K5111">
        <v>3.5576226080979117E-3</v>
      </c>
      <c r="L5111">
        <v>2.8513247618490883E-3</v>
      </c>
      <c r="M5111">
        <v>2.6616380243212096E-3</v>
      </c>
      <c r="N5111">
        <v>2.5108933686182619E-3</v>
      </c>
      <c r="O5111">
        <v>2.5272085754152519E-3</v>
      </c>
      <c r="P5111">
        <v>2.5500326446776292E-3</v>
      </c>
      <c r="Q5111">
        <v>2.5520588333246236E-3</v>
      </c>
      <c r="R5111">
        <v>2.5564611507088572E-3</v>
      </c>
      <c r="S5111">
        <v>2.563570572938996E-3</v>
      </c>
      <c r="T5111">
        <v>2.5723998753247011E-3</v>
      </c>
      <c r="U5111">
        <v>2.5890298876198666E-3</v>
      </c>
      <c r="V5111">
        <v>2.6070375413537695E-3</v>
      </c>
      <c r="W5111">
        <v>2.626452494797548E-3</v>
      </c>
      <c r="X5111">
        <v>2.6473061627102792E-3</v>
      </c>
      <c r="Y5111">
        <v>2.6696317655340134E-3</v>
      </c>
      <c r="Z5111">
        <v>2.6934643812052636E-3</v>
      </c>
      <c r="AA5111">
        <v>2.718840999727184E-3</v>
      </c>
      <c r="AB5111">
        <v>2.7458005806517494E-3</v>
      </c>
      <c r="AC5111">
        <v>2.7743841136271424E-3</v>
      </c>
      <c r="AD5111">
        <v>2.8046346821718874E-3</v>
      </c>
    </row>
    <row r="5112" spans="2:30" x14ac:dyDescent="0.25">
      <c r="B5112" t="s">
        <v>133</v>
      </c>
      <c r="C5112" t="s">
        <v>3265</v>
      </c>
      <c r="D5112" t="s">
        <v>7282</v>
      </c>
      <c r="E5112" t="s">
        <v>7283</v>
      </c>
      <c r="F5112" t="s">
        <v>10572</v>
      </c>
      <c r="G5112" t="s">
        <v>3890</v>
      </c>
      <c r="H5112" t="s">
        <v>7078</v>
      </c>
      <c r="J5112">
        <v>1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  <c r="W5112" t="e">
        <v>#N/A</v>
      </c>
      <c r="X5112" t="e">
        <v>#N/A</v>
      </c>
      <c r="Y5112" t="e">
        <v>#N/A</v>
      </c>
      <c r="Z5112" t="e">
        <v>#N/A</v>
      </c>
      <c r="AA5112" t="e">
        <v>#N/A</v>
      </c>
      <c r="AB5112" t="e">
        <v>#N/A</v>
      </c>
      <c r="AC5112" t="e">
        <v>#N/A</v>
      </c>
      <c r="AD5112" t="e">
        <v>#N/A</v>
      </c>
    </row>
    <row r="5113" spans="2:30" x14ac:dyDescent="0.25">
      <c r="B5113" t="s">
        <v>133</v>
      </c>
      <c r="C5113" t="s">
        <v>3265</v>
      </c>
      <c r="D5113" t="s">
        <v>7285</v>
      </c>
      <c r="E5113" t="s">
        <v>7286</v>
      </c>
      <c r="F5113" t="s">
        <v>10573</v>
      </c>
      <c r="G5113" t="s">
        <v>3890</v>
      </c>
      <c r="H5113" t="s">
        <v>7160</v>
      </c>
      <c r="J5113">
        <v>1</v>
      </c>
      <c r="K5113">
        <v>11.459860725238636</v>
      </c>
      <c r="L5113">
        <v>8.8261134458896162</v>
      </c>
      <c r="M5113">
        <v>7.7428525388590312</v>
      </c>
      <c r="N5113">
        <v>7.0518273251642007</v>
      </c>
      <c r="O5113">
        <v>7.070160947973041</v>
      </c>
      <c r="P5113">
        <v>7.1249351212688357</v>
      </c>
      <c r="Q5113">
        <v>7.0989931146117771</v>
      </c>
      <c r="R5113">
        <v>7.0711697267137019</v>
      </c>
      <c r="S5113">
        <v>7.0413877949045824</v>
      </c>
      <c r="T5113">
        <v>7.012646643709294</v>
      </c>
      <c r="U5113">
        <v>7.0126627809654458</v>
      </c>
      <c r="V5113">
        <v>7.0126785613097047</v>
      </c>
      <c r="W5113">
        <v>7.012693995075816</v>
      </c>
      <c r="X5113">
        <v>7.0127090922330266</v>
      </c>
      <c r="Y5113">
        <v>7.0127238623960633</v>
      </c>
      <c r="Z5113">
        <v>7.0127383148349676</v>
      </c>
      <c r="AA5113">
        <v>7.0127524584847976</v>
      </c>
      <c r="AB5113">
        <v>7.012766301955125</v>
      </c>
      <c r="AC5113">
        <v>7.0127798535393735</v>
      </c>
      <c r="AD5113">
        <v>7.0127931212239281</v>
      </c>
    </row>
    <row r="5114" spans="2:30" x14ac:dyDescent="0.25">
      <c r="B5114" t="s">
        <v>133</v>
      </c>
      <c r="C5114" t="s">
        <v>3265</v>
      </c>
      <c r="D5114" t="s">
        <v>7288</v>
      </c>
      <c r="E5114" t="s">
        <v>7289</v>
      </c>
      <c r="F5114" t="s">
        <v>10574</v>
      </c>
      <c r="G5114" t="s">
        <v>3890</v>
      </c>
      <c r="H5114" t="s">
        <v>7082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</row>
    <row r="5115" spans="2:30" x14ac:dyDescent="0.25">
      <c r="B5115" t="s">
        <v>133</v>
      </c>
      <c r="C5115" t="s">
        <v>3265</v>
      </c>
      <c r="D5115" t="s">
        <v>7291</v>
      </c>
      <c r="E5115" t="s">
        <v>7292</v>
      </c>
      <c r="F5115" t="s">
        <v>10575</v>
      </c>
      <c r="G5115" t="s">
        <v>3890</v>
      </c>
      <c r="H5115" t="s">
        <v>7086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</row>
    <row r="5116" spans="2:30" x14ac:dyDescent="0.25">
      <c r="B5116" t="s">
        <v>133</v>
      </c>
      <c r="C5116" t="s">
        <v>3265</v>
      </c>
      <c r="D5116" t="s">
        <v>7294</v>
      </c>
      <c r="E5116" t="s">
        <v>7295</v>
      </c>
      <c r="F5116" t="s">
        <v>10576</v>
      </c>
      <c r="G5116" t="s">
        <v>3890</v>
      </c>
      <c r="H5116" t="s">
        <v>7090</v>
      </c>
      <c r="J5116">
        <v>1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  <c r="W5116" t="e">
        <v>#N/A</v>
      </c>
      <c r="X5116" t="e">
        <v>#N/A</v>
      </c>
      <c r="Y5116" t="e">
        <v>#N/A</v>
      </c>
      <c r="Z5116" t="e">
        <v>#N/A</v>
      </c>
      <c r="AA5116" t="e">
        <v>#N/A</v>
      </c>
      <c r="AB5116" t="e">
        <v>#N/A</v>
      </c>
      <c r="AC5116" t="e">
        <v>#N/A</v>
      </c>
      <c r="AD5116" t="e">
        <v>#N/A</v>
      </c>
    </row>
    <row r="5117" spans="2:30" x14ac:dyDescent="0.25">
      <c r="B5117" t="s">
        <v>133</v>
      </c>
      <c r="C5117" t="s">
        <v>3265</v>
      </c>
      <c r="D5117" t="s">
        <v>7297</v>
      </c>
      <c r="E5117" t="s">
        <v>7298</v>
      </c>
      <c r="F5117" t="s">
        <v>10577</v>
      </c>
      <c r="G5117" t="s">
        <v>3890</v>
      </c>
      <c r="H5117" t="s">
        <v>7078</v>
      </c>
      <c r="J5117">
        <v>1</v>
      </c>
      <c r="K5117">
        <v>6.3657651756497291E-2</v>
      </c>
      <c r="L5117">
        <v>6.2227839357171119E-2</v>
      </c>
      <c r="M5117">
        <v>0.10710597699475878</v>
      </c>
      <c r="N5117">
        <v>0.10463890253773071</v>
      </c>
      <c r="O5117">
        <v>0.10655144470894293</v>
      </c>
      <c r="P5117">
        <v>0.10768096070528578</v>
      </c>
      <c r="Q5117">
        <v>0.10766898213484564</v>
      </c>
      <c r="R5117">
        <v>0.10734981163974835</v>
      </c>
      <c r="S5117">
        <v>0.10703806860868595</v>
      </c>
      <c r="T5117">
        <v>0.10679458183571122</v>
      </c>
      <c r="U5117">
        <v>0.10654561376930642</v>
      </c>
      <c r="V5117">
        <v>0.10630284949545833</v>
      </c>
      <c r="W5117">
        <v>0.10604588577092676</v>
      </c>
      <c r="X5117">
        <v>0.10578269666791716</v>
      </c>
      <c r="Y5117">
        <v>0.10550527602276892</v>
      </c>
      <c r="Z5117">
        <v>0.10521887994318942</v>
      </c>
      <c r="AA5117">
        <v>0.10491978085830678</v>
      </c>
      <c r="AB5117">
        <v>0.10460634002977189</v>
      </c>
      <c r="AC5117">
        <v>0.10427789841247055</v>
      </c>
      <c r="AD5117">
        <v>0.10391258394335919</v>
      </c>
    </row>
    <row r="5118" spans="2:30" x14ac:dyDescent="0.25">
      <c r="B5118" t="s">
        <v>133</v>
      </c>
      <c r="C5118" t="s">
        <v>3265</v>
      </c>
      <c r="D5118" t="s">
        <v>7300</v>
      </c>
      <c r="E5118" t="s">
        <v>7301</v>
      </c>
      <c r="F5118" t="s">
        <v>10578</v>
      </c>
      <c r="G5118" t="s">
        <v>3890</v>
      </c>
      <c r="H5118" t="s">
        <v>7082</v>
      </c>
      <c r="J5118">
        <v>1</v>
      </c>
      <c r="K5118">
        <v>99.833519124999995</v>
      </c>
      <c r="L5118">
        <v>96.467134733572721</v>
      </c>
      <c r="M5118">
        <v>108.07218043494078</v>
      </c>
      <c r="N5118">
        <v>120.63906671537571</v>
      </c>
      <c r="O5118">
        <v>126.85616187229718</v>
      </c>
      <c r="P5118">
        <v>128.91706639791661</v>
      </c>
      <c r="Q5118">
        <v>132.54196465403885</v>
      </c>
      <c r="R5118">
        <v>137.16282447387781</v>
      </c>
      <c r="S5118">
        <v>141.81531184468847</v>
      </c>
      <c r="T5118">
        <v>146.5021649491357</v>
      </c>
      <c r="U5118">
        <v>151.17566943873865</v>
      </c>
      <c r="V5118">
        <v>155.92431884336156</v>
      </c>
      <c r="W5118">
        <v>160.7323092383304</v>
      </c>
      <c r="X5118">
        <v>165.62756342057185</v>
      </c>
      <c r="Y5118">
        <v>170.60005882077866</v>
      </c>
      <c r="Z5118">
        <v>175.66279269532316</v>
      </c>
      <c r="AA5118">
        <v>180.80951225087628</v>
      </c>
      <c r="AB5118">
        <v>186.04774088531781</v>
      </c>
      <c r="AC5118">
        <v>191.38243039830022</v>
      </c>
      <c r="AD5118">
        <v>196.81736928844151</v>
      </c>
    </row>
    <row r="5119" spans="2:30" x14ac:dyDescent="0.25">
      <c r="B5119" t="s">
        <v>133</v>
      </c>
      <c r="C5119" t="s">
        <v>3265</v>
      </c>
      <c r="D5119" t="s">
        <v>7303</v>
      </c>
      <c r="E5119" t="s">
        <v>7304</v>
      </c>
      <c r="F5119" t="s">
        <v>10579</v>
      </c>
      <c r="G5119" t="s">
        <v>3890</v>
      </c>
      <c r="H5119" t="s">
        <v>7086</v>
      </c>
      <c r="J5119">
        <v>1</v>
      </c>
      <c r="K5119">
        <v>0</v>
      </c>
      <c r="L5119">
        <v>0</v>
      </c>
      <c r="M5119">
        <v>5.9594967971760955</v>
      </c>
      <c r="N5119">
        <v>6.6524810437909148</v>
      </c>
      <c r="O5119">
        <v>6.9953144957144371</v>
      </c>
      <c r="P5119">
        <v>7.10896033750541</v>
      </c>
      <c r="Q5119">
        <v>7.3088505355240798</v>
      </c>
      <c r="R5119">
        <v>7.5636617106637152</v>
      </c>
      <c r="S5119">
        <v>7.8202169450789176</v>
      </c>
      <c r="T5119">
        <v>8.0786672322145865</v>
      </c>
      <c r="U5119">
        <v>8.3363814277206494</v>
      </c>
      <c r="V5119">
        <v>8.5982393897222451</v>
      </c>
      <c r="W5119">
        <v>8.8633696317915209</v>
      </c>
      <c r="X5119">
        <v>9.1333119194646475</v>
      </c>
      <c r="Y5119">
        <v>9.407513571473924</v>
      </c>
      <c r="Z5119">
        <v>9.6866913042528591</v>
      </c>
      <c r="AA5119">
        <v>9.9705003158212602</v>
      </c>
      <c r="AB5119">
        <v>10.259355473959049</v>
      </c>
      <c r="AC5119">
        <v>10.553529839078722</v>
      </c>
      <c r="AD5119">
        <v>10.853232322902885</v>
      </c>
    </row>
    <row r="5120" spans="2:30" x14ac:dyDescent="0.25">
      <c r="B5120" t="s">
        <v>133</v>
      </c>
      <c r="C5120" t="s">
        <v>3265</v>
      </c>
      <c r="D5120" t="s">
        <v>7306</v>
      </c>
      <c r="E5120" t="s">
        <v>7307</v>
      </c>
      <c r="F5120" t="s">
        <v>10580</v>
      </c>
      <c r="G5120" t="s">
        <v>3890</v>
      </c>
      <c r="H5120" t="s">
        <v>7090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</row>
    <row r="5121" spans="2:30" x14ac:dyDescent="0.25">
      <c r="B5121" t="s">
        <v>133</v>
      </c>
      <c r="C5121" t="s">
        <v>3265</v>
      </c>
      <c r="D5121" t="s">
        <v>7309</v>
      </c>
      <c r="E5121" t="s">
        <v>7310</v>
      </c>
      <c r="F5121" t="s">
        <v>10581</v>
      </c>
      <c r="G5121" t="s">
        <v>3890</v>
      </c>
      <c r="H5121" t="s">
        <v>4476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</row>
    <row r="5122" spans="2:30" x14ac:dyDescent="0.25">
      <c r="B5122" t="s">
        <v>133</v>
      </c>
      <c r="C5122" t="s">
        <v>3265</v>
      </c>
      <c r="D5122" t="s">
        <v>7312</v>
      </c>
      <c r="E5122" t="s">
        <v>7313</v>
      </c>
      <c r="F5122" t="s">
        <v>10582</v>
      </c>
      <c r="G5122" t="s">
        <v>3890</v>
      </c>
      <c r="H5122" t="s">
        <v>7078</v>
      </c>
      <c r="J5122">
        <v>1</v>
      </c>
      <c r="K5122">
        <v>6.7626534951170533E-2</v>
      </c>
      <c r="L5122">
        <v>5.8294065004879381E-2</v>
      </c>
      <c r="M5122">
        <v>0.11484730008447896</v>
      </c>
      <c r="N5122">
        <v>0.11227517998690252</v>
      </c>
      <c r="O5122">
        <v>0.11426915635110328</v>
      </c>
      <c r="P5122">
        <v>0.11550278151447975</v>
      </c>
      <c r="Q5122">
        <v>0.115489125944178</v>
      </c>
      <c r="R5122">
        <v>0.11512527157976707</v>
      </c>
      <c r="S5122">
        <v>0.11477650022510935</v>
      </c>
      <c r="T5122">
        <v>0.11452264602120472</v>
      </c>
      <c r="U5122">
        <v>0.11426307713570545</v>
      </c>
      <c r="V5122">
        <v>0.11400997619424039</v>
      </c>
      <c r="W5122">
        <v>0.11374207120323659</v>
      </c>
      <c r="X5122">
        <v>0.11346767576316967</v>
      </c>
      <c r="Y5122">
        <v>0.11317844281568579</v>
      </c>
      <c r="Z5122">
        <v>0.11287985226846699</v>
      </c>
      <c r="AA5122">
        <v>0.1125680178342845</v>
      </c>
      <c r="AB5122">
        <v>0.1122412309988978</v>
      </c>
      <c r="AC5122">
        <v>0.11189880465569008</v>
      </c>
      <c r="AD5122">
        <v>0.11151793545036066</v>
      </c>
    </row>
    <row r="5123" spans="2:30" x14ac:dyDescent="0.25">
      <c r="B5123" t="s">
        <v>133</v>
      </c>
      <c r="C5123" t="s">
        <v>3265</v>
      </c>
      <c r="D5123" t="s">
        <v>7315</v>
      </c>
      <c r="E5123" t="s">
        <v>7316</v>
      </c>
      <c r="F5123" t="s">
        <v>10583</v>
      </c>
      <c r="G5123" t="s">
        <v>3890</v>
      </c>
      <c r="H5123" t="s">
        <v>7082</v>
      </c>
      <c r="J5123">
        <v>1</v>
      </c>
      <c r="K5123">
        <v>68.708736277</v>
      </c>
      <c r="L5123">
        <v>66.76799770747526</v>
      </c>
      <c r="M5123">
        <v>79.394826027249366</v>
      </c>
      <c r="N5123">
        <v>87.03373454001256</v>
      </c>
      <c r="O5123">
        <v>91.603727326556353</v>
      </c>
      <c r="P5123">
        <v>93.024420765668594</v>
      </c>
      <c r="Q5123">
        <v>95.556770078494111</v>
      </c>
      <c r="R5123">
        <v>98.889568665326124</v>
      </c>
      <c r="S5123">
        <v>102.28178051217962</v>
      </c>
      <c r="T5123">
        <v>105.69494912431347</v>
      </c>
      <c r="U5123">
        <v>109.07623025451866</v>
      </c>
      <c r="V5123">
        <v>112.51264638908218</v>
      </c>
      <c r="W5123">
        <v>115.99234555197575</v>
      </c>
      <c r="X5123">
        <v>119.53637823504832</v>
      </c>
      <c r="Y5123">
        <v>123.13724607369284</v>
      </c>
      <c r="Z5123">
        <v>126.80478156358087</v>
      </c>
      <c r="AA5123">
        <v>130.5343244197978</v>
      </c>
      <c r="AB5123">
        <v>134.33159301967672</v>
      </c>
      <c r="AC5123">
        <v>138.20037530977643</v>
      </c>
      <c r="AD5123">
        <v>142.14358841323366</v>
      </c>
    </row>
    <row r="5124" spans="2:30" x14ac:dyDescent="0.25">
      <c r="B5124" t="s">
        <v>133</v>
      </c>
      <c r="C5124" t="s">
        <v>3265</v>
      </c>
      <c r="D5124" t="s">
        <v>7318</v>
      </c>
      <c r="E5124" t="s">
        <v>7319</v>
      </c>
      <c r="F5124" t="s">
        <v>10584</v>
      </c>
      <c r="G5124" t="s">
        <v>3890</v>
      </c>
      <c r="H5124" t="s">
        <v>7086</v>
      </c>
      <c r="J5124">
        <v>1</v>
      </c>
      <c r="K5124">
        <v>0</v>
      </c>
      <c r="L5124">
        <v>0</v>
      </c>
      <c r="M5124">
        <v>4.3781221912755166</v>
      </c>
      <c r="N5124">
        <v>4.7993596515776975</v>
      </c>
      <c r="O5124">
        <v>5.0513658317520758</v>
      </c>
      <c r="P5124">
        <v>5.1297080838106925</v>
      </c>
      <c r="Q5124">
        <v>5.2693511219947871</v>
      </c>
      <c r="R5124">
        <v>5.4531338718562576</v>
      </c>
      <c r="S5124">
        <v>5.6401928870006417</v>
      </c>
      <c r="T5124">
        <v>5.8284075351216602</v>
      </c>
      <c r="U5124">
        <v>6.014863790419855</v>
      </c>
      <c r="V5124">
        <v>6.2043603922768336</v>
      </c>
      <c r="W5124">
        <v>6.3962437792219529</v>
      </c>
      <c r="X5124">
        <v>6.5916747526589425</v>
      </c>
      <c r="Y5124">
        <v>6.7902398252344414</v>
      </c>
      <c r="Z5124">
        <v>6.9924811968580576</v>
      </c>
      <c r="AA5124">
        <v>7.1981418823101837</v>
      </c>
      <c r="AB5124">
        <v>7.4075372139109827</v>
      </c>
      <c r="AC5124">
        <v>7.6208760729404856</v>
      </c>
      <c r="AD5124">
        <v>7.8383193202781563</v>
      </c>
    </row>
    <row r="5125" spans="2:30" x14ac:dyDescent="0.25">
      <c r="B5125" t="s">
        <v>133</v>
      </c>
      <c r="C5125" t="s">
        <v>3265</v>
      </c>
      <c r="D5125" t="s">
        <v>7321</v>
      </c>
      <c r="E5125" t="s">
        <v>7322</v>
      </c>
      <c r="F5125" t="s">
        <v>10585</v>
      </c>
      <c r="G5125" t="s">
        <v>3890</v>
      </c>
      <c r="H5125" t="s">
        <v>7090</v>
      </c>
      <c r="J5125">
        <v>1</v>
      </c>
      <c r="K5125">
        <v>0.42863155785289786</v>
      </c>
      <c r="L5125">
        <v>0.39323252995311531</v>
      </c>
      <c r="M5125">
        <v>1.1197889450762379</v>
      </c>
      <c r="N5125">
        <v>1.2000367977699196</v>
      </c>
      <c r="O5125">
        <v>1.285480078623767</v>
      </c>
      <c r="P5125">
        <v>1.3195097443939718</v>
      </c>
      <c r="Q5125">
        <v>1.3552697365069912</v>
      </c>
      <c r="R5125">
        <v>1.3981196340879278</v>
      </c>
      <c r="S5125">
        <v>1.4416984846993923</v>
      </c>
      <c r="T5125">
        <v>1.4865132756763331</v>
      </c>
      <c r="U5125">
        <v>1.530591227696636</v>
      </c>
      <c r="V5125">
        <v>1.5753148939402062</v>
      </c>
      <c r="W5125">
        <v>1.6202187260986449</v>
      </c>
      <c r="X5125">
        <v>1.6656948254797641</v>
      </c>
      <c r="Y5125">
        <v>1.711497760396971</v>
      </c>
      <c r="Z5125">
        <v>1.7578234222600986</v>
      </c>
      <c r="AA5125">
        <v>1.8045251072792721</v>
      </c>
      <c r="AB5125">
        <v>1.8516281322456174</v>
      </c>
      <c r="AC5125">
        <v>1.8991438175600359</v>
      </c>
      <c r="AD5125">
        <v>1.9466827477446911</v>
      </c>
    </row>
    <row r="5126" spans="2:30" x14ac:dyDescent="0.25">
      <c r="B5126" t="s">
        <v>133</v>
      </c>
      <c r="C5126" t="s">
        <v>3265</v>
      </c>
      <c r="D5126" t="s">
        <v>7324</v>
      </c>
      <c r="E5126" t="s">
        <v>7325</v>
      </c>
      <c r="F5126" t="s">
        <v>10586</v>
      </c>
      <c r="G5126" t="s">
        <v>3890</v>
      </c>
      <c r="H5126" t="s">
        <v>7212</v>
      </c>
      <c r="J5126">
        <v>1</v>
      </c>
      <c r="K5126">
        <v>6.1889964460773897E-2</v>
      </c>
      <c r="L5126">
        <v>0.85484887846197788</v>
      </c>
      <c r="M5126">
        <v>0.77837412984309851</v>
      </c>
      <c r="N5126">
        <v>0.68377147013993522</v>
      </c>
      <c r="O5126">
        <v>0.71005171916045995</v>
      </c>
      <c r="P5126">
        <v>0.67043581040015743</v>
      </c>
      <c r="Q5126">
        <v>0.65953683215986669</v>
      </c>
      <c r="R5126">
        <v>0.6540428633113976</v>
      </c>
      <c r="S5126">
        <v>0.64923835336346858</v>
      </c>
      <c r="T5126">
        <v>0.64401869609655971</v>
      </c>
      <c r="U5126">
        <v>0.64401869609655971</v>
      </c>
      <c r="V5126">
        <v>0.64401869609655971</v>
      </c>
      <c r="W5126">
        <v>0.64401869609655971</v>
      </c>
      <c r="X5126">
        <v>0.64401869609655971</v>
      </c>
      <c r="Y5126">
        <v>0.64401869609655971</v>
      </c>
      <c r="Z5126">
        <v>0.64401869609655971</v>
      </c>
      <c r="AA5126">
        <v>0.64401869609655971</v>
      </c>
      <c r="AB5126">
        <v>0.64401869609655971</v>
      </c>
      <c r="AC5126">
        <v>0.64401869609655971</v>
      </c>
      <c r="AD5126">
        <v>0.64401869609655971</v>
      </c>
    </row>
    <row r="5127" spans="2:30" x14ac:dyDescent="0.25">
      <c r="B5127" t="s">
        <v>133</v>
      </c>
      <c r="C5127" t="s">
        <v>3265</v>
      </c>
      <c r="D5127" t="s">
        <v>7327</v>
      </c>
      <c r="E5127" t="s">
        <v>7328</v>
      </c>
      <c r="F5127" t="s">
        <v>10587</v>
      </c>
      <c r="G5127" t="s">
        <v>3890</v>
      </c>
      <c r="H5127" t="s">
        <v>5985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</row>
    <row r="5128" spans="2:30" x14ac:dyDescent="0.25">
      <c r="B5128" t="s">
        <v>133</v>
      </c>
      <c r="C5128" t="s">
        <v>3265</v>
      </c>
      <c r="D5128" t="s">
        <v>7330</v>
      </c>
      <c r="E5128" t="s">
        <v>7331</v>
      </c>
      <c r="F5128" t="s">
        <v>10588</v>
      </c>
      <c r="G5128" t="s">
        <v>3890</v>
      </c>
      <c r="H5128" t="s">
        <v>4476</v>
      </c>
      <c r="J5128">
        <v>1</v>
      </c>
      <c r="K5128">
        <v>3.3856610678590225E-3</v>
      </c>
      <c r="L5128">
        <v>0.11967884298467692</v>
      </c>
      <c r="M5128">
        <v>0.1089723781780338</v>
      </c>
      <c r="N5128">
        <v>9.5728005819590942E-2</v>
      </c>
      <c r="O5128">
        <v>9.9407240682464398E-2</v>
      </c>
      <c r="P5128">
        <v>9.3861013456022047E-2</v>
      </c>
      <c r="Q5128">
        <v>9.2335156502381346E-2</v>
      </c>
      <c r="R5128">
        <v>9.1566000863595676E-2</v>
      </c>
      <c r="S5128">
        <v>9.089336947088561E-2</v>
      </c>
      <c r="T5128">
        <v>9.0162617453518362E-2</v>
      </c>
      <c r="U5128">
        <v>9.0162617453518362E-2</v>
      </c>
      <c r="V5128">
        <v>9.0162617453518362E-2</v>
      </c>
      <c r="W5128">
        <v>9.0162617453518362E-2</v>
      </c>
      <c r="X5128">
        <v>9.0162617453518362E-2</v>
      </c>
      <c r="Y5128">
        <v>9.0162617453518362E-2</v>
      </c>
      <c r="Z5128">
        <v>9.0162617453518362E-2</v>
      </c>
      <c r="AA5128">
        <v>9.0162617453518362E-2</v>
      </c>
      <c r="AB5128">
        <v>9.0162617453518362E-2</v>
      </c>
      <c r="AC5128">
        <v>9.0162617453518362E-2</v>
      </c>
      <c r="AD5128">
        <v>9.0162617453518362E-2</v>
      </c>
    </row>
    <row r="5129" spans="2:30" x14ac:dyDescent="0.25">
      <c r="B5129" t="s">
        <v>133</v>
      </c>
      <c r="C5129" t="s">
        <v>3265</v>
      </c>
      <c r="D5129" t="s">
        <v>7333</v>
      </c>
      <c r="E5129" t="s">
        <v>7334</v>
      </c>
      <c r="F5129" t="s">
        <v>10589</v>
      </c>
      <c r="G5129" t="s">
        <v>3890</v>
      </c>
      <c r="H5129" t="s">
        <v>7078</v>
      </c>
      <c r="J5129">
        <v>1</v>
      </c>
      <c r="K5129">
        <v>6.5275625528632919E-2</v>
      </c>
      <c r="L5129">
        <v>0.97452772144665478</v>
      </c>
      <c r="M5129">
        <v>0.88734650802113235</v>
      </c>
      <c r="N5129">
        <v>0.77949947595952618</v>
      </c>
      <c r="O5129">
        <v>0.80945895984292437</v>
      </c>
      <c r="P5129">
        <v>0.76429682385617947</v>
      </c>
      <c r="Q5129">
        <v>0.75187198866224803</v>
      </c>
      <c r="R5129">
        <v>0.74560886417499328</v>
      </c>
      <c r="S5129">
        <v>0.74013172283435424</v>
      </c>
      <c r="T5129">
        <v>0.7341813135500781</v>
      </c>
      <c r="U5129">
        <v>0.7341813135500781</v>
      </c>
      <c r="V5129">
        <v>0.7341813135500781</v>
      </c>
      <c r="W5129">
        <v>0.7341813135500781</v>
      </c>
      <c r="X5129">
        <v>0.7341813135500781</v>
      </c>
      <c r="Y5129">
        <v>0.7341813135500781</v>
      </c>
      <c r="Z5129">
        <v>0.7341813135500781</v>
      </c>
      <c r="AA5129">
        <v>0.7341813135500781</v>
      </c>
      <c r="AB5129">
        <v>0.7341813135500781</v>
      </c>
      <c r="AC5129">
        <v>0.7341813135500781</v>
      </c>
      <c r="AD5129">
        <v>0.7341813135500781</v>
      </c>
    </row>
    <row r="5130" spans="2:30" x14ac:dyDescent="0.25">
      <c r="B5130" t="s">
        <v>133</v>
      </c>
      <c r="C5130" t="s">
        <v>3265</v>
      </c>
      <c r="D5130" t="s">
        <v>7336</v>
      </c>
      <c r="E5130" t="s">
        <v>7337</v>
      </c>
      <c r="F5130" t="s">
        <v>10590</v>
      </c>
      <c r="G5130" t="s">
        <v>3890</v>
      </c>
      <c r="H5130" t="s">
        <v>7160</v>
      </c>
      <c r="J5130">
        <v>1</v>
      </c>
      <c r="K5130">
        <v>6.2734904097379335E-2</v>
      </c>
      <c r="L5130">
        <v>0.41050214342490893</v>
      </c>
      <c r="M5130">
        <v>0.33510384881528493</v>
      </c>
      <c r="N5130">
        <v>0.33510384881528493</v>
      </c>
      <c r="O5130">
        <v>0.33510384881528493</v>
      </c>
      <c r="P5130">
        <v>0.33510384881528493</v>
      </c>
      <c r="Q5130">
        <v>0.33510384881528493</v>
      </c>
      <c r="R5130">
        <v>0.33510384881528493</v>
      </c>
      <c r="S5130">
        <v>0.33510384881528493</v>
      </c>
      <c r="T5130">
        <v>0.33510384881528493</v>
      </c>
      <c r="U5130">
        <v>0.33510384881528493</v>
      </c>
      <c r="V5130">
        <v>0.33510384881528493</v>
      </c>
      <c r="W5130">
        <v>0.33510384881528493</v>
      </c>
      <c r="X5130">
        <v>0.33510384881528493</v>
      </c>
      <c r="Y5130">
        <v>0.33510384881528493</v>
      </c>
      <c r="Z5130">
        <v>0.33510384881528493</v>
      </c>
      <c r="AA5130">
        <v>0.33510384881528493</v>
      </c>
      <c r="AB5130">
        <v>0.33510384881528493</v>
      </c>
      <c r="AC5130">
        <v>0.33510384881528493</v>
      </c>
      <c r="AD5130">
        <v>0.33510384881528493</v>
      </c>
    </row>
    <row r="5131" spans="2:30" x14ac:dyDescent="0.25">
      <c r="B5131" t="s">
        <v>133</v>
      </c>
      <c r="C5131" t="s">
        <v>3265</v>
      </c>
      <c r="D5131" t="s">
        <v>7339</v>
      </c>
      <c r="E5131" t="s">
        <v>7340</v>
      </c>
      <c r="F5131" t="s">
        <v>10591</v>
      </c>
      <c r="G5131" t="s">
        <v>3890</v>
      </c>
      <c r="H5131" t="s">
        <v>7082</v>
      </c>
      <c r="J5131">
        <v>1</v>
      </c>
      <c r="K5131">
        <v>0.51585213900000004</v>
      </c>
      <c r="L5131">
        <v>0.50679482500422857</v>
      </c>
      <c r="M5131">
        <v>0.5885357554420465</v>
      </c>
      <c r="N5131">
        <v>0.6574638290207534</v>
      </c>
      <c r="O5131">
        <v>0.72017271319402121</v>
      </c>
      <c r="P5131">
        <v>0.79323418654986022</v>
      </c>
      <c r="Q5131">
        <v>0.92589071450645233</v>
      </c>
      <c r="R5131">
        <v>1.1564592049907172</v>
      </c>
      <c r="S5131">
        <v>1.5762054279183424</v>
      </c>
      <c r="T5131">
        <v>2.3203112412232829</v>
      </c>
      <c r="U5131">
        <v>3.5739631190967902</v>
      </c>
      <c r="V5131">
        <v>5.5957106673242345</v>
      </c>
      <c r="W5131">
        <v>8.5992127109732959</v>
      </c>
      <c r="X5131">
        <v>12.864972846663154</v>
      </c>
      <c r="Y5131">
        <v>18.604888980964905</v>
      </c>
      <c r="Z5131">
        <v>26.144013329601052</v>
      </c>
      <c r="AA5131">
        <v>35.876285084689179</v>
      </c>
      <c r="AB5131">
        <v>48.26949266699765</v>
      </c>
      <c r="AC5131">
        <v>63.713389494942142</v>
      </c>
      <c r="AD5131">
        <v>81.456628591159685</v>
      </c>
    </row>
    <row r="5132" spans="2:30" x14ac:dyDescent="0.25">
      <c r="B5132" t="s">
        <v>133</v>
      </c>
      <c r="C5132" t="s">
        <v>3265</v>
      </c>
      <c r="D5132" t="s">
        <v>7342</v>
      </c>
      <c r="E5132" t="s">
        <v>7343</v>
      </c>
      <c r="F5132" t="s">
        <v>10592</v>
      </c>
      <c r="G5132" t="s">
        <v>3890</v>
      </c>
      <c r="H5132" t="s">
        <v>7086</v>
      </c>
      <c r="J5132">
        <v>1</v>
      </c>
      <c r="K5132">
        <v>0</v>
      </c>
      <c r="L5132">
        <v>0.22519262582431168</v>
      </c>
      <c r="M5132">
        <v>0.26088040970971249</v>
      </c>
      <c r="N5132">
        <v>0.22923634937166268</v>
      </c>
      <c r="O5132">
        <v>0.2700272250928048</v>
      </c>
      <c r="P5132">
        <v>0.2659967757719453</v>
      </c>
      <c r="Q5132">
        <v>0.30038948675837474</v>
      </c>
      <c r="R5132">
        <v>0.3688399591446973</v>
      </c>
      <c r="S5132">
        <v>0.49514051116528629</v>
      </c>
      <c r="T5132">
        <v>0.71677859272751554</v>
      </c>
      <c r="U5132">
        <v>1.1040502711246933</v>
      </c>
      <c r="V5132">
        <v>1.728598106226666</v>
      </c>
      <c r="W5132">
        <v>2.6564244813495126</v>
      </c>
      <c r="X5132">
        <v>3.974181122204695</v>
      </c>
      <c r="Y5132">
        <v>5.7473264382398455</v>
      </c>
      <c r="Z5132">
        <v>8.07627388503332</v>
      </c>
      <c r="AA5132">
        <v>11.082717127956235</v>
      </c>
      <c r="AB5132">
        <v>14.911162955570191</v>
      </c>
      <c r="AC5132">
        <v>19.682011985602429</v>
      </c>
      <c r="AD5132">
        <v>25.163161981285615</v>
      </c>
    </row>
    <row r="5133" spans="2:30" x14ac:dyDescent="0.25">
      <c r="B5133" t="s">
        <v>133</v>
      </c>
      <c r="C5133" t="s">
        <v>3265</v>
      </c>
      <c r="D5133" t="s">
        <v>7345</v>
      </c>
      <c r="E5133" t="s">
        <v>7346</v>
      </c>
      <c r="F5133" t="s">
        <v>10593</v>
      </c>
      <c r="G5133" t="s">
        <v>3890</v>
      </c>
      <c r="H5133" t="s">
        <v>7090</v>
      </c>
      <c r="J5133">
        <v>1</v>
      </c>
      <c r="K5133">
        <v>1.310636584915303E-3</v>
      </c>
      <c r="L5133">
        <v>6.0652618287127875E-2</v>
      </c>
      <c r="M5133">
        <v>6.4134140913325532E-2</v>
      </c>
      <c r="N5133">
        <v>6.2937701250669234E-2</v>
      </c>
      <c r="O5133">
        <v>7.1590382233421485E-2</v>
      </c>
      <c r="P5133">
        <v>7.4453764657533131E-2</v>
      </c>
      <c r="Q5133">
        <v>8.5492264028054946E-2</v>
      </c>
      <c r="R5133">
        <v>0.10589234456289318</v>
      </c>
      <c r="S5133">
        <v>0.14326662232179735</v>
      </c>
      <c r="T5133">
        <v>0.20920533481551329</v>
      </c>
      <c r="U5133">
        <v>0.3222378695001073</v>
      </c>
      <c r="V5133">
        <v>0.5045239202785271</v>
      </c>
      <c r="W5133">
        <v>0.77532752606091804</v>
      </c>
      <c r="X5133">
        <v>1.1599396253235914</v>
      </c>
      <c r="Y5133">
        <v>1.6774654879559183</v>
      </c>
      <c r="Z5133">
        <v>2.3572126725365052</v>
      </c>
      <c r="AA5133">
        <v>3.234699767744198</v>
      </c>
      <c r="AB5133">
        <v>4.3521038020099203</v>
      </c>
      <c r="AC5133">
        <v>5.7445659636994852</v>
      </c>
      <c r="AD5133">
        <v>7.344342842718059</v>
      </c>
    </row>
    <row r="5134" spans="2:30" x14ac:dyDescent="0.25">
      <c r="B5134" t="s">
        <v>133</v>
      </c>
      <c r="C5134" t="s">
        <v>3265</v>
      </c>
      <c r="D5134" t="s">
        <v>7348</v>
      </c>
      <c r="E5134" t="s">
        <v>7349</v>
      </c>
      <c r="F5134" t="s">
        <v>10594</v>
      </c>
      <c r="G5134" t="s">
        <v>3890</v>
      </c>
      <c r="H5134" t="s">
        <v>7086</v>
      </c>
      <c r="J5134">
        <v>1</v>
      </c>
      <c r="K5134">
        <v>38.65236853362601</v>
      </c>
      <c r="L5134">
        <v>33.803883994610686</v>
      </c>
      <c r="M5134">
        <v>46.098305005902105</v>
      </c>
      <c r="N5134">
        <v>44.717270065549819</v>
      </c>
      <c r="O5134">
        <v>47.037426160131233</v>
      </c>
      <c r="P5134">
        <v>46.098929204172457</v>
      </c>
      <c r="Q5134">
        <v>47.037627475019036</v>
      </c>
      <c r="R5134">
        <v>48.600166250990561</v>
      </c>
      <c r="S5134">
        <v>50.399729846783018</v>
      </c>
      <c r="T5134">
        <v>52.441469300934067</v>
      </c>
      <c r="U5134">
        <v>55.084026421635201</v>
      </c>
      <c r="V5134">
        <v>58.106244529908857</v>
      </c>
      <c r="W5134">
        <v>61.557953872293787</v>
      </c>
      <c r="X5134">
        <v>65.539915687950341</v>
      </c>
      <c r="Y5134">
        <v>70.111250888015633</v>
      </c>
      <c r="Z5134">
        <v>75.397280243924271</v>
      </c>
      <c r="AA5134">
        <v>81.528932377797659</v>
      </c>
      <c r="AB5134">
        <v>88.668312370166333</v>
      </c>
      <c r="AC5134">
        <v>96.95661277531633</v>
      </c>
      <c r="AD5134">
        <v>106.03919538102296</v>
      </c>
    </row>
    <row r="5135" spans="2:30" x14ac:dyDescent="0.25">
      <c r="B5135" t="s">
        <v>133</v>
      </c>
      <c r="C5135" t="s">
        <v>3265</v>
      </c>
      <c r="D5135" t="s">
        <v>7351</v>
      </c>
      <c r="E5135" t="s">
        <v>7352</v>
      </c>
      <c r="F5135" t="s">
        <v>10595</v>
      </c>
      <c r="G5135" t="s">
        <v>3890</v>
      </c>
      <c r="H5135" t="s">
        <v>7090</v>
      </c>
      <c r="J5135">
        <v>1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  <c r="W5135" t="e">
        <v>#N/A</v>
      </c>
      <c r="X5135" t="e">
        <v>#N/A</v>
      </c>
      <c r="Y5135" t="e">
        <v>#N/A</v>
      </c>
      <c r="Z5135" t="e">
        <v>#N/A</v>
      </c>
      <c r="AA5135" t="e">
        <v>#N/A</v>
      </c>
      <c r="AB5135" t="e">
        <v>#N/A</v>
      </c>
      <c r="AC5135" t="e">
        <v>#N/A</v>
      </c>
      <c r="AD5135" t="e">
        <v>#N/A</v>
      </c>
    </row>
    <row r="5136" spans="2:30" x14ac:dyDescent="0.25">
      <c r="B5136" t="s">
        <v>133</v>
      </c>
      <c r="C5136" t="s">
        <v>3265</v>
      </c>
      <c r="D5136" t="s">
        <v>7348</v>
      </c>
      <c r="E5136" t="s">
        <v>7354</v>
      </c>
      <c r="F5136" t="s">
        <v>10596</v>
      </c>
      <c r="G5136" t="s">
        <v>3890</v>
      </c>
      <c r="H5136" t="s">
        <v>7086</v>
      </c>
      <c r="J5136">
        <v>1</v>
      </c>
      <c r="K5136">
        <v>7.5366475799184818E-2</v>
      </c>
      <c r="L5136">
        <v>6.1801976127087668E-2</v>
      </c>
      <c r="M5136">
        <v>8.1224973273976514E-2</v>
      </c>
      <c r="N5136">
        <v>7.6945819808472676E-2</v>
      </c>
      <c r="O5136">
        <v>7.7532621793251391E-2</v>
      </c>
      <c r="P5136">
        <v>7.2895140989281321E-2</v>
      </c>
      <c r="Q5136">
        <v>7.095300687287609E-2</v>
      </c>
      <c r="R5136">
        <v>6.9464887484999335E-2</v>
      </c>
      <c r="S5136">
        <v>6.8458949000109626E-2</v>
      </c>
      <c r="T5136">
        <v>6.7942587528743825E-2</v>
      </c>
      <c r="U5136">
        <v>6.8104891830034667E-2</v>
      </c>
      <c r="V5136">
        <v>6.8593210855605533E-2</v>
      </c>
      <c r="W5136">
        <v>6.9417442017481165E-2</v>
      </c>
      <c r="X5136">
        <v>7.063776262106583E-2</v>
      </c>
      <c r="Y5136">
        <v>7.2258015807952103E-2</v>
      </c>
      <c r="Z5136">
        <v>7.4343328455189525E-2</v>
      </c>
      <c r="AA5136">
        <v>7.6949701395028727E-2</v>
      </c>
      <c r="AB5136">
        <v>8.0148141971804338E-2</v>
      </c>
      <c r="AC5136">
        <v>8.3975648460961158E-2</v>
      </c>
      <c r="AD5136">
        <v>8.8046980193544372E-2</v>
      </c>
    </row>
    <row r="5137" spans="2:30" x14ac:dyDescent="0.25">
      <c r="B5137" t="s">
        <v>133</v>
      </c>
      <c r="C5137" t="s">
        <v>3265</v>
      </c>
      <c r="D5137" t="s">
        <v>7351</v>
      </c>
      <c r="E5137" t="s">
        <v>7356</v>
      </c>
      <c r="F5137" t="s">
        <v>10597</v>
      </c>
      <c r="G5137" t="s">
        <v>3890</v>
      </c>
      <c r="H5137" t="s">
        <v>7090</v>
      </c>
      <c r="J5137">
        <v>1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  <c r="W5137" t="e">
        <v>#N/A</v>
      </c>
      <c r="X5137" t="e">
        <v>#N/A</v>
      </c>
      <c r="Y5137" t="e">
        <v>#N/A</v>
      </c>
      <c r="Z5137" t="e">
        <v>#N/A</v>
      </c>
      <c r="AA5137" t="e">
        <v>#N/A</v>
      </c>
      <c r="AB5137" t="e">
        <v>#N/A</v>
      </c>
      <c r="AC5137" t="e">
        <v>#N/A</v>
      </c>
      <c r="AD5137" t="e">
        <v>#N/A</v>
      </c>
    </row>
    <row r="5138" spans="2:30" x14ac:dyDescent="0.25">
      <c r="B5138" t="s">
        <v>133</v>
      </c>
      <c r="C5138" t="s">
        <v>10598</v>
      </c>
      <c r="D5138" t="s">
        <v>3887</v>
      </c>
      <c r="E5138" t="s">
        <v>3888</v>
      </c>
      <c r="F5138" t="s">
        <v>10599</v>
      </c>
      <c r="G5138" t="s">
        <v>3890</v>
      </c>
      <c r="H5138" t="s">
        <v>3891</v>
      </c>
      <c r="I5138" t="s">
        <v>3892</v>
      </c>
      <c r="J5138">
        <v>2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</row>
    <row r="5139" spans="2:30" x14ac:dyDescent="0.25">
      <c r="B5139" t="s">
        <v>133</v>
      </c>
      <c r="C5139" t="s">
        <v>10598</v>
      </c>
      <c r="D5139" t="s">
        <v>3364</v>
      </c>
      <c r="E5139" t="s">
        <v>1403</v>
      </c>
      <c r="F5139" t="s">
        <v>10600</v>
      </c>
      <c r="G5139" t="s">
        <v>3890</v>
      </c>
      <c r="H5139" t="s">
        <v>1397</v>
      </c>
      <c r="I5139" t="s">
        <v>3894</v>
      </c>
      <c r="J5139">
        <v>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</row>
    <row r="5140" spans="2:30" x14ac:dyDescent="0.25">
      <c r="B5140" t="s">
        <v>133</v>
      </c>
      <c r="C5140" t="s">
        <v>10598</v>
      </c>
      <c r="D5140" t="s">
        <v>3369</v>
      </c>
      <c r="E5140" t="s">
        <v>3370</v>
      </c>
      <c r="F5140" t="s">
        <v>10601</v>
      </c>
      <c r="G5140" t="s">
        <v>3890</v>
      </c>
      <c r="H5140" t="s">
        <v>3896</v>
      </c>
      <c r="I5140" t="s">
        <v>3894</v>
      </c>
      <c r="J5140">
        <v>2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</row>
    <row r="5141" spans="2:30" x14ac:dyDescent="0.25">
      <c r="B5141" t="s">
        <v>133</v>
      </c>
      <c r="C5141" t="s">
        <v>10598</v>
      </c>
      <c r="D5141" t="s">
        <v>3897</v>
      </c>
      <c r="E5141" t="s">
        <v>1404</v>
      </c>
      <c r="F5141" t="s">
        <v>10602</v>
      </c>
      <c r="G5141" t="s">
        <v>3890</v>
      </c>
      <c r="H5141" t="s">
        <v>1401</v>
      </c>
      <c r="I5141" t="s">
        <v>3894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</row>
    <row r="5142" spans="2:30" x14ac:dyDescent="0.25">
      <c r="B5142" t="s">
        <v>133</v>
      </c>
      <c r="C5142" t="s">
        <v>10598</v>
      </c>
      <c r="D5142" t="s">
        <v>3899</v>
      </c>
      <c r="E5142" t="s">
        <v>3900</v>
      </c>
      <c r="F5142" t="s">
        <v>10603</v>
      </c>
      <c r="G5142" t="s">
        <v>3890</v>
      </c>
      <c r="H5142" t="s">
        <v>3891</v>
      </c>
      <c r="I5142" t="s">
        <v>3892</v>
      </c>
      <c r="J5142">
        <v>2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</row>
    <row r="5143" spans="2:30" x14ac:dyDescent="0.25">
      <c r="B5143" t="s">
        <v>133</v>
      </c>
      <c r="C5143" t="s">
        <v>10598</v>
      </c>
      <c r="D5143" t="s">
        <v>3902</v>
      </c>
      <c r="E5143" t="s">
        <v>3903</v>
      </c>
      <c r="F5143" t="s">
        <v>10604</v>
      </c>
      <c r="G5143" t="s">
        <v>3890</v>
      </c>
      <c r="H5143" t="s">
        <v>3891</v>
      </c>
      <c r="I5143" t="s">
        <v>3892</v>
      </c>
      <c r="J5143">
        <v>2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</row>
    <row r="5144" spans="2:30" x14ac:dyDescent="0.25">
      <c r="B5144" t="s">
        <v>133</v>
      </c>
      <c r="C5144" t="s">
        <v>10598</v>
      </c>
      <c r="D5144" t="s">
        <v>3905</v>
      </c>
      <c r="E5144" t="s">
        <v>3906</v>
      </c>
      <c r="F5144" t="s">
        <v>10605</v>
      </c>
      <c r="G5144" t="s">
        <v>3890</v>
      </c>
      <c r="H5144" t="s">
        <v>3891</v>
      </c>
      <c r="I5144" t="s">
        <v>3892</v>
      </c>
      <c r="J5144">
        <v>2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</row>
    <row r="5145" spans="2:30" x14ac:dyDescent="0.25">
      <c r="B5145" t="s">
        <v>133</v>
      </c>
      <c r="C5145" t="s">
        <v>10598</v>
      </c>
      <c r="D5145" t="s">
        <v>3908</v>
      </c>
      <c r="E5145" t="s">
        <v>3909</v>
      </c>
      <c r="F5145" t="s">
        <v>10606</v>
      </c>
      <c r="G5145" t="s">
        <v>3890</v>
      </c>
      <c r="H5145" t="s">
        <v>3891</v>
      </c>
      <c r="I5145" t="s">
        <v>3892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</row>
    <row r="5146" spans="2:30" x14ac:dyDescent="0.25">
      <c r="B5146" t="s">
        <v>133</v>
      </c>
      <c r="C5146" t="s">
        <v>10598</v>
      </c>
      <c r="D5146" t="s">
        <v>3911</v>
      </c>
      <c r="E5146" t="s">
        <v>3912</v>
      </c>
      <c r="F5146" t="s">
        <v>10607</v>
      </c>
      <c r="G5146" t="s">
        <v>3890</v>
      </c>
      <c r="H5146" t="s">
        <v>3891</v>
      </c>
      <c r="I5146" t="s">
        <v>3892</v>
      </c>
      <c r="J5146">
        <v>2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</row>
    <row r="5147" spans="2:30" x14ac:dyDescent="0.25">
      <c r="B5147" t="s">
        <v>133</v>
      </c>
      <c r="C5147" t="s">
        <v>10598</v>
      </c>
      <c r="D5147" t="s">
        <v>3914</v>
      </c>
      <c r="E5147" t="s">
        <v>3915</v>
      </c>
      <c r="F5147" t="s">
        <v>10608</v>
      </c>
      <c r="G5147" t="s">
        <v>3890</v>
      </c>
      <c r="H5147" t="s">
        <v>3917</v>
      </c>
      <c r="I5147" t="s">
        <v>3892</v>
      </c>
      <c r="J5147">
        <v>2</v>
      </c>
      <c r="K5147">
        <v>6.651E-2</v>
      </c>
      <c r="L5147">
        <v>3.7600000000000001E-2</v>
      </c>
      <c r="M5147">
        <v>2.3990000000000001E-2</v>
      </c>
      <c r="N5147">
        <v>4.3920000000000001E-2</v>
      </c>
      <c r="O5147">
        <v>4.24E-2</v>
      </c>
      <c r="P5147">
        <v>4.829E-2</v>
      </c>
      <c r="Q5147">
        <v>5.5350000000000003E-2</v>
      </c>
      <c r="R5147">
        <v>5.2269999999999997E-2</v>
      </c>
      <c r="S5147">
        <v>4.8419999999999998E-2</v>
      </c>
      <c r="T5147">
        <v>4.7890000000000002E-2</v>
      </c>
      <c r="U5147">
        <v>4.7359999999999999E-2</v>
      </c>
      <c r="V5147">
        <v>4.6820000000000001E-2</v>
      </c>
      <c r="W5147">
        <v>4.6289999999999998E-2</v>
      </c>
      <c r="X5147">
        <v>4.5760000000000002E-2</v>
      </c>
      <c r="Y5147">
        <v>4.5229999999999999E-2</v>
      </c>
      <c r="Z5147">
        <v>4.4699999999999997E-2</v>
      </c>
      <c r="AA5147">
        <v>4.4170000000000001E-2</v>
      </c>
      <c r="AB5147">
        <v>4.3639999999999998E-2</v>
      </c>
      <c r="AC5147">
        <v>4.3099999999999999E-2</v>
      </c>
      <c r="AD5147">
        <v>4.2569999999999997E-2</v>
      </c>
    </row>
    <row r="5148" spans="2:30" x14ac:dyDescent="0.25">
      <c r="B5148" t="s">
        <v>133</v>
      </c>
      <c r="C5148" t="s">
        <v>10598</v>
      </c>
      <c r="D5148" t="s">
        <v>3918</v>
      </c>
      <c r="E5148" t="s">
        <v>3919</v>
      </c>
      <c r="F5148" t="s">
        <v>10609</v>
      </c>
      <c r="G5148" t="s">
        <v>3890</v>
      </c>
      <c r="H5148" t="s">
        <v>3917</v>
      </c>
      <c r="I5148" t="s">
        <v>3892</v>
      </c>
      <c r="J5148">
        <v>2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-2.7E-4</v>
      </c>
      <c r="R5148">
        <v>-7.5000000000000002E-4</v>
      </c>
      <c r="S5148">
        <v>-1.2899999999999999E-3</v>
      </c>
      <c r="T5148">
        <v>-1.8E-3</v>
      </c>
      <c r="U5148">
        <v>-2.33E-3</v>
      </c>
      <c r="V5148">
        <v>-2.7699999999999999E-3</v>
      </c>
      <c r="W5148">
        <v>-3.2200000000000002E-3</v>
      </c>
      <c r="X5148">
        <v>-3.5300000000000002E-3</v>
      </c>
      <c r="Y5148">
        <v>-3.2299999999999998E-3</v>
      </c>
      <c r="Z5148">
        <v>-3.1199999999999999E-3</v>
      </c>
      <c r="AA5148">
        <v>-2.49E-3</v>
      </c>
      <c r="AB5148">
        <v>-2.5400000000000002E-3</v>
      </c>
      <c r="AC5148">
        <v>-2.6099999999999999E-3</v>
      </c>
      <c r="AD5148">
        <v>-2.2699999999999999E-3</v>
      </c>
    </row>
    <row r="5149" spans="2:30" x14ac:dyDescent="0.25">
      <c r="B5149" t="s">
        <v>133</v>
      </c>
      <c r="C5149" t="s">
        <v>10598</v>
      </c>
      <c r="D5149" t="s">
        <v>3921</v>
      </c>
      <c r="E5149" t="s">
        <v>3922</v>
      </c>
      <c r="F5149" t="s">
        <v>10610</v>
      </c>
      <c r="G5149" t="s">
        <v>3890</v>
      </c>
      <c r="H5149" t="s">
        <v>3917</v>
      </c>
      <c r="I5149" t="s">
        <v>3892</v>
      </c>
      <c r="J5149">
        <v>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5.0000000000000002E-5</v>
      </c>
      <c r="R5149">
        <v>1.2999999999999999E-4</v>
      </c>
      <c r="S5149">
        <v>2.1000000000000001E-4</v>
      </c>
      <c r="T5149">
        <v>2.7E-4</v>
      </c>
      <c r="U5149">
        <v>3.6000000000000002E-4</v>
      </c>
      <c r="V5149">
        <v>4.0999999999999999E-4</v>
      </c>
      <c r="W5149">
        <v>5.0000000000000001E-4</v>
      </c>
      <c r="X5149">
        <v>5.4000000000000001E-4</v>
      </c>
      <c r="Y5149">
        <v>5.0000000000000001E-4</v>
      </c>
      <c r="Z5149">
        <v>5.2999999999999998E-4</v>
      </c>
      <c r="AA5149">
        <v>4.2000000000000002E-4</v>
      </c>
      <c r="AB5149">
        <v>5.4000000000000001E-4</v>
      </c>
      <c r="AC5149">
        <v>5.2999999999999998E-4</v>
      </c>
      <c r="AD5149">
        <v>5.1999999999999995E-4</v>
      </c>
    </row>
    <row r="5150" spans="2:30" x14ac:dyDescent="0.25">
      <c r="B5150" t="s">
        <v>133</v>
      </c>
      <c r="C5150" t="s">
        <v>10598</v>
      </c>
      <c r="D5150" t="s">
        <v>3924</v>
      </c>
      <c r="E5150" t="s">
        <v>3925</v>
      </c>
      <c r="F5150" t="s">
        <v>10611</v>
      </c>
      <c r="G5150" t="s">
        <v>3890</v>
      </c>
      <c r="H5150" t="s">
        <v>3917</v>
      </c>
      <c r="I5150" t="s">
        <v>3892</v>
      </c>
      <c r="J5150">
        <v>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2.3000000000000001E-4</v>
      </c>
      <c r="R5150">
        <v>5.4000000000000001E-4</v>
      </c>
      <c r="S5150">
        <v>9.1E-4</v>
      </c>
      <c r="T5150">
        <v>1.1999999999999999E-3</v>
      </c>
      <c r="U5150">
        <v>1.5900000000000001E-3</v>
      </c>
      <c r="V5150">
        <v>1.9E-3</v>
      </c>
      <c r="W5150">
        <v>2.3600000000000001E-3</v>
      </c>
      <c r="X5150">
        <v>2.7000000000000001E-3</v>
      </c>
      <c r="Y5150">
        <v>2.7200000000000002E-3</v>
      </c>
      <c r="Z5150">
        <v>3.0999999999999999E-3</v>
      </c>
      <c r="AA5150">
        <v>2.98E-3</v>
      </c>
      <c r="AB5150">
        <v>3.7399999999999998E-3</v>
      </c>
      <c r="AC5150">
        <v>4.0099999999999997E-3</v>
      </c>
      <c r="AD5150">
        <v>4.2599999999999999E-3</v>
      </c>
    </row>
    <row r="5151" spans="2:30" x14ac:dyDescent="0.25">
      <c r="B5151" t="s">
        <v>133</v>
      </c>
      <c r="C5151" t="s">
        <v>10598</v>
      </c>
      <c r="D5151" t="s">
        <v>3927</v>
      </c>
      <c r="E5151" t="s">
        <v>3928</v>
      </c>
      <c r="F5151" t="s">
        <v>10612</v>
      </c>
      <c r="G5151" t="s">
        <v>3890</v>
      </c>
      <c r="H5151" t="s">
        <v>3917</v>
      </c>
      <c r="I5151" t="s">
        <v>3892</v>
      </c>
      <c r="J5151">
        <v>2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</row>
    <row r="5152" spans="2:30" x14ac:dyDescent="0.25">
      <c r="B5152" t="s">
        <v>133</v>
      </c>
      <c r="C5152" t="s">
        <v>10598</v>
      </c>
      <c r="D5152" t="s">
        <v>3930</v>
      </c>
      <c r="E5152" t="s">
        <v>3931</v>
      </c>
      <c r="F5152" t="s">
        <v>10613</v>
      </c>
      <c r="G5152" t="s">
        <v>3890</v>
      </c>
      <c r="H5152" t="s">
        <v>3917</v>
      </c>
      <c r="I5152" t="s">
        <v>3892</v>
      </c>
      <c r="J5152">
        <v>2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2.0000000000000002E-5</v>
      </c>
      <c r="R5152">
        <v>6.9999999999999994E-5</v>
      </c>
      <c r="S5152">
        <v>1.3999999999999999E-4</v>
      </c>
      <c r="T5152">
        <v>2.0000000000000001E-4</v>
      </c>
      <c r="U5152">
        <v>2.7E-4</v>
      </c>
      <c r="V5152">
        <v>3.3E-4</v>
      </c>
      <c r="W5152">
        <v>4.0999999999999999E-4</v>
      </c>
      <c r="X5152">
        <v>4.6999999999999999E-4</v>
      </c>
      <c r="Y5152">
        <v>4.8000000000000001E-4</v>
      </c>
      <c r="Z5152">
        <v>4.8999999999999998E-4</v>
      </c>
      <c r="AA5152">
        <v>4.6000000000000001E-4</v>
      </c>
      <c r="AB5152">
        <v>4.8000000000000001E-4</v>
      </c>
      <c r="AC5152">
        <v>5.0000000000000001E-4</v>
      </c>
      <c r="AD5152">
        <v>5.1000000000000004E-4</v>
      </c>
    </row>
    <row r="5153" spans="2:30" x14ac:dyDescent="0.25">
      <c r="B5153" t="s">
        <v>133</v>
      </c>
      <c r="C5153" t="s">
        <v>10598</v>
      </c>
      <c r="D5153" t="s">
        <v>3933</v>
      </c>
      <c r="E5153" t="s">
        <v>3934</v>
      </c>
      <c r="F5153" t="s">
        <v>10614</v>
      </c>
      <c r="G5153" t="s">
        <v>3890</v>
      </c>
      <c r="H5153" t="s">
        <v>3917</v>
      </c>
      <c r="I5153" t="s">
        <v>3892</v>
      </c>
      <c r="J5153">
        <v>2</v>
      </c>
      <c r="K5153">
        <v>6.651E-2</v>
      </c>
      <c r="L5153">
        <v>3.7600000000000001E-2</v>
      </c>
      <c r="M5153">
        <v>2.3990000000000001E-2</v>
      </c>
      <c r="N5153">
        <v>4.3920000000000001E-2</v>
      </c>
      <c r="O5153">
        <v>4.24E-2</v>
      </c>
      <c r="P5153">
        <v>4.829E-2</v>
      </c>
      <c r="Q5153">
        <v>5.5380000000000006E-2</v>
      </c>
      <c r="R5153">
        <v>5.2259999999999994E-2</v>
      </c>
      <c r="S5153">
        <v>4.8390000000000002E-2</v>
      </c>
      <c r="T5153">
        <v>4.7759999999999997E-2</v>
      </c>
      <c r="U5153">
        <v>4.725E-2</v>
      </c>
      <c r="V5153">
        <v>4.6689999999999995E-2</v>
      </c>
      <c r="W5153">
        <v>4.6339999999999999E-2</v>
      </c>
      <c r="X5153">
        <v>4.5940000000000002E-2</v>
      </c>
      <c r="Y5153">
        <v>4.5700000000000005E-2</v>
      </c>
      <c r="Z5153">
        <v>4.5699999999999998E-2</v>
      </c>
      <c r="AA5153">
        <v>4.5539999999999997E-2</v>
      </c>
      <c r="AB5153">
        <v>4.5859999999999998E-2</v>
      </c>
      <c r="AC5153">
        <v>4.5530000000000001E-2</v>
      </c>
      <c r="AD5153">
        <v>4.5589999999999992E-2</v>
      </c>
    </row>
    <row r="5154" spans="2:30" x14ac:dyDescent="0.25">
      <c r="B5154" t="s">
        <v>133</v>
      </c>
      <c r="C5154" t="s">
        <v>10598</v>
      </c>
      <c r="D5154" t="s">
        <v>3936</v>
      </c>
      <c r="E5154" t="s">
        <v>3437</v>
      </c>
      <c r="F5154" t="s">
        <v>10615</v>
      </c>
      <c r="G5154" t="s">
        <v>3890</v>
      </c>
      <c r="H5154" t="s">
        <v>2308</v>
      </c>
      <c r="I5154" t="s">
        <v>3938</v>
      </c>
      <c r="J5154">
        <v>1</v>
      </c>
      <c r="K5154">
        <v>-31.97</v>
      </c>
      <c r="L5154">
        <v>-26.56</v>
      </c>
      <c r="M5154">
        <v>-38.700000000000003</v>
      </c>
      <c r="N5154">
        <v>-37.520000000000003</v>
      </c>
      <c r="O5154">
        <v>-39.33</v>
      </c>
      <c r="P5154">
        <v>-38.21</v>
      </c>
      <c r="Q5154">
        <v>-38.51</v>
      </c>
      <c r="R5154">
        <v>-39.22</v>
      </c>
      <c r="S5154">
        <v>-39.93</v>
      </c>
      <c r="T5154">
        <v>-40.51</v>
      </c>
      <c r="U5154">
        <v>-41.25</v>
      </c>
      <c r="V5154">
        <v>-41.92</v>
      </c>
      <c r="W5154">
        <v>-42.48</v>
      </c>
      <c r="X5154">
        <v>-42.89</v>
      </c>
      <c r="Y5154">
        <v>-43.07</v>
      </c>
      <c r="Z5154">
        <v>-43.04</v>
      </c>
      <c r="AA5154">
        <v>-42.79</v>
      </c>
      <c r="AB5154">
        <v>-42.29</v>
      </c>
      <c r="AC5154">
        <v>-41.94</v>
      </c>
      <c r="AD5154">
        <v>-43.65</v>
      </c>
    </row>
    <row r="5155" spans="2:30" x14ac:dyDescent="0.25">
      <c r="B5155" t="s">
        <v>133</v>
      </c>
      <c r="C5155" t="s">
        <v>10598</v>
      </c>
      <c r="D5155" t="s">
        <v>3939</v>
      </c>
      <c r="E5155" t="s">
        <v>3443</v>
      </c>
      <c r="F5155" t="s">
        <v>10616</v>
      </c>
      <c r="G5155" t="s">
        <v>3890</v>
      </c>
      <c r="H5155" t="s">
        <v>2308</v>
      </c>
      <c r="I5155" t="s">
        <v>3938</v>
      </c>
      <c r="J5155">
        <v>2</v>
      </c>
      <c r="K5155">
        <v>-31.97</v>
      </c>
      <c r="L5155">
        <v>-26.56</v>
      </c>
      <c r="M5155">
        <v>-38.700000000000003</v>
      </c>
      <c r="N5155">
        <v>-37.520000000000003</v>
      </c>
      <c r="O5155">
        <v>-39.33</v>
      </c>
      <c r="P5155">
        <v>-38.200000000000003</v>
      </c>
      <c r="Q5155">
        <v>-38</v>
      </c>
      <c r="R5155">
        <v>-38</v>
      </c>
      <c r="S5155">
        <v>-37.82</v>
      </c>
      <c r="T5155">
        <v>-37.590000000000003</v>
      </c>
      <c r="U5155">
        <v>-37.21</v>
      </c>
      <c r="V5155">
        <v>-36.96</v>
      </c>
      <c r="W5155">
        <v>-36.24</v>
      </c>
      <c r="X5155">
        <v>-35.74</v>
      </c>
      <c r="Y5155">
        <v>-36.229999999999997</v>
      </c>
      <c r="Z5155">
        <v>-35.33</v>
      </c>
      <c r="AA5155">
        <v>-36.31</v>
      </c>
      <c r="AB5155">
        <v>-33.85</v>
      </c>
      <c r="AC5155">
        <v>-35.549999999999997</v>
      </c>
      <c r="AD5155">
        <v>-38.64</v>
      </c>
    </row>
    <row r="5156" spans="2:30" x14ac:dyDescent="0.25">
      <c r="B5156" t="s">
        <v>133</v>
      </c>
      <c r="C5156" t="s">
        <v>10598</v>
      </c>
      <c r="D5156" t="s">
        <v>3941</v>
      </c>
      <c r="E5156" t="s">
        <v>3942</v>
      </c>
      <c r="F5156" t="s">
        <v>10617</v>
      </c>
      <c r="G5156" t="s">
        <v>3890</v>
      </c>
      <c r="H5156" t="s">
        <v>2308</v>
      </c>
      <c r="I5156" t="s">
        <v>3892</v>
      </c>
      <c r="J5156">
        <v>1</v>
      </c>
      <c r="K5156">
        <v>-5.8450000000000002E-2</v>
      </c>
      <c r="L5156">
        <v>-4.6809999999999997E-2</v>
      </c>
      <c r="M5156">
        <v>-6.6600000000000006E-2</v>
      </c>
      <c r="N5156">
        <v>-6.1839999999999999E-2</v>
      </c>
      <c r="O5156">
        <v>-6.2199999999999998E-2</v>
      </c>
      <c r="P5156">
        <v>-5.7630000000000001E-2</v>
      </c>
      <c r="Q5156">
        <v>-5.5039999999999999E-2</v>
      </c>
      <c r="R5156">
        <v>-5.3280000000000001E-2</v>
      </c>
      <c r="S5156">
        <v>-5.1729999999999998E-2</v>
      </c>
      <c r="T5156">
        <v>-5.0090000000000003E-2</v>
      </c>
      <c r="U5156">
        <v>-4.8689999999999997E-2</v>
      </c>
      <c r="V5156">
        <v>-4.727E-2</v>
      </c>
      <c r="W5156">
        <v>-4.5780000000000001E-2</v>
      </c>
      <c r="X5156">
        <v>-4.4209999999999999E-2</v>
      </c>
      <c r="Y5156">
        <v>-4.2459999999999998E-2</v>
      </c>
      <c r="Z5156">
        <v>-4.0620000000000003E-2</v>
      </c>
      <c r="AA5156">
        <v>-3.8679999999999999E-2</v>
      </c>
      <c r="AB5156">
        <v>-3.6630000000000003E-2</v>
      </c>
      <c r="AC5156">
        <v>-3.4819999999999997E-2</v>
      </c>
      <c r="AD5156">
        <v>-3.4759999999999999E-2</v>
      </c>
    </row>
    <row r="5157" spans="2:30" x14ac:dyDescent="0.25">
      <c r="B5157" t="s">
        <v>133</v>
      </c>
      <c r="C5157" t="s">
        <v>10598</v>
      </c>
      <c r="D5157" t="s">
        <v>3944</v>
      </c>
      <c r="E5157" t="s">
        <v>3945</v>
      </c>
      <c r="F5157" t="s">
        <v>10618</v>
      </c>
      <c r="G5157" t="s">
        <v>3890</v>
      </c>
      <c r="H5157" t="s">
        <v>2308</v>
      </c>
      <c r="I5157" t="s">
        <v>3892</v>
      </c>
      <c r="J5157">
        <v>2</v>
      </c>
      <c r="K5157">
        <v>-5.8450000000000002E-2</v>
      </c>
      <c r="L5157">
        <v>-4.6809999999999997E-2</v>
      </c>
      <c r="M5157">
        <v>-6.6600000000000006E-2</v>
      </c>
      <c r="N5157">
        <v>-6.1839999999999999E-2</v>
      </c>
      <c r="O5157">
        <v>-6.2199999999999998E-2</v>
      </c>
      <c r="P5157">
        <v>-5.7630000000000001E-2</v>
      </c>
      <c r="Q5157">
        <v>-5.4309999999999997E-2</v>
      </c>
      <c r="R5157">
        <v>-5.1619999999999999E-2</v>
      </c>
      <c r="S5157">
        <v>-4.8989999999999999E-2</v>
      </c>
      <c r="T5157">
        <v>-4.648E-2</v>
      </c>
      <c r="U5157">
        <v>-4.3929999999999997E-2</v>
      </c>
      <c r="V5157">
        <v>-4.1680000000000002E-2</v>
      </c>
      <c r="W5157">
        <v>-3.9059999999999997E-2</v>
      </c>
      <c r="X5157">
        <v>-3.6830000000000002E-2</v>
      </c>
      <c r="Y5157">
        <v>-3.5720000000000002E-2</v>
      </c>
      <c r="Z5157">
        <v>-3.3340000000000002E-2</v>
      </c>
      <c r="AA5157">
        <v>-3.2820000000000002E-2</v>
      </c>
      <c r="AB5157">
        <v>-2.9319999999999999E-2</v>
      </c>
      <c r="AC5157">
        <v>-2.9520000000000001E-2</v>
      </c>
      <c r="AD5157">
        <v>-3.0769999999999999E-2</v>
      </c>
    </row>
    <row r="5158" spans="2:30" x14ac:dyDescent="0.25">
      <c r="B5158" t="s">
        <v>133</v>
      </c>
      <c r="C5158" t="s">
        <v>10598</v>
      </c>
      <c r="D5158" t="s">
        <v>3947</v>
      </c>
      <c r="E5158" t="s">
        <v>3948</v>
      </c>
      <c r="F5158" t="s">
        <v>10619</v>
      </c>
      <c r="J5158">
        <v>2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3.9132317678075568E-6</v>
      </c>
      <c r="Q5158">
        <v>4.5980521084787451E-5</v>
      </c>
      <c r="R5158">
        <v>1.8620612649036805E-4</v>
      </c>
      <c r="S5158">
        <v>2.5547358487008898E-4</v>
      </c>
      <c r="T5158">
        <v>3.765174739985902E-4</v>
      </c>
      <c r="U5158">
        <v>4.0377126994630558E-4</v>
      </c>
      <c r="V5158">
        <v>5.4196777975765859E-4</v>
      </c>
      <c r="W5158">
        <v>5.4359549072933305E-4</v>
      </c>
      <c r="X5158">
        <v>6.9511343470927273E-4</v>
      </c>
      <c r="Y5158">
        <v>6.7256396836733179E-4</v>
      </c>
      <c r="Z5158">
        <v>6.5183722561790863E-4</v>
      </c>
      <c r="AA5158">
        <v>7.7785425512242462E-4</v>
      </c>
      <c r="AB5158">
        <v>5.4994712102086202E-4</v>
      </c>
      <c r="AC5158">
        <v>1.0246227233960542E-3</v>
      </c>
      <c r="AD5158">
        <v>4.307921000239745E-4</v>
      </c>
    </row>
    <row r="5159" spans="2:30" x14ac:dyDescent="0.25">
      <c r="B5159" t="s">
        <v>133</v>
      </c>
      <c r="C5159" t="s">
        <v>10598</v>
      </c>
      <c r="D5159" t="s">
        <v>3950</v>
      </c>
      <c r="E5159" t="s">
        <v>3951</v>
      </c>
      <c r="F5159" t="s">
        <v>10620</v>
      </c>
      <c r="J5159">
        <v>2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</row>
    <row r="5160" spans="2:30" x14ac:dyDescent="0.25">
      <c r="B5160" t="s">
        <v>133</v>
      </c>
      <c r="C5160" t="s">
        <v>10598</v>
      </c>
      <c r="D5160" t="s">
        <v>3953</v>
      </c>
      <c r="E5160" t="s">
        <v>3954</v>
      </c>
      <c r="F5160" t="s">
        <v>10621</v>
      </c>
      <c r="J5160">
        <v>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</row>
    <row r="5161" spans="2:30" x14ac:dyDescent="0.25">
      <c r="B5161" t="s">
        <v>133</v>
      </c>
      <c r="C5161" t="s">
        <v>10598</v>
      </c>
      <c r="D5161" t="s">
        <v>3956</v>
      </c>
      <c r="E5161" t="s">
        <v>3957</v>
      </c>
      <c r="F5161" t="s">
        <v>10622</v>
      </c>
      <c r="J5161">
        <v>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</row>
    <row r="5162" spans="2:30" x14ac:dyDescent="0.25">
      <c r="B5162" t="s">
        <v>133</v>
      </c>
      <c r="C5162" t="s">
        <v>10598</v>
      </c>
      <c r="D5162" t="s">
        <v>3959</v>
      </c>
      <c r="E5162" t="s">
        <v>3960</v>
      </c>
      <c r="F5162" t="s">
        <v>10623</v>
      </c>
      <c r="J5162">
        <v>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</row>
    <row r="5163" spans="2:30" x14ac:dyDescent="0.25">
      <c r="B5163" t="s">
        <v>133</v>
      </c>
      <c r="C5163" t="s">
        <v>10598</v>
      </c>
      <c r="D5163" t="s">
        <v>3962</v>
      </c>
      <c r="E5163" t="s">
        <v>3963</v>
      </c>
      <c r="F5163" t="s">
        <v>10624</v>
      </c>
      <c r="J5163">
        <v>2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</row>
    <row r="5164" spans="2:30" x14ac:dyDescent="0.25">
      <c r="B5164" t="s">
        <v>133</v>
      </c>
      <c r="C5164" t="s">
        <v>10598</v>
      </c>
      <c r="D5164" t="s">
        <v>3965</v>
      </c>
      <c r="E5164" t="s">
        <v>3966</v>
      </c>
      <c r="F5164" t="s">
        <v>10625</v>
      </c>
      <c r="G5164" t="s">
        <v>3890</v>
      </c>
      <c r="H5164" t="s">
        <v>3968</v>
      </c>
      <c r="I5164" t="s">
        <v>3969</v>
      </c>
      <c r="J5164">
        <v>1</v>
      </c>
      <c r="K5164">
        <v>6.3</v>
      </c>
      <c r="L5164">
        <v>6.34</v>
      </c>
      <c r="M5164">
        <v>6.37</v>
      </c>
      <c r="N5164">
        <v>6.41</v>
      </c>
      <c r="O5164">
        <v>6.45</v>
      </c>
      <c r="P5164">
        <v>6.5</v>
      </c>
      <c r="Q5164">
        <v>6.55</v>
      </c>
      <c r="R5164">
        <v>6.6</v>
      </c>
      <c r="S5164">
        <v>6.65</v>
      </c>
      <c r="T5164">
        <v>6.7</v>
      </c>
      <c r="U5164">
        <v>6.74</v>
      </c>
      <c r="V5164">
        <v>6.79</v>
      </c>
      <c r="W5164">
        <v>6.83</v>
      </c>
      <c r="X5164">
        <v>6.88</v>
      </c>
      <c r="Y5164">
        <v>6.92</v>
      </c>
      <c r="Z5164">
        <v>6.97</v>
      </c>
      <c r="AA5164">
        <v>7.01</v>
      </c>
      <c r="AB5164">
        <v>7.05</v>
      </c>
      <c r="AC5164">
        <v>7.09</v>
      </c>
      <c r="AD5164">
        <v>7.14</v>
      </c>
    </row>
    <row r="5165" spans="2:30" x14ac:dyDescent="0.25">
      <c r="B5165" t="s">
        <v>133</v>
      </c>
      <c r="C5165" t="s">
        <v>10598</v>
      </c>
      <c r="D5165" t="s">
        <v>3970</v>
      </c>
      <c r="E5165" t="s">
        <v>3971</v>
      </c>
      <c r="F5165" t="s">
        <v>10626</v>
      </c>
      <c r="G5165" t="s">
        <v>3890</v>
      </c>
      <c r="H5165" t="s">
        <v>3917</v>
      </c>
      <c r="I5165" t="s">
        <v>3938</v>
      </c>
      <c r="J5165">
        <v>1</v>
      </c>
      <c r="K5165">
        <v>546.97091999999998</v>
      </c>
      <c r="L5165">
        <v>567.53857000000005</v>
      </c>
      <c r="M5165">
        <v>581.15269000000001</v>
      </c>
      <c r="N5165">
        <v>606.67916000000002</v>
      </c>
      <c r="O5165">
        <v>632.40057999999999</v>
      </c>
      <c r="P5165">
        <v>662.94057999999995</v>
      </c>
      <c r="Q5165">
        <v>699.63643999999999</v>
      </c>
      <c r="R5165">
        <v>736.20367999999996</v>
      </c>
      <c r="S5165">
        <v>771.84974999999997</v>
      </c>
      <c r="T5165">
        <v>808.8116</v>
      </c>
      <c r="U5165">
        <v>847.11364000000003</v>
      </c>
      <c r="V5165">
        <v>886.77935000000002</v>
      </c>
      <c r="W5165">
        <v>927.83114</v>
      </c>
      <c r="X5165">
        <v>970.29029000000003</v>
      </c>
      <c r="Y5165">
        <v>1014.17682</v>
      </c>
      <c r="Z5165">
        <v>1059.5094099999999</v>
      </c>
      <c r="AA5165">
        <v>1106.30528</v>
      </c>
      <c r="AB5165">
        <v>1154.5800999999999</v>
      </c>
      <c r="AC5165">
        <v>1204.3479</v>
      </c>
      <c r="AD5165">
        <v>1255.6209100000001</v>
      </c>
    </row>
    <row r="5166" spans="2:30" x14ac:dyDescent="0.25">
      <c r="B5166" t="s">
        <v>133</v>
      </c>
      <c r="C5166" t="s">
        <v>10598</v>
      </c>
      <c r="D5166" t="s">
        <v>3973</v>
      </c>
      <c r="E5166" t="s">
        <v>3974</v>
      </c>
      <c r="F5166" t="s">
        <v>10627</v>
      </c>
      <c r="G5166" t="s">
        <v>3890</v>
      </c>
      <c r="H5166" t="s">
        <v>3917</v>
      </c>
      <c r="I5166" t="s">
        <v>3938</v>
      </c>
      <c r="J5166">
        <v>2</v>
      </c>
      <c r="K5166">
        <v>546.97091999999998</v>
      </c>
      <c r="L5166">
        <v>567.53857000000005</v>
      </c>
      <c r="M5166">
        <v>581.15269000000001</v>
      </c>
      <c r="N5166">
        <v>606.67916000000002</v>
      </c>
      <c r="O5166">
        <v>632.40057999999999</v>
      </c>
      <c r="P5166">
        <v>662.94057999999995</v>
      </c>
      <c r="Q5166">
        <v>699.63656000000003</v>
      </c>
      <c r="R5166">
        <v>736.22739000000001</v>
      </c>
      <c r="S5166">
        <v>771.84515999999996</v>
      </c>
      <c r="T5166">
        <v>808.78682000000003</v>
      </c>
      <c r="U5166">
        <v>847.01913999999999</v>
      </c>
      <c r="V5166">
        <v>886.68016999999998</v>
      </c>
      <c r="W5166">
        <v>927.73139000000003</v>
      </c>
      <c r="X5166">
        <v>970.33154999999999</v>
      </c>
      <c r="Y5166">
        <v>1014.3519</v>
      </c>
      <c r="Z5166">
        <v>1059.9859899999999</v>
      </c>
      <c r="AA5166">
        <v>1107.36886</v>
      </c>
      <c r="AB5166">
        <v>1156.0907500000001</v>
      </c>
      <c r="AC5166">
        <v>1206.9106099999999</v>
      </c>
      <c r="AD5166">
        <v>1258.52917</v>
      </c>
    </row>
    <row r="5167" spans="2:30" x14ac:dyDescent="0.25">
      <c r="B5167" t="s">
        <v>133</v>
      </c>
      <c r="C5167" t="s">
        <v>10598</v>
      </c>
      <c r="D5167" t="s">
        <v>3976</v>
      </c>
      <c r="E5167" t="s">
        <v>3977</v>
      </c>
      <c r="F5167" t="s">
        <v>10628</v>
      </c>
      <c r="G5167" t="s">
        <v>3890</v>
      </c>
      <c r="H5167" t="s">
        <v>3979</v>
      </c>
      <c r="I5167" t="s">
        <v>3980</v>
      </c>
      <c r="J5167">
        <v>1</v>
      </c>
      <c r="K5167">
        <v>103.6</v>
      </c>
      <c r="L5167">
        <v>105.2</v>
      </c>
      <c r="M5167">
        <v>106.6</v>
      </c>
      <c r="N5167">
        <v>107.9</v>
      </c>
      <c r="O5167">
        <v>110.05800000000001</v>
      </c>
      <c r="P5167">
        <v>112.25915999999999</v>
      </c>
      <c r="Q5167">
        <v>114.50434300000001</v>
      </c>
      <c r="R5167">
        <v>116.79443000000001</v>
      </c>
      <c r="S5167">
        <v>120.29826300000001</v>
      </c>
      <c r="T5167">
        <v>125.110193</v>
      </c>
      <c r="U5167">
        <v>130.11460017919998</v>
      </c>
      <c r="V5167">
        <v>135.31918362393597</v>
      </c>
      <c r="W5167">
        <v>140.73195038396412</v>
      </c>
      <c r="X5167">
        <v>146.36122779099622</v>
      </c>
      <c r="Y5167">
        <v>152.21567626997654</v>
      </c>
      <c r="Z5167">
        <v>158.3043026628097</v>
      </c>
      <c r="AA5167">
        <v>164.63647408503755</v>
      </c>
      <c r="AB5167">
        <v>171.22193233678314</v>
      </c>
      <c r="AC5167">
        <v>178.07080889013233</v>
      </c>
      <c r="AD5167">
        <v>185.19364047601059</v>
      </c>
    </row>
    <row r="5168" spans="2:30" x14ac:dyDescent="0.25">
      <c r="B5168" t="s">
        <v>133</v>
      </c>
      <c r="C5168" t="s">
        <v>10598</v>
      </c>
      <c r="D5168" t="s">
        <v>3981</v>
      </c>
      <c r="E5168" t="s">
        <v>3982</v>
      </c>
      <c r="F5168" t="s">
        <v>10629</v>
      </c>
      <c r="G5168" t="s">
        <v>3890</v>
      </c>
      <c r="H5168" t="s">
        <v>3984</v>
      </c>
      <c r="I5168" t="s">
        <v>3985</v>
      </c>
      <c r="J5168">
        <v>1</v>
      </c>
      <c r="K5168">
        <v>400.91199999999998</v>
      </c>
      <c r="L5168">
        <v>412.09300000000002</v>
      </c>
      <c r="M5168">
        <v>450.91199999999998</v>
      </c>
      <c r="N5168">
        <v>467.50299999999999</v>
      </c>
      <c r="O5168">
        <v>473.61099999999999</v>
      </c>
      <c r="P5168">
        <v>484.72199999999998</v>
      </c>
      <c r="Q5168">
        <v>501.07100000000003</v>
      </c>
      <c r="R5168">
        <v>518.10699999999997</v>
      </c>
      <c r="S5168">
        <v>535.59100000000001</v>
      </c>
      <c r="T5168">
        <v>555.01099999999997</v>
      </c>
      <c r="U5168">
        <v>576.96699999999998</v>
      </c>
      <c r="V5168">
        <v>601.255</v>
      </c>
      <c r="W5168">
        <v>626.79999999999995</v>
      </c>
      <c r="X5168">
        <v>653.71699999999998</v>
      </c>
      <c r="Y5168">
        <v>681.98</v>
      </c>
      <c r="Z5168">
        <v>711.798</v>
      </c>
      <c r="AA5168">
        <v>743.27499999999998</v>
      </c>
      <c r="AB5168">
        <v>776.57600000000002</v>
      </c>
      <c r="AC5168">
        <v>811.89599999999996</v>
      </c>
      <c r="AD5168">
        <v>848.12900000000002</v>
      </c>
    </row>
    <row r="5169" spans="2:30" x14ac:dyDescent="0.25">
      <c r="B5169" t="s">
        <v>133</v>
      </c>
      <c r="C5169" t="s">
        <v>10598</v>
      </c>
      <c r="D5169" t="s">
        <v>3387</v>
      </c>
      <c r="E5169" t="s">
        <v>3388</v>
      </c>
      <c r="F5169" t="s">
        <v>10630</v>
      </c>
      <c r="G5169" t="s">
        <v>3890</v>
      </c>
      <c r="H5169" t="s">
        <v>3984</v>
      </c>
      <c r="I5169" t="s">
        <v>3985</v>
      </c>
      <c r="J5169">
        <v>1</v>
      </c>
      <c r="K5169">
        <v>400.91199999999998</v>
      </c>
      <c r="L5169">
        <v>412.09300000000002</v>
      </c>
      <c r="M5169">
        <v>450.91199999999998</v>
      </c>
      <c r="N5169">
        <v>467.50299999999999</v>
      </c>
      <c r="O5169">
        <v>473.61099999999999</v>
      </c>
      <c r="P5169">
        <v>484.72199999999998</v>
      </c>
      <c r="Q5169">
        <v>501.07100000000003</v>
      </c>
      <c r="R5169">
        <v>518.10699999999997</v>
      </c>
      <c r="S5169">
        <v>535.59100000000001</v>
      </c>
      <c r="T5169">
        <v>555.01099999999997</v>
      </c>
      <c r="U5169">
        <v>576.96699999999998</v>
      </c>
      <c r="V5169">
        <v>601.255</v>
      </c>
      <c r="W5169">
        <v>626.79999999999995</v>
      </c>
      <c r="X5169">
        <v>653.71699999999998</v>
      </c>
      <c r="Y5169">
        <v>681.98</v>
      </c>
      <c r="Z5169">
        <v>711.798</v>
      </c>
      <c r="AA5169">
        <v>743.27499999999998</v>
      </c>
      <c r="AB5169">
        <v>776.57600000000002</v>
      </c>
      <c r="AC5169">
        <v>811.89599999999996</v>
      </c>
      <c r="AD5169">
        <v>848.12900000000002</v>
      </c>
    </row>
    <row r="5170" spans="2:30" x14ac:dyDescent="0.25">
      <c r="B5170" t="s">
        <v>133</v>
      </c>
      <c r="C5170" t="s">
        <v>10598</v>
      </c>
      <c r="D5170" t="s">
        <v>3987</v>
      </c>
      <c r="E5170" t="s">
        <v>3988</v>
      </c>
      <c r="F5170" t="s">
        <v>10631</v>
      </c>
      <c r="G5170" t="s">
        <v>3890</v>
      </c>
      <c r="H5170" t="s">
        <v>3984</v>
      </c>
      <c r="I5170" t="s">
        <v>3985</v>
      </c>
      <c r="J5170">
        <v>1</v>
      </c>
      <c r="K5170">
        <v>213.93899999999999</v>
      </c>
      <c r="L5170">
        <v>210.12100000000001</v>
      </c>
      <c r="M5170">
        <v>236.53700000000001</v>
      </c>
      <c r="N5170">
        <v>245.52099999999999</v>
      </c>
      <c r="O5170">
        <v>247.47900000000001</v>
      </c>
      <c r="P5170">
        <v>253.80500000000001</v>
      </c>
      <c r="Q5170">
        <v>264.036</v>
      </c>
      <c r="R5170">
        <v>274.93700000000001</v>
      </c>
      <c r="S5170">
        <v>286.39699999999999</v>
      </c>
      <c r="T5170">
        <v>299.19799999999998</v>
      </c>
      <c r="U5170">
        <v>312.86599999999999</v>
      </c>
      <c r="V5170">
        <v>327.58199999999999</v>
      </c>
      <c r="W5170">
        <v>343.245</v>
      </c>
      <c r="X5170">
        <v>359.96100000000001</v>
      </c>
      <c r="Y5170">
        <v>377.69499999999999</v>
      </c>
      <c r="Z5170">
        <v>396.64400000000001</v>
      </c>
      <c r="AA5170">
        <v>416.90300000000002</v>
      </c>
      <c r="AB5170">
        <v>438.625</v>
      </c>
      <c r="AC5170">
        <v>461.99299999999999</v>
      </c>
      <c r="AD5170">
        <v>485.89</v>
      </c>
    </row>
    <row r="5171" spans="2:30" x14ac:dyDescent="0.25">
      <c r="B5171" t="s">
        <v>133</v>
      </c>
      <c r="C5171" t="s">
        <v>10598</v>
      </c>
      <c r="D5171" t="s">
        <v>3375</v>
      </c>
      <c r="E5171" t="s">
        <v>3376</v>
      </c>
      <c r="F5171" t="s">
        <v>10632</v>
      </c>
      <c r="G5171" t="s">
        <v>3890</v>
      </c>
      <c r="H5171" t="s">
        <v>3984</v>
      </c>
      <c r="I5171" t="s">
        <v>3985</v>
      </c>
      <c r="J5171">
        <v>1</v>
      </c>
      <c r="K5171">
        <v>52.2</v>
      </c>
      <c r="L5171">
        <v>56.902999999999999</v>
      </c>
      <c r="M5171">
        <v>67.058999999999997</v>
      </c>
      <c r="N5171">
        <v>72.5</v>
      </c>
      <c r="O5171">
        <v>74.569000000000003</v>
      </c>
      <c r="P5171">
        <v>76.989999999999995</v>
      </c>
      <c r="Q5171">
        <v>79.929000000000002</v>
      </c>
      <c r="R5171">
        <v>82.77</v>
      </c>
      <c r="S5171">
        <v>85.453999999999994</v>
      </c>
      <c r="T5171">
        <v>88.177000000000007</v>
      </c>
      <c r="U5171">
        <v>90.929000000000002</v>
      </c>
      <c r="V5171">
        <v>93.73</v>
      </c>
      <c r="W5171">
        <v>96.58</v>
      </c>
      <c r="X5171">
        <v>99.477999999999994</v>
      </c>
      <c r="Y5171">
        <v>102.42400000000001</v>
      </c>
      <c r="Z5171">
        <v>105.41800000000001</v>
      </c>
      <c r="AA5171">
        <v>108.459</v>
      </c>
      <c r="AB5171">
        <v>111.547</v>
      </c>
      <c r="AC5171">
        <v>114.681</v>
      </c>
      <c r="AD5171">
        <v>117.86</v>
      </c>
    </row>
    <row r="5172" spans="2:30" x14ac:dyDescent="0.25">
      <c r="B5172" t="s">
        <v>133</v>
      </c>
      <c r="C5172" t="s">
        <v>10598</v>
      </c>
      <c r="D5172" t="s">
        <v>3991</v>
      </c>
      <c r="E5172" t="s">
        <v>3992</v>
      </c>
      <c r="F5172" t="s">
        <v>10633</v>
      </c>
      <c r="G5172" t="s">
        <v>3890</v>
      </c>
      <c r="H5172" t="s">
        <v>3984</v>
      </c>
      <c r="I5172" t="s">
        <v>3985</v>
      </c>
      <c r="J5172">
        <v>1</v>
      </c>
      <c r="K5172">
        <v>41.563000000000002</v>
      </c>
      <c r="L5172">
        <v>43.505000000000003</v>
      </c>
      <c r="M5172">
        <v>44.234000000000002</v>
      </c>
      <c r="N5172">
        <v>44.884999999999998</v>
      </c>
      <c r="O5172">
        <v>45.613999999999997</v>
      </c>
      <c r="P5172">
        <v>46.396000000000001</v>
      </c>
      <c r="Q5172">
        <v>47.423999999999999</v>
      </c>
      <c r="R5172">
        <v>48.524000000000001</v>
      </c>
      <c r="S5172">
        <v>49.628</v>
      </c>
      <c r="T5172">
        <v>50.838000000000001</v>
      </c>
      <c r="U5172">
        <v>52.454999999999998</v>
      </c>
      <c r="V5172">
        <v>54.396999999999998</v>
      </c>
      <c r="W5172">
        <v>56.406999999999996</v>
      </c>
      <c r="X5172">
        <v>58.485999999999997</v>
      </c>
      <c r="Y5172">
        <v>60.637999999999998</v>
      </c>
      <c r="Z5172">
        <v>62.863999999999997</v>
      </c>
      <c r="AA5172">
        <v>65.165999999999997</v>
      </c>
      <c r="AB5172">
        <v>67.548000000000002</v>
      </c>
      <c r="AC5172">
        <v>70.012</v>
      </c>
      <c r="AD5172">
        <v>72.56</v>
      </c>
    </row>
    <row r="5173" spans="2:30" x14ac:dyDescent="0.25">
      <c r="B5173" t="s">
        <v>133</v>
      </c>
      <c r="C5173" t="s">
        <v>10598</v>
      </c>
      <c r="D5173" t="s">
        <v>3994</v>
      </c>
      <c r="E5173" t="s">
        <v>3995</v>
      </c>
      <c r="F5173" t="s">
        <v>10634</v>
      </c>
      <c r="G5173" t="s">
        <v>3890</v>
      </c>
      <c r="H5173" t="s">
        <v>3984</v>
      </c>
      <c r="I5173" t="s">
        <v>3985</v>
      </c>
      <c r="J5173">
        <v>1</v>
      </c>
      <c r="K5173">
        <v>93.209000000000003</v>
      </c>
      <c r="L5173">
        <v>101.56399999999999</v>
      </c>
      <c r="M5173">
        <v>103.083</v>
      </c>
      <c r="N5173">
        <v>104.59699999999999</v>
      </c>
      <c r="O5173">
        <v>105.94799999999999</v>
      </c>
      <c r="P5173">
        <v>107.53100000000001</v>
      </c>
      <c r="Q5173">
        <v>109.682</v>
      </c>
      <c r="R5173">
        <v>111.875</v>
      </c>
      <c r="S5173">
        <v>114.113</v>
      </c>
      <c r="T5173">
        <v>116.798</v>
      </c>
      <c r="U5173">
        <v>120.718</v>
      </c>
      <c r="V5173">
        <v>125.54600000000001</v>
      </c>
      <c r="W5173">
        <v>130.56800000000001</v>
      </c>
      <c r="X5173">
        <v>135.791</v>
      </c>
      <c r="Y5173">
        <v>141.22300000000001</v>
      </c>
      <c r="Z5173">
        <v>146.87200000000001</v>
      </c>
      <c r="AA5173">
        <v>152.74600000000001</v>
      </c>
      <c r="AB5173">
        <v>158.85599999999999</v>
      </c>
      <c r="AC5173">
        <v>165.21</v>
      </c>
      <c r="AD5173">
        <v>171.81899999999999</v>
      </c>
    </row>
    <row r="5174" spans="2:30" x14ac:dyDescent="0.25">
      <c r="B5174" t="s">
        <v>133</v>
      </c>
      <c r="C5174" t="s">
        <v>10598</v>
      </c>
      <c r="D5174" t="s">
        <v>3997</v>
      </c>
      <c r="E5174" t="s">
        <v>3998</v>
      </c>
      <c r="F5174" t="s">
        <v>10635</v>
      </c>
      <c r="G5174" t="s">
        <v>3890</v>
      </c>
      <c r="H5174" t="s">
        <v>3984</v>
      </c>
      <c r="I5174" t="s">
        <v>3985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</row>
    <row r="5175" spans="2:30" x14ac:dyDescent="0.25">
      <c r="B5175" t="s">
        <v>133</v>
      </c>
      <c r="C5175" t="s">
        <v>10598</v>
      </c>
      <c r="D5175" t="s">
        <v>4000</v>
      </c>
      <c r="E5175" t="s">
        <v>3341</v>
      </c>
      <c r="F5175" t="s">
        <v>10636</v>
      </c>
      <c r="G5175" t="s">
        <v>3890</v>
      </c>
      <c r="H5175" t="s">
        <v>3984</v>
      </c>
      <c r="I5175" t="s">
        <v>4002</v>
      </c>
      <c r="J5175">
        <v>1</v>
      </c>
      <c r="K5175">
        <v>307.637</v>
      </c>
      <c r="L5175">
        <v>315.613</v>
      </c>
      <c r="M5175">
        <v>350.59300000000002</v>
      </c>
      <c r="N5175">
        <v>364.71100000000001</v>
      </c>
      <c r="O5175">
        <v>369.13900000000001</v>
      </c>
      <c r="P5175">
        <v>378.11399999999998</v>
      </c>
      <c r="Q5175">
        <v>391.91199999999998</v>
      </c>
      <c r="R5175">
        <v>406.33199999999999</v>
      </c>
      <c r="S5175">
        <v>421.214</v>
      </c>
      <c r="T5175">
        <v>437.48700000000002</v>
      </c>
      <c r="U5175">
        <v>455.42500000000001</v>
      </c>
      <c r="V5175">
        <v>475.274</v>
      </c>
      <c r="W5175">
        <v>496.22399999999999</v>
      </c>
      <c r="X5175">
        <v>518.38400000000001</v>
      </c>
      <c r="Y5175">
        <v>541.72500000000002</v>
      </c>
      <c r="Z5175">
        <v>566.44899999999996</v>
      </c>
      <c r="AA5175">
        <v>592.65300000000002</v>
      </c>
      <c r="AB5175">
        <v>620.49599999999998</v>
      </c>
      <c r="AC5175">
        <v>650.16499999999996</v>
      </c>
      <c r="AD5175">
        <v>680.55499999999995</v>
      </c>
    </row>
    <row r="5176" spans="2:30" x14ac:dyDescent="0.25">
      <c r="B5176" t="s">
        <v>133</v>
      </c>
      <c r="C5176" t="s">
        <v>10598</v>
      </c>
      <c r="D5176" t="s">
        <v>3292</v>
      </c>
      <c r="E5176" t="s">
        <v>3293</v>
      </c>
      <c r="F5176" t="s">
        <v>10637</v>
      </c>
      <c r="G5176" t="s">
        <v>3890</v>
      </c>
      <c r="H5176" t="s">
        <v>3984</v>
      </c>
      <c r="I5176" t="s">
        <v>4002</v>
      </c>
      <c r="J5176">
        <v>1</v>
      </c>
      <c r="K5176">
        <v>210.916</v>
      </c>
      <c r="L5176">
        <v>207.059</v>
      </c>
      <c r="M5176">
        <v>233.304</v>
      </c>
      <c r="N5176">
        <v>242.23699999999999</v>
      </c>
      <c r="O5176">
        <v>244.184</v>
      </c>
      <c r="P5176">
        <v>250.47300000000001</v>
      </c>
      <c r="Q5176">
        <v>260.64400000000001</v>
      </c>
      <c r="R5176">
        <v>271.48099999999999</v>
      </c>
      <c r="S5176">
        <v>282.875</v>
      </c>
      <c r="T5176">
        <v>295.60199999999998</v>
      </c>
      <c r="U5176">
        <v>309.20600000000002</v>
      </c>
      <c r="V5176">
        <v>323.851</v>
      </c>
      <c r="W5176">
        <v>339.43900000000002</v>
      </c>
      <c r="X5176">
        <v>356.07299999999998</v>
      </c>
      <c r="Y5176">
        <v>373.71800000000002</v>
      </c>
      <c r="Z5176">
        <v>392.57400000000001</v>
      </c>
      <c r="AA5176">
        <v>412.73099999999999</v>
      </c>
      <c r="AB5176">
        <v>434.34199999999998</v>
      </c>
      <c r="AC5176">
        <v>457.59</v>
      </c>
      <c r="AD5176">
        <v>481.36500000000001</v>
      </c>
    </row>
    <row r="5177" spans="2:30" x14ac:dyDescent="0.25">
      <c r="B5177" t="s">
        <v>133</v>
      </c>
      <c r="C5177" t="s">
        <v>10598</v>
      </c>
      <c r="D5177" t="s">
        <v>4004</v>
      </c>
      <c r="E5177" t="s">
        <v>4005</v>
      </c>
      <c r="F5177" t="s">
        <v>10638</v>
      </c>
      <c r="G5177" t="s">
        <v>3890</v>
      </c>
      <c r="H5177" t="s">
        <v>3984</v>
      </c>
      <c r="I5177" t="s">
        <v>4002</v>
      </c>
      <c r="J5177">
        <v>1</v>
      </c>
      <c r="K5177">
        <v>6.7770000000000001</v>
      </c>
      <c r="L5177">
        <v>6.3419999999999996</v>
      </c>
      <c r="M5177">
        <v>7.54</v>
      </c>
      <c r="N5177">
        <v>8.1080000000000005</v>
      </c>
      <c r="O5177">
        <v>8.2379999999999995</v>
      </c>
      <c r="P5177">
        <v>8.3670000000000009</v>
      </c>
      <c r="Q5177">
        <v>8.5820000000000007</v>
      </c>
      <c r="R5177">
        <v>8.7880000000000003</v>
      </c>
      <c r="S5177">
        <v>8.9830000000000005</v>
      </c>
      <c r="T5177">
        <v>9.1769999999999996</v>
      </c>
      <c r="U5177">
        <v>9.3510000000000009</v>
      </c>
      <c r="V5177">
        <v>9.5250000000000004</v>
      </c>
      <c r="W5177">
        <v>9.6999999999999993</v>
      </c>
      <c r="X5177">
        <v>9.875</v>
      </c>
      <c r="Y5177">
        <v>10.050000000000001</v>
      </c>
      <c r="Z5177">
        <v>10.225</v>
      </c>
      <c r="AA5177">
        <v>10.401</v>
      </c>
      <c r="AB5177">
        <v>10.576000000000001</v>
      </c>
      <c r="AC5177">
        <v>10.752000000000001</v>
      </c>
      <c r="AD5177">
        <v>10.928000000000001</v>
      </c>
    </row>
    <row r="5178" spans="2:30" x14ac:dyDescent="0.25">
      <c r="B5178" t="s">
        <v>133</v>
      </c>
      <c r="C5178" t="s">
        <v>10598</v>
      </c>
      <c r="D5178" t="s">
        <v>4007</v>
      </c>
      <c r="E5178" t="s">
        <v>4008</v>
      </c>
      <c r="F5178" t="s">
        <v>10639</v>
      </c>
      <c r="G5178" t="s">
        <v>3890</v>
      </c>
      <c r="H5178" t="s">
        <v>3984</v>
      </c>
      <c r="I5178" t="s">
        <v>4002</v>
      </c>
      <c r="J5178">
        <v>1</v>
      </c>
      <c r="K5178">
        <v>98.35</v>
      </c>
      <c r="L5178">
        <v>91.558999999999997</v>
      </c>
      <c r="M5178">
        <v>108.024</v>
      </c>
      <c r="N5178">
        <v>110.48099999999999</v>
      </c>
      <c r="O5178">
        <v>109.17400000000001</v>
      </c>
      <c r="P5178">
        <v>109.46899999999999</v>
      </c>
      <c r="Q5178">
        <v>112.876</v>
      </c>
      <c r="R5178">
        <v>116.58799999999999</v>
      </c>
      <c r="S5178">
        <v>119.929</v>
      </c>
      <c r="T5178">
        <v>123.387</v>
      </c>
      <c r="U5178">
        <v>127.05</v>
      </c>
      <c r="V5178">
        <v>131.11000000000001</v>
      </c>
      <c r="W5178">
        <v>135.55600000000001</v>
      </c>
      <c r="X5178">
        <v>140.501</v>
      </c>
      <c r="Y5178">
        <v>145.959</v>
      </c>
      <c r="Z5178">
        <v>152.059</v>
      </c>
      <c r="AA5178">
        <v>158.898</v>
      </c>
      <c r="AB5178">
        <v>166.62200000000001</v>
      </c>
      <c r="AC5178">
        <v>175.4</v>
      </c>
      <c r="AD5178">
        <v>184.23599999999999</v>
      </c>
    </row>
    <row r="5179" spans="2:30" x14ac:dyDescent="0.25">
      <c r="B5179" t="s">
        <v>133</v>
      </c>
      <c r="C5179" t="s">
        <v>10598</v>
      </c>
      <c r="D5179" t="s">
        <v>4010</v>
      </c>
      <c r="E5179" t="s">
        <v>4011</v>
      </c>
      <c r="F5179" t="s">
        <v>10640</v>
      </c>
      <c r="G5179" t="s">
        <v>3890</v>
      </c>
      <c r="H5179" t="s">
        <v>3984</v>
      </c>
      <c r="I5179" t="s">
        <v>4002</v>
      </c>
      <c r="J5179">
        <v>1</v>
      </c>
      <c r="K5179">
        <v>24.14</v>
      </c>
      <c r="L5179">
        <v>23.172000000000001</v>
      </c>
      <c r="M5179">
        <v>24.541</v>
      </c>
      <c r="N5179">
        <v>31.263999999999999</v>
      </c>
      <c r="O5179">
        <v>31.341999999999999</v>
      </c>
      <c r="P5179">
        <v>31.471</v>
      </c>
      <c r="Q5179">
        <v>31.669</v>
      </c>
      <c r="R5179">
        <v>31.875</v>
      </c>
      <c r="S5179">
        <v>32.07</v>
      </c>
      <c r="T5179">
        <v>32.284999999999997</v>
      </c>
      <c r="U5179">
        <v>32.523000000000003</v>
      </c>
      <c r="V5179">
        <v>32.783999999999999</v>
      </c>
      <c r="W5179">
        <v>33.07</v>
      </c>
      <c r="X5179">
        <v>33.381999999999998</v>
      </c>
      <c r="Y5179">
        <v>33.722000000000001</v>
      </c>
      <c r="Z5179">
        <v>34.088999999999999</v>
      </c>
      <c r="AA5179">
        <v>34.485999999999997</v>
      </c>
      <c r="AB5179">
        <v>34.914000000000001</v>
      </c>
      <c r="AC5179">
        <v>35.372999999999998</v>
      </c>
      <c r="AD5179">
        <v>35.866</v>
      </c>
    </row>
    <row r="5180" spans="2:30" x14ac:dyDescent="0.25">
      <c r="B5180" t="s">
        <v>133</v>
      </c>
      <c r="C5180" t="s">
        <v>10598</v>
      </c>
      <c r="D5180" t="s">
        <v>4013</v>
      </c>
      <c r="E5180" t="s">
        <v>4014</v>
      </c>
      <c r="F5180" t="s">
        <v>10641</v>
      </c>
      <c r="G5180" t="s">
        <v>3890</v>
      </c>
      <c r="H5180" t="s">
        <v>3984</v>
      </c>
      <c r="I5180" t="s">
        <v>4002</v>
      </c>
      <c r="J5180">
        <v>1</v>
      </c>
      <c r="K5180">
        <v>20.114000000000001</v>
      </c>
      <c r="L5180">
        <v>19.417999999999999</v>
      </c>
      <c r="M5180">
        <v>19.018999999999998</v>
      </c>
      <c r="N5180">
        <v>18.347000000000001</v>
      </c>
      <c r="O5180">
        <v>18.707999999999998</v>
      </c>
      <c r="P5180">
        <v>20.507000000000001</v>
      </c>
      <c r="Q5180">
        <v>22.451000000000001</v>
      </c>
      <c r="R5180">
        <v>24.555</v>
      </c>
      <c r="S5180">
        <v>27.065000000000001</v>
      </c>
      <c r="T5180">
        <v>30.032</v>
      </c>
      <c r="U5180">
        <v>33.237000000000002</v>
      </c>
      <c r="V5180">
        <v>36.664000000000001</v>
      </c>
      <c r="W5180">
        <v>40.293999999999997</v>
      </c>
      <c r="X5180">
        <v>44.106999999999999</v>
      </c>
      <c r="Y5180">
        <v>48.079000000000001</v>
      </c>
      <c r="Z5180">
        <v>52.244</v>
      </c>
      <c r="AA5180">
        <v>56.597000000000001</v>
      </c>
      <c r="AB5180">
        <v>61.13</v>
      </c>
      <c r="AC5180">
        <v>65.838999999999999</v>
      </c>
      <c r="AD5180">
        <v>70.632999999999996</v>
      </c>
    </row>
    <row r="5181" spans="2:30" x14ac:dyDescent="0.25">
      <c r="B5181" t="s">
        <v>133</v>
      </c>
      <c r="C5181" t="s">
        <v>10598</v>
      </c>
      <c r="D5181" t="s">
        <v>4016</v>
      </c>
      <c r="E5181" t="s">
        <v>4017</v>
      </c>
      <c r="F5181" t="s">
        <v>10642</v>
      </c>
      <c r="G5181" t="s">
        <v>3890</v>
      </c>
      <c r="H5181" t="s">
        <v>3984</v>
      </c>
      <c r="I5181" t="s">
        <v>4002</v>
      </c>
      <c r="J5181">
        <v>1</v>
      </c>
      <c r="K5181">
        <v>44.502000000000002</v>
      </c>
      <c r="L5181">
        <v>47.332999999999998</v>
      </c>
      <c r="M5181">
        <v>51.197000000000003</v>
      </c>
      <c r="N5181">
        <v>50.457000000000001</v>
      </c>
      <c r="O5181">
        <v>52.56</v>
      </c>
      <c r="P5181">
        <v>55.807000000000002</v>
      </c>
      <c r="Q5181">
        <v>59.393999999999998</v>
      </c>
      <c r="R5181">
        <v>63.215000000000003</v>
      </c>
      <c r="S5181">
        <v>67.629000000000005</v>
      </c>
      <c r="T5181">
        <v>72.774000000000001</v>
      </c>
      <c r="U5181">
        <v>78.337999999999994</v>
      </c>
      <c r="V5181">
        <v>84.293000000000006</v>
      </c>
      <c r="W5181">
        <v>90.563000000000002</v>
      </c>
      <c r="X5181">
        <v>97.16</v>
      </c>
      <c r="Y5181">
        <v>104.06</v>
      </c>
      <c r="Z5181">
        <v>111.29600000000001</v>
      </c>
      <c r="AA5181">
        <v>118.867</v>
      </c>
      <c r="AB5181">
        <v>126.78700000000001</v>
      </c>
      <c r="AC5181">
        <v>135.071</v>
      </c>
      <c r="AD5181">
        <v>143.696</v>
      </c>
    </row>
    <row r="5182" spans="2:30" x14ac:dyDescent="0.25">
      <c r="B5182" t="s">
        <v>133</v>
      </c>
      <c r="C5182" t="s">
        <v>10598</v>
      </c>
      <c r="D5182" t="s">
        <v>4019</v>
      </c>
      <c r="E5182" t="s">
        <v>4020</v>
      </c>
      <c r="F5182" t="s">
        <v>10643</v>
      </c>
      <c r="G5182" t="s">
        <v>3890</v>
      </c>
      <c r="H5182" t="s">
        <v>3984</v>
      </c>
      <c r="I5182" t="s">
        <v>4002</v>
      </c>
      <c r="J5182">
        <v>1</v>
      </c>
      <c r="K5182">
        <v>15.176</v>
      </c>
      <c r="L5182">
        <v>17.062999999999999</v>
      </c>
      <c r="M5182">
        <v>20.57</v>
      </c>
      <c r="N5182">
        <v>21.077999999999999</v>
      </c>
      <c r="O5182">
        <v>21.573</v>
      </c>
      <c r="P5182">
        <v>22.155999999999999</v>
      </c>
      <c r="Q5182">
        <v>22.846</v>
      </c>
      <c r="R5182">
        <v>23.507000000000001</v>
      </c>
      <c r="S5182">
        <v>24.126000000000001</v>
      </c>
      <c r="T5182">
        <v>24.75</v>
      </c>
      <c r="U5182">
        <v>25.381</v>
      </c>
      <c r="V5182">
        <v>26.02</v>
      </c>
      <c r="W5182">
        <v>26.666</v>
      </c>
      <c r="X5182">
        <v>27.32</v>
      </c>
      <c r="Y5182">
        <v>27.98</v>
      </c>
      <c r="Z5182">
        <v>28.646999999999998</v>
      </c>
      <c r="AA5182">
        <v>29.321000000000002</v>
      </c>
      <c r="AB5182">
        <v>30.001000000000001</v>
      </c>
      <c r="AC5182">
        <v>30.687999999999999</v>
      </c>
      <c r="AD5182">
        <v>31.381</v>
      </c>
    </row>
    <row r="5183" spans="2:30" x14ac:dyDescent="0.25">
      <c r="B5183" t="s">
        <v>133</v>
      </c>
      <c r="C5183" t="s">
        <v>10598</v>
      </c>
      <c r="D5183" t="s">
        <v>4022</v>
      </c>
      <c r="E5183" t="s">
        <v>4023</v>
      </c>
      <c r="F5183" t="s">
        <v>10644</v>
      </c>
      <c r="G5183" t="s">
        <v>3890</v>
      </c>
      <c r="H5183" t="s">
        <v>3984</v>
      </c>
      <c r="I5183" t="s">
        <v>4002</v>
      </c>
      <c r="J5183">
        <v>1</v>
      </c>
      <c r="K5183">
        <v>1.855</v>
      </c>
      <c r="L5183">
        <v>2.1720000000000002</v>
      </c>
      <c r="M5183">
        <v>2.4140000000000001</v>
      </c>
      <c r="N5183">
        <v>2.5019999999999998</v>
      </c>
      <c r="O5183">
        <v>2.59</v>
      </c>
      <c r="P5183">
        <v>2.6960000000000002</v>
      </c>
      <c r="Q5183">
        <v>2.8250000000000002</v>
      </c>
      <c r="R5183">
        <v>2.9510000000000001</v>
      </c>
      <c r="S5183">
        <v>3.0720000000000001</v>
      </c>
      <c r="T5183">
        <v>3.1970000000000001</v>
      </c>
      <c r="U5183">
        <v>3.3250000000000002</v>
      </c>
      <c r="V5183">
        <v>3.456</v>
      </c>
      <c r="W5183">
        <v>3.59</v>
      </c>
      <c r="X5183">
        <v>3.7280000000000002</v>
      </c>
      <c r="Y5183">
        <v>3.8690000000000002</v>
      </c>
      <c r="Z5183">
        <v>4.0140000000000002</v>
      </c>
      <c r="AA5183">
        <v>4.1619999999999999</v>
      </c>
      <c r="AB5183">
        <v>4.3129999999999997</v>
      </c>
      <c r="AC5183">
        <v>4.4669999999999996</v>
      </c>
      <c r="AD5183">
        <v>4.625</v>
      </c>
    </row>
    <row r="5184" spans="2:30" x14ac:dyDescent="0.25">
      <c r="B5184" t="s">
        <v>133</v>
      </c>
      <c r="C5184" t="s">
        <v>10598</v>
      </c>
      <c r="D5184" t="s">
        <v>3316</v>
      </c>
      <c r="E5184" t="s">
        <v>3317</v>
      </c>
      <c r="F5184" t="s">
        <v>10645</v>
      </c>
      <c r="G5184" t="s">
        <v>3890</v>
      </c>
      <c r="H5184" t="s">
        <v>3984</v>
      </c>
      <c r="I5184" t="s">
        <v>4002</v>
      </c>
      <c r="J5184">
        <v>1</v>
      </c>
      <c r="K5184">
        <v>82.215000000000003</v>
      </c>
      <c r="L5184">
        <v>78.516000000000005</v>
      </c>
      <c r="M5184">
        <v>90.733999999999995</v>
      </c>
      <c r="N5184">
        <v>95.161000000000001</v>
      </c>
      <c r="O5184">
        <v>92.507000000000005</v>
      </c>
      <c r="P5184">
        <v>91.156999999999996</v>
      </c>
      <c r="Q5184">
        <v>92.647999999999996</v>
      </c>
      <c r="R5184">
        <v>94.504000000000005</v>
      </c>
      <c r="S5184">
        <v>96.061000000000007</v>
      </c>
      <c r="T5184">
        <v>97.694000000000003</v>
      </c>
      <c r="U5184">
        <v>99.498999999999995</v>
      </c>
      <c r="V5184">
        <v>101.67</v>
      </c>
      <c r="W5184">
        <v>104.2</v>
      </c>
      <c r="X5184">
        <v>107.203</v>
      </c>
      <c r="Y5184">
        <v>110.696</v>
      </c>
      <c r="Z5184">
        <v>114.806</v>
      </c>
      <c r="AA5184">
        <v>119.633</v>
      </c>
      <c r="AB5184">
        <v>125.325</v>
      </c>
      <c r="AC5184">
        <v>132.05199999999999</v>
      </c>
      <c r="AD5184">
        <v>138.82499999999999</v>
      </c>
    </row>
    <row r="5185" spans="2:30" x14ac:dyDescent="0.25">
      <c r="B5185" t="s">
        <v>133</v>
      </c>
      <c r="C5185" t="s">
        <v>10598</v>
      </c>
      <c r="D5185" t="s">
        <v>3352</v>
      </c>
      <c r="E5185" t="s">
        <v>3353</v>
      </c>
      <c r="F5185" t="s">
        <v>10646</v>
      </c>
      <c r="G5185" t="s">
        <v>3890</v>
      </c>
      <c r="H5185" t="s">
        <v>3984</v>
      </c>
      <c r="I5185" t="s">
        <v>4002</v>
      </c>
      <c r="J5185">
        <v>1</v>
      </c>
      <c r="K5185">
        <v>52.970999999999997</v>
      </c>
      <c r="L5185">
        <v>52.003</v>
      </c>
      <c r="M5185">
        <v>51.097000000000001</v>
      </c>
      <c r="N5185">
        <v>49.530999999999999</v>
      </c>
      <c r="O5185">
        <v>51.664000000000001</v>
      </c>
      <c r="P5185">
        <v>56.411999999999999</v>
      </c>
      <c r="Q5185">
        <v>61.591999999999999</v>
      </c>
      <c r="R5185">
        <v>67.200999999999993</v>
      </c>
      <c r="S5185">
        <v>73.864999999999995</v>
      </c>
      <c r="T5185">
        <v>81.745000000000005</v>
      </c>
      <c r="U5185">
        <v>90.299000000000007</v>
      </c>
      <c r="V5185">
        <v>99.477999999999994</v>
      </c>
      <c r="W5185">
        <v>109.19</v>
      </c>
      <c r="X5185">
        <v>119.42400000000001</v>
      </c>
      <c r="Y5185">
        <v>130.13200000000001</v>
      </c>
      <c r="Z5185">
        <v>141.38200000000001</v>
      </c>
      <c r="AA5185">
        <v>153.16800000000001</v>
      </c>
      <c r="AB5185">
        <v>165.495</v>
      </c>
      <c r="AC5185">
        <v>178.376</v>
      </c>
      <c r="AD5185">
        <v>191.69200000000001</v>
      </c>
    </row>
    <row r="5186" spans="2:30" x14ac:dyDescent="0.25">
      <c r="B5186" t="s">
        <v>133</v>
      </c>
      <c r="C5186" t="s">
        <v>10598</v>
      </c>
      <c r="D5186" t="s">
        <v>3328</v>
      </c>
      <c r="E5186" t="s">
        <v>3329</v>
      </c>
      <c r="F5186" t="s">
        <v>10647</v>
      </c>
      <c r="G5186" t="s">
        <v>3890</v>
      </c>
      <c r="H5186" t="s">
        <v>3984</v>
      </c>
      <c r="I5186" t="s">
        <v>4002</v>
      </c>
      <c r="J5186">
        <v>1</v>
      </c>
      <c r="K5186">
        <v>15.803000000000001</v>
      </c>
      <c r="L5186">
        <v>17.407</v>
      </c>
      <c r="M5186">
        <v>21.786000000000001</v>
      </c>
      <c r="N5186">
        <v>22.128</v>
      </c>
      <c r="O5186">
        <v>22.457000000000001</v>
      </c>
      <c r="P5186">
        <v>22.846</v>
      </c>
      <c r="Q5186">
        <v>23.306999999999999</v>
      </c>
      <c r="R5186">
        <v>23.741</v>
      </c>
      <c r="S5186">
        <v>24.14</v>
      </c>
      <c r="T5186">
        <v>24.538</v>
      </c>
      <c r="U5186">
        <v>24.936</v>
      </c>
      <c r="V5186">
        <v>25.335000000000001</v>
      </c>
      <c r="W5186">
        <v>25.734000000000002</v>
      </c>
      <c r="X5186">
        <v>26.132999999999999</v>
      </c>
      <c r="Y5186">
        <v>26.533000000000001</v>
      </c>
      <c r="Z5186">
        <v>26.931999999999999</v>
      </c>
      <c r="AA5186">
        <v>27.331</v>
      </c>
      <c r="AB5186">
        <v>27.731000000000002</v>
      </c>
      <c r="AC5186">
        <v>28.129000000000001</v>
      </c>
      <c r="AD5186">
        <v>28.527999999999999</v>
      </c>
    </row>
    <row r="5187" spans="2:30" x14ac:dyDescent="0.25">
      <c r="B5187" t="s">
        <v>133</v>
      </c>
      <c r="C5187" t="s">
        <v>10598</v>
      </c>
      <c r="D5187" t="s">
        <v>3304</v>
      </c>
      <c r="E5187" t="s">
        <v>3305</v>
      </c>
      <c r="F5187" t="s">
        <v>10648</v>
      </c>
      <c r="G5187" t="s">
        <v>3890</v>
      </c>
      <c r="H5187" t="s">
        <v>3984</v>
      </c>
      <c r="I5187" t="s">
        <v>4002</v>
      </c>
      <c r="J5187">
        <v>1</v>
      </c>
      <c r="K5187">
        <v>59.633000000000003</v>
      </c>
      <c r="L5187">
        <v>58.865000000000002</v>
      </c>
      <c r="M5187">
        <v>69.37</v>
      </c>
      <c r="N5187">
        <v>74.998999999999995</v>
      </c>
      <c r="O5187">
        <v>77.138999999999996</v>
      </c>
      <c r="P5187">
        <v>79.643000000000001</v>
      </c>
      <c r="Q5187">
        <v>82.683999999999997</v>
      </c>
      <c r="R5187">
        <v>85.623000000000005</v>
      </c>
      <c r="S5187">
        <v>88.399000000000001</v>
      </c>
      <c r="T5187">
        <v>91.215999999999994</v>
      </c>
      <c r="U5187">
        <v>94.063000000000002</v>
      </c>
      <c r="V5187">
        <v>96.96</v>
      </c>
      <c r="W5187">
        <v>99.908000000000001</v>
      </c>
      <c r="X5187">
        <v>102.907</v>
      </c>
      <c r="Y5187">
        <v>105.95399999999999</v>
      </c>
      <c r="Z5187">
        <v>109.051</v>
      </c>
      <c r="AA5187">
        <v>112.197</v>
      </c>
      <c r="AB5187">
        <v>115.39100000000001</v>
      </c>
      <c r="AC5187">
        <v>118.633</v>
      </c>
      <c r="AD5187">
        <v>121.922</v>
      </c>
    </row>
    <row r="5188" spans="2:30" x14ac:dyDescent="0.25">
      <c r="B5188" t="s">
        <v>133</v>
      </c>
      <c r="C5188" t="s">
        <v>10598</v>
      </c>
      <c r="D5188" t="s">
        <v>4029</v>
      </c>
      <c r="E5188" t="s">
        <v>4030</v>
      </c>
      <c r="F5188" t="s">
        <v>10649</v>
      </c>
      <c r="G5188" t="s">
        <v>3890</v>
      </c>
      <c r="H5188" t="s">
        <v>3984</v>
      </c>
      <c r="I5188" t="s">
        <v>4002</v>
      </c>
      <c r="J5188">
        <v>1</v>
      </c>
      <c r="K5188">
        <v>0.29399999999999998</v>
      </c>
      <c r="L5188">
        <v>0.26800000000000002</v>
      </c>
      <c r="M5188">
        <v>0.317</v>
      </c>
      <c r="N5188">
        <v>0.41699999999999998</v>
      </c>
      <c r="O5188">
        <v>0.41599999999999998</v>
      </c>
      <c r="P5188">
        <v>0.41499999999999998</v>
      </c>
      <c r="Q5188">
        <v>0.41399999999999998</v>
      </c>
      <c r="R5188">
        <v>0.41199999999999998</v>
      </c>
      <c r="S5188">
        <v>0.41099999999999998</v>
      </c>
      <c r="T5188">
        <v>0.41</v>
      </c>
      <c r="U5188">
        <v>0.40899999999999997</v>
      </c>
      <c r="V5188">
        <v>0.40799999999999997</v>
      </c>
      <c r="W5188">
        <v>0.40600000000000003</v>
      </c>
      <c r="X5188">
        <v>0.40500000000000003</v>
      </c>
      <c r="Y5188">
        <v>0.40400000000000003</v>
      </c>
      <c r="Z5188">
        <v>0.40300000000000002</v>
      </c>
      <c r="AA5188">
        <v>0.40100000000000002</v>
      </c>
      <c r="AB5188">
        <v>0.4</v>
      </c>
      <c r="AC5188">
        <v>0.39900000000000002</v>
      </c>
      <c r="AD5188">
        <v>0.39800000000000002</v>
      </c>
    </row>
    <row r="5189" spans="2:30" x14ac:dyDescent="0.25">
      <c r="B5189" t="s">
        <v>133</v>
      </c>
      <c r="C5189" t="s">
        <v>10598</v>
      </c>
      <c r="D5189" t="s">
        <v>4032</v>
      </c>
      <c r="E5189" t="s">
        <v>4033</v>
      </c>
      <c r="F5189" t="s">
        <v>10650</v>
      </c>
      <c r="G5189" t="s">
        <v>3890</v>
      </c>
      <c r="H5189" t="s">
        <v>3984</v>
      </c>
      <c r="I5189" t="s">
        <v>3985</v>
      </c>
      <c r="J5189">
        <v>2</v>
      </c>
      <c r="K5189">
        <v>400.91199999999998</v>
      </c>
      <c r="L5189">
        <v>412.09300000000002</v>
      </c>
      <c r="M5189">
        <v>450.91199999999998</v>
      </c>
      <c r="N5189">
        <v>467.50299999999999</v>
      </c>
      <c r="O5189">
        <v>473.61099999999999</v>
      </c>
      <c r="P5189">
        <v>484.56</v>
      </c>
      <c r="Q5189">
        <v>499.19</v>
      </c>
      <c r="R5189">
        <v>515.06700000000001</v>
      </c>
      <c r="S5189">
        <v>531.64800000000002</v>
      </c>
      <c r="T5189">
        <v>549.70299999999997</v>
      </c>
      <c r="U5189">
        <v>571.029</v>
      </c>
      <c r="V5189">
        <v>593.54300000000001</v>
      </c>
      <c r="W5189">
        <v>618.74599999999998</v>
      </c>
      <c r="X5189">
        <v>643.53499999999997</v>
      </c>
      <c r="Y5189">
        <v>671.44399999999996</v>
      </c>
      <c r="Z5189">
        <v>701.351</v>
      </c>
      <c r="AA5189">
        <v>730.71600000000001</v>
      </c>
      <c r="AB5189">
        <v>767.34299999999996</v>
      </c>
      <c r="AC5189">
        <v>795.49900000000002</v>
      </c>
      <c r="AD5189">
        <v>840.80200000000002</v>
      </c>
    </row>
    <row r="5190" spans="2:30" x14ac:dyDescent="0.25">
      <c r="B5190" t="s">
        <v>133</v>
      </c>
      <c r="C5190" t="s">
        <v>10598</v>
      </c>
      <c r="D5190" t="s">
        <v>3393</v>
      </c>
      <c r="E5190" t="s">
        <v>3394</v>
      </c>
      <c r="F5190" t="s">
        <v>10651</v>
      </c>
      <c r="G5190" t="s">
        <v>3890</v>
      </c>
      <c r="H5190" t="s">
        <v>3984</v>
      </c>
      <c r="I5190" t="s">
        <v>3985</v>
      </c>
      <c r="J5190">
        <v>2</v>
      </c>
      <c r="K5190">
        <v>400.91199999999998</v>
      </c>
      <c r="L5190">
        <v>412.09300000000002</v>
      </c>
      <c r="M5190">
        <v>450.91199999999998</v>
      </c>
      <c r="N5190">
        <v>467.50299999999999</v>
      </c>
      <c r="O5190">
        <v>473.61099999999999</v>
      </c>
      <c r="P5190">
        <v>484.56</v>
      </c>
      <c r="Q5190">
        <v>499.19</v>
      </c>
      <c r="R5190">
        <v>515.06700000000001</v>
      </c>
      <c r="S5190">
        <v>531.64800000000002</v>
      </c>
      <c r="T5190">
        <v>549.70299999999997</v>
      </c>
      <c r="U5190">
        <v>571.029</v>
      </c>
      <c r="V5190">
        <v>593.54300000000001</v>
      </c>
      <c r="W5190">
        <v>618.74599999999998</v>
      </c>
      <c r="X5190">
        <v>643.53499999999997</v>
      </c>
      <c r="Y5190">
        <v>671.44399999999996</v>
      </c>
      <c r="Z5190">
        <v>701.351</v>
      </c>
      <c r="AA5190">
        <v>730.71600000000001</v>
      </c>
      <c r="AB5190">
        <v>767.34299999999996</v>
      </c>
      <c r="AC5190">
        <v>795.49900000000002</v>
      </c>
      <c r="AD5190">
        <v>840.80200000000002</v>
      </c>
    </row>
    <row r="5191" spans="2:30" x14ac:dyDescent="0.25">
      <c r="B5191" t="s">
        <v>133</v>
      </c>
      <c r="C5191" t="s">
        <v>10598</v>
      </c>
      <c r="D5191" t="s">
        <v>4036</v>
      </c>
      <c r="E5191" t="s">
        <v>4037</v>
      </c>
      <c r="F5191" t="s">
        <v>10652</v>
      </c>
      <c r="G5191" t="s">
        <v>3890</v>
      </c>
      <c r="H5191" t="s">
        <v>3984</v>
      </c>
      <c r="I5191" t="s">
        <v>3985</v>
      </c>
      <c r="J5191">
        <v>2</v>
      </c>
      <c r="K5191">
        <v>213.93899999999999</v>
      </c>
      <c r="L5191">
        <v>210.12100000000001</v>
      </c>
      <c r="M5191">
        <v>236.53700000000001</v>
      </c>
      <c r="N5191">
        <v>245.52099999999999</v>
      </c>
      <c r="O5191">
        <v>247.47900000000001</v>
      </c>
      <c r="P5191">
        <v>253.72300000000001</v>
      </c>
      <c r="Q5191">
        <v>263.06700000000001</v>
      </c>
      <c r="R5191">
        <v>272.68900000000002</v>
      </c>
      <c r="S5191">
        <v>283.23200000000003</v>
      </c>
      <c r="T5191">
        <v>294.51600000000002</v>
      </c>
      <c r="U5191">
        <v>307.488</v>
      </c>
      <c r="V5191">
        <v>320.25599999999997</v>
      </c>
      <c r="W5191">
        <v>335.42899999999997</v>
      </c>
      <c r="X5191">
        <v>349.80200000000002</v>
      </c>
      <c r="Y5191">
        <v>367.16800000000001</v>
      </c>
      <c r="Z5191">
        <v>386.17099999999999</v>
      </c>
      <c r="AA5191">
        <v>404.23599999999999</v>
      </c>
      <c r="AB5191">
        <v>429.17</v>
      </c>
      <c r="AC5191">
        <v>445.185</v>
      </c>
      <c r="AD5191">
        <v>477.93099999999998</v>
      </c>
    </row>
    <row r="5192" spans="2:30" x14ac:dyDescent="0.25">
      <c r="B5192" t="s">
        <v>133</v>
      </c>
      <c r="C5192" t="s">
        <v>10598</v>
      </c>
      <c r="D5192" t="s">
        <v>3381</v>
      </c>
      <c r="E5192" t="s">
        <v>3382</v>
      </c>
      <c r="F5192" t="s">
        <v>10653</v>
      </c>
      <c r="G5192" t="s">
        <v>3890</v>
      </c>
      <c r="H5192" t="s">
        <v>3984</v>
      </c>
      <c r="I5192" t="s">
        <v>3985</v>
      </c>
      <c r="J5192">
        <v>2</v>
      </c>
      <c r="K5192">
        <v>52.2</v>
      </c>
      <c r="L5192">
        <v>56.902999999999999</v>
      </c>
      <c r="M5192">
        <v>67.058999999999997</v>
      </c>
      <c r="N5192">
        <v>72.5</v>
      </c>
      <c r="O5192">
        <v>74.569000000000003</v>
      </c>
      <c r="P5192">
        <v>76.91</v>
      </c>
      <c r="Q5192">
        <v>79.016999999999996</v>
      </c>
      <c r="R5192">
        <v>81.977999999999994</v>
      </c>
      <c r="S5192">
        <v>84.674000000000007</v>
      </c>
      <c r="T5192">
        <v>87.551000000000002</v>
      </c>
      <c r="U5192">
        <v>90.369</v>
      </c>
      <c r="V5192">
        <v>93.344999999999999</v>
      </c>
      <c r="W5192">
        <v>96.343000000000004</v>
      </c>
      <c r="X5192">
        <v>99.456999999999994</v>
      </c>
      <c r="Y5192">
        <v>102.416</v>
      </c>
      <c r="Z5192">
        <v>105.444</v>
      </c>
      <c r="AA5192">
        <v>108.562</v>
      </c>
      <c r="AB5192">
        <v>111.76</v>
      </c>
      <c r="AC5192">
        <v>115.07899999999999</v>
      </c>
      <c r="AD5192">
        <v>118.47</v>
      </c>
    </row>
    <row r="5193" spans="2:30" x14ac:dyDescent="0.25">
      <c r="B5193" t="s">
        <v>133</v>
      </c>
      <c r="C5193" t="s">
        <v>10598</v>
      </c>
      <c r="D5193" t="s">
        <v>4040</v>
      </c>
      <c r="E5193" t="s">
        <v>4041</v>
      </c>
      <c r="F5193" t="s">
        <v>10654</v>
      </c>
      <c r="G5193" t="s">
        <v>3890</v>
      </c>
      <c r="H5193" t="s">
        <v>3984</v>
      </c>
      <c r="I5193" t="s">
        <v>3985</v>
      </c>
      <c r="J5193">
        <v>2</v>
      </c>
      <c r="K5193">
        <v>41.563000000000002</v>
      </c>
      <c r="L5193">
        <v>43.505000000000003</v>
      </c>
      <c r="M5193">
        <v>44.234000000000002</v>
      </c>
      <c r="N5193">
        <v>44.884999999999998</v>
      </c>
      <c r="O5193">
        <v>45.613999999999997</v>
      </c>
      <c r="P5193">
        <v>46.396000000000001</v>
      </c>
      <c r="Q5193">
        <v>47.423999999999999</v>
      </c>
      <c r="R5193">
        <v>48.524000000000001</v>
      </c>
      <c r="S5193">
        <v>49.628999999999998</v>
      </c>
      <c r="T5193">
        <v>50.838000000000001</v>
      </c>
      <c r="U5193">
        <v>52.454000000000001</v>
      </c>
      <c r="V5193">
        <v>54.396000000000001</v>
      </c>
      <c r="W5193">
        <v>56.405999999999999</v>
      </c>
      <c r="X5193">
        <v>58.484999999999999</v>
      </c>
      <c r="Y5193">
        <v>60.637999999999998</v>
      </c>
      <c r="Z5193">
        <v>62.865000000000002</v>
      </c>
      <c r="AA5193">
        <v>65.171000000000006</v>
      </c>
      <c r="AB5193">
        <v>67.558000000000007</v>
      </c>
      <c r="AC5193">
        <v>70.025000000000006</v>
      </c>
      <c r="AD5193">
        <v>72.582999999999998</v>
      </c>
    </row>
    <row r="5194" spans="2:30" x14ac:dyDescent="0.25">
      <c r="B5194" t="s">
        <v>133</v>
      </c>
      <c r="C5194" t="s">
        <v>10598</v>
      </c>
      <c r="D5194" t="s">
        <v>4043</v>
      </c>
      <c r="E5194" t="s">
        <v>4044</v>
      </c>
      <c r="F5194" t="s">
        <v>10655</v>
      </c>
      <c r="G5194" t="s">
        <v>3890</v>
      </c>
      <c r="H5194" t="s">
        <v>3984</v>
      </c>
      <c r="I5194" t="s">
        <v>3985</v>
      </c>
      <c r="J5194">
        <v>2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</row>
    <row r="5195" spans="2:30" x14ac:dyDescent="0.25">
      <c r="B5195" t="s">
        <v>133</v>
      </c>
      <c r="C5195" t="s">
        <v>10598</v>
      </c>
      <c r="D5195" t="s">
        <v>4046</v>
      </c>
      <c r="E5195" t="s">
        <v>4047</v>
      </c>
      <c r="F5195" t="s">
        <v>10656</v>
      </c>
      <c r="G5195" t="s">
        <v>3890</v>
      </c>
      <c r="H5195" t="s">
        <v>3984</v>
      </c>
      <c r="I5195" t="s">
        <v>3985</v>
      </c>
      <c r="J5195">
        <v>2</v>
      </c>
      <c r="K5195">
        <v>93.209000000000003</v>
      </c>
      <c r="L5195">
        <v>101.56399999999999</v>
      </c>
      <c r="M5195">
        <v>103.083</v>
      </c>
      <c r="N5195">
        <v>104.59699999999999</v>
      </c>
      <c r="O5195">
        <v>105.94799999999999</v>
      </c>
      <c r="P5195">
        <v>107.53100000000001</v>
      </c>
      <c r="Q5195">
        <v>109.682</v>
      </c>
      <c r="R5195">
        <v>111.875</v>
      </c>
      <c r="S5195">
        <v>114.113</v>
      </c>
      <c r="T5195">
        <v>116.798</v>
      </c>
      <c r="U5195">
        <v>120.718</v>
      </c>
      <c r="V5195">
        <v>125.54600000000001</v>
      </c>
      <c r="W5195">
        <v>130.56800000000001</v>
      </c>
      <c r="X5195">
        <v>135.791</v>
      </c>
      <c r="Y5195">
        <v>141.22300000000001</v>
      </c>
      <c r="Z5195">
        <v>146.87200000000001</v>
      </c>
      <c r="AA5195">
        <v>152.74600000000001</v>
      </c>
      <c r="AB5195">
        <v>158.85599999999999</v>
      </c>
      <c r="AC5195">
        <v>165.21</v>
      </c>
      <c r="AD5195">
        <v>171.81899999999999</v>
      </c>
    </row>
    <row r="5196" spans="2:30" x14ac:dyDescent="0.25">
      <c r="B5196" t="s">
        <v>133</v>
      </c>
      <c r="C5196" t="s">
        <v>10598</v>
      </c>
      <c r="D5196" t="s">
        <v>4049</v>
      </c>
      <c r="E5196" t="s">
        <v>3347</v>
      </c>
      <c r="F5196" t="s">
        <v>10657</v>
      </c>
      <c r="G5196" t="s">
        <v>3890</v>
      </c>
      <c r="H5196" t="s">
        <v>3984</v>
      </c>
      <c r="I5196" t="s">
        <v>4002</v>
      </c>
      <c r="J5196">
        <v>2</v>
      </c>
      <c r="K5196">
        <v>307.637</v>
      </c>
      <c r="L5196">
        <v>315.613</v>
      </c>
      <c r="M5196">
        <v>350.59300000000002</v>
      </c>
      <c r="N5196">
        <v>364.71100000000001</v>
      </c>
      <c r="O5196">
        <v>369.13900000000001</v>
      </c>
      <c r="P5196">
        <v>377.971</v>
      </c>
      <c r="Q5196">
        <v>390.25</v>
      </c>
      <c r="R5196">
        <v>403.49099999999999</v>
      </c>
      <c r="S5196">
        <v>417.47199999999998</v>
      </c>
      <c r="T5196">
        <v>432.35399999999998</v>
      </c>
      <c r="U5196">
        <v>449.65199999999999</v>
      </c>
      <c r="V5196">
        <v>467.69799999999998</v>
      </c>
      <c r="W5196">
        <v>488.274</v>
      </c>
      <c r="X5196">
        <v>508.27100000000002</v>
      </c>
      <c r="Y5196">
        <v>531.25599999999997</v>
      </c>
      <c r="Z5196">
        <v>556.05899999999997</v>
      </c>
      <c r="AA5196">
        <v>580.14300000000003</v>
      </c>
      <c r="AB5196">
        <v>611.26199999999994</v>
      </c>
      <c r="AC5196">
        <v>633.76599999999996</v>
      </c>
      <c r="AD5196">
        <v>673.11400000000003</v>
      </c>
    </row>
    <row r="5197" spans="2:30" x14ac:dyDescent="0.25">
      <c r="B5197" t="s">
        <v>133</v>
      </c>
      <c r="C5197" t="s">
        <v>10598</v>
      </c>
      <c r="D5197" t="s">
        <v>3298</v>
      </c>
      <c r="E5197" t="s">
        <v>3299</v>
      </c>
      <c r="F5197" t="s">
        <v>10658</v>
      </c>
      <c r="G5197" t="s">
        <v>3890</v>
      </c>
      <c r="H5197" t="s">
        <v>3984</v>
      </c>
      <c r="I5197" t="s">
        <v>4002</v>
      </c>
      <c r="J5197">
        <v>2</v>
      </c>
      <c r="K5197">
        <v>210.916</v>
      </c>
      <c r="L5197">
        <v>207.059</v>
      </c>
      <c r="M5197">
        <v>233.304</v>
      </c>
      <c r="N5197">
        <v>242.23699999999999</v>
      </c>
      <c r="O5197">
        <v>244.184</v>
      </c>
      <c r="P5197">
        <v>250.39099999999999</v>
      </c>
      <c r="Q5197">
        <v>259.68</v>
      </c>
      <c r="R5197">
        <v>269.24700000000001</v>
      </c>
      <c r="S5197">
        <v>279.73</v>
      </c>
      <c r="T5197">
        <v>290.94900000000001</v>
      </c>
      <c r="U5197">
        <v>303.86099999999999</v>
      </c>
      <c r="V5197">
        <v>316.57</v>
      </c>
      <c r="W5197">
        <v>331.67099999999999</v>
      </c>
      <c r="X5197">
        <v>345.97500000000002</v>
      </c>
      <c r="Y5197">
        <v>363.25599999999997</v>
      </c>
      <c r="Z5197">
        <v>382.16399999999999</v>
      </c>
      <c r="AA5197">
        <v>400.142</v>
      </c>
      <c r="AB5197">
        <v>424.94600000000003</v>
      </c>
      <c r="AC5197">
        <v>440.88600000000002</v>
      </c>
      <c r="AD5197">
        <v>473.45600000000002</v>
      </c>
    </row>
    <row r="5198" spans="2:30" x14ac:dyDescent="0.25">
      <c r="B5198" t="s">
        <v>133</v>
      </c>
      <c r="C5198" t="s">
        <v>10598</v>
      </c>
      <c r="D5198" t="s">
        <v>4052</v>
      </c>
      <c r="E5198" t="s">
        <v>4053</v>
      </c>
      <c r="F5198" t="s">
        <v>10659</v>
      </c>
      <c r="G5198" t="s">
        <v>3890</v>
      </c>
      <c r="H5198" t="s">
        <v>3984</v>
      </c>
      <c r="I5198" t="s">
        <v>4002</v>
      </c>
      <c r="J5198">
        <v>2</v>
      </c>
      <c r="K5198">
        <v>6.7770000000000001</v>
      </c>
      <c r="L5198">
        <v>6.3419999999999996</v>
      </c>
      <c r="M5198">
        <v>7.54</v>
      </c>
      <c r="N5198">
        <v>8.1080000000000005</v>
      </c>
      <c r="O5198">
        <v>8.2379999999999995</v>
      </c>
      <c r="P5198">
        <v>8.3179999999999996</v>
      </c>
      <c r="Q5198">
        <v>8.0250000000000004</v>
      </c>
      <c r="R5198">
        <v>8.3070000000000004</v>
      </c>
      <c r="S5198">
        <v>8.5109999999999992</v>
      </c>
      <c r="T5198">
        <v>8.8010000000000002</v>
      </c>
      <c r="U5198">
        <v>9.0210000000000008</v>
      </c>
      <c r="V5198">
        <v>9.3049999999999997</v>
      </c>
      <c r="W5198">
        <v>9.5719999999999992</v>
      </c>
      <c r="X5198">
        <v>9.8729999999999993</v>
      </c>
      <c r="Y5198">
        <v>10.048999999999999</v>
      </c>
      <c r="Z5198">
        <v>10.227</v>
      </c>
      <c r="AA5198">
        <v>10.407</v>
      </c>
      <c r="AB5198">
        <v>10.589</v>
      </c>
      <c r="AC5198">
        <v>10.776</v>
      </c>
      <c r="AD5198">
        <v>10.964</v>
      </c>
    </row>
    <row r="5199" spans="2:30" x14ac:dyDescent="0.25">
      <c r="B5199" t="s">
        <v>133</v>
      </c>
      <c r="C5199" t="s">
        <v>10598</v>
      </c>
      <c r="D5199" t="s">
        <v>4055</v>
      </c>
      <c r="E5199" t="s">
        <v>4056</v>
      </c>
      <c r="F5199" t="s">
        <v>10660</v>
      </c>
      <c r="G5199" t="s">
        <v>3890</v>
      </c>
      <c r="H5199" t="s">
        <v>3984</v>
      </c>
      <c r="I5199" t="s">
        <v>4002</v>
      </c>
      <c r="J5199">
        <v>2</v>
      </c>
      <c r="K5199">
        <v>98.35</v>
      </c>
      <c r="L5199">
        <v>91.558999999999997</v>
      </c>
      <c r="M5199">
        <v>108.024</v>
      </c>
      <c r="N5199">
        <v>110.48099999999999</v>
      </c>
      <c r="O5199">
        <v>109.17400000000001</v>
      </c>
      <c r="P5199">
        <v>109.437</v>
      </c>
      <c r="Q5199">
        <v>112.471</v>
      </c>
      <c r="R5199">
        <v>114.85899999999999</v>
      </c>
      <c r="S5199">
        <v>117.303</v>
      </c>
      <c r="T5199">
        <v>119.173</v>
      </c>
      <c r="U5199">
        <v>122.111</v>
      </c>
      <c r="V5199">
        <v>124.108</v>
      </c>
      <c r="W5199">
        <v>127.947</v>
      </c>
      <c r="X5199">
        <v>130.345</v>
      </c>
      <c r="Y5199">
        <v>135.32400000000001</v>
      </c>
      <c r="Z5199">
        <v>141.30799999999999</v>
      </c>
      <c r="AA5199">
        <v>145.70699999999999</v>
      </c>
      <c r="AB5199">
        <v>156.404</v>
      </c>
      <c r="AC5199">
        <v>157.43199999999999</v>
      </c>
      <c r="AD5199">
        <v>174.81899999999999</v>
      </c>
    </row>
    <row r="5200" spans="2:30" x14ac:dyDescent="0.25">
      <c r="B5200" t="s">
        <v>133</v>
      </c>
      <c r="C5200" t="s">
        <v>10598</v>
      </c>
      <c r="D5200" t="s">
        <v>4058</v>
      </c>
      <c r="E5200" t="s">
        <v>4059</v>
      </c>
      <c r="F5200" t="s">
        <v>10661</v>
      </c>
      <c r="G5200" t="s">
        <v>3890</v>
      </c>
      <c r="H5200" t="s">
        <v>3984</v>
      </c>
      <c r="I5200" t="s">
        <v>4002</v>
      </c>
      <c r="J5200">
        <v>2</v>
      </c>
      <c r="K5200">
        <v>24.14</v>
      </c>
      <c r="L5200">
        <v>23.172000000000001</v>
      </c>
      <c r="M5200">
        <v>24.541</v>
      </c>
      <c r="N5200">
        <v>31.263999999999999</v>
      </c>
      <c r="O5200">
        <v>31.341999999999999</v>
      </c>
      <c r="P5200">
        <v>31.471</v>
      </c>
      <c r="Q5200">
        <v>31.667000000000002</v>
      </c>
      <c r="R5200">
        <v>31.850999999999999</v>
      </c>
      <c r="S5200">
        <v>32.021999999999998</v>
      </c>
      <c r="T5200">
        <v>32.220999999999997</v>
      </c>
      <c r="U5200">
        <v>32.447000000000003</v>
      </c>
      <c r="V5200">
        <v>32.719000000000001</v>
      </c>
      <c r="W5200">
        <v>33.017000000000003</v>
      </c>
      <c r="X5200">
        <v>33.39</v>
      </c>
      <c r="Y5200">
        <v>33.789000000000001</v>
      </c>
      <c r="Z5200">
        <v>34.244999999999997</v>
      </c>
      <c r="AA5200">
        <v>34.792999999999999</v>
      </c>
      <c r="AB5200">
        <v>35.298999999999999</v>
      </c>
      <c r="AC5200">
        <v>36.030999999999999</v>
      </c>
      <c r="AD5200">
        <v>36.557000000000002</v>
      </c>
    </row>
    <row r="5201" spans="2:30" x14ac:dyDescent="0.25">
      <c r="B5201" t="s">
        <v>133</v>
      </c>
      <c r="C5201" t="s">
        <v>10598</v>
      </c>
      <c r="D5201" t="s">
        <v>4061</v>
      </c>
      <c r="E5201" t="s">
        <v>4062</v>
      </c>
      <c r="F5201" t="s">
        <v>10662</v>
      </c>
      <c r="G5201" t="s">
        <v>3890</v>
      </c>
      <c r="H5201" t="s">
        <v>3984</v>
      </c>
      <c r="I5201" t="s">
        <v>4002</v>
      </c>
      <c r="J5201">
        <v>2</v>
      </c>
      <c r="K5201">
        <v>20.114000000000001</v>
      </c>
      <c r="L5201">
        <v>19.417999999999999</v>
      </c>
      <c r="M5201">
        <v>19.018999999999998</v>
      </c>
      <c r="N5201">
        <v>18.347000000000001</v>
      </c>
      <c r="O5201">
        <v>18.707999999999998</v>
      </c>
      <c r="P5201">
        <v>20.507000000000001</v>
      </c>
      <c r="Q5201">
        <v>22.451000000000001</v>
      </c>
      <c r="R5201">
        <v>24.555</v>
      </c>
      <c r="S5201">
        <v>27.065000000000001</v>
      </c>
      <c r="T5201">
        <v>30.033000000000001</v>
      </c>
      <c r="U5201">
        <v>33.238999999999997</v>
      </c>
      <c r="V5201">
        <v>36.668999999999997</v>
      </c>
      <c r="W5201">
        <v>40.305</v>
      </c>
      <c r="X5201">
        <v>44.128</v>
      </c>
      <c r="Y5201">
        <v>48.113</v>
      </c>
      <c r="Z5201">
        <v>52.295000000000002</v>
      </c>
      <c r="AA5201">
        <v>56.667000000000002</v>
      </c>
      <c r="AB5201">
        <v>61.222999999999999</v>
      </c>
      <c r="AC5201">
        <v>65.953999999999994</v>
      </c>
      <c r="AD5201">
        <v>70.775999999999996</v>
      </c>
    </row>
    <row r="5202" spans="2:30" x14ac:dyDescent="0.25">
      <c r="B5202" t="s">
        <v>133</v>
      </c>
      <c r="C5202" t="s">
        <v>10598</v>
      </c>
      <c r="D5202" t="s">
        <v>4064</v>
      </c>
      <c r="E5202" t="s">
        <v>4065</v>
      </c>
      <c r="F5202" t="s">
        <v>10663</v>
      </c>
      <c r="G5202" t="s">
        <v>3890</v>
      </c>
      <c r="H5202" t="s">
        <v>3984</v>
      </c>
      <c r="I5202" t="s">
        <v>4002</v>
      </c>
      <c r="J5202">
        <v>2</v>
      </c>
      <c r="K5202">
        <v>44.502000000000002</v>
      </c>
      <c r="L5202">
        <v>47.332999999999998</v>
      </c>
      <c r="M5202">
        <v>51.197000000000003</v>
      </c>
      <c r="N5202">
        <v>50.457000000000001</v>
      </c>
      <c r="O5202">
        <v>52.56</v>
      </c>
      <c r="P5202">
        <v>55.807000000000002</v>
      </c>
      <c r="Q5202">
        <v>59.393999999999998</v>
      </c>
      <c r="R5202">
        <v>63.216000000000001</v>
      </c>
      <c r="S5202">
        <v>67.63</v>
      </c>
      <c r="T5202">
        <v>72.775000000000006</v>
      </c>
      <c r="U5202">
        <v>78.338999999999999</v>
      </c>
      <c r="V5202">
        <v>84.298000000000002</v>
      </c>
      <c r="W5202">
        <v>90.578999999999994</v>
      </c>
      <c r="X5202">
        <v>97.197999999999993</v>
      </c>
      <c r="Y5202">
        <v>104.13500000000001</v>
      </c>
      <c r="Z5202">
        <v>111.422</v>
      </c>
      <c r="AA5202">
        <v>119.05800000000001</v>
      </c>
      <c r="AB5202">
        <v>127.05800000000001</v>
      </c>
      <c r="AC5202">
        <v>135.429</v>
      </c>
      <c r="AD5202">
        <v>144.167</v>
      </c>
    </row>
    <row r="5203" spans="2:30" x14ac:dyDescent="0.25">
      <c r="B5203" t="s">
        <v>133</v>
      </c>
      <c r="C5203" t="s">
        <v>10598</v>
      </c>
      <c r="D5203" t="s">
        <v>4067</v>
      </c>
      <c r="E5203" t="s">
        <v>4068</v>
      </c>
      <c r="F5203" t="s">
        <v>10664</v>
      </c>
      <c r="G5203" t="s">
        <v>3890</v>
      </c>
      <c r="H5203" t="s">
        <v>3984</v>
      </c>
      <c r="I5203" t="s">
        <v>4002</v>
      </c>
      <c r="J5203">
        <v>2</v>
      </c>
      <c r="K5203">
        <v>15.176</v>
      </c>
      <c r="L5203">
        <v>17.062999999999999</v>
      </c>
      <c r="M5203">
        <v>20.57</v>
      </c>
      <c r="N5203">
        <v>21.077999999999999</v>
      </c>
      <c r="O5203">
        <v>21.573</v>
      </c>
      <c r="P5203">
        <v>22.155999999999999</v>
      </c>
      <c r="Q5203">
        <v>22.846</v>
      </c>
      <c r="R5203">
        <v>23.507000000000001</v>
      </c>
      <c r="S5203">
        <v>24.126000000000001</v>
      </c>
      <c r="T5203">
        <v>24.75</v>
      </c>
      <c r="U5203">
        <v>25.38</v>
      </c>
      <c r="V5203">
        <v>26.016999999999999</v>
      </c>
      <c r="W5203">
        <v>26.661000000000001</v>
      </c>
      <c r="X5203">
        <v>27.315000000000001</v>
      </c>
      <c r="Y5203">
        <v>27.978000000000002</v>
      </c>
      <c r="Z5203">
        <v>28.652999999999999</v>
      </c>
      <c r="AA5203">
        <v>29.344000000000001</v>
      </c>
      <c r="AB5203">
        <v>30.047999999999998</v>
      </c>
      <c r="AC5203">
        <v>30.776</v>
      </c>
      <c r="AD5203">
        <v>31.515000000000001</v>
      </c>
    </row>
    <row r="5204" spans="2:30" x14ac:dyDescent="0.25">
      <c r="B5204" t="s">
        <v>133</v>
      </c>
      <c r="C5204" t="s">
        <v>10598</v>
      </c>
      <c r="D5204" t="s">
        <v>4070</v>
      </c>
      <c r="E5204" t="s">
        <v>4071</v>
      </c>
      <c r="F5204" t="s">
        <v>10665</v>
      </c>
      <c r="G5204" t="s">
        <v>3890</v>
      </c>
      <c r="H5204" t="s">
        <v>3984</v>
      </c>
      <c r="I5204" t="s">
        <v>4002</v>
      </c>
      <c r="J5204">
        <v>2</v>
      </c>
      <c r="K5204">
        <v>1.855</v>
      </c>
      <c r="L5204">
        <v>2.1720000000000002</v>
      </c>
      <c r="M5204">
        <v>2.4140000000000001</v>
      </c>
      <c r="N5204">
        <v>2.5019999999999998</v>
      </c>
      <c r="O5204">
        <v>2.59</v>
      </c>
      <c r="P5204">
        <v>2.6960000000000002</v>
      </c>
      <c r="Q5204">
        <v>2.8250000000000002</v>
      </c>
      <c r="R5204">
        <v>2.9510000000000001</v>
      </c>
      <c r="S5204">
        <v>3.073</v>
      </c>
      <c r="T5204">
        <v>3.1970000000000001</v>
      </c>
      <c r="U5204">
        <v>3.3239999999999998</v>
      </c>
      <c r="V5204">
        <v>3.4550000000000001</v>
      </c>
      <c r="W5204">
        <v>3.589</v>
      </c>
      <c r="X5204">
        <v>3.7269999999999999</v>
      </c>
      <c r="Y5204">
        <v>3.8690000000000002</v>
      </c>
      <c r="Z5204">
        <v>4.0149999999999997</v>
      </c>
      <c r="AA5204">
        <v>4.1669999999999998</v>
      </c>
      <c r="AB5204">
        <v>4.3239999999999998</v>
      </c>
      <c r="AC5204">
        <v>4.4880000000000004</v>
      </c>
      <c r="AD5204">
        <v>4.657</v>
      </c>
    </row>
    <row r="5205" spans="2:30" x14ac:dyDescent="0.25">
      <c r="B5205" t="s">
        <v>133</v>
      </c>
      <c r="C5205" t="s">
        <v>10598</v>
      </c>
      <c r="D5205" t="s">
        <v>3322</v>
      </c>
      <c r="E5205" t="s">
        <v>3323</v>
      </c>
      <c r="F5205" t="s">
        <v>10666</v>
      </c>
      <c r="G5205" t="s">
        <v>3890</v>
      </c>
      <c r="H5205" t="s">
        <v>3984</v>
      </c>
      <c r="I5205" t="s">
        <v>4002</v>
      </c>
      <c r="J5205">
        <v>2</v>
      </c>
      <c r="K5205">
        <v>82.215000000000003</v>
      </c>
      <c r="L5205">
        <v>78.516000000000005</v>
      </c>
      <c r="M5205">
        <v>90.733999999999995</v>
      </c>
      <c r="N5205">
        <v>95.161000000000001</v>
      </c>
      <c r="O5205">
        <v>92.507000000000005</v>
      </c>
      <c r="P5205">
        <v>91.156999999999996</v>
      </c>
      <c r="Q5205">
        <v>92.626999999999995</v>
      </c>
      <c r="R5205">
        <v>93.087999999999994</v>
      </c>
      <c r="S5205">
        <v>93.721000000000004</v>
      </c>
      <c r="T5205">
        <v>93.686000000000007</v>
      </c>
      <c r="U5205">
        <v>94.73</v>
      </c>
      <c r="V5205">
        <v>94.777000000000001</v>
      </c>
      <c r="W5205">
        <v>96.649000000000001</v>
      </c>
      <c r="X5205">
        <v>97.069000000000003</v>
      </c>
      <c r="Y5205">
        <v>100.13200000000001</v>
      </c>
      <c r="Z5205">
        <v>104.18899999999999</v>
      </c>
      <c r="AA5205">
        <v>106.67100000000001</v>
      </c>
      <c r="AB5205">
        <v>115.333</v>
      </c>
      <c r="AC5205">
        <v>114.44499999999999</v>
      </c>
      <c r="AD5205">
        <v>129.64599999999999</v>
      </c>
    </row>
    <row r="5206" spans="2:30" x14ac:dyDescent="0.25">
      <c r="B5206" t="s">
        <v>133</v>
      </c>
      <c r="C5206" t="s">
        <v>10598</v>
      </c>
      <c r="D5206" t="s">
        <v>3358</v>
      </c>
      <c r="E5206" t="s">
        <v>3359</v>
      </c>
      <c r="F5206" t="s">
        <v>10667</v>
      </c>
      <c r="G5206" t="s">
        <v>3890</v>
      </c>
      <c r="H5206" t="s">
        <v>3984</v>
      </c>
      <c r="I5206" t="s">
        <v>4002</v>
      </c>
      <c r="J5206">
        <v>2</v>
      </c>
      <c r="K5206">
        <v>52.970999999999997</v>
      </c>
      <c r="L5206">
        <v>52.003</v>
      </c>
      <c r="M5206">
        <v>51.097000000000001</v>
      </c>
      <c r="N5206">
        <v>49.530999999999999</v>
      </c>
      <c r="O5206">
        <v>51.664000000000001</v>
      </c>
      <c r="P5206">
        <v>56.411999999999999</v>
      </c>
      <c r="Q5206">
        <v>61.591999999999999</v>
      </c>
      <c r="R5206">
        <v>67.201999999999998</v>
      </c>
      <c r="S5206">
        <v>73.864999999999995</v>
      </c>
      <c r="T5206">
        <v>81.747</v>
      </c>
      <c r="U5206">
        <v>90.304000000000002</v>
      </c>
      <c r="V5206">
        <v>99.491</v>
      </c>
      <c r="W5206">
        <v>109.22199999999999</v>
      </c>
      <c r="X5206">
        <v>119.48699999999999</v>
      </c>
      <c r="Y5206">
        <v>130.244</v>
      </c>
      <c r="Z5206">
        <v>141.55799999999999</v>
      </c>
      <c r="AA5206">
        <v>153.41999999999999</v>
      </c>
      <c r="AB5206">
        <v>165.84</v>
      </c>
      <c r="AC5206">
        <v>178.81100000000001</v>
      </c>
      <c r="AD5206">
        <v>192.24600000000001</v>
      </c>
    </row>
    <row r="5207" spans="2:30" x14ac:dyDescent="0.25">
      <c r="B5207" t="s">
        <v>133</v>
      </c>
      <c r="C5207" t="s">
        <v>10598</v>
      </c>
      <c r="D5207" t="s">
        <v>3334</v>
      </c>
      <c r="E5207" t="s">
        <v>3335</v>
      </c>
      <c r="F5207" t="s">
        <v>10668</v>
      </c>
      <c r="G5207" t="s">
        <v>3890</v>
      </c>
      <c r="H5207" t="s">
        <v>3984</v>
      </c>
      <c r="I5207" t="s">
        <v>4002</v>
      </c>
      <c r="J5207">
        <v>2</v>
      </c>
      <c r="K5207">
        <v>15.803000000000001</v>
      </c>
      <c r="L5207">
        <v>17.407</v>
      </c>
      <c r="M5207">
        <v>21.786000000000001</v>
      </c>
      <c r="N5207">
        <v>22.128</v>
      </c>
      <c r="O5207">
        <v>22.457000000000001</v>
      </c>
      <c r="P5207">
        <v>22.846</v>
      </c>
      <c r="Q5207">
        <v>23.306999999999999</v>
      </c>
      <c r="R5207">
        <v>23.741</v>
      </c>
      <c r="S5207">
        <v>24.14</v>
      </c>
      <c r="T5207">
        <v>24.538</v>
      </c>
      <c r="U5207">
        <v>24.934999999999999</v>
      </c>
      <c r="V5207">
        <v>25.332000000000001</v>
      </c>
      <c r="W5207">
        <v>25.73</v>
      </c>
      <c r="X5207">
        <v>26.13</v>
      </c>
      <c r="Y5207">
        <v>26.530999999999999</v>
      </c>
      <c r="Z5207">
        <v>26.936</v>
      </c>
      <c r="AA5207">
        <v>27.346</v>
      </c>
      <c r="AB5207">
        <v>27.760999999999999</v>
      </c>
      <c r="AC5207">
        <v>28.186</v>
      </c>
      <c r="AD5207">
        <v>28.613</v>
      </c>
    </row>
    <row r="5208" spans="2:30" x14ac:dyDescent="0.25">
      <c r="B5208" t="s">
        <v>133</v>
      </c>
      <c r="C5208" t="s">
        <v>10598</v>
      </c>
      <c r="D5208" t="s">
        <v>3310</v>
      </c>
      <c r="E5208" t="s">
        <v>3311</v>
      </c>
      <c r="F5208" t="s">
        <v>10669</v>
      </c>
      <c r="G5208" t="s">
        <v>3890</v>
      </c>
      <c r="H5208" t="s">
        <v>3984</v>
      </c>
      <c r="I5208" t="s">
        <v>4002</v>
      </c>
      <c r="J5208">
        <v>2</v>
      </c>
      <c r="K5208">
        <v>59.633000000000003</v>
      </c>
      <c r="L5208">
        <v>58.865000000000002</v>
      </c>
      <c r="M5208">
        <v>69.37</v>
      </c>
      <c r="N5208">
        <v>74.998999999999995</v>
      </c>
      <c r="O5208">
        <v>77.138999999999996</v>
      </c>
      <c r="P5208">
        <v>79.561000000000007</v>
      </c>
      <c r="Q5208">
        <v>81.739999999999995</v>
      </c>
      <c r="R5208">
        <v>84.804000000000002</v>
      </c>
      <c r="S5208">
        <v>87.591999999999999</v>
      </c>
      <c r="T5208">
        <v>90.569000000000003</v>
      </c>
      <c r="U5208">
        <v>93.483000000000004</v>
      </c>
      <c r="V5208">
        <v>96.561999999999998</v>
      </c>
      <c r="W5208">
        <v>99.662999999999997</v>
      </c>
      <c r="X5208">
        <v>102.88500000000001</v>
      </c>
      <c r="Y5208">
        <v>105.94499999999999</v>
      </c>
      <c r="Z5208">
        <v>109.078</v>
      </c>
      <c r="AA5208">
        <v>112.304</v>
      </c>
      <c r="AB5208">
        <v>115.611</v>
      </c>
      <c r="AC5208">
        <v>119.045</v>
      </c>
      <c r="AD5208">
        <v>122.553</v>
      </c>
    </row>
    <row r="5209" spans="2:30" x14ac:dyDescent="0.25">
      <c r="B5209" t="s">
        <v>133</v>
      </c>
      <c r="C5209" t="s">
        <v>10598</v>
      </c>
      <c r="D5209" t="s">
        <v>4077</v>
      </c>
      <c r="E5209" t="s">
        <v>4078</v>
      </c>
      <c r="F5209" t="s">
        <v>10670</v>
      </c>
      <c r="G5209" t="s">
        <v>3890</v>
      </c>
      <c r="H5209" t="s">
        <v>3984</v>
      </c>
      <c r="I5209" t="s">
        <v>4002</v>
      </c>
      <c r="J5209">
        <v>2</v>
      </c>
      <c r="K5209">
        <v>0.29399999999999998</v>
      </c>
      <c r="L5209">
        <v>0.26800000000000002</v>
      </c>
      <c r="M5209">
        <v>0.317</v>
      </c>
      <c r="N5209">
        <v>0.41699999999999998</v>
      </c>
      <c r="O5209">
        <v>0.41599999999999998</v>
      </c>
      <c r="P5209">
        <v>0.41499999999999998</v>
      </c>
      <c r="Q5209">
        <v>0.41399999999999998</v>
      </c>
      <c r="R5209">
        <v>0.41199999999999998</v>
      </c>
      <c r="S5209">
        <v>0.41099999999999998</v>
      </c>
      <c r="T5209">
        <v>0.41</v>
      </c>
      <c r="U5209">
        <v>0.40899999999999997</v>
      </c>
      <c r="V5209">
        <v>0.40799999999999997</v>
      </c>
      <c r="W5209">
        <v>0.40600000000000003</v>
      </c>
      <c r="X5209">
        <v>0.40500000000000003</v>
      </c>
      <c r="Y5209">
        <v>0.40400000000000003</v>
      </c>
      <c r="Z5209">
        <v>0.40300000000000002</v>
      </c>
      <c r="AA5209">
        <v>0.40100000000000002</v>
      </c>
      <c r="AB5209">
        <v>0.4</v>
      </c>
      <c r="AC5209">
        <v>0.39900000000000002</v>
      </c>
      <c r="AD5209">
        <v>0.39800000000000002</v>
      </c>
    </row>
    <row r="5210" spans="2:30" x14ac:dyDescent="0.25">
      <c r="B5210" t="s">
        <v>133</v>
      </c>
      <c r="C5210" t="s">
        <v>10598</v>
      </c>
      <c r="D5210" t="s">
        <v>4080</v>
      </c>
      <c r="E5210" t="s">
        <v>4081</v>
      </c>
      <c r="F5210" t="s">
        <v>10671</v>
      </c>
      <c r="G5210" t="s">
        <v>3890</v>
      </c>
      <c r="H5210" t="s">
        <v>4083</v>
      </c>
      <c r="I5210" t="s">
        <v>4002</v>
      </c>
      <c r="J5210" t="s">
        <v>4084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-4.0000000000000001E-3</v>
      </c>
      <c r="R5210">
        <v>-7.0000000000000001E-3</v>
      </c>
      <c r="S5210">
        <v>-8.9999999999999993E-3</v>
      </c>
      <c r="T5210">
        <v>-1.2E-2</v>
      </c>
      <c r="U5210">
        <v>-1.2999999999999999E-2</v>
      </c>
      <c r="V5210">
        <v>-1.6E-2</v>
      </c>
      <c r="W5210">
        <v>-1.6E-2</v>
      </c>
      <c r="X5210">
        <v>-0.02</v>
      </c>
      <c r="Y5210">
        <v>-1.9E-2</v>
      </c>
      <c r="Z5210">
        <v>-1.7999999999999999E-2</v>
      </c>
      <c r="AA5210">
        <v>-2.1000000000000001E-2</v>
      </c>
      <c r="AB5210">
        <v>-1.4999999999999999E-2</v>
      </c>
      <c r="AC5210">
        <v>-2.5000000000000001E-2</v>
      </c>
      <c r="AD5210">
        <v>-1.0999999999999999E-2</v>
      </c>
    </row>
    <row r="5211" spans="2:30" x14ac:dyDescent="0.25">
      <c r="B5211" t="s">
        <v>133</v>
      </c>
      <c r="C5211" t="s">
        <v>10598</v>
      </c>
      <c r="D5211" t="s">
        <v>4085</v>
      </c>
      <c r="E5211" t="s">
        <v>4086</v>
      </c>
      <c r="F5211" t="s">
        <v>10672</v>
      </c>
      <c r="G5211" t="s">
        <v>3890</v>
      </c>
      <c r="H5211" t="s">
        <v>3984</v>
      </c>
      <c r="I5211" t="s">
        <v>3985</v>
      </c>
      <c r="J5211">
        <v>1</v>
      </c>
      <c r="K5211">
        <v>400.91199999999998</v>
      </c>
      <c r="L5211">
        <v>412.09300000000002</v>
      </c>
      <c r="M5211">
        <v>450.91199999999998</v>
      </c>
      <c r="N5211">
        <v>467.50299999999999</v>
      </c>
      <c r="O5211">
        <v>473.61099999999999</v>
      </c>
      <c r="P5211">
        <v>484.72199999999998</v>
      </c>
      <c r="Q5211">
        <v>501.07100000000003</v>
      </c>
      <c r="R5211">
        <v>518.10699999999997</v>
      </c>
      <c r="S5211">
        <v>535.59100000000001</v>
      </c>
      <c r="T5211">
        <v>555.01099999999997</v>
      </c>
      <c r="U5211">
        <v>576.96699999999998</v>
      </c>
      <c r="V5211">
        <v>601.255</v>
      </c>
      <c r="W5211">
        <v>626.79999999999995</v>
      </c>
      <c r="X5211">
        <v>653.71699999999998</v>
      </c>
      <c r="Y5211">
        <v>681.98</v>
      </c>
      <c r="Z5211">
        <v>711.798</v>
      </c>
      <c r="AA5211">
        <v>743.27499999999998</v>
      </c>
      <c r="AB5211">
        <v>776.57600000000002</v>
      </c>
      <c r="AC5211">
        <v>811.89599999999996</v>
      </c>
      <c r="AD5211">
        <v>848.12900000000002</v>
      </c>
    </row>
    <row r="5212" spans="2:30" x14ac:dyDescent="0.25">
      <c r="B5212" t="s">
        <v>133</v>
      </c>
      <c r="C5212" t="s">
        <v>10598</v>
      </c>
      <c r="D5212" t="s">
        <v>3340</v>
      </c>
      <c r="E5212" t="s">
        <v>3341</v>
      </c>
      <c r="F5212" t="s">
        <v>10636</v>
      </c>
      <c r="G5212" t="s">
        <v>3890</v>
      </c>
      <c r="H5212" t="s">
        <v>3984</v>
      </c>
      <c r="I5212" t="s">
        <v>4002</v>
      </c>
      <c r="J5212">
        <v>1</v>
      </c>
      <c r="K5212">
        <v>307.637</v>
      </c>
      <c r="L5212">
        <v>315.613</v>
      </c>
      <c r="M5212">
        <v>350.59300000000002</v>
      </c>
      <c r="N5212">
        <v>364.71100000000001</v>
      </c>
      <c r="O5212">
        <v>369.13900000000001</v>
      </c>
      <c r="P5212">
        <v>378.11399999999998</v>
      </c>
      <c r="Q5212">
        <v>391.91199999999998</v>
      </c>
      <c r="R5212">
        <v>406.33199999999999</v>
      </c>
      <c r="S5212">
        <v>421.214</v>
      </c>
      <c r="T5212">
        <v>437.48700000000002</v>
      </c>
      <c r="U5212">
        <v>455.42500000000001</v>
      </c>
      <c r="V5212">
        <v>475.274</v>
      </c>
      <c r="W5212">
        <v>496.22399999999999</v>
      </c>
      <c r="X5212">
        <v>518.38400000000001</v>
      </c>
      <c r="Y5212">
        <v>541.72500000000002</v>
      </c>
      <c r="Z5212">
        <v>566.44899999999996</v>
      </c>
      <c r="AA5212">
        <v>592.65300000000002</v>
      </c>
      <c r="AB5212">
        <v>620.49599999999998</v>
      </c>
      <c r="AC5212">
        <v>650.16499999999996</v>
      </c>
      <c r="AD5212">
        <v>680.55499999999995</v>
      </c>
    </row>
    <row r="5213" spans="2:30" x14ac:dyDescent="0.25">
      <c r="B5213" t="s">
        <v>133</v>
      </c>
      <c r="C5213" t="s">
        <v>10598</v>
      </c>
      <c r="D5213" t="s">
        <v>4088</v>
      </c>
      <c r="E5213" t="s">
        <v>4089</v>
      </c>
      <c r="F5213" t="s">
        <v>10673</v>
      </c>
      <c r="G5213" t="s">
        <v>3890</v>
      </c>
      <c r="H5213" t="s">
        <v>3984</v>
      </c>
      <c r="I5213" t="s">
        <v>3985</v>
      </c>
      <c r="J5213">
        <v>1</v>
      </c>
      <c r="K5213">
        <v>53.088000000000001</v>
      </c>
      <c r="L5213">
        <v>55.677999999999997</v>
      </c>
      <c r="M5213">
        <v>56.591999999999999</v>
      </c>
      <c r="N5213">
        <v>57.34</v>
      </c>
      <c r="O5213">
        <v>58.082999999999998</v>
      </c>
      <c r="P5213">
        <v>59.234000000000002</v>
      </c>
      <c r="Q5213">
        <v>60.427999999999997</v>
      </c>
      <c r="R5213">
        <v>61.667000000000002</v>
      </c>
      <c r="S5213">
        <v>62.921999999999997</v>
      </c>
      <c r="T5213">
        <v>64.748000000000005</v>
      </c>
      <c r="U5213">
        <v>67.185000000000002</v>
      </c>
      <c r="V5213">
        <v>69.716999999999999</v>
      </c>
      <c r="W5213">
        <v>72.346999999999994</v>
      </c>
      <c r="X5213">
        <v>75.078000000000003</v>
      </c>
      <c r="Y5213">
        <v>77.915000000000006</v>
      </c>
      <c r="Z5213">
        <v>80.858999999999995</v>
      </c>
      <c r="AA5213">
        <v>83.917000000000002</v>
      </c>
      <c r="AB5213">
        <v>87.093000000000004</v>
      </c>
      <c r="AC5213">
        <v>90.39</v>
      </c>
      <c r="AD5213">
        <v>93.814999999999998</v>
      </c>
    </row>
    <row r="5214" spans="2:30" x14ac:dyDescent="0.25">
      <c r="B5214" t="s">
        <v>133</v>
      </c>
      <c r="C5214" t="s">
        <v>10598</v>
      </c>
      <c r="D5214" t="s">
        <v>4091</v>
      </c>
      <c r="E5214" t="s">
        <v>4092</v>
      </c>
      <c r="F5214" t="s">
        <v>10674</v>
      </c>
      <c r="G5214" t="s">
        <v>3890</v>
      </c>
      <c r="H5214" t="s">
        <v>3984</v>
      </c>
      <c r="I5214" t="s">
        <v>3985</v>
      </c>
      <c r="J5214">
        <v>1</v>
      </c>
      <c r="K5214">
        <v>28.488</v>
      </c>
      <c r="L5214">
        <v>28.577000000000002</v>
      </c>
      <c r="M5214">
        <v>29.32</v>
      </c>
      <c r="N5214">
        <v>29.875</v>
      </c>
      <c r="O5214">
        <v>30.367999999999999</v>
      </c>
      <c r="P5214">
        <v>30.834</v>
      </c>
      <c r="Q5214">
        <v>31.558</v>
      </c>
      <c r="R5214">
        <v>32.325000000000003</v>
      </c>
      <c r="S5214">
        <v>33.095999999999997</v>
      </c>
      <c r="T5214">
        <v>33.832000000000001</v>
      </c>
      <c r="U5214">
        <v>34.822000000000003</v>
      </c>
      <c r="V5214">
        <v>36.127000000000002</v>
      </c>
      <c r="W5214">
        <v>37.479999999999997</v>
      </c>
      <c r="X5214">
        <v>38.883000000000003</v>
      </c>
      <c r="Y5214">
        <v>40.335999999999999</v>
      </c>
      <c r="Z5214">
        <v>41.841999999999999</v>
      </c>
      <c r="AA5214">
        <v>43.404000000000003</v>
      </c>
      <c r="AB5214">
        <v>45.023000000000003</v>
      </c>
      <c r="AC5214">
        <v>46.703000000000003</v>
      </c>
      <c r="AD5214">
        <v>48.438000000000002</v>
      </c>
    </row>
    <row r="5215" spans="2:30" x14ac:dyDescent="0.25">
      <c r="B5215" t="s">
        <v>133</v>
      </c>
      <c r="C5215" t="s">
        <v>10598</v>
      </c>
      <c r="D5215" t="s">
        <v>4094</v>
      </c>
      <c r="E5215" t="s">
        <v>4095</v>
      </c>
      <c r="F5215" t="s">
        <v>10675</v>
      </c>
      <c r="G5215" t="s">
        <v>3890</v>
      </c>
      <c r="H5215" t="s">
        <v>3984</v>
      </c>
      <c r="I5215" t="s">
        <v>3985</v>
      </c>
      <c r="J5215">
        <v>1</v>
      </c>
      <c r="K5215">
        <v>11.699</v>
      </c>
      <c r="L5215">
        <v>12.225</v>
      </c>
      <c r="M5215">
        <v>14.407</v>
      </c>
      <c r="N5215">
        <v>15.576000000000001</v>
      </c>
      <c r="O5215">
        <v>16.02</v>
      </c>
      <c r="P5215">
        <v>16.54</v>
      </c>
      <c r="Q5215">
        <v>17.172000000000001</v>
      </c>
      <c r="R5215">
        <v>17.782</v>
      </c>
      <c r="S5215">
        <v>18.359000000000002</v>
      </c>
      <c r="T5215">
        <v>18.943999999999999</v>
      </c>
      <c r="U5215">
        <v>19.535</v>
      </c>
      <c r="V5215">
        <v>20.137</v>
      </c>
      <c r="W5215">
        <v>20.748999999999999</v>
      </c>
      <c r="X5215">
        <v>21.372</v>
      </c>
      <c r="Y5215">
        <v>22.004999999999999</v>
      </c>
      <c r="Z5215">
        <v>22.648</v>
      </c>
      <c r="AA5215">
        <v>23.300999999999998</v>
      </c>
      <c r="AB5215">
        <v>23.965</v>
      </c>
      <c r="AC5215">
        <v>24.638000000000002</v>
      </c>
      <c r="AD5215">
        <v>25.321000000000002</v>
      </c>
    </row>
    <row r="5216" spans="2:30" x14ac:dyDescent="0.25">
      <c r="B5216" t="s">
        <v>133</v>
      </c>
      <c r="C5216" t="s">
        <v>10598</v>
      </c>
      <c r="D5216" t="s">
        <v>4097</v>
      </c>
      <c r="E5216" t="s">
        <v>4098</v>
      </c>
      <c r="F5216" t="s">
        <v>10676</v>
      </c>
      <c r="G5216" t="s">
        <v>3890</v>
      </c>
      <c r="H5216" t="s">
        <v>3984</v>
      </c>
      <c r="I5216" t="s">
        <v>3985</v>
      </c>
      <c r="J5216">
        <v>2</v>
      </c>
      <c r="K5216">
        <v>400.91199999999998</v>
      </c>
      <c r="L5216">
        <v>412.09300000000002</v>
      </c>
      <c r="M5216">
        <v>450.91199999999998</v>
      </c>
      <c r="N5216">
        <v>467.50299999999999</v>
      </c>
      <c r="O5216">
        <v>473.61099999999999</v>
      </c>
      <c r="P5216">
        <v>484.56</v>
      </c>
      <c r="Q5216">
        <v>499.19</v>
      </c>
      <c r="R5216">
        <v>515.06700000000001</v>
      </c>
      <c r="S5216">
        <v>531.64800000000002</v>
      </c>
      <c r="T5216">
        <v>549.70299999999997</v>
      </c>
      <c r="U5216">
        <v>571.029</v>
      </c>
      <c r="V5216">
        <v>593.54300000000001</v>
      </c>
      <c r="W5216">
        <v>618.74599999999998</v>
      </c>
      <c r="X5216">
        <v>643.53499999999997</v>
      </c>
      <c r="Y5216">
        <v>671.44399999999996</v>
      </c>
      <c r="Z5216">
        <v>701.351</v>
      </c>
      <c r="AA5216">
        <v>730.71600000000001</v>
      </c>
      <c r="AB5216">
        <v>767.34299999999996</v>
      </c>
      <c r="AC5216">
        <v>795.49900000000002</v>
      </c>
      <c r="AD5216">
        <v>840.80200000000002</v>
      </c>
    </row>
    <row r="5217" spans="2:30" x14ac:dyDescent="0.25">
      <c r="B5217" t="s">
        <v>133</v>
      </c>
      <c r="C5217" t="s">
        <v>10598</v>
      </c>
      <c r="D5217" t="s">
        <v>3346</v>
      </c>
      <c r="E5217" t="s">
        <v>3347</v>
      </c>
      <c r="F5217" t="s">
        <v>10657</v>
      </c>
      <c r="G5217" t="s">
        <v>3890</v>
      </c>
      <c r="H5217" t="s">
        <v>3984</v>
      </c>
      <c r="I5217" t="s">
        <v>4002</v>
      </c>
      <c r="J5217">
        <v>2</v>
      </c>
      <c r="K5217">
        <v>307.637</v>
      </c>
      <c r="L5217">
        <v>315.613</v>
      </c>
      <c r="M5217">
        <v>350.59300000000002</v>
      </c>
      <c r="N5217">
        <v>364.71100000000001</v>
      </c>
      <c r="O5217">
        <v>369.13900000000001</v>
      </c>
      <c r="P5217">
        <v>377.971</v>
      </c>
      <c r="Q5217">
        <v>390.25</v>
      </c>
      <c r="R5217">
        <v>403.49099999999999</v>
      </c>
      <c r="S5217">
        <v>417.47199999999998</v>
      </c>
      <c r="T5217">
        <v>432.35399999999998</v>
      </c>
      <c r="U5217">
        <v>449.65199999999999</v>
      </c>
      <c r="V5217">
        <v>467.69799999999998</v>
      </c>
      <c r="W5217">
        <v>488.274</v>
      </c>
      <c r="X5217">
        <v>508.27100000000002</v>
      </c>
      <c r="Y5217">
        <v>531.25599999999997</v>
      </c>
      <c r="Z5217">
        <v>556.05899999999997</v>
      </c>
      <c r="AA5217">
        <v>580.14300000000003</v>
      </c>
      <c r="AB5217">
        <v>611.26199999999994</v>
      </c>
      <c r="AC5217">
        <v>633.76599999999996</v>
      </c>
      <c r="AD5217">
        <v>673.11400000000003</v>
      </c>
    </row>
    <row r="5218" spans="2:30" x14ac:dyDescent="0.25">
      <c r="B5218" t="s">
        <v>133</v>
      </c>
      <c r="C5218" t="s">
        <v>10598</v>
      </c>
      <c r="D5218" t="s">
        <v>4100</v>
      </c>
      <c r="E5218" t="s">
        <v>4101</v>
      </c>
      <c r="F5218" t="s">
        <v>10677</v>
      </c>
      <c r="G5218" t="s">
        <v>3890</v>
      </c>
      <c r="H5218" t="s">
        <v>3984</v>
      </c>
      <c r="I5218" t="s">
        <v>3985</v>
      </c>
      <c r="J5218">
        <v>2</v>
      </c>
      <c r="K5218">
        <v>53.088000000000001</v>
      </c>
      <c r="L5218">
        <v>55.677999999999997</v>
      </c>
      <c r="M5218">
        <v>56.591999999999999</v>
      </c>
      <c r="N5218">
        <v>57.34</v>
      </c>
      <c r="O5218">
        <v>58.082999999999998</v>
      </c>
      <c r="P5218">
        <v>59.232999999999997</v>
      </c>
      <c r="Q5218">
        <v>60.424999999999997</v>
      </c>
      <c r="R5218">
        <v>61.664000000000001</v>
      </c>
      <c r="S5218">
        <v>62.917999999999999</v>
      </c>
      <c r="T5218">
        <v>64.742999999999995</v>
      </c>
      <c r="U5218">
        <v>67.180000000000007</v>
      </c>
      <c r="V5218">
        <v>69.710999999999999</v>
      </c>
      <c r="W5218">
        <v>72.340999999999994</v>
      </c>
      <c r="X5218">
        <v>75.070999999999998</v>
      </c>
      <c r="Y5218">
        <v>77.908000000000001</v>
      </c>
      <c r="Z5218">
        <v>80.852999999999994</v>
      </c>
      <c r="AA5218">
        <v>83.91</v>
      </c>
      <c r="AB5218">
        <v>87.09</v>
      </c>
      <c r="AC5218">
        <v>90.385000000000005</v>
      </c>
      <c r="AD5218">
        <v>93.82</v>
      </c>
    </row>
    <row r="5219" spans="2:30" x14ac:dyDescent="0.25">
      <c r="B5219" t="s">
        <v>133</v>
      </c>
      <c r="C5219" t="s">
        <v>10598</v>
      </c>
      <c r="D5219" t="s">
        <v>4103</v>
      </c>
      <c r="E5219" t="s">
        <v>4104</v>
      </c>
      <c r="F5219" t="s">
        <v>10678</v>
      </c>
      <c r="G5219" t="s">
        <v>3890</v>
      </c>
      <c r="H5219" t="s">
        <v>3984</v>
      </c>
      <c r="I5219" t="s">
        <v>3985</v>
      </c>
      <c r="J5219">
        <v>2</v>
      </c>
      <c r="K5219">
        <v>28.488</v>
      </c>
      <c r="L5219">
        <v>28.577000000000002</v>
      </c>
      <c r="M5219">
        <v>29.32</v>
      </c>
      <c r="N5219">
        <v>29.875</v>
      </c>
      <c r="O5219">
        <v>30.367999999999999</v>
      </c>
      <c r="P5219">
        <v>30.832999999999998</v>
      </c>
      <c r="Q5219">
        <v>31.538</v>
      </c>
      <c r="R5219">
        <v>32.299999999999997</v>
      </c>
      <c r="S5219">
        <v>33.066000000000003</v>
      </c>
      <c r="T5219">
        <v>33.795999999999999</v>
      </c>
      <c r="U5219">
        <v>34.783000000000001</v>
      </c>
      <c r="V5219">
        <v>36.08</v>
      </c>
      <c r="W5219">
        <v>37.433</v>
      </c>
      <c r="X5219">
        <v>38.826000000000001</v>
      </c>
      <c r="Y5219">
        <v>40.277999999999999</v>
      </c>
      <c r="Z5219">
        <v>41.786000000000001</v>
      </c>
      <c r="AA5219">
        <v>43.338999999999999</v>
      </c>
      <c r="AB5219">
        <v>44.98</v>
      </c>
      <c r="AC5219">
        <v>46.625</v>
      </c>
      <c r="AD5219">
        <v>48.417000000000002</v>
      </c>
    </row>
    <row r="5220" spans="2:30" x14ac:dyDescent="0.25">
      <c r="B5220" t="s">
        <v>133</v>
      </c>
      <c r="C5220" t="s">
        <v>10598</v>
      </c>
      <c r="D5220" t="s">
        <v>4106</v>
      </c>
      <c r="E5220" t="s">
        <v>4107</v>
      </c>
      <c r="F5220" t="s">
        <v>10679</v>
      </c>
      <c r="G5220" t="s">
        <v>3890</v>
      </c>
      <c r="H5220" t="s">
        <v>3984</v>
      </c>
      <c r="I5220" t="s">
        <v>3985</v>
      </c>
      <c r="J5220">
        <v>2</v>
      </c>
      <c r="K5220">
        <v>11.699</v>
      </c>
      <c r="L5220">
        <v>12.225</v>
      </c>
      <c r="M5220">
        <v>14.407</v>
      </c>
      <c r="N5220">
        <v>15.576000000000001</v>
      </c>
      <c r="O5220">
        <v>16.02</v>
      </c>
      <c r="P5220">
        <v>16.523</v>
      </c>
      <c r="Q5220">
        <v>16.975999999999999</v>
      </c>
      <c r="R5220">
        <v>17.611999999999998</v>
      </c>
      <c r="S5220">
        <v>18.190999999999999</v>
      </c>
      <c r="T5220">
        <v>18.809000000000001</v>
      </c>
      <c r="U5220">
        <v>19.414999999999999</v>
      </c>
      <c r="V5220">
        <v>20.053999999999998</v>
      </c>
      <c r="W5220">
        <v>20.698</v>
      </c>
      <c r="X5220">
        <v>21.367000000000001</v>
      </c>
      <c r="Y5220">
        <v>22.003</v>
      </c>
      <c r="Z5220">
        <v>22.652999999999999</v>
      </c>
      <c r="AA5220">
        <v>23.323</v>
      </c>
      <c r="AB5220">
        <v>24.01</v>
      </c>
      <c r="AC5220">
        <v>24.722999999999999</v>
      </c>
      <c r="AD5220">
        <v>25.452000000000002</v>
      </c>
    </row>
    <row r="5221" spans="2:30" x14ac:dyDescent="0.25">
      <c r="B5221" t="s">
        <v>133</v>
      </c>
      <c r="C5221" t="s">
        <v>10598</v>
      </c>
      <c r="D5221" t="s">
        <v>4109</v>
      </c>
      <c r="E5221" t="s">
        <v>4110</v>
      </c>
      <c r="F5221" t="s">
        <v>10680</v>
      </c>
      <c r="G5221" t="s">
        <v>3890</v>
      </c>
      <c r="H5221" t="s">
        <v>3984</v>
      </c>
      <c r="I5221" t="s">
        <v>3985</v>
      </c>
      <c r="J5221">
        <v>1</v>
      </c>
      <c r="K5221">
        <v>53.088000000000001</v>
      </c>
      <c r="L5221">
        <v>55.677999999999997</v>
      </c>
      <c r="M5221">
        <v>56.591999999999999</v>
      </c>
      <c r="N5221">
        <v>57.34</v>
      </c>
      <c r="O5221">
        <v>58.082999999999998</v>
      </c>
      <c r="P5221">
        <v>59.234000000000002</v>
      </c>
      <c r="Q5221">
        <v>60.427999999999997</v>
      </c>
      <c r="R5221">
        <v>61.667000000000002</v>
      </c>
      <c r="S5221">
        <v>62.921999999999997</v>
      </c>
      <c r="T5221">
        <v>64.748000000000005</v>
      </c>
      <c r="U5221">
        <v>67.185000000000002</v>
      </c>
      <c r="V5221">
        <v>69.716999999999999</v>
      </c>
      <c r="W5221">
        <v>72.346999999999994</v>
      </c>
      <c r="X5221">
        <v>75.078000000000003</v>
      </c>
      <c r="Y5221">
        <v>77.915000000000006</v>
      </c>
      <c r="Z5221">
        <v>80.858999999999995</v>
      </c>
      <c r="AA5221">
        <v>83.917000000000002</v>
      </c>
      <c r="AB5221">
        <v>87.093000000000004</v>
      </c>
      <c r="AC5221">
        <v>90.39</v>
      </c>
      <c r="AD5221">
        <v>93.814999999999998</v>
      </c>
    </row>
    <row r="5222" spans="2:30" x14ac:dyDescent="0.25">
      <c r="B5222" t="s">
        <v>133</v>
      </c>
      <c r="C5222" t="s">
        <v>10598</v>
      </c>
      <c r="D5222" t="s">
        <v>4112</v>
      </c>
      <c r="E5222" t="s">
        <v>4113</v>
      </c>
      <c r="F5222" t="s">
        <v>10681</v>
      </c>
      <c r="G5222" t="s">
        <v>3890</v>
      </c>
      <c r="H5222" t="s">
        <v>3984</v>
      </c>
      <c r="I5222" t="s">
        <v>3985</v>
      </c>
      <c r="J5222">
        <v>1</v>
      </c>
      <c r="K5222">
        <v>53.088000000000001</v>
      </c>
      <c r="L5222">
        <v>55.677999999999997</v>
      </c>
      <c r="M5222">
        <v>56.591999999999999</v>
      </c>
      <c r="N5222">
        <v>57.34</v>
      </c>
      <c r="O5222">
        <v>58.082999999999998</v>
      </c>
      <c r="P5222">
        <v>59.234000000000002</v>
      </c>
      <c r="Q5222">
        <v>60.427999999999997</v>
      </c>
      <c r="R5222">
        <v>61.667000000000002</v>
      </c>
      <c r="S5222">
        <v>62.921999999999997</v>
      </c>
      <c r="T5222">
        <v>64.748000000000005</v>
      </c>
      <c r="U5222">
        <v>67.185000000000002</v>
      </c>
      <c r="V5222">
        <v>69.716999999999999</v>
      </c>
      <c r="W5222">
        <v>72.346999999999994</v>
      </c>
      <c r="X5222">
        <v>75.078000000000003</v>
      </c>
      <c r="Y5222">
        <v>77.915000000000006</v>
      </c>
      <c r="Z5222">
        <v>80.858999999999995</v>
      </c>
      <c r="AA5222">
        <v>83.917000000000002</v>
      </c>
      <c r="AB5222">
        <v>87.093000000000004</v>
      </c>
      <c r="AC5222">
        <v>90.39</v>
      </c>
      <c r="AD5222">
        <v>93.814999999999998</v>
      </c>
    </row>
    <row r="5223" spans="2:30" x14ac:dyDescent="0.25">
      <c r="B5223" t="s">
        <v>133</v>
      </c>
      <c r="C5223" t="s">
        <v>10598</v>
      </c>
      <c r="D5223" t="s">
        <v>4115</v>
      </c>
      <c r="E5223" t="s">
        <v>4116</v>
      </c>
      <c r="F5223" t="s">
        <v>10682</v>
      </c>
      <c r="G5223" t="s">
        <v>3890</v>
      </c>
      <c r="H5223" t="s">
        <v>3984</v>
      </c>
      <c r="I5223" t="s">
        <v>3985</v>
      </c>
      <c r="J5223">
        <v>1</v>
      </c>
      <c r="K5223">
        <v>1.9179999999999999</v>
      </c>
      <c r="L5223">
        <v>1.9239999999999999</v>
      </c>
      <c r="M5223">
        <v>1.95</v>
      </c>
      <c r="N5223">
        <v>1.9530000000000001</v>
      </c>
      <c r="O5223">
        <v>1.9530000000000001</v>
      </c>
      <c r="P5223">
        <v>1.9550000000000001</v>
      </c>
      <c r="Q5223">
        <v>1.9590000000000001</v>
      </c>
      <c r="R5223">
        <v>1.9630000000000001</v>
      </c>
      <c r="S5223">
        <v>1.9670000000000001</v>
      </c>
      <c r="T5223">
        <v>1.9710000000000001</v>
      </c>
      <c r="U5223">
        <v>1.96</v>
      </c>
      <c r="V5223">
        <v>1.95</v>
      </c>
      <c r="W5223">
        <v>1.9410000000000001</v>
      </c>
      <c r="X5223">
        <v>1.931</v>
      </c>
      <c r="Y5223">
        <v>1.9219999999999999</v>
      </c>
      <c r="Z5223">
        <v>1.913</v>
      </c>
      <c r="AA5223">
        <v>1.903</v>
      </c>
      <c r="AB5223">
        <v>1.895</v>
      </c>
      <c r="AC5223">
        <v>1.887</v>
      </c>
      <c r="AD5223">
        <v>1.879</v>
      </c>
    </row>
    <row r="5224" spans="2:30" x14ac:dyDescent="0.25">
      <c r="B5224" t="s">
        <v>133</v>
      </c>
      <c r="C5224" t="s">
        <v>10598</v>
      </c>
      <c r="D5224" t="s">
        <v>4118</v>
      </c>
      <c r="E5224" t="s">
        <v>4119</v>
      </c>
      <c r="F5224" t="s">
        <v>10683</v>
      </c>
      <c r="G5224" t="s">
        <v>3890</v>
      </c>
      <c r="H5224" t="s">
        <v>3984</v>
      </c>
      <c r="I5224" t="s">
        <v>3985</v>
      </c>
      <c r="J5224">
        <v>1</v>
      </c>
      <c r="K5224">
        <v>0.16600000000000001</v>
      </c>
      <c r="L5224">
        <v>0.16600000000000001</v>
      </c>
      <c r="M5224">
        <v>0.19500000000000001</v>
      </c>
      <c r="N5224">
        <v>0.21099999999999999</v>
      </c>
      <c r="O5224">
        <v>0.217</v>
      </c>
      <c r="P5224">
        <v>0.224</v>
      </c>
      <c r="Q5224">
        <v>0.23300000000000001</v>
      </c>
      <c r="R5224">
        <v>0.24099999999999999</v>
      </c>
      <c r="S5224">
        <v>0.249</v>
      </c>
      <c r="T5224">
        <v>0.25700000000000001</v>
      </c>
      <c r="U5224">
        <v>0.26500000000000001</v>
      </c>
      <c r="V5224">
        <v>0.27300000000000002</v>
      </c>
      <c r="W5224">
        <v>0.28199999999999997</v>
      </c>
      <c r="X5224">
        <v>0.28999999999999998</v>
      </c>
      <c r="Y5224">
        <v>0.29899999999999999</v>
      </c>
      <c r="Z5224">
        <v>0.307</v>
      </c>
      <c r="AA5224">
        <v>0.316</v>
      </c>
      <c r="AB5224">
        <v>0.32500000000000001</v>
      </c>
      <c r="AC5224">
        <v>0.33400000000000002</v>
      </c>
      <c r="AD5224">
        <v>0.34399999999999997</v>
      </c>
    </row>
    <row r="5225" spans="2:30" x14ac:dyDescent="0.25">
      <c r="B5225" t="s">
        <v>133</v>
      </c>
      <c r="C5225" t="s">
        <v>10598</v>
      </c>
      <c r="D5225" t="s">
        <v>4121</v>
      </c>
      <c r="E5225" t="s">
        <v>4122</v>
      </c>
      <c r="F5225" t="s">
        <v>10684</v>
      </c>
      <c r="G5225" t="s">
        <v>3890</v>
      </c>
      <c r="H5225" t="s">
        <v>3984</v>
      </c>
      <c r="I5225" t="s">
        <v>3985</v>
      </c>
      <c r="J5225">
        <v>1</v>
      </c>
      <c r="K5225">
        <v>15.788</v>
      </c>
      <c r="L5225">
        <v>17.709</v>
      </c>
      <c r="M5225">
        <v>18.013999999999999</v>
      </c>
      <c r="N5225">
        <v>18.257999999999999</v>
      </c>
      <c r="O5225">
        <v>18.544</v>
      </c>
      <c r="P5225">
        <v>18.939</v>
      </c>
      <c r="Q5225">
        <v>19.359000000000002</v>
      </c>
      <c r="R5225">
        <v>19.808</v>
      </c>
      <c r="S5225">
        <v>20.257999999999999</v>
      </c>
      <c r="T5225">
        <v>20.86</v>
      </c>
      <c r="U5225">
        <v>21.634</v>
      </c>
      <c r="V5225">
        <v>22.434999999999999</v>
      </c>
      <c r="W5225">
        <v>23.263999999999999</v>
      </c>
      <c r="X5225">
        <v>24.122</v>
      </c>
      <c r="Y5225">
        <v>25.009</v>
      </c>
      <c r="Z5225">
        <v>25.927</v>
      </c>
      <c r="AA5225">
        <v>26.876999999999999</v>
      </c>
      <c r="AB5225">
        <v>27.859000000000002</v>
      </c>
      <c r="AC5225">
        <v>28.875</v>
      </c>
      <c r="AD5225">
        <v>29.925999999999998</v>
      </c>
    </row>
    <row r="5226" spans="2:30" x14ac:dyDescent="0.25">
      <c r="B5226" t="s">
        <v>133</v>
      </c>
      <c r="C5226" t="s">
        <v>10598</v>
      </c>
      <c r="D5226" t="s">
        <v>4124</v>
      </c>
      <c r="E5226" t="s">
        <v>4125</v>
      </c>
      <c r="F5226" t="s">
        <v>10685</v>
      </c>
      <c r="G5226" t="s">
        <v>3890</v>
      </c>
      <c r="H5226" t="s">
        <v>3984</v>
      </c>
      <c r="I5226" t="s">
        <v>3985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</row>
    <row r="5227" spans="2:30" x14ac:dyDescent="0.25">
      <c r="B5227" t="s">
        <v>133</v>
      </c>
      <c r="C5227" t="s">
        <v>10598</v>
      </c>
      <c r="D5227" t="s">
        <v>4127</v>
      </c>
      <c r="E5227" t="s">
        <v>4128</v>
      </c>
      <c r="F5227" t="s">
        <v>10686</v>
      </c>
      <c r="G5227" t="s">
        <v>3890</v>
      </c>
      <c r="H5227" t="s">
        <v>3984</v>
      </c>
      <c r="I5227" t="s">
        <v>3985</v>
      </c>
      <c r="J5227">
        <v>1</v>
      </c>
      <c r="K5227">
        <v>35.125999999999998</v>
      </c>
      <c r="L5227">
        <v>35.771999999999998</v>
      </c>
      <c r="M5227">
        <v>36.325000000000003</v>
      </c>
      <c r="N5227">
        <v>36.808</v>
      </c>
      <c r="O5227">
        <v>37.256999999999998</v>
      </c>
      <c r="P5227">
        <v>38.002000000000002</v>
      </c>
      <c r="Q5227">
        <v>38.762</v>
      </c>
      <c r="R5227">
        <v>39.537999999999997</v>
      </c>
      <c r="S5227">
        <v>40.328000000000003</v>
      </c>
      <c r="T5227">
        <v>41.537999999999997</v>
      </c>
      <c r="U5227">
        <v>43.2</v>
      </c>
      <c r="V5227">
        <v>44.927999999999997</v>
      </c>
      <c r="W5227">
        <v>46.725000000000001</v>
      </c>
      <c r="X5227">
        <v>48.594000000000001</v>
      </c>
      <c r="Y5227">
        <v>50.536999999999999</v>
      </c>
      <c r="Z5227">
        <v>52.558999999999997</v>
      </c>
      <c r="AA5227">
        <v>54.661000000000001</v>
      </c>
      <c r="AB5227">
        <v>56.847999999999999</v>
      </c>
      <c r="AC5227">
        <v>59.122</v>
      </c>
      <c r="AD5227">
        <v>61.487000000000002</v>
      </c>
    </row>
    <row r="5228" spans="2:30" x14ac:dyDescent="0.25">
      <c r="B5228" t="s">
        <v>133</v>
      </c>
      <c r="C5228" t="s">
        <v>10598</v>
      </c>
      <c r="D5228" t="s">
        <v>4130</v>
      </c>
      <c r="E5228" t="s">
        <v>4131</v>
      </c>
      <c r="F5228" t="s">
        <v>10687</v>
      </c>
      <c r="G5228" t="s">
        <v>3890</v>
      </c>
      <c r="H5228" t="s">
        <v>3984</v>
      </c>
      <c r="I5228" t="s">
        <v>3985</v>
      </c>
      <c r="J5228">
        <v>1</v>
      </c>
      <c r="K5228">
        <v>8.8999999999999996E-2</v>
      </c>
      <c r="L5228">
        <v>0.107</v>
      </c>
      <c r="M5228">
        <v>0.108</v>
      </c>
      <c r="N5228">
        <v>0.11</v>
      </c>
      <c r="O5228">
        <v>0.112</v>
      </c>
      <c r="P5228">
        <v>0.113</v>
      </c>
      <c r="Q5228">
        <v>0.115</v>
      </c>
      <c r="R5228">
        <v>0.11700000000000001</v>
      </c>
      <c r="S5228">
        <v>0.12</v>
      </c>
      <c r="T5228">
        <v>0.122</v>
      </c>
      <c r="U5228">
        <v>0.126</v>
      </c>
      <c r="V5228">
        <v>0.13100000000000001</v>
      </c>
      <c r="W5228">
        <v>0.13600000000000001</v>
      </c>
      <c r="X5228">
        <v>0.14199999999999999</v>
      </c>
      <c r="Y5228">
        <v>0.14699999999999999</v>
      </c>
      <c r="Z5228">
        <v>0.153</v>
      </c>
      <c r="AA5228">
        <v>0.159</v>
      </c>
      <c r="AB5228">
        <v>0.16600000000000001</v>
      </c>
      <c r="AC5228">
        <v>0.17199999999999999</v>
      </c>
      <c r="AD5228">
        <v>0.17899999999999999</v>
      </c>
    </row>
    <row r="5229" spans="2:30" x14ac:dyDescent="0.25">
      <c r="B5229" t="s">
        <v>133</v>
      </c>
      <c r="C5229" t="s">
        <v>10598</v>
      </c>
      <c r="D5229" t="s">
        <v>4133</v>
      </c>
      <c r="E5229" t="s">
        <v>4134</v>
      </c>
      <c r="F5229" t="s">
        <v>10688</v>
      </c>
      <c r="G5229" t="s">
        <v>3890</v>
      </c>
      <c r="H5229" t="s">
        <v>3984</v>
      </c>
      <c r="I5229" t="s">
        <v>3985</v>
      </c>
      <c r="J5229">
        <v>1</v>
      </c>
      <c r="K5229">
        <v>20.780999999999999</v>
      </c>
      <c r="L5229">
        <v>20.295000000000002</v>
      </c>
      <c r="M5229">
        <v>22.867999999999999</v>
      </c>
      <c r="N5229">
        <v>23.742999999999999</v>
      </c>
      <c r="O5229">
        <v>23.934000000000001</v>
      </c>
      <c r="P5229">
        <v>24.55</v>
      </c>
      <c r="Q5229">
        <v>25.547000000000001</v>
      </c>
      <c r="R5229">
        <v>26.609000000000002</v>
      </c>
      <c r="S5229">
        <v>27.725999999999999</v>
      </c>
      <c r="T5229">
        <v>28.974</v>
      </c>
      <c r="U5229">
        <v>30.306999999999999</v>
      </c>
      <c r="V5229">
        <v>31.742999999999999</v>
      </c>
      <c r="W5229">
        <v>33.270000000000003</v>
      </c>
      <c r="X5229">
        <v>34.901000000000003</v>
      </c>
      <c r="Y5229">
        <v>36.630000000000003</v>
      </c>
      <c r="Z5229">
        <v>38.478000000000002</v>
      </c>
      <c r="AA5229">
        <v>40.454000000000001</v>
      </c>
      <c r="AB5229">
        <v>42.572000000000003</v>
      </c>
      <c r="AC5229">
        <v>44.850999999999999</v>
      </c>
      <c r="AD5229">
        <v>47.180999999999997</v>
      </c>
    </row>
    <row r="5230" spans="2:30" x14ac:dyDescent="0.25">
      <c r="B5230" t="s">
        <v>133</v>
      </c>
      <c r="C5230" t="s">
        <v>10598</v>
      </c>
      <c r="D5230" t="s">
        <v>4136</v>
      </c>
      <c r="E5230" t="s">
        <v>4137</v>
      </c>
      <c r="F5230" t="s">
        <v>10689</v>
      </c>
      <c r="G5230" t="s">
        <v>3890</v>
      </c>
      <c r="H5230" t="s">
        <v>3984</v>
      </c>
      <c r="I5230" t="s">
        <v>3985</v>
      </c>
      <c r="J5230">
        <v>2</v>
      </c>
      <c r="K5230">
        <v>53.088000000000001</v>
      </c>
      <c r="L5230">
        <v>55.677999999999997</v>
      </c>
      <c r="M5230">
        <v>56.591999999999999</v>
      </c>
      <c r="N5230">
        <v>57.34</v>
      </c>
      <c r="O5230">
        <v>58.082999999999998</v>
      </c>
      <c r="P5230">
        <v>59.232999999999997</v>
      </c>
      <c r="Q5230">
        <v>60.424999999999997</v>
      </c>
      <c r="R5230">
        <v>61.664000000000001</v>
      </c>
      <c r="S5230">
        <v>62.917999999999999</v>
      </c>
      <c r="T5230">
        <v>64.742999999999995</v>
      </c>
      <c r="U5230">
        <v>67.180000000000007</v>
      </c>
      <c r="V5230">
        <v>69.710999999999999</v>
      </c>
      <c r="W5230">
        <v>72.340999999999994</v>
      </c>
      <c r="X5230">
        <v>75.070999999999998</v>
      </c>
      <c r="Y5230">
        <v>77.908000000000001</v>
      </c>
      <c r="Z5230">
        <v>80.852999999999994</v>
      </c>
      <c r="AA5230">
        <v>83.91</v>
      </c>
      <c r="AB5230">
        <v>87.09</v>
      </c>
      <c r="AC5230">
        <v>90.385000000000005</v>
      </c>
      <c r="AD5230">
        <v>93.82</v>
      </c>
    </row>
    <row r="5231" spans="2:30" x14ac:dyDescent="0.25">
      <c r="B5231" t="s">
        <v>133</v>
      </c>
      <c r="C5231" t="s">
        <v>10598</v>
      </c>
      <c r="D5231" t="s">
        <v>4139</v>
      </c>
      <c r="E5231" t="s">
        <v>4140</v>
      </c>
      <c r="F5231" t="s">
        <v>10690</v>
      </c>
      <c r="G5231" t="s">
        <v>3890</v>
      </c>
      <c r="H5231" t="s">
        <v>3984</v>
      </c>
      <c r="I5231" t="s">
        <v>3985</v>
      </c>
      <c r="J5231">
        <v>2</v>
      </c>
      <c r="K5231">
        <v>53.088000000000001</v>
      </c>
      <c r="L5231">
        <v>55.677999999999997</v>
      </c>
      <c r="M5231">
        <v>56.591999999999999</v>
      </c>
      <c r="N5231">
        <v>57.34</v>
      </c>
      <c r="O5231">
        <v>58.082999999999998</v>
      </c>
      <c r="P5231">
        <v>59.232999999999997</v>
      </c>
      <c r="Q5231">
        <v>60.424999999999997</v>
      </c>
      <c r="R5231">
        <v>61.664000000000001</v>
      </c>
      <c r="S5231">
        <v>62.917999999999999</v>
      </c>
      <c r="T5231">
        <v>64.742999999999995</v>
      </c>
      <c r="U5231">
        <v>67.180000000000007</v>
      </c>
      <c r="V5231">
        <v>69.710999999999999</v>
      </c>
      <c r="W5231">
        <v>72.340999999999994</v>
      </c>
      <c r="X5231">
        <v>75.070999999999998</v>
      </c>
      <c r="Y5231">
        <v>77.908000000000001</v>
      </c>
      <c r="Z5231">
        <v>80.852999999999994</v>
      </c>
      <c r="AA5231">
        <v>83.91</v>
      </c>
      <c r="AB5231">
        <v>87.09</v>
      </c>
      <c r="AC5231">
        <v>90.385000000000005</v>
      </c>
      <c r="AD5231">
        <v>93.82</v>
      </c>
    </row>
    <row r="5232" spans="2:30" x14ac:dyDescent="0.25">
      <c r="B5232" t="s">
        <v>133</v>
      </c>
      <c r="C5232" t="s">
        <v>10598</v>
      </c>
      <c r="D5232" t="s">
        <v>4142</v>
      </c>
      <c r="E5232" t="s">
        <v>4143</v>
      </c>
      <c r="F5232" t="s">
        <v>10691</v>
      </c>
      <c r="G5232" t="s">
        <v>3890</v>
      </c>
      <c r="H5232" t="s">
        <v>3984</v>
      </c>
      <c r="I5232" t="s">
        <v>3985</v>
      </c>
      <c r="J5232">
        <v>2</v>
      </c>
      <c r="K5232">
        <v>1.9179999999999999</v>
      </c>
      <c r="L5232">
        <v>1.9239999999999999</v>
      </c>
      <c r="M5232">
        <v>1.95</v>
      </c>
      <c r="N5232">
        <v>1.9530000000000001</v>
      </c>
      <c r="O5232">
        <v>1.9530000000000001</v>
      </c>
      <c r="P5232">
        <v>1.9550000000000001</v>
      </c>
      <c r="Q5232">
        <v>1.9590000000000001</v>
      </c>
      <c r="R5232">
        <v>1.962</v>
      </c>
      <c r="S5232">
        <v>1.9650000000000001</v>
      </c>
      <c r="T5232">
        <v>1.968</v>
      </c>
      <c r="U5232">
        <v>1.9570000000000001</v>
      </c>
      <c r="V5232">
        <v>1.946</v>
      </c>
      <c r="W5232">
        <v>1.9350000000000001</v>
      </c>
      <c r="X5232">
        <v>1.9239999999999999</v>
      </c>
      <c r="Y5232">
        <v>1.915</v>
      </c>
      <c r="Z5232">
        <v>1.905</v>
      </c>
      <c r="AA5232">
        <v>1.895</v>
      </c>
      <c r="AB5232">
        <v>1.8879999999999999</v>
      </c>
      <c r="AC5232">
        <v>1.875</v>
      </c>
      <c r="AD5232">
        <v>1.873</v>
      </c>
    </row>
    <row r="5233" spans="2:30" x14ac:dyDescent="0.25">
      <c r="B5233" t="s">
        <v>133</v>
      </c>
      <c r="C5233" t="s">
        <v>10598</v>
      </c>
      <c r="D5233" t="s">
        <v>4145</v>
      </c>
      <c r="E5233" t="s">
        <v>4146</v>
      </c>
      <c r="F5233" t="s">
        <v>10692</v>
      </c>
      <c r="G5233" t="s">
        <v>3890</v>
      </c>
      <c r="H5233" t="s">
        <v>3984</v>
      </c>
      <c r="I5233" t="s">
        <v>3985</v>
      </c>
      <c r="J5233">
        <v>2</v>
      </c>
      <c r="K5233">
        <v>0.16600000000000001</v>
      </c>
      <c r="L5233">
        <v>0.16600000000000001</v>
      </c>
      <c r="M5233">
        <v>0.19500000000000001</v>
      </c>
      <c r="N5233">
        <v>0.21099999999999999</v>
      </c>
      <c r="O5233">
        <v>0.217</v>
      </c>
      <c r="P5233">
        <v>0.224</v>
      </c>
      <c r="Q5233">
        <v>0.23</v>
      </c>
      <c r="R5233">
        <v>0.23899999999999999</v>
      </c>
      <c r="S5233">
        <v>0.247</v>
      </c>
      <c r="T5233">
        <v>0.255</v>
      </c>
      <c r="U5233">
        <v>0.26300000000000001</v>
      </c>
      <c r="V5233">
        <v>0.27200000000000002</v>
      </c>
      <c r="W5233">
        <v>0.28100000000000003</v>
      </c>
      <c r="X5233">
        <v>0.28999999999999998</v>
      </c>
      <c r="Y5233">
        <v>0.29899999999999999</v>
      </c>
      <c r="Z5233">
        <v>0.307</v>
      </c>
      <c r="AA5233">
        <v>0.316</v>
      </c>
      <c r="AB5233">
        <v>0.32600000000000001</v>
      </c>
      <c r="AC5233">
        <v>0.33500000000000002</v>
      </c>
      <c r="AD5233">
        <v>0.34499999999999997</v>
      </c>
    </row>
    <row r="5234" spans="2:30" x14ac:dyDescent="0.25">
      <c r="B5234" t="s">
        <v>133</v>
      </c>
      <c r="C5234" t="s">
        <v>10598</v>
      </c>
      <c r="D5234" t="s">
        <v>4121</v>
      </c>
      <c r="E5234" t="s">
        <v>4148</v>
      </c>
      <c r="F5234" t="s">
        <v>10693</v>
      </c>
      <c r="G5234" t="s">
        <v>3890</v>
      </c>
      <c r="H5234" t="s">
        <v>3984</v>
      </c>
      <c r="I5234" t="s">
        <v>3985</v>
      </c>
      <c r="J5234">
        <v>2</v>
      </c>
      <c r="K5234">
        <v>15.788</v>
      </c>
      <c r="L5234">
        <v>17.709</v>
      </c>
      <c r="M5234">
        <v>18.013999999999999</v>
      </c>
      <c r="N5234">
        <v>18.257999999999999</v>
      </c>
      <c r="O5234">
        <v>18.544</v>
      </c>
      <c r="P5234">
        <v>18.939</v>
      </c>
      <c r="Q5234">
        <v>19.359000000000002</v>
      </c>
      <c r="R5234">
        <v>19.808</v>
      </c>
      <c r="S5234">
        <v>20.259</v>
      </c>
      <c r="T5234">
        <v>20.86</v>
      </c>
      <c r="U5234">
        <v>21.634</v>
      </c>
      <c r="V5234">
        <v>22.434999999999999</v>
      </c>
      <c r="W5234">
        <v>23.263999999999999</v>
      </c>
      <c r="X5234">
        <v>24.120999999999999</v>
      </c>
      <c r="Y5234">
        <v>25.009</v>
      </c>
      <c r="Z5234">
        <v>25.928000000000001</v>
      </c>
      <c r="AA5234">
        <v>26.879000000000001</v>
      </c>
      <c r="AB5234">
        <v>27.863</v>
      </c>
      <c r="AC5234">
        <v>28.881</v>
      </c>
      <c r="AD5234">
        <v>29.934999999999999</v>
      </c>
    </row>
    <row r="5235" spans="2:30" x14ac:dyDescent="0.25">
      <c r="B5235" t="s">
        <v>133</v>
      </c>
      <c r="C5235" t="s">
        <v>10598</v>
      </c>
      <c r="D5235" t="s">
        <v>4150</v>
      </c>
      <c r="E5235" t="s">
        <v>4151</v>
      </c>
      <c r="F5235" t="s">
        <v>10694</v>
      </c>
      <c r="G5235" t="s">
        <v>3890</v>
      </c>
      <c r="H5235" t="s">
        <v>3984</v>
      </c>
      <c r="I5235" t="s">
        <v>3985</v>
      </c>
      <c r="J5235">
        <v>2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</row>
    <row r="5236" spans="2:30" x14ac:dyDescent="0.25">
      <c r="B5236" t="s">
        <v>133</v>
      </c>
      <c r="C5236" t="s">
        <v>10598</v>
      </c>
      <c r="D5236" t="s">
        <v>4153</v>
      </c>
      <c r="E5236" t="s">
        <v>4154</v>
      </c>
      <c r="F5236" t="s">
        <v>10695</v>
      </c>
      <c r="G5236" t="s">
        <v>3890</v>
      </c>
      <c r="H5236" t="s">
        <v>3984</v>
      </c>
      <c r="I5236" t="s">
        <v>3985</v>
      </c>
      <c r="J5236">
        <v>2</v>
      </c>
      <c r="K5236">
        <v>35.125999999999998</v>
      </c>
      <c r="L5236">
        <v>35.771999999999998</v>
      </c>
      <c r="M5236">
        <v>36.325000000000003</v>
      </c>
      <c r="N5236">
        <v>36.808</v>
      </c>
      <c r="O5236">
        <v>37.256999999999998</v>
      </c>
      <c r="P5236">
        <v>38.002000000000002</v>
      </c>
      <c r="Q5236">
        <v>38.762</v>
      </c>
      <c r="R5236">
        <v>39.537999999999997</v>
      </c>
      <c r="S5236">
        <v>40.328000000000003</v>
      </c>
      <c r="T5236">
        <v>41.537999999999997</v>
      </c>
      <c r="U5236">
        <v>43.2</v>
      </c>
      <c r="V5236">
        <v>44.927999999999997</v>
      </c>
      <c r="W5236">
        <v>46.725000000000001</v>
      </c>
      <c r="X5236">
        <v>48.594000000000001</v>
      </c>
      <c r="Y5236">
        <v>50.536999999999999</v>
      </c>
      <c r="Z5236">
        <v>52.558999999999997</v>
      </c>
      <c r="AA5236">
        <v>54.661000000000001</v>
      </c>
      <c r="AB5236">
        <v>56.847999999999999</v>
      </c>
      <c r="AC5236">
        <v>59.122</v>
      </c>
      <c r="AD5236">
        <v>61.487000000000002</v>
      </c>
    </row>
    <row r="5237" spans="2:30" x14ac:dyDescent="0.25">
      <c r="B5237" t="s">
        <v>133</v>
      </c>
      <c r="C5237" t="s">
        <v>10598</v>
      </c>
      <c r="D5237" t="s">
        <v>4156</v>
      </c>
      <c r="E5237" t="s">
        <v>4157</v>
      </c>
      <c r="F5237" t="s">
        <v>10696</v>
      </c>
      <c r="G5237" t="s">
        <v>3890</v>
      </c>
      <c r="H5237" t="s">
        <v>3984</v>
      </c>
      <c r="I5237" t="s">
        <v>3985</v>
      </c>
      <c r="J5237">
        <v>2</v>
      </c>
      <c r="K5237">
        <v>8.8999999999999996E-2</v>
      </c>
      <c r="L5237">
        <v>0.107</v>
      </c>
      <c r="M5237">
        <v>0.108</v>
      </c>
      <c r="N5237">
        <v>0.11</v>
      </c>
      <c r="O5237">
        <v>0.112</v>
      </c>
      <c r="P5237">
        <v>0.113</v>
      </c>
      <c r="Q5237">
        <v>0.115</v>
      </c>
      <c r="R5237">
        <v>0.11700000000000001</v>
      </c>
      <c r="S5237">
        <v>0.12</v>
      </c>
      <c r="T5237">
        <v>0.122</v>
      </c>
      <c r="U5237">
        <v>0.126</v>
      </c>
      <c r="V5237">
        <v>0.13100000000000001</v>
      </c>
      <c r="W5237">
        <v>0.13600000000000001</v>
      </c>
      <c r="X5237">
        <v>0.14199999999999999</v>
      </c>
      <c r="Y5237">
        <v>0.14699999999999999</v>
      </c>
      <c r="Z5237">
        <v>0.153</v>
      </c>
      <c r="AA5237">
        <v>0.159</v>
      </c>
      <c r="AB5237">
        <v>0.16600000000000001</v>
      </c>
      <c r="AC5237">
        <v>0.17199999999999999</v>
      </c>
      <c r="AD5237">
        <v>0.17899999999999999</v>
      </c>
    </row>
    <row r="5238" spans="2:30" x14ac:dyDescent="0.25">
      <c r="B5238" t="s">
        <v>133</v>
      </c>
      <c r="C5238" t="s">
        <v>10598</v>
      </c>
      <c r="D5238" t="s">
        <v>4159</v>
      </c>
      <c r="E5238" t="s">
        <v>4160</v>
      </c>
      <c r="F5238" t="s">
        <v>10697</v>
      </c>
      <c r="G5238" t="s">
        <v>3890</v>
      </c>
      <c r="H5238" t="s">
        <v>3984</v>
      </c>
      <c r="I5238" t="s">
        <v>3985</v>
      </c>
      <c r="J5238">
        <v>2</v>
      </c>
      <c r="K5238">
        <v>20.780999999999999</v>
      </c>
      <c r="L5238">
        <v>20.295000000000002</v>
      </c>
      <c r="M5238">
        <v>22.867999999999999</v>
      </c>
      <c r="N5238">
        <v>23.742999999999999</v>
      </c>
      <c r="O5238">
        <v>23.934000000000001</v>
      </c>
      <c r="P5238">
        <v>24.55</v>
      </c>
      <c r="Q5238">
        <v>25.547000000000001</v>
      </c>
      <c r="R5238">
        <v>26.609000000000002</v>
      </c>
      <c r="S5238">
        <v>27.725999999999999</v>
      </c>
      <c r="T5238">
        <v>28.974</v>
      </c>
      <c r="U5238">
        <v>30.306999999999999</v>
      </c>
      <c r="V5238">
        <v>31.742999999999999</v>
      </c>
      <c r="W5238">
        <v>33.270000000000003</v>
      </c>
      <c r="X5238">
        <v>34.901000000000003</v>
      </c>
      <c r="Y5238">
        <v>36.630000000000003</v>
      </c>
      <c r="Z5238">
        <v>38.478000000000002</v>
      </c>
      <c r="AA5238">
        <v>40.454000000000001</v>
      </c>
      <c r="AB5238">
        <v>42.572000000000003</v>
      </c>
      <c r="AC5238">
        <v>44.850999999999999</v>
      </c>
      <c r="AD5238">
        <v>47.180999999999997</v>
      </c>
    </row>
    <row r="5239" spans="2:30" x14ac:dyDescent="0.25">
      <c r="B5239" t="s">
        <v>133</v>
      </c>
      <c r="C5239" t="s">
        <v>10598</v>
      </c>
      <c r="D5239" t="s">
        <v>4162</v>
      </c>
      <c r="E5239" t="s">
        <v>4163</v>
      </c>
      <c r="F5239" t="s">
        <v>10698</v>
      </c>
      <c r="G5239" t="s">
        <v>3890</v>
      </c>
      <c r="H5239" t="s">
        <v>3984</v>
      </c>
      <c r="I5239" t="s">
        <v>4165</v>
      </c>
      <c r="J5239">
        <v>1</v>
      </c>
      <c r="K5239">
        <v>100</v>
      </c>
      <c r="L5239">
        <v>102.78899</v>
      </c>
      <c r="M5239">
        <v>112.47172999999999</v>
      </c>
      <c r="N5239">
        <v>116.60999</v>
      </c>
      <c r="O5239">
        <v>118.13351</v>
      </c>
      <c r="P5239">
        <v>120.90488999999999</v>
      </c>
      <c r="Q5239">
        <v>124.9828</v>
      </c>
      <c r="R5239">
        <v>129.23204999999999</v>
      </c>
      <c r="S5239">
        <v>133.59329</v>
      </c>
      <c r="T5239">
        <v>138.43711999999999</v>
      </c>
      <c r="U5239">
        <v>143.91369</v>
      </c>
      <c r="V5239">
        <v>149.97197</v>
      </c>
      <c r="W5239">
        <v>156.34362999999999</v>
      </c>
      <c r="X5239">
        <v>163.05747</v>
      </c>
      <c r="Y5239">
        <v>170.10718</v>
      </c>
      <c r="Z5239">
        <v>177.54472000000001</v>
      </c>
      <c r="AA5239">
        <v>185.39619999999999</v>
      </c>
      <c r="AB5239">
        <v>193.70254</v>
      </c>
      <c r="AC5239">
        <v>202.51229000000001</v>
      </c>
      <c r="AD5239">
        <v>211.55004</v>
      </c>
    </row>
    <row r="5240" spans="2:30" x14ac:dyDescent="0.25">
      <c r="B5240" t="s">
        <v>133</v>
      </c>
      <c r="C5240" t="s">
        <v>10598</v>
      </c>
      <c r="D5240" t="s">
        <v>4166</v>
      </c>
      <c r="E5240" t="s">
        <v>4167</v>
      </c>
      <c r="F5240" t="s">
        <v>10699</v>
      </c>
      <c r="G5240" t="s">
        <v>3890</v>
      </c>
      <c r="H5240" t="s">
        <v>3984</v>
      </c>
      <c r="I5240" t="s">
        <v>4165</v>
      </c>
      <c r="J5240">
        <v>2</v>
      </c>
      <c r="K5240">
        <v>100</v>
      </c>
      <c r="L5240">
        <v>102.78899</v>
      </c>
      <c r="M5240">
        <v>112.47172999999999</v>
      </c>
      <c r="N5240">
        <v>116.60999</v>
      </c>
      <c r="O5240">
        <v>118.13351</v>
      </c>
      <c r="P5240">
        <v>120.86450000000001</v>
      </c>
      <c r="Q5240">
        <v>124.5136</v>
      </c>
      <c r="R5240">
        <v>128.47380999999999</v>
      </c>
      <c r="S5240">
        <v>132.60969</v>
      </c>
      <c r="T5240">
        <v>137.11319</v>
      </c>
      <c r="U5240">
        <v>142.43266</v>
      </c>
      <c r="V5240">
        <v>148.04835</v>
      </c>
      <c r="W5240">
        <v>154.33467999999999</v>
      </c>
      <c r="X5240">
        <v>160.51782</v>
      </c>
      <c r="Y5240">
        <v>167.47932</v>
      </c>
      <c r="Z5240">
        <v>174.93904000000001</v>
      </c>
      <c r="AA5240">
        <v>182.26343</v>
      </c>
      <c r="AB5240">
        <v>191.39954</v>
      </c>
      <c r="AC5240">
        <v>198.42251999999999</v>
      </c>
      <c r="AD5240">
        <v>209.72255000000001</v>
      </c>
    </row>
    <row r="5241" spans="2:30" x14ac:dyDescent="0.25">
      <c r="B5241" t="s">
        <v>133</v>
      </c>
      <c r="C5241" t="s">
        <v>10598</v>
      </c>
      <c r="D5241" t="s">
        <v>4169</v>
      </c>
      <c r="E5241" t="s">
        <v>4170</v>
      </c>
      <c r="F5241" t="s">
        <v>10700</v>
      </c>
      <c r="G5241" t="s">
        <v>3890</v>
      </c>
      <c r="H5241" t="s">
        <v>4172</v>
      </c>
      <c r="I5241" t="s">
        <v>3892</v>
      </c>
      <c r="J5241">
        <v>2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-4.0000000000000001E-3</v>
      </c>
      <c r="R5241">
        <v>-6.0000000000000001E-3</v>
      </c>
      <c r="S5241">
        <v>-7.0000000000000001E-3</v>
      </c>
      <c r="T5241">
        <v>-0.01</v>
      </c>
      <c r="U5241">
        <v>-0.01</v>
      </c>
      <c r="V5241">
        <v>-1.2999999999999999E-2</v>
      </c>
      <c r="W5241">
        <v>-1.2999999999999999E-2</v>
      </c>
      <c r="X5241">
        <v>-1.6E-2</v>
      </c>
      <c r="Y5241">
        <v>-1.4999999999999999E-2</v>
      </c>
      <c r="Z5241">
        <v>-1.4999999999999999E-2</v>
      </c>
      <c r="AA5241">
        <v>-1.7000000000000001E-2</v>
      </c>
      <c r="AB5241">
        <v>-1.2E-2</v>
      </c>
      <c r="AC5241">
        <v>-0.02</v>
      </c>
      <c r="AD5241">
        <v>-8.9999999999999993E-3</v>
      </c>
    </row>
    <row r="5242" spans="2:30" x14ac:dyDescent="0.25">
      <c r="B5242" t="s">
        <v>133</v>
      </c>
      <c r="C5242" t="s">
        <v>10598</v>
      </c>
      <c r="D5242" t="s">
        <v>4173</v>
      </c>
      <c r="E5242" t="s">
        <v>4174</v>
      </c>
      <c r="F5242" t="s">
        <v>10701</v>
      </c>
      <c r="G5242" t="s">
        <v>3890</v>
      </c>
      <c r="H5242" t="s">
        <v>4176</v>
      </c>
      <c r="I5242" t="s">
        <v>2538</v>
      </c>
      <c r="J5242">
        <v>1</v>
      </c>
      <c r="K5242" t="s">
        <v>475</v>
      </c>
    </row>
    <row r="5243" spans="2:30" x14ac:dyDescent="0.25">
      <c r="B5243" t="s">
        <v>133</v>
      </c>
      <c r="D5243" t="s">
        <v>477</v>
      </c>
      <c r="E5243" t="s">
        <v>4177</v>
      </c>
      <c r="F5243" t="s">
        <v>10702</v>
      </c>
      <c r="G5243" t="s">
        <v>3890</v>
      </c>
      <c r="H5243" t="s">
        <v>4179</v>
      </c>
      <c r="I5243" t="s">
        <v>2538</v>
      </c>
      <c r="J5243">
        <v>1</v>
      </c>
      <c r="K5243">
        <v>1</v>
      </c>
    </row>
    <row r="5244" spans="2:30" x14ac:dyDescent="0.25">
      <c r="B5244" t="s">
        <v>133</v>
      </c>
      <c r="C5244" t="s">
        <v>10598</v>
      </c>
      <c r="D5244" t="s">
        <v>4180</v>
      </c>
      <c r="E5244" t="s">
        <v>4181</v>
      </c>
      <c r="F5244" t="s">
        <v>10703</v>
      </c>
      <c r="G5244" t="s">
        <v>3890</v>
      </c>
      <c r="H5244" t="s">
        <v>4183</v>
      </c>
      <c r="I5244" t="s">
        <v>2538</v>
      </c>
      <c r="J5244">
        <v>1</v>
      </c>
      <c r="K5244" t="e">
        <v>#VALUE!</v>
      </c>
    </row>
    <row r="5245" spans="2:30" x14ac:dyDescent="0.25">
      <c r="B5245" t="s">
        <v>133</v>
      </c>
      <c r="C5245" t="s">
        <v>10598</v>
      </c>
      <c r="D5245" t="s">
        <v>4184</v>
      </c>
      <c r="E5245" t="s">
        <v>4185</v>
      </c>
      <c r="F5245" t="s">
        <v>10704</v>
      </c>
      <c r="G5245" t="s">
        <v>3890</v>
      </c>
      <c r="H5245" t="s">
        <v>4187</v>
      </c>
      <c r="I5245" t="s">
        <v>2538</v>
      </c>
      <c r="J5245">
        <v>1</v>
      </c>
      <c r="K5245" t="e">
        <v>#VALUE!</v>
      </c>
    </row>
    <row r="5246" spans="2:30" x14ac:dyDescent="0.25">
      <c r="B5246" t="s">
        <v>133</v>
      </c>
      <c r="C5246" t="s">
        <v>10598</v>
      </c>
      <c r="D5246" t="s">
        <v>4188</v>
      </c>
      <c r="E5246" t="s">
        <v>4189</v>
      </c>
      <c r="F5246" t="s">
        <v>10705</v>
      </c>
      <c r="G5246" t="s">
        <v>3890</v>
      </c>
      <c r="H5246" t="s">
        <v>4191</v>
      </c>
      <c r="I5246" t="s">
        <v>4165</v>
      </c>
      <c r="J5246">
        <v>1</v>
      </c>
      <c r="K5246" t="e">
        <v>#VALUE!</v>
      </c>
      <c r="L5246" t="e">
        <v>#VALUE!</v>
      </c>
      <c r="M5246" t="e">
        <v>#VALUE!</v>
      </c>
      <c r="N5246" t="e">
        <v>#VALUE!</v>
      </c>
      <c r="O5246" t="e">
        <v>#VALUE!</v>
      </c>
      <c r="P5246" t="e">
        <v>#VALUE!</v>
      </c>
      <c r="Q5246" t="e">
        <v>#VALUE!</v>
      </c>
      <c r="R5246" t="e">
        <v>#VALUE!</v>
      </c>
      <c r="S5246" t="e">
        <v>#VALUE!</v>
      </c>
      <c r="T5246" t="e">
        <v>#VALUE!</v>
      </c>
      <c r="U5246" t="e">
        <v>#VALUE!</v>
      </c>
      <c r="V5246" t="e">
        <v>#VALUE!</v>
      </c>
      <c r="W5246" t="e">
        <v>#VALUE!</v>
      </c>
      <c r="X5246" t="e">
        <v>#VALUE!</v>
      </c>
      <c r="Y5246" t="e">
        <v>#VALUE!</v>
      </c>
      <c r="Z5246" t="e">
        <v>#VALUE!</v>
      </c>
      <c r="AA5246" t="e">
        <v>#VALUE!</v>
      </c>
      <c r="AB5246" t="e">
        <v>#VALUE!</v>
      </c>
      <c r="AC5246" t="e">
        <v>#VALUE!</v>
      </c>
      <c r="AD5246" t="e">
        <v>#VALUE!</v>
      </c>
    </row>
    <row r="5247" spans="2:30" x14ac:dyDescent="0.25">
      <c r="B5247" t="s">
        <v>133</v>
      </c>
      <c r="C5247" t="s">
        <v>10598</v>
      </c>
      <c r="D5247" t="s">
        <v>4192</v>
      </c>
      <c r="E5247" t="s">
        <v>4193</v>
      </c>
      <c r="F5247" t="s">
        <v>10706</v>
      </c>
      <c r="G5247" t="s">
        <v>3890</v>
      </c>
      <c r="H5247" t="s">
        <v>4195</v>
      </c>
      <c r="I5247" t="s">
        <v>4165</v>
      </c>
      <c r="J5247">
        <v>1</v>
      </c>
      <c r="K5247" t="s">
        <v>138</v>
      </c>
      <c r="L5247" t="s">
        <v>138</v>
      </c>
      <c r="M5247" t="s">
        <v>138</v>
      </c>
      <c r="N5247" t="s">
        <v>138</v>
      </c>
      <c r="O5247" t="s">
        <v>138</v>
      </c>
      <c r="P5247" t="s">
        <v>138</v>
      </c>
      <c r="Q5247" t="s">
        <v>138</v>
      </c>
      <c r="R5247" t="s">
        <v>138</v>
      </c>
      <c r="S5247" t="s">
        <v>138</v>
      </c>
      <c r="T5247" t="s">
        <v>138</v>
      </c>
      <c r="U5247" t="s">
        <v>138</v>
      </c>
      <c r="V5247" t="s">
        <v>138</v>
      </c>
      <c r="W5247" t="s">
        <v>138</v>
      </c>
      <c r="X5247" t="s">
        <v>138</v>
      </c>
      <c r="Y5247" t="s">
        <v>138</v>
      </c>
      <c r="Z5247" t="s">
        <v>138</v>
      </c>
      <c r="AA5247" t="s">
        <v>138</v>
      </c>
      <c r="AB5247" t="s">
        <v>138</v>
      </c>
      <c r="AC5247" t="s">
        <v>138</v>
      </c>
      <c r="AD5247" t="s">
        <v>138</v>
      </c>
    </row>
    <row r="5248" spans="2:30" x14ac:dyDescent="0.25">
      <c r="B5248" t="s">
        <v>133</v>
      </c>
      <c r="C5248" t="s">
        <v>10598</v>
      </c>
      <c r="D5248" t="s">
        <v>4196</v>
      </c>
      <c r="E5248" t="s">
        <v>4197</v>
      </c>
      <c r="F5248" t="s">
        <v>10707</v>
      </c>
      <c r="G5248" t="s">
        <v>3890</v>
      </c>
      <c r="H5248" t="s">
        <v>4199</v>
      </c>
      <c r="I5248" t="s">
        <v>4200</v>
      </c>
      <c r="J5248">
        <v>1</v>
      </c>
      <c r="K5248" t="e">
        <v>#VALUE!</v>
      </c>
      <c r="L5248" t="e">
        <v>#VALUE!</v>
      </c>
      <c r="M5248" t="e">
        <v>#VALUE!</v>
      </c>
      <c r="N5248" t="e">
        <v>#VALUE!</v>
      </c>
      <c r="O5248" t="e">
        <v>#VALUE!</v>
      </c>
      <c r="P5248" t="e">
        <v>#VALUE!</v>
      </c>
      <c r="Q5248" t="e">
        <v>#VALUE!</v>
      </c>
      <c r="R5248" t="e">
        <v>#VALUE!</v>
      </c>
      <c r="S5248" t="e">
        <v>#VALUE!</v>
      </c>
      <c r="T5248" t="e">
        <v>#VALUE!</v>
      </c>
      <c r="U5248" t="e">
        <v>#VALUE!</v>
      </c>
      <c r="V5248" t="e">
        <v>#VALUE!</v>
      </c>
      <c r="W5248" t="e">
        <v>#VALUE!</v>
      </c>
      <c r="X5248" t="e">
        <v>#VALUE!</v>
      </c>
      <c r="Y5248" t="e">
        <v>#VALUE!</v>
      </c>
      <c r="Z5248" t="e">
        <v>#VALUE!</v>
      </c>
      <c r="AA5248" t="e">
        <v>#VALUE!</v>
      </c>
      <c r="AB5248" t="e">
        <v>#VALUE!</v>
      </c>
      <c r="AC5248" t="e">
        <v>#VALUE!</v>
      </c>
      <c r="AD5248" t="e">
        <v>#VALUE!</v>
      </c>
    </row>
    <row r="5249" spans="2:30" x14ac:dyDescent="0.25">
      <c r="B5249" t="s">
        <v>133</v>
      </c>
      <c r="C5249" t="s">
        <v>10598</v>
      </c>
      <c r="D5249" t="s">
        <v>4201</v>
      </c>
      <c r="E5249" t="s">
        <v>4202</v>
      </c>
      <c r="F5249" t="s">
        <v>10708</v>
      </c>
      <c r="G5249" t="s">
        <v>3890</v>
      </c>
      <c r="H5249" t="s">
        <v>4204</v>
      </c>
      <c r="I5249" t="s">
        <v>4200</v>
      </c>
      <c r="J5249">
        <v>1</v>
      </c>
      <c r="K5249" t="s">
        <v>138</v>
      </c>
      <c r="L5249" t="s">
        <v>138</v>
      </c>
      <c r="M5249" t="s">
        <v>138</v>
      </c>
      <c r="N5249" t="s">
        <v>138</v>
      </c>
      <c r="O5249" t="s">
        <v>138</v>
      </c>
      <c r="P5249" t="s">
        <v>138</v>
      </c>
      <c r="Q5249" t="s">
        <v>138</v>
      </c>
      <c r="R5249" t="s">
        <v>138</v>
      </c>
      <c r="S5249" t="s">
        <v>138</v>
      </c>
      <c r="T5249" t="s">
        <v>138</v>
      </c>
      <c r="U5249" t="s">
        <v>138</v>
      </c>
      <c r="V5249" t="s">
        <v>138</v>
      </c>
      <c r="W5249" t="s">
        <v>138</v>
      </c>
      <c r="X5249" t="s">
        <v>138</v>
      </c>
      <c r="Y5249" t="s">
        <v>138</v>
      </c>
      <c r="Z5249" t="s">
        <v>138</v>
      </c>
      <c r="AA5249" t="s">
        <v>138</v>
      </c>
      <c r="AB5249" t="s">
        <v>138</v>
      </c>
      <c r="AC5249" t="s">
        <v>138</v>
      </c>
      <c r="AD5249" t="s">
        <v>138</v>
      </c>
    </row>
    <row r="5250" spans="2:30" x14ac:dyDescent="0.25">
      <c r="B5250" t="s">
        <v>133</v>
      </c>
      <c r="C5250" t="s">
        <v>10598</v>
      </c>
      <c r="D5250" t="s">
        <v>4205</v>
      </c>
      <c r="E5250" t="s">
        <v>4206</v>
      </c>
      <c r="F5250" t="s">
        <v>10709</v>
      </c>
      <c r="G5250" t="s">
        <v>3890</v>
      </c>
      <c r="H5250" t="s">
        <v>4208</v>
      </c>
      <c r="I5250" t="s">
        <v>4209</v>
      </c>
      <c r="J5250">
        <v>1</v>
      </c>
      <c r="K5250" t="e">
        <v>#VALUE!</v>
      </c>
    </row>
    <row r="5251" spans="2:30" x14ac:dyDescent="0.25">
      <c r="B5251" t="s">
        <v>133</v>
      </c>
      <c r="C5251" t="s">
        <v>10598</v>
      </c>
      <c r="D5251" t="s">
        <v>4210</v>
      </c>
      <c r="E5251" t="s">
        <v>4211</v>
      </c>
      <c r="F5251" t="s">
        <v>10710</v>
      </c>
      <c r="G5251" t="s">
        <v>3890</v>
      </c>
      <c r="H5251" t="s">
        <v>4213</v>
      </c>
      <c r="I5251" t="s">
        <v>4209</v>
      </c>
      <c r="J5251">
        <v>1</v>
      </c>
      <c r="K5251" t="e">
        <v>#VALUE!</v>
      </c>
    </row>
    <row r="5252" spans="2:30" x14ac:dyDescent="0.25">
      <c r="B5252" t="s">
        <v>133</v>
      </c>
      <c r="C5252" t="s">
        <v>10598</v>
      </c>
      <c r="D5252" t="s">
        <v>4214</v>
      </c>
      <c r="E5252" t="s">
        <v>4215</v>
      </c>
      <c r="F5252" t="s">
        <v>10711</v>
      </c>
      <c r="G5252" t="s">
        <v>3890</v>
      </c>
      <c r="H5252" t="s">
        <v>4217</v>
      </c>
      <c r="I5252" t="s">
        <v>4209</v>
      </c>
      <c r="J5252">
        <v>1</v>
      </c>
      <c r="K5252" t="e">
        <v>#VALUE!</v>
      </c>
    </row>
    <row r="5253" spans="2:30" x14ac:dyDescent="0.25">
      <c r="B5253" t="s">
        <v>133</v>
      </c>
      <c r="C5253" t="s">
        <v>10598</v>
      </c>
      <c r="D5253" t="s">
        <v>4218</v>
      </c>
      <c r="E5253" t="s">
        <v>4219</v>
      </c>
      <c r="F5253" t="s">
        <v>10712</v>
      </c>
      <c r="G5253" t="s">
        <v>3890</v>
      </c>
      <c r="K5253">
        <v>377.96</v>
      </c>
      <c r="L5253">
        <v>205.55</v>
      </c>
      <c r="M5253">
        <v>583.5</v>
      </c>
      <c r="N5253">
        <v>0.03</v>
      </c>
    </row>
    <row r="5254" spans="2:30" x14ac:dyDescent="0.25">
      <c r="B5254" t="s">
        <v>133</v>
      </c>
      <c r="C5254" t="s">
        <v>10598</v>
      </c>
      <c r="D5254" t="s">
        <v>4221</v>
      </c>
      <c r="E5254" t="s">
        <v>4222</v>
      </c>
      <c r="F5254" t="s">
        <v>10713</v>
      </c>
      <c r="G5254" t="s">
        <v>3890</v>
      </c>
      <c r="K5254">
        <v>635.9</v>
      </c>
      <c r="L5254">
        <v>492.6</v>
      </c>
      <c r="M5254">
        <v>1128.51</v>
      </c>
      <c r="N5254">
        <v>0.01</v>
      </c>
    </row>
    <row r="5255" spans="2:30" x14ac:dyDescent="0.25">
      <c r="B5255" t="s">
        <v>133</v>
      </c>
      <c r="C5255" t="s">
        <v>10598</v>
      </c>
      <c r="D5255" t="s">
        <v>4224</v>
      </c>
      <c r="E5255" t="s">
        <v>4225</v>
      </c>
      <c r="F5255" t="s">
        <v>10714</v>
      </c>
      <c r="G5255" t="s">
        <v>3890</v>
      </c>
      <c r="K5255">
        <v>0</v>
      </c>
      <c r="L5255">
        <v>54.95</v>
      </c>
      <c r="M5255">
        <v>54.95</v>
      </c>
      <c r="N5255">
        <v>0.03</v>
      </c>
    </row>
    <row r="5256" spans="2:30" x14ac:dyDescent="0.25">
      <c r="B5256" t="s">
        <v>133</v>
      </c>
      <c r="C5256" t="s">
        <v>10598</v>
      </c>
      <c r="D5256" t="s">
        <v>4227</v>
      </c>
      <c r="E5256" t="s">
        <v>4228</v>
      </c>
      <c r="F5256" t="s">
        <v>10715</v>
      </c>
      <c r="G5256" t="s">
        <v>3890</v>
      </c>
      <c r="K5256">
        <v>159.22</v>
      </c>
      <c r="L5256">
        <v>26.04</v>
      </c>
      <c r="M5256">
        <v>185.25</v>
      </c>
      <c r="N5256">
        <v>0.12</v>
      </c>
    </row>
    <row r="5257" spans="2:30" x14ac:dyDescent="0.25">
      <c r="B5257" t="s">
        <v>133</v>
      </c>
      <c r="C5257" t="s">
        <v>10598</v>
      </c>
      <c r="D5257" t="s">
        <v>4230</v>
      </c>
      <c r="E5257" t="s">
        <v>4231</v>
      </c>
      <c r="F5257" t="s">
        <v>10716</v>
      </c>
      <c r="G5257" t="s">
        <v>3890</v>
      </c>
      <c r="K5257">
        <v>0</v>
      </c>
      <c r="L5257">
        <v>2.34</v>
      </c>
      <c r="M5257">
        <v>2.34</v>
      </c>
      <c r="N5257">
        <v>0.01</v>
      </c>
    </row>
    <row r="5258" spans="2:30" x14ac:dyDescent="0.25">
      <c r="B5258" t="s">
        <v>133</v>
      </c>
      <c r="C5258" t="s">
        <v>10598</v>
      </c>
      <c r="D5258" t="s">
        <v>4233</v>
      </c>
      <c r="E5258" t="s">
        <v>4234</v>
      </c>
      <c r="F5258" t="s">
        <v>10717</v>
      </c>
      <c r="G5258" t="s">
        <v>3890</v>
      </c>
      <c r="K5258">
        <v>9.7799999999999994</v>
      </c>
      <c r="L5258">
        <v>21.23</v>
      </c>
      <c r="M5258">
        <v>31.01</v>
      </c>
      <c r="N5258">
        <v>0.26</v>
      </c>
    </row>
    <row r="5259" spans="2:30" x14ac:dyDescent="0.25">
      <c r="B5259" t="s">
        <v>133</v>
      </c>
      <c r="C5259" t="s">
        <v>10598</v>
      </c>
      <c r="D5259" t="s">
        <v>4236</v>
      </c>
      <c r="E5259" t="s">
        <v>4237</v>
      </c>
      <c r="F5259" t="s">
        <v>10718</v>
      </c>
      <c r="G5259" t="s">
        <v>3890</v>
      </c>
      <c r="K5259">
        <v>0</v>
      </c>
      <c r="L5259">
        <v>46.09</v>
      </c>
      <c r="M5259">
        <v>46.09</v>
      </c>
      <c r="N5259">
        <v>0.36</v>
      </c>
    </row>
    <row r="5260" spans="2:30" x14ac:dyDescent="0.25">
      <c r="B5260" t="s">
        <v>133</v>
      </c>
      <c r="C5260" t="s">
        <v>10598</v>
      </c>
      <c r="D5260" t="s">
        <v>4239</v>
      </c>
      <c r="E5260" t="s">
        <v>4240</v>
      </c>
      <c r="F5260" t="s">
        <v>10719</v>
      </c>
      <c r="G5260" t="s">
        <v>3890</v>
      </c>
      <c r="K5260">
        <v>0</v>
      </c>
      <c r="L5260">
        <v>48.78</v>
      </c>
      <c r="M5260">
        <v>48.78</v>
      </c>
      <c r="N5260">
        <v>0.05</v>
      </c>
    </row>
    <row r="5261" spans="2:30" x14ac:dyDescent="0.25">
      <c r="B5261" t="s">
        <v>133</v>
      </c>
      <c r="C5261" t="s">
        <v>10598</v>
      </c>
      <c r="D5261" t="s">
        <v>4242</v>
      </c>
      <c r="E5261" t="s">
        <v>4243</v>
      </c>
      <c r="F5261" t="s">
        <v>10720</v>
      </c>
      <c r="G5261" t="s">
        <v>3890</v>
      </c>
      <c r="K5261">
        <v>0</v>
      </c>
      <c r="L5261">
        <v>0</v>
      </c>
      <c r="M5261">
        <v>0</v>
      </c>
      <c r="N5261">
        <v>0.06</v>
      </c>
    </row>
    <row r="5262" spans="2:30" x14ac:dyDescent="0.25">
      <c r="B5262" t="s">
        <v>133</v>
      </c>
      <c r="C5262" t="s">
        <v>10598</v>
      </c>
      <c r="D5262" t="s">
        <v>4245</v>
      </c>
      <c r="E5262" t="s">
        <v>4246</v>
      </c>
      <c r="F5262" t="s">
        <v>10721</v>
      </c>
      <c r="G5262" t="s">
        <v>3890</v>
      </c>
      <c r="K5262">
        <v>7.0000000000000007E-2</v>
      </c>
      <c r="L5262">
        <v>0.41</v>
      </c>
      <c r="M5262">
        <v>820.06</v>
      </c>
      <c r="N5262">
        <v>7.0000000000000007E-2</v>
      </c>
      <c r="O5262">
        <v>0.41</v>
      </c>
    </row>
    <row r="5263" spans="2:30" x14ac:dyDescent="0.25">
      <c r="B5263" t="s">
        <v>133</v>
      </c>
      <c r="C5263" t="s">
        <v>10598</v>
      </c>
      <c r="D5263" t="s">
        <v>4248</v>
      </c>
      <c r="E5263" t="s">
        <v>4234</v>
      </c>
      <c r="F5263" t="s">
        <v>10717</v>
      </c>
      <c r="G5263" t="s">
        <v>3890</v>
      </c>
      <c r="K5263">
        <v>0.26</v>
      </c>
      <c r="L5263">
        <v>0</v>
      </c>
      <c r="M5263">
        <v>31.01</v>
      </c>
      <c r="N5263">
        <v>0.33</v>
      </c>
      <c r="O5263">
        <v>0.41</v>
      </c>
    </row>
    <row r="5264" spans="2:30" x14ac:dyDescent="0.25">
      <c r="B5264" t="s">
        <v>133</v>
      </c>
      <c r="C5264" t="s">
        <v>10598</v>
      </c>
      <c r="D5264" t="s">
        <v>4249</v>
      </c>
      <c r="E5264" t="s">
        <v>4225</v>
      </c>
      <c r="F5264" t="s">
        <v>10714</v>
      </c>
      <c r="G5264" t="s">
        <v>3890</v>
      </c>
      <c r="K5264">
        <v>0.03</v>
      </c>
      <c r="L5264">
        <v>0</v>
      </c>
      <c r="M5264">
        <v>54.95</v>
      </c>
      <c r="N5264">
        <v>0.36</v>
      </c>
      <c r="O5264">
        <v>0.41</v>
      </c>
    </row>
    <row r="5265" spans="2:30" x14ac:dyDescent="0.25">
      <c r="B5265" t="s">
        <v>133</v>
      </c>
      <c r="C5265" t="s">
        <v>10598</v>
      </c>
      <c r="D5265" t="s">
        <v>4250</v>
      </c>
      <c r="E5265" t="s">
        <v>4228</v>
      </c>
      <c r="F5265" t="s">
        <v>10715</v>
      </c>
      <c r="G5265" t="s">
        <v>3890</v>
      </c>
      <c r="K5265">
        <v>0.12</v>
      </c>
      <c r="L5265">
        <v>0.32</v>
      </c>
      <c r="M5265">
        <v>185.25</v>
      </c>
      <c r="N5265">
        <v>0.48</v>
      </c>
      <c r="O5265">
        <v>0.73</v>
      </c>
    </row>
    <row r="5266" spans="2:30" x14ac:dyDescent="0.25">
      <c r="B5266" t="s">
        <v>133</v>
      </c>
      <c r="C5266" t="s">
        <v>10598</v>
      </c>
      <c r="D5266" t="s">
        <v>4251</v>
      </c>
      <c r="E5266" t="s">
        <v>4219</v>
      </c>
      <c r="F5266" t="s">
        <v>10712</v>
      </c>
      <c r="G5266" t="s">
        <v>3890</v>
      </c>
      <c r="K5266">
        <v>0.03</v>
      </c>
      <c r="L5266">
        <v>0.16</v>
      </c>
      <c r="M5266">
        <v>583.5</v>
      </c>
      <c r="N5266">
        <v>0.51</v>
      </c>
      <c r="O5266">
        <v>0.89</v>
      </c>
    </row>
    <row r="5267" spans="2:30" x14ac:dyDescent="0.25">
      <c r="B5267" t="s">
        <v>133</v>
      </c>
      <c r="C5267" t="s">
        <v>10598</v>
      </c>
      <c r="D5267" t="s">
        <v>4252</v>
      </c>
      <c r="E5267" t="s">
        <v>4222</v>
      </c>
      <c r="F5267" t="s">
        <v>10713</v>
      </c>
      <c r="G5267" t="s">
        <v>3890</v>
      </c>
      <c r="K5267">
        <v>0.01</v>
      </c>
      <c r="L5267">
        <v>7.0000000000000007E-2</v>
      </c>
      <c r="M5267">
        <v>1128.51</v>
      </c>
      <c r="N5267">
        <v>0.52</v>
      </c>
      <c r="O5267">
        <v>0.96</v>
      </c>
    </row>
    <row r="5268" spans="2:30" x14ac:dyDescent="0.25">
      <c r="B5268" t="s">
        <v>133</v>
      </c>
      <c r="C5268" t="s">
        <v>10598</v>
      </c>
      <c r="D5268" t="s">
        <v>4253</v>
      </c>
      <c r="E5268" t="s">
        <v>4254</v>
      </c>
      <c r="F5268" t="s">
        <v>10722</v>
      </c>
      <c r="G5268" t="s">
        <v>3890</v>
      </c>
      <c r="K5268">
        <v>0.06</v>
      </c>
      <c r="L5268">
        <v>0</v>
      </c>
      <c r="M5268">
        <v>0</v>
      </c>
      <c r="N5268">
        <v>0.58000000000000007</v>
      </c>
      <c r="O5268">
        <v>0.96</v>
      </c>
    </row>
    <row r="5269" spans="2:30" x14ac:dyDescent="0.25">
      <c r="B5269" t="s">
        <v>133</v>
      </c>
      <c r="C5269" t="s">
        <v>10598</v>
      </c>
      <c r="D5269" t="s">
        <v>4256</v>
      </c>
      <c r="E5269" t="s">
        <v>4240</v>
      </c>
      <c r="F5269" t="s">
        <v>10719</v>
      </c>
      <c r="G5269" t="s">
        <v>3890</v>
      </c>
      <c r="K5269">
        <v>0.05</v>
      </c>
      <c r="L5269">
        <v>48.78</v>
      </c>
      <c r="M5269">
        <v>48.78</v>
      </c>
      <c r="N5269">
        <v>0.63000000000000012</v>
      </c>
      <c r="O5269">
        <v>49.74</v>
      </c>
    </row>
    <row r="5270" spans="2:30" x14ac:dyDescent="0.25">
      <c r="B5270" t="s">
        <v>133</v>
      </c>
      <c r="C5270" t="s">
        <v>10598</v>
      </c>
      <c r="D5270" t="s">
        <v>4257</v>
      </c>
      <c r="E5270" t="s">
        <v>4231</v>
      </c>
      <c r="F5270" t="s">
        <v>10716</v>
      </c>
      <c r="G5270" t="s">
        <v>3890</v>
      </c>
      <c r="K5270">
        <v>0.01</v>
      </c>
      <c r="L5270">
        <v>0</v>
      </c>
      <c r="M5270">
        <v>2.34</v>
      </c>
      <c r="N5270">
        <v>0.64000000000000012</v>
      </c>
      <c r="O5270">
        <v>49.74</v>
      </c>
    </row>
    <row r="5271" spans="2:30" x14ac:dyDescent="0.25">
      <c r="B5271" t="s">
        <v>133</v>
      </c>
      <c r="C5271" t="s">
        <v>10598</v>
      </c>
      <c r="D5271" t="s">
        <v>4258</v>
      </c>
      <c r="E5271" t="s">
        <v>4237</v>
      </c>
      <c r="F5271" t="s">
        <v>10718</v>
      </c>
      <c r="G5271" t="s">
        <v>3890</v>
      </c>
      <c r="K5271">
        <v>0.36</v>
      </c>
      <c r="L5271">
        <v>0.04</v>
      </c>
      <c r="M5271">
        <v>46.09</v>
      </c>
      <c r="N5271">
        <v>1</v>
      </c>
      <c r="O5271">
        <v>49.78</v>
      </c>
    </row>
    <row r="5272" spans="2:30" x14ac:dyDescent="0.25">
      <c r="B5272" t="s">
        <v>133</v>
      </c>
      <c r="C5272" t="s">
        <v>10598</v>
      </c>
      <c r="D5272" t="s">
        <v>4259</v>
      </c>
      <c r="E5272" t="s">
        <v>4260</v>
      </c>
      <c r="F5272" t="s">
        <v>10723</v>
      </c>
      <c r="G5272" t="s">
        <v>3890</v>
      </c>
      <c r="H5272" t="s">
        <v>4262</v>
      </c>
      <c r="I5272" t="s">
        <v>4263</v>
      </c>
      <c r="J5272">
        <v>1</v>
      </c>
      <c r="K5272">
        <v>6.3E-2</v>
      </c>
      <c r="L5272">
        <v>5.8000000000000003E-2</v>
      </c>
      <c r="M5272">
        <v>4.9000000000000002E-2</v>
      </c>
      <c r="N5272">
        <v>4.7E-2</v>
      </c>
      <c r="O5272">
        <v>4.9000000000000002E-2</v>
      </c>
      <c r="P5272">
        <v>0.05</v>
      </c>
      <c r="Q5272">
        <v>0.05</v>
      </c>
      <c r="R5272">
        <v>0.05</v>
      </c>
      <c r="S5272">
        <v>4.9000000000000002E-2</v>
      </c>
      <c r="T5272">
        <v>4.9000000000000002E-2</v>
      </c>
      <c r="U5272">
        <v>4.9000000000000002E-2</v>
      </c>
      <c r="V5272">
        <v>4.9000000000000002E-2</v>
      </c>
      <c r="W5272">
        <v>4.8000000000000001E-2</v>
      </c>
      <c r="X5272">
        <v>4.8000000000000001E-2</v>
      </c>
      <c r="Y5272">
        <v>4.8000000000000001E-2</v>
      </c>
      <c r="Z5272">
        <v>4.7E-2</v>
      </c>
      <c r="AA5272">
        <v>4.7E-2</v>
      </c>
      <c r="AB5272">
        <v>4.7E-2</v>
      </c>
      <c r="AC5272">
        <v>4.7E-2</v>
      </c>
      <c r="AD5272">
        <v>4.5999999999999999E-2</v>
      </c>
    </row>
    <row r="5273" spans="2:30" x14ac:dyDescent="0.25">
      <c r="B5273" t="s">
        <v>133</v>
      </c>
      <c r="C5273" t="s">
        <v>10598</v>
      </c>
      <c r="D5273" t="s">
        <v>4264</v>
      </c>
      <c r="E5273" t="s">
        <v>4265</v>
      </c>
      <c r="F5273" t="s">
        <v>10724</v>
      </c>
      <c r="G5273" t="s">
        <v>3890</v>
      </c>
      <c r="H5273" t="s">
        <v>4262</v>
      </c>
      <c r="I5273" t="s">
        <v>4267</v>
      </c>
      <c r="J5273">
        <v>1</v>
      </c>
      <c r="K5273">
        <v>11.478</v>
      </c>
      <c r="L5273">
        <v>8.8379999999999992</v>
      </c>
      <c r="M5273">
        <v>7.7530000000000001</v>
      </c>
      <c r="N5273">
        <v>7.06</v>
      </c>
      <c r="O5273">
        <v>7.0789999999999997</v>
      </c>
      <c r="P5273">
        <v>7.133</v>
      </c>
      <c r="Q5273">
        <v>7.1070000000000002</v>
      </c>
      <c r="R5273">
        <v>7.0789999999999997</v>
      </c>
      <c r="S5273">
        <v>7.05</v>
      </c>
      <c r="T5273">
        <v>7.0209999999999999</v>
      </c>
      <c r="U5273">
        <v>7.0209999999999999</v>
      </c>
      <c r="V5273">
        <v>7.0209999999999999</v>
      </c>
      <c r="W5273">
        <v>7.0209999999999999</v>
      </c>
      <c r="X5273">
        <v>7.02</v>
      </c>
      <c r="Y5273">
        <v>7.02</v>
      </c>
      <c r="Z5273">
        <v>7.02</v>
      </c>
      <c r="AA5273">
        <v>7.02</v>
      </c>
      <c r="AB5273">
        <v>7.02</v>
      </c>
      <c r="AC5273">
        <v>7.02</v>
      </c>
      <c r="AD5273">
        <v>7.02</v>
      </c>
    </row>
    <row r="5274" spans="2:30" x14ac:dyDescent="0.25">
      <c r="B5274" t="s">
        <v>133</v>
      </c>
      <c r="C5274" t="s">
        <v>10598</v>
      </c>
      <c r="D5274" t="s">
        <v>4268</v>
      </c>
      <c r="E5274" t="s">
        <v>4269</v>
      </c>
      <c r="F5274" t="s">
        <v>10725</v>
      </c>
      <c r="G5274" t="s">
        <v>3890</v>
      </c>
      <c r="H5274" t="s">
        <v>4262</v>
      </c>
      <c r="I5274" t="s">
        <v>4267</v>
      </c>
      <c r="J5274">
        <v>1</v>
      </c>
      <c r="K5274">
        <v>3.5339999999999998</v>
      </c>
      <c r="L5274">
        <v>3.22</v>
      </c>
      <c r="M5274">
        <v>3.181</v>
      </c>
      <c r="N5274">
        <v>3.19</v>
      </c>
      <c r="O5274">
        <v>3.2170000000000001</v>
      </c>
      <c r="P5274">
        <v>3.2410000000000001</v>
      </c>
      <c r="Q5274">
        <v>3.2530000000000001</v>
      </c>
      <c r="R5274">
        <v>3.2610000000000001</v>
      </c>
      <c r="S5274">
        <v>3.27</v>
      </c>
      <c r="T5274">
        <v>3.2789999999999999</v>
      </c>
      <c r="U5274">
        <v>3.2869999999999999</v>
      </c>
      <c r="V5274">
        <v>3.2930000000000001</v>
      </c>
      <c r="W5274">
        <v>3.2970000000000002</v>
      </c>
      <c r="X5274">
        <v>3.2989999999999999</v>
      </c>
      <c r="Y5274">
        <v>3.3</v>
      </c>
      <c r="Z5274">
        <v>3.298</v>
      </c>
      <c r="AA5274">
        <v>3.294</v>
      </c>
      <c r="AB5274">
        <v>3.2869999999999999</v>
      </c>
      <c r="AC5274">
        <v>3.278</v>
      </c>
      <c r="AD5274">
        <v>3.2690000000000001</v>
      </c>
    </row>
    <row r="5275" spans="2:30" x14ac:dyDescent="0.25">
      <c r="B5275" t="s">
        <v>133</v>
      </c>
      <c r="C5275" t="s">
        <v>10598</v>
      </c>
      <c r="D5275" t="s">
        <v>4271</v>
      </c>
      <c r="E5275" t="s">
        <v>4272</v>
      </c>
      <c r="F5275" t="s">
        <v>10726</v>
      </c>
      <c r="G5275" t="s">
        <v>3890</v>
      </c>
      <c r="H5275" t="s">
        <v>4262</v>
      </c>
      <c r="I5275" t="s">
        <v>4274</v>
      </c>
      <c r="J5275">
        <v>1</v>
      </c>
      <c r="K5275">
        <v>33.051000000000002</v>
      </c>
      <c r="L5275">
        <v>26.300999999999998</v>
      </c>
      <c r="M5275">
        <v>23.175999999999998</v>
      </c>
      <c r="N5275">
        <v>15</v>
      </c>
      <c r="O5275">
        <v>15</v>
      </c>
      <c r="P5275">
        <v>15</v>
      </c>
      <c r="Q5275">
        <v>15</v>
      </c>
      <c r="R5275">
        <v>15</v>
      </c>
      <c r="S5275">
        <v>15</v>
      </c>
      <c r="T5275">
        <v>15</v>
      </c>
      <c r="U5275">
        <v>15</v>
      </c>
      <c r="V5275">
        <v>15</v>
      </c>
      <c r="W5275">
        <v>15</v>
      </c>
      <c r="X5275">
        <v>15</v>
      </c>
      <c r="Y5275">
        <v>15</v>
      </c>
      <c r="Z5275">
        <v>15</v>
      </c>
      <c r="AA5275">
        <v>15</v>
      </c>
      <c r="AB5275">
        <v>15</v>
      </c>
      <c r="AC5275">
        <v>15</v>
      </c>
      <c r="AD5275">
        <v>15</v>
      </c>
    </row>
    <row r="5276" spans="2:30" x14ac:dyDescent="0.25">
      <c r="B5276" t="s">
        <v>133</v>
      </c>
      <c r="C5276" t="s">
        <v>10598</v>
      </c>
      <c r="D5276" t="s">
        <v>4275</v>
      </c>
      <c r="E5276" t="s">
        <v>4276</v>
      </c>
      <c r="F5276" t="s">
        <v>10727</v>
      </c>
      <c r="G5276" t="s">
        <v>3890</v>
      </c>
      <c r="H5276" t="s">
        <v>4262</v>
      </c>
      <c r="I5276" t="s">
        <v>4278</v>
      </c>
      <c r="J5276">
        <v>1</v>
      </c>
      <c r="K5276">
        <v>0.6</v>
      </c>
      <c r="L5276">
        <v>0.41099999999999998</v>
      </c>
      <c r="M5276">
        <v>0.33500000000000002</v>
      </c>
      <c r="N5276">
        <v>0.33500000000000002</v>
      </c>
      <c r="O5276">
        <v>0.33500000000000002</v>
      </c>
      <c r="P5276">
        <v>0.33500000000000002</v>
      </c>
      <c r="Q5276">
        <v>0.33500000000000002</v>
      </c>
      <c r="R5276">
        <v>0.33500000000000002</v>
      </c>
      <c r="S5276">
        <v>0.33500000000000002</v>
      </c>
      <c r="T5276">
        <v>0.33500000000000002</v>
      </c>
      <c r="U5276">
        <v>0.33500000000000002</v>
      </c>
      <c r="V5276">
        <v>0.33500000000000002</v>
      </c>
      <c r="W5276">
        <v>0.33500000000000002</v>
      </c>
      <c r="X5276">
        <v>0.33500000000000002</v>
      </c>
      <c r="Y5276">
        <v>0.33500000000000002</v>
      </c>
      <c r="Z5276">
        <v>0.33500000000000002</v>
      </c>
      <c r="AA5276">
        <v>0.33500000000000002</v>
      </c>
      <c r="AB5276">
        <v>0.33500000000000002</v>
      </c>
      <c r="AC5276">
        <v>0.33500000000000002</v>
      </c>
      <c r="AD5276">
        <v>0.33500000000000002</v>
      </c>
    </row>
    <row r="5277" spans="2:30" x14ac:dyDescent="0.25">
      <c r="B5277" t="s">
        <v>133</v>
      </c>
      <c r="C5277" t="s">
        <v>10598</v>
      </c>
      <c r="D5277" t="s">
        <v>4279</v>
      </c>
      <c r="E5277" t="s">
        <v>4280</v>
      </c>
      <c r="F5277" t="s">
        <v>10728</v>
      </c>
      <c r="G5277" t="s">
        <v>3890</v>
      </c>
      <c r="H5277" t="s">
        <v>4262</v>
      </c>
      <c r="I5277" t="s">
        <v>4278</v>
      </c>
      <c r="J5277">
        <v>1</v>
      </c>
      <c r="K5277">
        <v>0.41399999999999998</v>
      </c>
      <c r="L5277">
        <v>0.28100000000000003</v>
      </c>
      <c r="M5277">
        <v>0.249</v>
      </c>
      <c r="N5277">
        <v>0.249</v>
      </c>
      <c r="O5277">
        <v>0.249</v>
      </c>
      <c r="P5277">
        <v>0.249</v>
      </c>
      <c r="Q5277">
        <v>0.249</v>
      </c>
      <c r="R5277">
        <v>0.249</v>
      </c>
      <c r="S5277">
        <v>0.249</v>
      </c>
      <c r="T5277">
        <v>0.249</v>
      </c>
      <c r="U5277">
        <v>0.249</v>
      </c>
      <c r="V5277">
        <v>0.249</v>
      </c>
      <c r="W5277">
        <v>0.249</v>
      </c>
      <c r="X5277">
        <v>0.249</v>
      </c>
      <c r="Y5277">
        <v>0.249</v>
      </c>
      <c r="Z5277">
        <v>0.249</v>
      </c>
      <c r="AA5277">
        <v>0.249</v>
      </c>
      <c r="AB5277">
        <v>0.249</v>
      </c>
      <c r="AC5277">
        <v>0.249</v>
      </c>
      <c r="AD5277">
        <v>0.249</v>
      </c>
    </row>
    <row r="5278" spans="2:30" x14ac:dyDescent="0.25">
      <c r="B5278" t="s">
        <v>133</v>
      </c>
      <c r="C5278" t="s">
        <v>10598</v>
      </c>
      <c r="D5278" t="s">
        <v>4282</v>
      </c>
      <c r="E5278" t="s">
        <v>4283</v>
      </c>
      <c r="F5278" t="s">
        <v>10729</v>
      </c>
      <c r="G5278" t="s">
        <v>3890</v>
      </c>
      <c r="H5278" t="s">
        <v>4262</v>
      </c>
      <c r="I5278" t="s">
        <v>4278</v>
      </c>
      <c r="J5278">
        <v>1</v>
      </c>
      <c r="K5278">
        <v>0.17499999999999999</v>
      </c>
      <c r="L5278">
        <v>0.10199999999999999</v>
      </c>
      <c r="M5278">
        <v>8.7999999999999995E-2</v>
      </c>
      <c r="N5278">
        <v>8.7999999999999995E-2</v>
      </c>
      <c r="O5278">
        <v>8.7999999999999995E-2</v>
      </c>
      <c r="P5278">
        <v>8.7999999999999995E-2</v>
      </c>
      <c r="Q5278">
        <v>8.7999999999999995E-2</v>
      </c>
      <c r="R5278">
        <v>8.7999999999999995E-2</v>
      </c>
      <c r="S5278">
        <v>8.7999999999999995E-2</v>
      </c>
      <c r="T5278">
        <v>8.7999999999999995E-2</v>
      </c>
      <c r="U5278">
        <v>8.7999999999999995E-2</v>
      </c>
      <c r="V5278">
        <v>8.7999999999999995E-2</v>
      </c>
      <c r="W5278">
        <v>8.7999999999999995E-2</v>
      </c>
      <c r="X5278">
        <v>8.7999999999999995E-2</v>
      </c>
      <c r="Y5278">
        <v>8.7999999999999995E-2</v>
      </c>
      <c r="Z5278">
        <v>8.7999999999999995E-2</v>
      </c>
      <c r="AA5278">
        <v>8.7999999999999995E-2</v>
      </c>
      <c r="AB5278">
        <v>8.7999999999999995E-2</v>
      </c>
      <c r="AC5278">
        <v>8.7999999999999995E-2</v>
      </c>
      <c r="AD5278">
        <v>8.7999999999999995E-2</v>
      </c>
    </row>
    <row r="5279" spans="2:30" x14ac:dyDescent="0.25">
      <c r="B5279" t="s">
        <v>133</v>
      </c>
      <c r="C5279" t="s">
        <v>10598</v>
      </c>
      <c r="D5279" t="s">
        <v>4285</v>
      </c>
      <c r="E5279" t="s">
        <v>4286</v>
      </c>
      <c r="F5279" t="s">
        <v>10730</v>
      </c>
      <c r="G5279" t="s">
        <v>3890</v>
      </c>
      <c r="H5279" t="s">
        <v>4262</v>
      </c>
      <c r="I5279" t="s">
        <v>4278</v>
      </c>
      <c r="J5279">
        <v>1</v>
      </c>
      <c r="K5279">
        <v>0.41399999999999998</v>
      </c>
      <c r="L5279">
        <v>0.25900000000000001</v>
      </c>
      <c r="M5279">
        <v>0.24399999999999999</v>
      </c>
      <c r="N5279">
        <v>0.24399999999999999</v>
      </c>
      <c r="O5279">
        <v>0.24399999999999999</v>
      </c>
      <c r="P5279">
        <v>0.24399999999999999</v>
      </c>
      <c r="Q5279">
        <v>0.24399999999999999</v>
      </c>
      <c r="R5279">
        <v>0.24399999999999999</v>
      </c>
      <c r="S5279">
        <v>0.24399999999999999</v>
      </c>
      <c r="T5279">
        <v>0.24399999999999999</v>
      </c>
      <c r="U5279">
        <v>0.24399999999999999</v>
      </c>
      <c r="V5279">
        <v>0.24399999999999999</v>
      </c>
      <c r="W5279">
        <v>0.24399999999999999</v>
      </c>
      <c r="X5279">
        <v>0.24399999999999999</v>
      </c>
      <c r="Y5279">
        <v>0.24399999999999999</v>
      </c>
      <c r="Z5279">
        <v>0.24399999999999999</v>
      </c>
      <c r="AA5279">
        <v>0.24399999999999999</v>
      </c>
      <c r="AB5279">
        <v>0.24399999999999999</v>
      </c>
      <c r="AC5279">
        <v>0.24399999999999999</v>
      </c>
      <c r="AD5279">
        <v>0.24399999999999999</v>
      </c>
    </row>
    <row r="5280" spans="2:30" x14ac:dyDescent="0.25">
      <c r="B5280" t="s">
        <v>133</v>
      </c>
      <c r="C5280" t="s">
        <v>10598</v>
      </c>
      <c r="D5280" t="s">
        <v>4259</v>
      </c>
      <c r="E5280" t="s">
        <v>4288</v>
      </c>
      <c r="F5280" t="s">
        <v>10731</v>
      </c>
      <c r="G5280" t="s">
        <v>3890</v>
      </c>
      <c r="H5280" t="s">
        <v>4262</v>
      </c>
      <c r="I5280" t="s">
        <v>4263</v>
      </c>
      <c r="J5280">
        <v>2</v>
      </c>
      <c r="K5280">
        <v>6.3E-2</v>
      </c>
      <c r="L5280">
        <v>5.8000000000000003E-2</v>
      </c>
      <c r="M5280">
        <v>4.9000000000000002E-2</v>
      </c>
      <c r="N5280">
        <v>4.7E-2</v>
      </c>
      <c r="O5280">
        <v>4.9000000000000002E-2</v>
      </c>
      <c r="P5280">
        <v>0.05</v>
      </c>
      <c r="Q5280">
        <v>5.0999999999999997E-2</v>
      </c>
      <c r="R5280">
        <v>5.0999999999999997E-2</v>
      </c>
      <c r="S5280">
        <v>5.1999999999999998E-2</v>
      </c>
      <c r="T5280">
        <v>5.2999999999999999E-2</v>
      </c>
      <c r="U5280">
        <v>5.3999999999999999E-2</v>
      </c>
      <c r="V5280">
        <v>5.5E-2</v>
      </c>
      <c r="W5280">
        <v>5.6000000000000001E-2</v>
      </c>
      <c r="X5280">
        <v>5.6000000000000001E-2</v>
      </c>
      <c r="Y5280">
        <v>5.6000000000000001E-2</v>
      </c>
      <c r="Z5280">
        <v>5.6000000000000001E-2</v>
      </c>
      <c r="AA5280">
        <v>5.2999999999999999E-2</v>
      </c>
      <c r="AB5280">
        <v>5.7000000000000002E-2</v>
      </c>
      <c r="AC5280">
        <v>5.0999999999999997E-2</v>
      </c>
      <c r="AD5280">
        <v>4.8000000000000001E-2</v>
      </c>
    </row>
    <row r="5281" spans="2:30" x14ac:dyDescent="0.25">
      <c r="B5281" t="s">
        <v>133</v>
      </c>
      <c r="C5281" t="s">
        <v>10598</v>
      </c>
      <c r="D5281" t="s">
        <v>4264</v>
      </c>
      <c r="E5281" t="s">
        <v>4290</v>
      </c>
      <c r="F5281" t="s">
        <v>10732</v>
      </c>
      <c r="G5281" t="s">
        <v>3890</v>
      </c>
      <c r="H5281" t="s">
        <v>4262</v>
      </c>
      <c r="I5281" t="s">
        <v>4267</v>
      </c>
      <c r="J5281">
        <v>2</v>
      </c>
      <c r="K5281">
        <v>11.478</v>
      </c>
      <c r="L5281">
        <v>8.8379999999999992</v>
      </c>
      <c r="M5281">
        <v>7.7530000000000001</v>
      </c>
      <c r="N5281">
        <v>7.06</v>
      </c>
      <c r="O5281">
        <v>7.0789999999999997</v>
      </c>
      <c r="P5281">
        <v>7.133</v>
      </c>
      <c r="Q5281">
        <v>7.3819999999999997</v>
      </c>
      <c r="R5281">
        <v>7.6059999999999999</v>
      </c>
      <c r="S5281">
        <v>7.9470000000000001</v>
      </c>
      <c r="T5281">
        <v>8.1519999999999992</v>
      </c>
      <c r="U5281">
        <v>8.6199999999999992</v>
      </c>
      <c r="V5281">
        <v>8.8460000000000001</v>
      </c>
      <c r="W5281">
        <v>9.3689999999999998</v>
      </c>
      <c r="X5281">
        <v>9.5299999999999994</v>
      </c>
      <c r="Y5281">
        <v>9.2469999999999999</v>
      </c>
      <c r="Z5281">
        <v>9.6069999999999993</v>
      </c>
      <c r="AA5281">
        <v>8.7970000000000006</v>
      </c>
      <c r="AB5281">
        <v>9.843</v>
      </c>
      <c r="AC5281">
        <v>8.3949999999999996</v>
      </c>
      <c r="AD5281">
        <v>7.02</v>
      </c>
    </row>
    <row r="5282" spans="2:30" x14ac:dyDescent="0.25">
      <c r="B5282" t="s">
        <v>133</v>
      </c>
      <c r="C5282" t="s">
        <v>10598</v>
      </c>
      <c r="D5282" t="s">
        <v>4268</v>
      </c>
      <c r="E5282" t="s">
        <v>4292</v>
      </c>
      <c r="F5282" t="s">
        <v>10733</v>
      </c>
      <c r="G5282" t="s">
        <v>3890</v>
      </c>
      <c r="H5282" t="s">
        <v>4262</v>
      </c>
      <c r="I5282" t="s">
        <v>4267</v>
      </c>
      <c r="J5282">
        <v>2</v>
      </c>
      <c r="K5282">
        <v>3.5339999999999998</v>
      </c>
      <c r="L5282">
        <v>3.22</v>
      </c>
      <c r="M5282">
        <v>3.181</v>
      </c>
      <c r="N5282">
        <v>3.19</v>
      </c>
      <c r="O5282">
        <v>3.2170000000000001</v>
      </c>
      <c r="P5282">
        <v>3.2410000000000001</v>
      </c>
      <c r="Q5282">
        <v>3.3969999999999998</v>
      </c>
      <c r="R5282">
        <v>3.5390000000000001</v>
      </c>
      <c r="S5282">
        <v>3.7440000000000002</v>
      </c>
      <c r="T5282">
        <v>3.8759999999999999</v>
      </c>
      <c r="U5282">
        <v>4.133</v>
      </c>
      <c r="V5282">
        <v>4.2590000000000003</v>
      </c>
      <c r="W5282">
        <v>4.5430000000000001</v>
      </c>
      <c r="X5282">
        <v>4.6319999999999997</v>
      </c>
      <c r="Y5282">
        <v>4.484</v>
      </c>
      <c r="Z5282">
        <v>4.6760000000000002</v>
      </c>
      <c r="AA5282">
        <v>4.242</v>
      </c>
      <c r="AB5282">
        <v>4.7969999999999997</v>
      </c>
      <c r="AC5282">
        <v>4.0140000000000002</v>
      </c>
      <c r="AD5282">
        <v>3.2690000000000001</v>
      </c>
    </row>
    <row r="5283" spans="2:30" x14ac:dyDescent="0.25">
      <c r="B5283" t="s">
        <v>133</v>
      </c>
      <c r="C5283" t="s">
        <v>10598</v>
      </c>
      <c r="D5283" t="s">
        <v>4271</v>
      </c>
      <c r="E5283" t="s">
        <v>4294</v>
      </c>
      <c r="F5283" t="s">
        <v>10734</v>
      </c>
      <c r="G5283" t="s">
        <v>3890</v>
      </c>
      <c r="H5283" t="s">
        <v>4262</v>
      </c>
      <c r="I5283" t="s">
        <v>4274</v>
      </c>
      <c r="J5283">
        <v>2</v>
      </c>
      <c r="K5283">
        <v>33.051000000000002</v>
      </c>
      <c r="L5283">
        <v>26.300999999999998</v>
      </c>
      <c r="M5283">
        <v>23.175999999999998</v>
      </c>
      <c r="N5283">
        <v>15</v>
      </c>
      <c r="O5283">
        <v>15</v>
      </c>
      <c r="P5283">
        <v>15</v>
      </c>
      <c r="Q5283">
        <v>15</v>
      </c>
      <c r="R5283">
        <v>15</v>
      </c>
      <c r="S5283">
        <v>15</v>
      </c>
      <c r="T5283">
        <v>15</v>
      </c>
      <c r="U5283">
        <v>15</v>
      </c>
      <c r="V5283">
        <v>15</v>
      </c>
      <c r="W5283">
        <v>15</v>
      </c>
      <c r="X5283">
        <v>15</v>
      </c>
      <c r="Y5283">
        <v>15</v>
      </c>
      <c r="Z5283">
        <v>15</v>
      </c>
      <c r="AA5283">
        <v>15</v>
      </c>
      <c r="AB5283">
        <v>15</v>
      </c>
      <c r="AC5283">
        <v>15</v>
      </c>
      <c r="AD5283">
        <v>15</v>
      </c>
    </row>
    <row r="5284" spans="2:30" x14ac:dyDescent="0.25">
      <c r="B5284" t="s">
        <v>133</v>
      </c>
      <c r="C5284" t="s">
        <v>10598</v>
      </c>
      <c r="D5284" t="s">
        <v>4275</v>
      </c>
      <c r="E5284" t="s">
        <v>4296</v>
      </c>
      <c r="F5284" t="s">
        <v>10735</v>
      </c>
      <c r="G5284" t="s">
        <v>3890</v>
      </c>
      <c r="H5284" t="s">
        <v>4262</v>
      </c>
      <c r="I5284" t="s">
        <v>4278</v>
      </c>
      <c r="J5284">
        <v>2</v>
      </c>
      <c r="K5284">
        <v>0.6</v>
      </c>
      <c r="L5284">
        <v>0.41099999999999998</v>
      </c>
      <c r="M5284">
        <v>0.33500000000000002</v>
      </c>
      <c r="N5284">
        <v>0.33500000000000002</v>
      </c>
      <c r="O5284">
        <v>0.33500000000000002</v>
      </c>
      <c r="P5284">
        <v>0.33500000000000002</v>
      </c>
      <c r="Q5284">
        <v>0.33500000000000002</v>
      </c>
      <c r="R5284">
        <v>0.33500000000000002</v>
      </c>
      <c r="S5284">
        <v>0.33500000000000002</v>
      </c>
      <c r="T5284">
        <v>0.33500000000000002</v>
      </c>
      <c r="U5284">
        <v>0.33500000000000002</v>
      </c>
      <c r="V5284">
        <v>0.33500000000000002</v>
      </c>
      <c r="W5284">
        <v>0.33500000000000002</v>
      </c>
      <c r="X5284">
        <v>0.33500000000000002</v>
      </c>
      <c r="Y5284">
        <v>0.33500000000000002</v>
      </c>
      <c r="Z5284">
        <v>0.33500000000000002</v>
      </c>
      <c r="AA5284">
        <v>0.33500000000000002</v>
      </c>
      <c r="AB5284">
        <v>0.33500000000000002</v>
      </c>
      <c r="AC5284">
        <v>0.33500000000000002</v>
      </c>
      <c r="AD5284">
        <v>0.33500000000000002</v>
      </c>
    </row>
    <row r="5285" spans="2:30" x14ac:dyDescent="0.25">
      <c r="B5285" t="s">
        <v>133</v>
      </c>
      <c r="C5285" t="s">
        <v>10598</v>
      </c>
      <c r="D5285" t="s">
        <v>4279</v>
      </c>
      <c r="E5285" t="s">
        <v>4298</v>
      </c>
      <c r="F5285" t="s">
        <v>10736</v>
      </c>
      <c r="G5285" t="s">
        <v>3890</v>
      </c>
      <c r="H5285" t="s">
        <v>4262</v>
      </c>
      <c r="I5285" t="s">
        <v>4278</v>
      </c>
      <c r="J5285">
        <v>2</v>
      </c>
      <c r="K5285">
        <v>0.41399999999999998</v>
      </c>
      <c r="L5285">
        <v>0.28100000000000003</v>
      </c>
      <c r="M5285">
        <v>0.249</v>
      </c>
      <c r="N5285">
        <v>0.249</v>
      </c>
      <c r="O5285">
        <v>0.249</v>
      </c>
      <c r="P5285">
        <v>0.249</v>
      </c>
      <c r="Q5285">
        <v>0.249</v>
      </c>
      <c r="R5285">
        <v>0.249</v>
      </c>
      <c r="S5285">
        <v>0.249</v>
      </c>
      <c r="T5285">
        <v>0.249</v>
      </c>
      <c r="U5285">
        <v>0.249</v>
      </c>
      <c r="V5285">
        <v>0.249</v>
      </c>
      <c r="W5285">
        <v>0.249</v>
      </c>
      <c r="X5285">
        <v>0.249</v>
      </c>
      <c r="Y5285">
        <v>0.249</v>
      </c>
      <c r="Z5285">
        <v>0.249</v>
      </c>
      <c r="AA5285">
        <v>0.249</v>
      </c>
      <c r="AB5285">
        <v>0.249</v>
      </c>
      <c r="AC5285">
        <v>0.249</v>
      </c>
      <c r="AD5285">
        <v>0.249</v>
      </c>
    </row>
    <row r="5286" spans="2:30" x14ac:dyDescent="0.25">
      <c r="B5286" t="s">
        <v>133</v>
      </c>
      <c r="C5286" t="s">
        <v>10598</v>
      </c>
      <c r="D5286" t="s">
        <v>4282</v>
      </c>
      <c r="E5286" t="s">
        <v>4300</v>
      </c>
      <c r="F5286" t="s">
        <v>10737</v>
      </c>
      <c r="G5286" t="s">
        <v>3890</v>
      </c>
      <c r="H5286" t="s">
        <v>4262</v>
      </c>
      <c r="I5286" t="s">
        <v>4278</v>
      </c>
      <c r="J5286">
        <v>2</v>
      </c>
      <c r="K5286">
        <v>0.17499999999999999</v>
      </c>
      <c r="L5286">
        <v>0.10199999999999999</v>
      </c>
      <c r="M5286">
        <v>8.7999999999999995E-2</v>
      </c>
      <c r="N5286">
        <v>8.7999999999999995E-2</v>
      </c>
      <c r="O5286">
        <v>8.7999999999999995E-2</v>
      </c>
      <c r="P5286">
        <v>8.7999999999999995E-2</v>
      </c>
      <c r="Q5286">
        <v>8.7999999999999995E-2</v>
      </c>
      <c r="R5286">
        <v>8.7999999999999995E-2</v>
      </c>
      <c r="S5286">
        <v>8.7999999999999995E-2</v>
      </c>
      <c r="T5286">
        <v>8.7999999999999995E-2</v>
      </c>
      <c r="U5286">
        <v>8.7999999999999995E-2</v>
      </c>
      <c r="V5286">
        <v>8.7999999999999995E-2</v>
      </c>
      <c r="W5286">
        <v>8.7999999999999995E-2</v>
      </c>
      <c r="X5286">
        <v>8.7999999999999995E-2</v>
      </c>
      <c r="Y5286">
        <v>8.7999999999999995E-2</v>
      </c>
      <c r="Z5286">
        <v>8.7999999999999995E-2</v>
      </c>
      <c r="AA5286">
        <v>8.7999999999999995E-2</v>
      </c>
      <c r="AB5286">
        <v>8.7999999999999995E-2</v>
      </c>
      <c r="AC5286">
        <v>8.7999999999999995E-2</v>
      </c>
      <c r="AD5286">
        <v>8.7999999999999995E-2</v>
      </c>
    </row>
    <row r="5287" spans="2:30" x14ac:dyDescent="0.25">
      <c r="B5287" t="s">
        <v>133</v>
      </c>
      <c r="C5287" t="s">
        <v>10598</v>
      </c>
      <c r="D5287" t="s">
        <v>4285</v>
      </c>
      <c r="E5287" t="s">
        <v>4302</v>
      </c>
      <c r="F5287" t="s">
        <v>10738</v>
      </c>
      <c r="G5287" t="s">
        <v>3890</v>
      </c>
      <c r="H5287" t="s">
        <v>4262</v>
      </c>
      <c r="I5287" t="s">
        <v>4278</v>
      </c>
      <c r="J5287">
        <v>2</v>
      </c>
      <c r="K5287">
        <v>0.41399999999999998</v>
      </c>
      <c r="L5287">
        <v>0.25900000000000001</v>
      </c>
      <c r="M5287">
        <v>0.24399999999999999</v>
      </c>
      <c r="N5287">
        <v>0.24399999999999999</v>
      </c>
      <c r="O5287">
        <v>0.24399999999999999</v>
      </c>
      <c r="P5287">
        <v>0.24399999999999999</v>
      </c>
      <c r="Q5287">
        <v>0.251</v>
      </c>
      <c r="R5287">
        <v>0.25700000000000001</v>
      </c>
      <c r="S5287">
        <v>0.26700000000000002</v>
      </c>
      <c r="T5287">
        <v>0.27300000000000002</v>
      </c>
      <c r="U5287">
        <v>0.28499999999999998</v>
      </c>
      <c r="V5287">
        <v>0.29099999999999998</v>
      </c>
      <c r="W5287">
        <v>0.30399999999999999</v>
      </c>
      <c r="X5287">
        <v>0.308</v>
      </c>
      <c r="Y5287">
        <v>0.30099999999999999</v>
      </c>
      <c r="Z5287">
        <v>0.31</v>
      </c>
      <c r="AA5287">
        <v>0.28899999999999998</v>
      </c>
      <c r="AB5287">
        <v>0.316</v>
      </c>
      <c r="AC5287">
        <v>0.27900000000000003</v>
      </c>
      <c r="AD5287">
        <v>0.24399999999999999</v>
      </c>
    </row>
    <row r="5288" spans="2:30" x14ac:dyDescent="0.25">
      <c r="B5288" t="s">
        <v>133</v>
      </c>
      <c r="C5288" t="s">
        <v>10598</v>
      </c>
      <c r="D5288" t="s">
        <v>4304</v>
      </c>
      <c r="E5288" t="s">
        <v>4305</v>
      </c>
      <c r="F5288" t="s">
        <v>10739</v>
      </c>
      <c r="G5288" t="s">
        <v>3890</v>
      </c>
      <c r="H5288" t="s">
        <v>4262</v>
      </c>
      <c r="I5288" t="s">
        <v>3892</v>
      </c>
      <c r="J5288">
        <v>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1.9E-2</v>
      </c>
      <c r="R5288">
        <v>3.5999999999999997E-2</v>
      </c>
      <c r="S5288">
        <v>6.5000000000000002E-2</v>
      </c>
      <c r="T5288">
        <v>8.1000000000000003E-2</v>
      </c>
      <c r="U5288">
        <v>0.115</v>
      </c>
      <c r="V5288">
        <v>0.13</v>
      </c>
      <c r="W5288">
        <v>0.16800000000000001</v>
      </c>
      <c r="X5288">
        <v>0.17699999999999999</v>
      </c>
      <c r="Y5288">
        <v>0.16400000000000001</v>
      </c>
      <c r="Z5288">
        <v>0.187</v>
      </c>
      <c r="AA5288">
        <v>0.13400000000000001</v>
      </c>
      <c r="AB5288">
        <v>0.20699999999999999</v>
      </c>
      <c r="AC5288">
        <v>0.105</v>
      </c>
      <c r="AD5288">
        <v>0.04</v>
      </c>
    </row>
    <row r="5289" spans="2:30" x14ac:dyDescent="0.25">
      <c r="B5289" t="s">
        <v>133</v>
      </c>
      <c r="C5289" t="s">
        <v>10598</v>
      </c>
      <c r="D5289" t="s">
        <v>4307</v>
      </c>
      <c r="E5289" t="s">
        <v>4308</v>
      </c>
      <c r="F5289" t="s">
        <v>10740</v>
      </c>
      <c r="G5289" t="s">
        <v>3890</v>
      </c>
      <c r="H5289" t="s">
        <v>4262</v>
      </c>
      <c r="I5289" t="s">
        <v>3892</v>
      </c>
      <c r="J5289">
        <v>2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3.9E-2</v>
      </c>
      <c r="R5289">
        <v>7.3999999999999996E-2</v>
      </c>
      <c r="S5289">
        <v>0.127</v>
      </c>
      <c r="T5289">
        <v>0.161</v>
      </c>
      <c r="U5289">
        <v>0.22800000000000001</v>
      </c>
      <c r="V5289">
        <v>0.26</v>
      </c>
      <c r="W5289">
        <v>0.33400000000000002</v>
      </c>
      <c r="X5289">
        <v>0.35699999999999998</v>
      </c>
      <c r="Y5289">
        <v>0.317</v>
      </c>
      <c r="Z5289">
        <v>0.36799999999999999</v>
      </c>
      <c r="AA5289">
        <v>0.253</v>
      </c>
      <c r="AB5289">
        <v>0.40200000000000002</v>
      </c>
      <c r="AC5289">
        <v>0.19600000000000001</v>
      </c>
      <c r="AD5289">
        <v>0</v>
      </c>
    </row>
    <row r="5290" spans="2:30" x14ac:dyDescent="0.25">
      <c r="B5290" t="s">
        <v>133</v>
      </c>
      <c r="C5290" t="s">
        <v>10598</v>
      </c>
      <c r="D5290" t="s">
        <v>4310</v>
      </c>
      <c r="E5290" t="s">
        <v>4311</v>
      </c>
      <c r="F5290" t="s">
        <v>10741</v>
      </c>
      <c r="G5290" t="s">
        <v>3890</v>
      </c>
      <c r="H5290" t="s">
        <v>4262</v>
      </c>
      <c r="I5290" t="s">
        <v>3892</v>
      </c>
      <c r="J5290">
        <v>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4.3999999999999997E-2</v>
      </c>
      <c r="R5290">
        <v>8.5000000000000006E-2</v>
      </c>
      <c r="S5290">
        <v>0.14499999999999999</v>
      </c>
      <c r="T5290">
        <v>0.182</v>
      </c>
      <c r="U5290">
        <v>0.25700000000000001</v>
      </c>
      <c r="V5290">
        <v>0.29399999999999998</v>
      </c>
      <c r="W5290">
        <v>0.378</v>
      </c>
      <c r="X5290">
        <v>0.40400000000000003</v>
      </c>
      <c r="Y5290">
        <v>0.35899999999999999</v>
      </c>
      <c r="Z5290">
        <v>0.41799999999999998</v>
      </c>
      <c r="AA5290">
        <v>0.28799999999999998</v>
      </c>
      <c r="AB5290">
        <v>0.45900000000000002</v>
      </c>
      <c r="AC5290">
        <v>0.22500000000000001</v>
      </c>
      <c r="AD5290">
        <v>0</v>
      </c>
    </row>
    <row r="5291" spans="2:30" x14ac:dyDescent="0.25">
      <c r="B5291" t="s">
        <v>133</v>
      </c>
      <c r="C5291" t="s">
        <v>10598</v>
      </c>
      <c r="D5291" t="s">
        <v>4313</v>
      </c>
      <c r="E5291" t="s">
        <v>4314</v>
      </c>
      <c r="F5291" t="s">
        <v>10742</v>
      </c>
      <c r="G5291" t="s">
        <v>3890</v>
      </c>
      <c r="H5291" t="s">
        <v>4262</v>
      </c>
      <c r="I5291" t="s">
        <v>3892</v>
      </c>
      <c r="J5291">
        <v>2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</row>
    <row r="5292" spans="2:30" x14ac:dyDescent="0.25">
      <c r="B5292" t="s">
        <v>133</v>
      </c>
      <c r="C5292" t="s">
        <v>10598</v>
      </c>
      <c r="D5292" t="s">
        <v>4316</v>
      </c>
      <c r="E5292" t="s">
        <v>4317</v>
      </c>
      <c r="F5292" t="s">
        <v>10743</v>
      </c>
      <c r="G5292" t="s">
        <v>3890</v>
      </c>
      <c r="H5292" t="s">
        <v>4262</v>
      </c>
      <c r="I5292" t="s">
        <v>3892</v>
      </c>
      <c r="J5292">
        <v>2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</row>
    <row r="5293" spans="2:30" x14ac:dyDescent="0.25">
      <c r="B5293" t="s">
        <v>133</v>
      </c>
      <c r="C5293" t="s">
        <v>10598</v>
      </c>
      <c r="D5293" t="s">
        <v>4319</v>
      </c>
      <c r="E5293" t="s">
        <v>4320</v>
      </c>
      <c r="F5293" t="s">
        <v>10744</v>
      </c>
      <c r="G5293" t="s">
        <v>3890</v>
      </c>
      <c r="H5293" t="s">
        <v>4262</v>
      </c>
      <c r="I5293" t="s">
        <v>3892</v>
      </c>
      <c r="J5293">
        <v>2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</row>
    <row r="5294" spans="2:30" x14ac:dyDescent="0.25">
      <c r="B5294" t="s">
        <v>133</v>
      </c>
      <c r="C5294" t="s">
        <v>10598</v>
      </c>
      <c r="D5294" t="s">
        <v>4322</v>
      </c>
      <c r="E5294" t="s">
        <v>4323</v>
      </c>
      <c r="F5294" t="s">
        <v>10745</v>
      </c>
      <c r="G5294" t="s">
        <v>3890</v>
      </c>
      <c r="H5294" t="s">
        <v>4262</v>
      </c>
      <c r="I5294" t="s">
        <v>3892</v>
      </c>
      <c r="J5294">
        <v>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</row>
    <row r="5295" spans="2:30" x14ac:dyDescent="0.25">
      <c r="B5295" t="s">
        <v>133</v>
      </c>
      <c r="C5295" t="s">
        <v>10598</v>
      </c>
      <c r="D5295" t="s">
        <v>4325</v>
      </c>
      <c r="E5295" t="s">
        <v>4326</v>
      </c>
      <c r="F5295" t="s">
        <v>10746</v>
      </c>
      <c r="G5295" t="s">
        <v>3890</v>
      </c>
      <c r="H5295" t="s">
        <v>4262</v>
      </c>
      <c r="I5295" t="s">
        <v>3892</v>
      </c>
      <c r="J5295">
        <v>2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2.9000000000000001E-2</v>
      </c>
      <c r="R5295">
        <v>5.5E-2</v>
      </c>
      <c r="S5295">
        <v>9.4E-2</v>
      </c>
      <c r="T5295">
        <v>0.11899999999999999</v>
      </c>
      <c r="U5295">
        <v>0.16800000000000001</v>
      </c>
      <c r="V5295">
        <v>0.192</v>
      </c>
      <c r="W5295">
        <v>0.247</v>
      </c>
      <c r="X5295">
        <v>0.26400000000000001</v>
      </c>
      <c r="Y5295">
        <v>0.23400000000000001</v>
      </c>
      <c r="Z5295">
        <v>0.27200000000000002</v>
      </c>
      <c r="AA5295">
        <v>0.187</v>
      </c>
      <c r="AB5295">
        <v>0.29599999999999999</v>
      </c>
      <c r="AC5295">
        <v>0.14399999999999999</v>
      </c>
      <c r="AD5295">
        <v>0</v>
      </c>
    </row>
    <row r="5296" spans="2:30" x14ac:dyDescent="0.25">
      <c r="B5296" t="s">
        <v>133</v>
      </c>
      <c r="C5296" t="s">
        <v>10598</v>
      </c>
      <c r="D5296" t="s">
        <v>4328</v>
      </c>
      <c r="E5296" t="s">
        <v>4329</v>
      </c>
      <c r="F5296" t="s">
        <v>10747</v>
      </c>
      <c r="G5296" t="s">
        <v>3890</v>
      </c>
      <c r="H5296" t="s">
        <v>4331</v>
      </c>
      <c r="I5296" t="s">
        <v>4332</v>
      </c>
      <c r="J5296">
        <v>2</v>
      </c>
    </row>
    <row r="5297" spans="2:30" x14ac:dyDescent="0.25">
      <c r="B5297" t="s">
        <v>133</v>
      </c>
      <c r="C5297" t="s">
        <v>10598</v>
      </c>
      <c r="D5297" t="s">
        <v>4333</v>
      </c>
      <c r="E5297" t="s">
        <v>4334</v>
      </c>
      <c r="F5297" t="s">
        <v>10748</v>
      </c>
      <c r="G5297" t="s">
        <v>3890</v>
      </c>
      <c r="H5297" t="s">
        <v>4336</v>
      </c>
      <c r="I5297" t="s">
        <v>3894</v>
      </c>
      <c r="J5297">
        <v>2</v>
      </c>
      <c r="K5297" t="e">
        <v>#VALUE!</v>
      </c>
    </row>
    <row r="5298" spans="2:30" x14ac:dyDescent="0.25">
      <c r="B5298" t="s">
        <v>133</v>
      </c>
      <c r="C5298" t="s">
        <v>10598</v>
      </c>
      <c r="D5298" t="s">
        <v>4337</v>
      </c>
      <c r="E5298" t="s">
        <v>4338</v>
      </c>
      <c r="F5298" t="s">
        <v>10749</v>
      </c>
      <c r="G5298" t="s">
        <v>3890</v>
      </c>
      <c r="H5298" t="s">
        <v>4340</v>
      </c>
      <c r="I5298" t="s">
        <v>3894</v>
      </c>
      <c r="J5298">
        <v>1</v>
      </c>
      <c r="K5298">
        <v>-151.58099999999999</v>
      </c>
      <c r="L5298">
        <v>-128.29300000000001</v>
      </c>
      <c r="M5298">
        <v>-165.89</v>
      </c>
      <c r="N5298">
        <v>-154.87700000000001</v>
      </c>
      <c r="O5298">
        <v>-161.08799999999999</v>
      </c>
      <c r="P5298">
        <v>-152.542</v>
      </c>
      <c r="Q5298">
        <v>-147.75299999999999</v>
      </c>
      <c r="R5298">
        <v>-144.48500000000001</v>
      </c>
      <c r="S5298">
        <v>-141.16399999999999</v>
      </c>
      <c r="T5298">
        <v>-137.05199999999999</v>
      </c>
      <c r="U5298">
        <v>-133.40100000000001</v>
      </c>
      <c r="V5298">
        <v>-129.43299999999999</v>
      </c>
      <c r="W5298">
        <v>-125.13500000000001</v>
      </c>
      <c r="X5298">
        <v>-120.459</v>
      </c>
      <c r="Y5298">
        <v>-115.236</v>
      </c>
      <c r="Z5298">
        <v>-109.637</v>
      </c>
      <c r="AA5298">
        <v>-103.67100000000001</v>
      </c>
      <c r="AB5298">
        <v>-97.370999999999995</v>
      </c>
      <c r="AC5298">
        <v>-91.653000000000006</v>
      </c>
      <c r="AD5298">
        <v>-90.673000000000002</v>
      </c>
    </row>
    <row r="5299" spans="2:30" x14ac:dyDescent="0.25">
      <c r="B5299" t="s">
        <v>133</v>
      </c>
      <c r="C5299" t="s">
        <v>10598</v>
      </c>
      <c r="D5299" t="s">
        <v>4337</v>
      </c>
      <c r="E5299" t="s">
        <v>4341</v>
      </c>
      <c r="F5299" t="s">
        <v>10750</v>
      </c>
      <c r="G5299" t="s">
        <v>3890</v>
      </c>
      <c r="H5299" t="s">
        <v>4340</v>
      </c>
      <c r="I5299" t="s">
        <v>3894</v>
      </c>
      <c r="J5299">
        <v>2</v>
      </c>
      <c r="K5299">
        <v>-151.58099999999999</v>
      </c>
      <c r="L5299">
        <v>-128.29300000000001</v>
      </c>
      <c r="M5299">
        <v>-165.89</v>
      </c>
      <c r="N5299">
        <v>-154.87700000000001</v>
      </c>
      <c r="O5299">
        <v>-161.08799999999999</v>
      </c>
      <c r="P5299">
        <v>-152.58099999999999</v>
      </c>
      <c r="Q5299">
        <v>-146.33199999999999</v>
      </c>
      <c r="R5299">
        <v>-141.13999999999999</v>
      </c>
      <c r="S5299">
        <v>-135.18600000000001</v>
      </c>
      <c r="T5299">
        <v>-129.21100000000001</v>
      </c>
      <c r="U5299">
        <v>-122.46899999999999</v>
      </c>
      <c r="V5299">
        <v>-116.76600000000001</v>
      </c>
      <c r="W5299">
        <v>-109.255</v>
      </c>
      <c r="X5299">
        <v>-103.295</v>
      </c>
      <c r="Y5299">
        <v>-99.728999999999999</v>
      </c>
      <c r="Z5299">
        <v>-92.44</v>
      </c>
      <c r="AA5299">
        <v>-90.75</v>
      </c>
      <c r="AB5299">
        <v>-79.653999999999996</v>
      </c>
      <c r="AC5299">
        <v>-80.635999999999996</v>
      </c>
      <c r="AD5299">
        <v>-81.602999999999994</v>
      </c>
    </row>
    <row r="5300" spans="2:30" x14ac:dyDescent="0.25">
      <c r="B5300" t="s">
        <v>133</v>
      </c>
      <c r="C5300" t="s">
        <v>10598</v>
      </c>
      <c r="D5300" t="s">
        <v>4343</v>
      </c>
      <c r="E5300" t="s">
        <v>4344</v>
      </c>
      <c r="F5300" t="s">
        <v>10751</v>
      </c>
      <c r="G5300" t="s">
        <v>3890</v>
      </c>
      <c r="H5300" t="s">
        <v>4262</v>
      </c>
      <c r="I5300" t="s">
        <v>4263</v>
      </c>
      <c r="J5300">
        <v>1</v>
      </c>
      <c r="K5300">
        <v>6.4000000000000001E-2</v>
      </c>
      <c r="L5300">
        <v>6.2E-2</v>
      </c>
      <c r="M5300">
        <v>5.1999999999999998E-2</v>
      </c>
      <c r="N5300">
        <v>4.9000000000000002E-2</v>
      </c>
      <c r="O5300">
        <v>5.0999999999999997E-2</v>
      </c>
      <c r="P5300">
        <v>5.2999999999999999E-2</v>
      </c>
      <c r="Q5300">
        <v>5.2999999999999999E-2</v>
      </c>
      <c r="R5300">
        <v>5.1999999999999998E-2</v>
      </c>
      <c r="S5300">
        <v>5.1999999999999998E-2</v>
      </c>
      <c r="T5300">
        <v>5.1999999999999998E-2</v>
      </c>
      <c r="U5300">
        <v>5.0999999999999997E-2</v>
      </c>
      <c r="V5300">
        <v>5.0999999999999997E-2</v>
      </c>
      <c r="W5300">
        <v>5.0999999999999997E-2</v>
      </c>
      <c r="X5300">
        <v>5.0999999999999997E-2</v>
      </c>
      <c r="Y5300">
        <v>0.05</v>
      </c>
      <c r="Z5300">
        <v>0.05</v>
      </c>
      <c r="AA5300">
        <v>0.05</v>
      </c>
      <c r="AB5300">
        <v>4.9000000000000002E-2</v>
      </c>
      <c r="AC5300">
        <v>4.9000000000000002E-2</v>
      </c>
      <c r="AD5300">
        <v>4.9000000000000002E-2</v>
      </c>
    </row>
    <row r="5301" spans="2:30" x14ac:dyDescent="0.25">
      <c r="B5301" t="s">
        <v>133</v>
      </c>
      <c r="C5301" t="s">
        <v>10598</v>
      </c>
      <c r="D5301" t="s">
        <v>4346</v>
      </c>
      <c r="E5301" t="s">
        <v>4347</v>
      </c>
      <c r="F5301" t="s">
        <v>10752</v>
      </c>
      <c r="G5301" t="s">
        <v>3890</v>
      </c>
      <c r="H5301" t="s">
        <v>4262</v>
      </c>
      <c r="I5301" t="s">
        <v>4263</v>
      </c>
      <c r="J5301">
        <v>1</v>
      </c>
      <c r="K5301">
        <v>6.0999999999999999E-2</v>
      </c>
      <c r="L5301">
        <v>5.1999999999999998E-2</v>
      </c>
      <c r="M5301">
        <v>4.5999999999999999E-2</v>
      </c>
      <c r="N5301">
        <v>4.2999999999999997E-2</v>
      </c>
      <c r="O5301">
        <v>4.4999999999999998E-2</v>
      </c>
      <c r="P5301">
        <v>4.5999999999999999E-2</v>
      </c>
      <c r="Q5301">
        <v>4.5999999999999999E-2</v>
      </c>
      <c r="R5301">
        <v>4.5999999999999999E-2</v>
      </c>
      <c r="S5301">
        <v>4.5999999999999999E-2</v>
      </c>
      <c r="T5301">
        <v>4.4999999999999998E-2</v>
      </c>
      <c r="U5301">
        <v>4.4999999999999998E-2</v>
      </c>
      <c r="V5301">
        <v>4.4999999999999998E-2</v>
      </c>
      <c r="W5301">
        <v>4.4999999999999998E-2</v>
      </c>
      <c r="X5301">
        <v>4.3999999999999997E-2</v>
      </c>
      <c r="Y5301">
        <v>4.3999999999999997E-2</v>
      </c>
      <c r="Z5301">
        <v>4.3999999999999997E-2</v>
      </c>
      <c r="AA5301">
        <v>4.3999999999999997E-2</v>
      </c>
      <c r="AB5301">
        <v>4.2999999999999997E-2</v>
      </c>
      <c r="AC5301">
        <v>4.2999999999999997E-2</v>
      </c>
      <c r="AD5301">
        <v>4.2999999999999997E-2</v>
      </c>
    </row>
    <row r="5302" spans="2:30" x14ac:dyDescent="0.25">
      <c r="B5302" t="s">
        <v>133</v>
      </c>
      <c r="C5302" t="s">
        <v>10598</v>
      </c>
      <c r="D5302" t="s">
        <v>4349</v>
      </c>
      <c r="E5302" t="s">
        <v>4350</v>
      </c>
      <c r="F5302" t="s">
        <v>10753</v>
      </c>
      <c r="G5302" t="s">
        <v>3890</v>
      </c>
      <c r="H5302" t="s">
        <v>4262</v>
      </c>
      <c r="I5302" t="s">
        <v>4267</v>
      </c>
      <c r="J5302">
        <v>1</v>
      </c>
      <c r="K5302">
        <v>11.465999999999999</v>
      </c>
      <c r="L5302">
        <v>8.83</v>
      </c>
      <c r="M5302">
        <v>7.7460000000000004</v>
      </c>
      <c r="N5302">
        <v>7.0540000000000003</v>
      </c>
      <c r="O5302">
        <v>7.0720000000000001</v>
      </c>
      <c r="P5302">
        <v>7.1269999999999998</v>
      </c>
      <c r="Q5302">
        <v>7.101</v>
      </c>
      <c r="R5302">
        <v>7.0730000000000004</v>
      </c>
      <c r="S5302">
        <v>7.0430000000000001</v>
      </c>
      <c r="T5302">
        <v>7.0140000000000002</v>
      </c>
      <c r="U5302">
        <v>7.0140000000000002</v>
      </c>
      <c r="V5302">
        <v>7.0140000000000002</v>
      </c>
      <c r="W5302">
        <v>7.0140000000000002</v>
      </c>
      <c r="X5302">
        <v>7.0140000000000002</v>
      </c>
      <c r="Y5302">
        <v>7.0140000000000002</v>
      </c>
      <c r="Z5302">
        <v>7.0140000000000002</v>
      </c>
      <c r="AA5302">
        <v>7.0140000000000002</v>
      </c>
      <c r="AB5302">
        <v>7.0140000000000002</v>
      </c>
      <c r="AC5302">
        <v>7.0140000000000002</v>
      </c>
      <c r="AD5302">
        <v>7.0140000000000002</v>
      </c>
    </row>
    <row r="5303" spans="2:30" x14ac:dyDescent="0.25">
      <c r="B5303" t="s">
        <v>133</v>
      </c>
      <c r="C5303" t="s">
        <v>10598</v>
      </c>
      <c r="D5303" t="s">
        <v>4352</v>
      </c>
      <c r="E5303" t="s">
        <v>4353</v>
      </c>
      <c r="F5303" t="s">
        <v>10754</v>
      </c>
      <c r="G5303" t="s">
        <v>3890</v>
      </c>
      <c r="H5303" t="s">
        <v>4262</v>
      </c>
      <c r="I5303" t="s">
        <v>4267</v>
      </c>
      <c r="J5303">
        <v>1</v>
      </c>
      <c r="K5303">
        <v>5.3360000000000003</v>
      </c>
      <c r="L5303">
        <v>5.01</v>
      </c>
      <c r="M5303">
        <v>5.0869999999999997</v>
      </c>
      <c r="N5303">
        <v>5.0869999999999997</v>
      </c>
      <c r="O5303">
        <v>5.0869999999999997</v>
      </c>
      <c r="P5303">
        <v>5.0869999999999997</v>
      </c>
      <c r="Q5303">
        <v>5.0869999999999997</v>
      </c>
      <c r="R5303">
        <v>5.0869999999999997</v>
      </c>
      <c r="S5303">
        <v>5.0869999999999997</v>
      </c>
      <c r="T5303">
        <v>5.0869999999999997</v>
      </c>
      <c r="U5303">
        <v>5.0869999999999997</v>
      </c>
      <c r="V5303">
        <v>5.0869999999999997</v>
      </c>
      <c r="W5303">
        <v>5.0869999999999997</v>
      </c>
      <c r="X5303">
        <v>5.0869999999999997</v>
      </c>
      <c r="Y5303">
        <v>5.0869999999999997</v>
      </c>
      <c r="Z5303">
        <v>5.0869999999999997</v>
      </c>
      <c r="AA5303">
        <v>5.0869999999999997</v>
      </c>
      <c r="AB5303">
        <v>5.0869999999999997</v>
      </c>
      <c r="AC5303">
        <v>5.0869999999999997</v>
      </c>
      <c r="AD5303">
        <v>5.0869999999999997</v>
      </c>
    </row>
    <row r="5304" spans="2:30" x14ac:dyDescent="0.25">
      <c r="B5304" t="s">
        <v>133</v>
      </c>
      <c r="C5304" t="s">
        <v>10598</v>
      </c>
      <c r="D5304" t="s">
        <v>4355</v>
      </c>
      <c r="E5304" t="s">
        <v>4356</v>
      </c>
      <c r="F5304" t="s">
        <v>10755</v>
      </c>
      <c r="G5304" t="s">
        <v>3890</v>
      </c>
      <c r="H5304" t="s">
        <v>4262</v>
      </c>
      <c r="I5304" t="s">
        <v>4267</v>
      </c>
      <c r="J5304">
        <v>1</v>
      </c>
      <c r="K5304">
        <v>23.399000000000001</v>
      </c>
      <c r="L5304">
        <v>15.864000000000001</v>
      </c>
      <c r="M5304">
        <v>14.744</v>
      </c>
      <c r="N5304">
        <v>13.651999999999999</v>
      </c>
      <c r="O5304">
        <v>13.680999999999999</v>
      </c>
      <c r="P5304">
        <v>13.768000000000001</v>
      </c>
      <c r="Q5304">
        <v>13.727</v>
      </c>
      <c r="R5304">
        <v>13.683</v>
      </c>
      <c r="S5304">
        <v>13.635999999999999</v>
      </c>
      <c r="T5304">
        <v>13.59</v>
      </c>
      <c r="U5304">
        <v>13.59</v>
      </c>
      <c r="V5304">
        <v>13.59</v>
      </c>
      <c r="W5304">
        <v>13.59</v>
      </c>
      <c r="X5304">
        <v>13.59</v>
      </c>
      <c r="Y5304">
        <v>13.59</v>
      </c>
      <c r="Z5304">
        <v>13.59</v>
      </c>
      <c r="AA5304">
        <v>13.59</v>
      </c>
      <c r="AB5304">
        <v>13.59</v>
      </c>
      <c r="AC5304">
        <v>13.59</v>
      </c>
      <c r="AD5304">
        <v>13.59</v>
      </c>
    </row>
    <row r="5305" spans="2:30" x14ac:dyDescent="0.25">
      <c r="B5305" t="s">
        <v>133</v>
      </c>
      <c r="C5305" t="s">
        <v>10598</v>
      </c>
      <c r="D5305" t="s">
        <v>4358</v>
      </c>
      <c r="E5305" t="s">
        <v>4359</v>
      </c>
      <c r="F5305" t="s">
        <v>10756</v>
      </c>
      <c r="G5305" t="s">
        <v>3890</v>
      </c>
      <c r="H5305" t="s">
        <v>4262</v>
      </c>
      <c r="I5305" t="s">
        <v>4267</v>
      </c>
      <c r="J5305">
        <v>1</v>
      </c>
      <c r="K5305">
        <v>4.6340000000000003</v>
      </c>
      <c r="L5305">
        <v>3.2090000000000001</v>
      </c>
      <c r="M5305">
        <v>2.331</v>
      </c>
      <c r="N5305">
        <v>2.331</v>
      </c>
      <c r="O5305">
        <v>2.331</v>
      </c>
      <c r="P5305">
        <v>2.331</v>
      </c>
      <c r="Q5305">
        <v>2.331</v>
      </c>
      <c r="R5305">
        <v>2.331</v>
      </c>
      <c r="S5305">
        <v>2.331</v>
      </c>
      <c r="T5305">
        <v>2.331</v>
      </c>
      <c r="U5305">
        <v>2.331</v>
      </c>
      <c r="V5305">
        <v>2.331</v>
      </c>
      <c r="W5305">
        <v>2.331</v>
      </c>
      <c r="X5305">
        <v>2.331</v>
      </c>
      <c r="Y5305">
        <v>2.331</v>
      </c>
      <c r="Z5305">
        <v>2.331</v>
      </c>
      <c r="AA5305">
        <v>2.331</v>
      </c>
      <c r="AB5305">
        <v>2.331</v>
      </c>
      <c r="AC5305">
        <v>2.331</v>
      </c>
      <c r="AD5305">
        <v>2.331</v>
      </c>
    </row>
    <row r="5306" spans="2:30" x14ac:dyDescent="0.25">
      <c r="B5306" t="s">
        <v>133</v>
      </c>
      <c r="C5306" t="s">
        <v>10598</v>
      </c>
      <c r="D5306" t="s">
        <v>4361</v>
      </c>
      <c r="E5306" t="s">
        <v>4362</v>
      </c>
      <c r="F5306" t="s">
        <v>10757</v>
      </c>
      <c r="G5306" t="s">
        <v>3890</v>
      </c>
      <c r="H5306" t="s">
        <v>4262</v>
      </c>
      <c r="I5306" t="s">
        <v>4267</v>
      </c>
      <c r="J5306">
        <v>1</v>
      </c>
      <c r="K5306">
        <v>13.301</v>
      </c>
      <c r="L5306">
        <v>6.66</v>
      </c>
      <c r="M5306">
        <v>5.9119999999999999</v>
      </c>
      <c r="N5306">
        <v>5.032</v>
      </c>
      <c r="O5306">
        <v>5.0549999999999997</v>
      </c>
      <c r="P5306">
        <v>5.125</v>
      </c>
      <c r="Q5306">
        <v>5.0919999999999996</v>
      </c>
      <c r="R5306">
        <v>5.056</v>
      </c>
      <c r="S5306">
        <v>5.0179999999999998</v>
      </c>
      <c r="T5306">
        <v>4.9820000000000002</v>
      </c>
      <c r="U5306">
        <v>4.9820000000000002</v>
      </c>
      <c r="V5306">
        <v>4.9820000000000002</v>
      </c>
      <c r="W5306">
        <v>4.9820000000000002</v>
      </c>
      <c r="X5306">
        <v>4.9820000000000002</v>
      </c>
      <c r="Y5306">
        <v>4.9820000000000002</v>
      </c>
      <c r="Z5306">
        <v>4.9820000000000002</v>
      </c>
      <c r="AA5306">
        <v>4.9820000000000002</v>
      </c>
      <c r="AB5306">
        <v>4.9820000000000002</v>
      </c>
      <c r="AC5306">
        <v>4.9820000000000002</v>
      </c>
      <c r="AD5306">
        <v>4.9820000000000002</v>
      </c>
    </row>
    <row r="5307" spans="2:30" x14ac:dyDescent="0.25">
      <c r="B5307" t="s">
        <v>133</v>
      </c>
      <c r="C5307" t="s">
        <v>10598</v>
      </c>
      <c r="D5307" t="s">
        <v>4364</v>
      </c>
      <c r="E5307" t="s">
        <v>4365</v>
      </c>
      <c r="F5307" t="s">
        <v>10758</v>
      </c>
      <c r="G5307" t="s">
        <v>3890</v>
      </c>
      <c r="H5307" t="s">
        <v>4262</v>
      </c>
      <c r="I5307" t="s">
        <v>4267</v>
      </c>
      <c r="J5307">
        <v>1</v>
      </c>
      <c r="K5307">
        <v>2.7839999999999998</v>
      </c>
      <c r="L5307">
        <v>2.6139999999999999</v>
      </c>
      <c r="M5307">
        <v>2.6539999999999999</v>
      </c>
      <c r="N5307">
        <v>2.6539999999999999</v>
      </c>
      <c r="O5307">
        <v>2.6539999999999999</v>
      </c>
      <c r="P5307">
        <v>2.6539999999999999</v>
      </c>
      <c r="Q5307">
        <v>2.6539999999999999</v>
      </c>
      <c r="R5307">
        <v>2.6539999999999999</v>
      </c>
      <c r="S5307">
        <v>2.6539999999999999</v>
      </c>
      <c r="T5307">
        <v>2.6539999999999999</v>
      </c>
      <c r="U5307">
        <v>2.6539999999999999</v>
      </c>
      <c r="V5307">
        <v>2.6539999999999999</v>
      </c>
      <c r="W5307">
        <v>2.6539999999999999</v>
      </c>
      <c r="X5307">
        <v>2.6539999999999999</v>
      </c>
      <c r="Y5307">
        <v>2.6539999999999999</v>
      </c>
      <c r="Z5307">
        <v>2.6539999999999999</v>
      </c>
      <c r="AA5307">
        <v>2.6539999999999999</v>
      </c>
      <c r="AB5307">
        <v>2.6539999999999999</v>
      </c>
      <c r="AC5307">
        <v>2.6539999999999999</v>
      </c>
      <c r="AD5307">
        <v>2.6539999999999999</v>
      </c>
    </row>
    <row r="5308" spans="2:30" x14ac:dyDescent="0.25">
      <c r="B5308" t="s">
        <v>133</v>
      </c>
      <c r="C5308" t="s">
        <v>10598</v>
      </c>
      <c r="D5308" t="s">
        <v>4367</v>
      </c>
      <c r="E5308" t="s">
        <v>4368</v>
      </c>
      <c r="F5308" t="s">
        <v>10759</v>
      </c>
      <c r="G5308" t="s">
        <v>3890</v>
      </c>
      <c r="H5308" t="s">
        <v>4262</v>
      </c>
      <c r="I5308" t="s">
        <v>4263</v>
      </c>
      <c r="J5308">
        <v>2</v>
      </c>
      <c r="K5308">
        <v>6.4000000000000001E-2</v>
      </c>
      <c r="L5308">
        <v>6.2E-2</v>
      </c>
      <c r="M5308">
        <v>5.1999999999999998E-2</v>
      </c>
      <c r="N5308">
        <v>4.9000000000000002E-2</v>
      </c>
      <c r="O5308">
        <v>5.0999999999999997E-2</v>
      </c>
      <c r="P5308">
        <v>5.2999999999999999E-2</v>
      </c>
      <c r="Q5308">
        <v>5.2999999999999999E-2</v>
      </c>
      <c r="R5308">
        <v>5.3999999999999999E-2</v>
      </c>
      <c r="S5308">
        <v>5.5E-2</v>
      </c>
      <c r="T5308">
        <v>5.6000000000000001E-2</v>
      </c>
      <c r="U5308">
        <v>5.7000000000000002E-2</v>
      </c>
      <c r="V5308">
        <v>5.7000000000000002E-2</v>
      </c>
      <c r="W5308">
        <v>5.8999999999999997E-2</v>
      </c>
      <c r="X5308">
        <v>5.8999999999999997E-2</v>
      </c>
      <c r="Y5308">
        <v>5.8000000000000003E-2</v>
      </c>
      <c r="Z5308">
        <v>5.8999999999999997E-2</v>
      </c>
      <c r="AA5308">
        <v>5.6000000000000001E-2</v>
      </c>
      <c r="AB5308">
        <v>5.8999999999999997E-2</v>
      </c>
      <c r="AC5308">
        <v>5.3999999999999999E-2</v>
      </c>
      <c r="AD5308">
        <v>5.0999999999999997E-2</v>
      </c>
    </row>
    <row r="5309" spans="2:30" x14ac:dyDescent="0.25">
      <c r="B5309" t="s">
        <v>133</v>
      </c>
      <c r="C5309" t="s">
        <v>10598</v>
      </c>
      <c r="D5309" t="s">
        <v>4370</v>
      </c>
      <c r="E5309" t="s">
        <v>4371</v>
      </c>
      <c r="F5309" t="s">
        <v>10760</v>
      </c>
      <c r="G5309" t="s">
        <v>3890</v>
      </c>
      <c r="H5309" t="s">
        <v>4262</v>
      </c>
      <c r="I5309" t="s">
        <v>4263</v>
      </c>
      <c r="J5309">
        <v>2</v>
      </c>
      <c r="K5309">
        <v>6.0999999999999999E-2</v>
      </c>
      <c r="L5309">
        <v>5.1999999999999998E-2</v>
      </c>
      <c r="M5309">
        <v>4.5999999999999999E-2</v>
      </c>
      <c r="N5309">
        <v>4.2999999999999997E-2</v>
      </c>
      <c r="O5309">
        <v>4.4999999999999998E-2</v>
      </c>
      <c r="P5309">
        <v>4.5999999999999999E-2</v>
      </c>
      <c r="Q5309">
        <v>4.7E-2</v>
      </c>
      <c r="R5309">
        <v>4.8000000000000001E-2</v>
      </c>
      <c r="S5309">
        <v>4.9000000000000002E-2</v>
      </c>
      <c r="T5309">
        <v>4.9000000000000002E-2</v>
      </c>
      <c r="U5309">
        <v>5.0999999999999997E-2</v>
      </c>
      <c r="V5309">
        <v>5.0999999999999997E-2</v>
      </c>
      <c r="W5309">
        <v>5.2999999999999999E-2</v>
      </c>
      <c r="X5309">
        <v>5.2999999999999999E-2</v>
      </c>
      <c r="Y5309">
        <v>5.1999999999999998E-2</v>
      </c>
      <c r="Z5309">
        <v>5.2999999999999999E-2</v>
      </c>
      <c r="AA5309">
        <v>0.05</v>
      </c>
      <c r="AB5309">
        <v>5.2999999999999999E-2</v>
      </c>
      <c r="AC5309">
        <v>4.8000000000000001E-2</v>
      </c>
      <c r="AD5309">
        <v>4.3999999999999997E-2</v>
      </c>
    </row>
    <row r="5310" spans="2:30" x14ac:dyDescent="0.25">
      <c r="B5310" t="s">
        <v>133</v>
      </c>
      <c r="C5310" t="s">
        <v>10598</v>
      </c>
      <c r="D5310" t="s">
        <v>4373</v>
      </c>
      <c r="E5310" t="s">
        <v>4374</v>
      </c>
      <c r="F5310" t="s">
        <v>10761</v>
      </c>
      <c r="G5310" t="s">
        <v>3890</v>
      </c>
      <c r="H5310" t="s">
        <v>4262</v>
      </c>
      <c r="I5310" t="s">
        <v>4267</v>
      </c>
      <c r="J5310">
        <v>2</v>
      </c>
      <c r="K5310">
        <v>11.465999999999999</v>
      </c>
      <c r="L5310">
        <v>8.83</v>
      </c>
      <c r="M5310">
        <v>7.7460000000000004</v>
      </c>
      <c r="N5310">
        <v>7.0540000000000003</v>
      </c>
      <c r="O5310">
        <v>7.0720000000000001</v>
      </c>
      <c r="P5310">
        <v>7.1269999999999998</v>
      </c>
      <c r="Q5310">
        <v>7.3760000000000003</v>
      </c>
      <c r="R5310">
        <v>7.6</v>
      </c>
      <c r="S5310">
        <v>7.9409999999999998</v>
      </c>
      <c r="T5310">
        <v>8.1460000000000008</v>
      </c>
      <c r="U5310">
        <v>8.6150000000000002</v>
      </c>
      <c r="V5310">
        <v>8.8420000000000005</v>
      </c>
      <c r="W5310">
        <v>9.3650000000000002</v>
      </c>
      <c r="X5310">
        <v>9.5259999999999998</v>
      </c>
      <c r="Y5310">
        <v>9.2430000000000003</v>
      </c>
      <c r="Z5310">
        <v>9.6029999999999998</v>
      </c>
      <c r="AA5310">
        <v>8.7929999999999993</v>
      </c>
      <c r="AB5310">
        <v>9.84</v>
      </c>
      <c r="AC5310">
        <v>8.39</v>
      </c>
      <c r="AD5310">
        <v>7.0140000000000002</v>
      </c>
    </row>
    <row r="5311" spans="2:30" x14ac:dyDescent="0.25">
      <c r="B5311" t="s">
        <v>133</v>
      </c>
      <c r="C5311" t="s">
        <v>10598</v>
      </c>
      <c r="D5311" t="s">
        <v>4376</v>
      </c>
      <c r="E5311" t="s">
        <v>4377</v>
      </c>
      <c r="F5311" t="s">
        <v>10762</v>
      </c>
      <c r="G5311" t="s">
        <v>3890</v>
      </c>
      <c r="H5311" t="s">
        <v>4262</v>
      </c>
      <c r="I5311" t="s">
        <v>4267</v>
      </c>
      <c r="J5311">
        <v>2</v>
      </c>
      <c r="K5311">
        <v>5.3360000000000003</v>
      </c>
      <c r="L5311">
        <v>5.01</v>
      </c>
      <c r="M5311">
        <v>5.0869999999999997</v>
      </c>
      <c r="N5311">
        <v>5.0869999999999997</v>
      </c>
      <c r="O5311">
        <v>5.0869999999999997</v>
      </c>
      <c r="P5311">
        <v>5.0869999999999997</v>
      </c>
      <c r="Q5311">
        <v>5.24</v>
      </c>
      <c r="R5311">
        <v>5.3810000000000002</v>
      </c>
      <c r="S5311">
        <v>5.5880000000000001</v>
      </c>
      <c r="T5311">
        <v>5.7190000000000003</v>
      </c>
      <c r="U5311">
        <v>5.98</v>
      </c>
      <c r="V5311">
        <v>6.1070000000000002</v>
      </c>
      <c r="W5311">
        <v>6.399</v>
      </c>
      <c r="X5311">
        <v>6.4889999999999999</v>
      </c>
      <c r="Y5311">
        <v>6.33</v>
      </c>
      <c r="Z5311">
        <v>6.5309999999999997</v>
      </c>
      <c r="AA5311">
        <v>6.0789999999999997</v>
      </c>
      <c r="AB5311">
        <v>6.6630000000000003</v>
      </c>
      <c r="AC5311">
        <v>5.8550000000000004</v>
      </c>
      <c r="AD5311">
        <v>5.0869999999999997</v>
      </c>
    </row>
    <row r="5312" spans="2:30" x14ac:dyDescent="0.25">
      <c r="B5312" t="s">
        <v>133</v>
      </c>
      <c r="C5312" t="s">
        <v>10598</v>
      </c>
      <c r="D5312" t="s">
        <v>4379</v>
      </c>
      <c r="E5312" t="s">
        <v>4380</v>
      </c>
      <c r="F5312" t="s">
        <v>10763</v>
      </c>
      <c r="G5312" t="s">
        <v>3890</v>
      </c>
      <c r="H5312" t="s">
        <v>4262</v>
      </c>
      <c r="I5312" t="s">
        <v>4267</v>
      </c>
      <c r="J5312">
        <v>2</v>
      </c>
      <c r="K5312">
        <v>23.399000000000001</v>
      </c>
      <c r="L5312">
        <v>15.864000000000001</v>
      </c>
      <c r="M5312">
        <v>14.744</v>
      </c>
      <c r="N5312">
        <v>13.651999999999999</v>
      </c>
      <c r="O5312">
        <v>13.680999999999999</v>
      </c>
      <c r="P5312">
        <v>13.768000000000001</v>
      </c>
      <c r="Q5312">
        <v>13.727</v>
      </c>
      <c r="R5312">
        <v>13.683</v>
      </c>
      <c r="S5312">
        <v>13.635999999999999</v>
      </c>
      <c r="T5312">
        <v>13.59</v>
      </c>
      <c r="U5312">
        <v>13.59</v>
      </c>
      <c r="V5312">
        <v>13.59</v>
      </c>
      <c r="W5312">
        <v>13.59</v>
      </c>
      <c r="X5312">
        <v>13.59</v>
      </c>
      <c r="Y5312">
        <v>13.59</v>
      </c>
      <c r="Z5312">
        <v>13.59</v>
      </c>
      <c r="AA5312">
        <v>13.59</v>
      </c>
      <c r="AB5312">
        <v>13.59</v>
      </c>
      <c r="AC5312">
        <v>13.59</v>
      </c>
      <c r="AD5312">
        <v>13.59</v>
      </c>
    </row>
    <row r="5313" spans="2:30" x14ac:dyDescent="0.25">
      <c r="B5313" t="s">
        <v>133</v>
      </c>
      <c r="C5313" t="s">
        <v>10598</v>
      </c>
      <c r="D5313" t="s">
        <v>4382</v>
      </c>
      <c r="E5313" t="s">
        <v>4383</v>
      </c>
      <c r="F5313" t="s">
        <v>10764</v>
      </c>
      <c r="G5313" t="s">
        <v>3890</v>
      </c>
      <c r="H5313" t="s">
        <v>4262</v>
      </c>
      <c r="I5313" t="s">
        <v>4267</v>
      </c>
      <c r="J5313">
        <v>2</v>
      </c>
      <c r="K5313">
        <v>4.6340000000000003</v>
      </c>
      <c r="L5313">
        <v>3.2090000000000001</v>
      </c>
      <c r="M5313">
        <v>2.331</v>
      </c>
      <c r="N5313">
        <v>2.331</v>
      </c>
      <c r="O5313">
        <v>2.331</v>
      </c>
      <c r="P5313">
        <v>2.331</v>
      </c>
      <c r="Q5313">
        <v>2.331</v>
      </c>
      <c r="R5313">
        <v>2.331</v>
      </c>
      <c r="S5313">
        <v>2.331</v>
      </c>
      <c r="T5313">
        <v>2.331</v>
      </c>
      <c r="U5313">
        <v>2.331</v>
      </c>
      <c r="V5313">
        <v>2.331</v>
      </c>
      <c r="W5313">
        <v>2.331</v>
      </c>
      <c r="X5313">
        <v>2.331</v>
      </c>
      <c r="Y5313">
        <v>2.331</v>
      </c>
      <c r="Z5313">
        <v>2.331</v>
      </c>
      <c r="AA5313">
        <v>2.331</v>
      </c>
      <c r="AB5313">
        <v>2.331</v>
      </c>
      <c r="AC5313">
        <v>2.331</v>
      </c>
      <c r="AD5313">
        <v>2.331</v>
      </c>
    </row>
    <row r="5314" spans="2:30" x14ac:dyDescent="0.25">
      <c r="B5314" t="s">
        <v>133</v>
      </c>
      <c r="C5314" t="s">
        <v>10598</v>
      </c>
      <c r="D5314" t="s">
        <v>4385</v>
      </c>
      <c r="E5314" t="s">
        <v>4386</v>
      </c>
      <c r="F5314" t="s">
        <v>10765</v>
      </c>
      <c r="G5314" t="s">
        <v>3890</v>
      </c>
      <c r="H5314" t="s">
        <v>4262</v>
      </c>
      <c r="I5314" t="s">
        <v>4267</v>
      </c>
      <c r="J5314">
        <v>2</v>
      </c>
      <c r="K5314">
        <v>13.301</v>
      </c>
      <c r="L5314">
        <v>6.66</v>
      </c>
      <c r="M5314">
        <v>5.9119999999999999</v>
      </c>
      <c r="N5314">
        <v>5.032</v>
      </c>
      <c r="O5314">
        <v>5.0549999999999997</v>
      </c>
      <c r="P5314">
        <v>5.125</v>
      </c>
      <c r="Q5314">
        <v>5.351</v>
      </c>
      <c r="R5314">
        <v>5.5529999999999999</v>
      </c>
      <c r="S5314">
        <v>5.8650000000000002</v>
      </c>
      <c r="T5314">
        <v>6.0490000000000004</v>
      </c>
      <c r="U5314">
        <v>6.4909999999999997</v>
      </c>
      <c r="V5314">
        <v>6.7050000000000001</v>
      </c>
      <c r="W5314">
        <v>7.1980000000000004</v>
      </c>
      <c r="X5314">
        <v>7.351</v>
      </c>
      <c r="Y5314">
        <v>7.0830000000000002</v>
      </c>
      <c r="Z5314">
        <v>7.423</v>
      </c>
      <c r="AA5314">
        <v>6.6589999999999998</v>
      </c>
      <c r="AB5314">
        <v>7.6459999999999999</v>
      </c>
      <c r="AC5314">
        <v>6.2789999999999999</v>
      </c>
      <c r="AD5314">
        <v>4.9820000000000002</v>
      </c>
    </row>
    <row r="5315" spans="2:30" x14ac:dyDescent="0.25">
      <c r="B5315" t="s">
        <v>133</v>
      </c>
      <c r="C5315" t="s">
        <v>10598</v>
      </c>
      <c r="D5315" t="s">
        <v>4388</v>
      </c>
      <c r="E5315" t="s">
        <v>4389</v>
      </c>
      <c r="F5315" t="s">
        <v>10766</v>
      </c>
      <c r="G5315" t="s">
        <v>3890</v>
      </c>
      <c r="H5315" t="s">
        <v>4262</v>
      </c>
      <c r="I5315" t="s">
        <v>4267</v>
      </c>
      <c r="J5315">
        <v>2</v>
      </c>
      <c r="K5315">
        <v>2.7839999999999998</v>
      </c>
      <c r="L5315">
        <v>2.6139999999999999</v>
      </c>
      <c r="M5315">
        <v>2.6539999999999999</v>
      </c>
      <c r="N5315">
        <v>2.6539999999999999</v>
      </c>
      <c r="O5315">
        <v>2.6539999999999999</v>
      </c>
      <c r="P5315">
        <v>2.6539999999999999</v>
      </c>
      <c r="Q5315">
        <v>2.8079999999999998</v>
      </c>
      <c r="R5315">
        <v>2.948</v>
      </c>
      <c r="S5315">
        <v>3.1560000000000001</v>
      </c>
      <c r="T5315">
        <v>3.286</v>
      </c>
      <c r="U5315">
        <v>3.548</v>
      </c>
      <c r="V5315">
        <v>3.6739999999999999</v>
      </c>
      <c r="W5315">
        <v>3.9660000000000002</v>
      </c>
      <c r="X5315">
        <v>4.056</v>
      </c>
      <c r="Y5315">
        <v>3.8980000000000001</v>
      </c>
      <c r="Z5315">
        <v>4.0990000000000002</v>
      </c>
      <c r="AA5315">
        <v>3.6469999999999998</v>
      </c>
      <c r="AB5315">
        <v>4.2309999999999999</v>
      </c>
      <c r="AC5315">
        <v>3.4220000000000002</v>
      </c>
      <c r="AD5315">
        <v>2.6539999999999999</v>
      </c>
    </row>
    <row r="5316" spans="2:30" x14ac:dyDescent="0.25">
      <c r="B5316" t="s">
        <v>133</v>
      </c>
      <c r="C5316" t="s">
        <v>10598</v>
      </c>
      <c r="D5316" t="s">
        <v>4391</v>
      </c>
      <c r="E5316" t="s">
        <v>4392</v>
      </c>
      <c r="F5316" t="s">
        <v>10767</v>
      </c>
      <c r="G5316" t="s">
        <v>3890</v>
      </c>
      <c r="H5316" t="s">
        <v>4394</v>
      </c>
      <c r="I5316" t="s">
        <v>4263</v>
      </c>
      <c r="J5316">
        <v>1</v>
      </c>
      <c r="K5316">
        <v>6.4000000000000001E-2</v>
      </c>
      <c r="L5316">
        <v>6.2E-2</v>
      </c>
      <c r="M5316">
        <v>0.107</v>
      </c>
      <c r="N5316">
        <v>0.105</v>
      </c>
      <c r="O5316">
        <v>0.107</v>
      </c>
      <c r="P5316">
        <v>0.108</v>
      </c>
      <c r="Q5316">
        <v>0.108</v>
      </c>
      <c r="R5316">
        <v>0.107</v>
      </c>
      <c r="S5316">
        <v>0.107</v>
      </c>
      <c r="T5316">
        <v>0.107</v>
      </c>
      <c r="U5316">
        <v>0.107</v>
      </c>
      <c r="V5316">
        <v>0.106</v>
      </c>
      <c r="W5316">
        <v>0.106</v>
      </c>
      <c r="X5316">
        <v>0.106</v>
      </c>
      <c r="Y5316">
        <v>0.106</v>
      </c>
      <c r="Z5316">
        <v>0.105</v>
      </c>
      <c r="AA5316">
        <v>0.105</v>
      </c>
      <c r="AB5316">
        <v>0.105</v>
      </c>
      <c r="AC5316">
        <v>0.104</v>
      </c>
      <c r="AD5316">
        <v>0.104</v>
      </c>
    </row>
    <row r="5317" spans="2:30" x14ac:dyDescent="0.25">
      <c r="B5317" t="s">
        <v>133</v>
      </c>
      <c r="C5317" t="s">
        <v>10598</v>
      </c>
      <c r="D5317" t="s">
        <v>4395</v>
      </c>
      <c r="E5317" t="s">
        <v>4396</v>
      </c>
      <c r="F5317" t="s">
        <v>10768</v>
      </c>
      <c r="G5317" t="s">
        <v>3890</v>
      </c>
      <c r="H5317" t="s">
        <v>4394</v>
      </c>
      <c r="I5317" t="s">
        <v>4263</v>
      </c>
      <c r="J5317">
        <v>1</v>
      </c>
      <c r="K5317">
        <v>5.8999999999999997E-2</v>
      </c>
      <c r="L5317">
        <v>5.0999999999999997E-2</v>
      </c>
      <c r="M5317">
        <v>0.10100000000000001</v>
      </c>
      <c r="N5317">
        <v>9.8000000000000004E-2</v>
      </c>
      <c r="O5317">
        <v>0.1</v>
      </c>
      <c r="P5317">
        <v>0.10100000000000001</v>
      </c>
      <c r="Q5317">
        <v>0.10100000000000001</v>
      </c>
      <c r="R5317">
        <v>0.10100000000000001</v>
      </c>
      <c r="S5317">
        <v>0.10100000000000001</v>
      </c>
      <c r="T5317">
        <v>0.1</v>
      </c>
      <c r="U5317">
        <v>0.1</v>
      </c>
      <c r="V5317">
        <v>0.1</v>
      </c>
      <c r="W5317">
        <v>0.1</v>
      </c>
      <c r="X5317">
        <v>0.1</v>
      </c>
      <c r="Y5317">
        <v>9.9000000000000005E-2</v>
      </c>
      <c r="Z5317">
        <v>9.9000000000000005E-2</v>
      </c>
      <c r="AA5317">
        <v>9.9000000000000005E-2</v>
      </c>
      <c r="AB5317">
        <v>9.8000000000000004E-2</v>
      </c>
      <c r="AC5317">
        <v>9.8000000000000004E-2</v>
      </c>
      <c r="AD5317">
        <v>9.8000000000000004E-2</v>
      </c>
    </row>
    <row r="5318" spans="2:30" x14ac:dyDescent="0.25">
      <c r="B5318" t="s">
        <v>133</v>
      </c>
      <c r="C5318" t="s">
        <v>10598</v>
      </c>
      <c r="D5318" t="s">
        <v>4398</v>
      </c>
      <c r="E5318" t="s">
        <v>4399</v>
      </c>
      <c r="F5318" t="s">
        <v>10769</v>
      </c>
      <c r="G5318" t="s">
        <v>3890</v>
      </c>
      <c r="H5318" t="s">
        <v>4401</v>
      </c>
      <c r="I5318" t="s">
        <v>4267</v>
      </c>
      <c r="J5318">
        <v>1</v>
      </c>
      <c r="K5318">
        <v>11.12</v>
      </c>
      <c r="L5318">
        <v>8.6110000000000007</v>
      </c>
      <c r="M5318">
        <v>7.577</v>
      </c>
      <c r="N5318">
        <v>6.8849999999999998</v>
      </c>
      <c r="O5318">
        <v>6.9039999999999999</v>
      </c>
      <c r="P5318">
        <v>6.9580000000000002</v>
      </c>
      <c r="Q5318">
        <v>6.9320000000000004</v>
      </c>
      <c r="R5318">
        <v>6.9039999999999999</v>
      </c>
      <c r="S5318">
        <v>6.875</v>
      </c>
      <c r="T5318">
        <v>6.8460000000000001</v>
      </c>
      <c r="U5318">
        <v>6.8460000000000001</v>
      </c>
      <c r="V5318">
        <v>6.8460000000000001</v>
      </c>
      <c r="W5318">
        <v>6.8460000000000001</v>
      </c>
      <c r="X5318">
        <v>6.8460000000000001</v>
      </c>
      <c r="Y5318">
        <v>6.8460000000000001</v>
      </c>
      <c r="Z5318">
        <v>6.8460000000000001</v>
      </c>
      <c r="AA5318">
        <v>6.8460000000000001</v>
      </c>
      <c r="AB5318">
        <v>6.8460000000000001</v>
      </c>
      <c r="AC5318">
        <v>6.8460000000000001</v>
      </c>
      <c r="AD5318">
        <v>6.8460000000000001</v>
      </c>
    </row>
    <row r="5319" spans="2:30" x14ac:dyDescent="0.25">
      <c r="B5319" t="s">
        <v>133</v>
      </c>
      <c r="C5319" t="s">
        <v>10598</v>
      </c>
      <c r="D5319" t="s">
        <v>4402</v>
      </c>
      <c r="E5319" t="s">
        <v>4403</v>
      </c>
      <c r="F5319" t="s">
        <v>10770</v>
      </c>
      <c r="G5319" t="s">
        <v>3890</v>
      </c>
      <c r="H5319" t="s">
        <v>4401</v>
      </c>
      <c r="I5319" t="s">
        <v>4267</v>
      </c>
      <c r="J5319">
        <v>1</v>
      </c>
      <c r="K5319">
        <v>12.260999999999999</v>
      </c>
      <c r="L5319">
        <v>10.192</v>
      </c>
      <c r="M5319">
        <v>9.57</v>
      </c>
      <c r="N5319">
        <v>9.64</v>
      </c>
      <c r="O5319">
        <v>9.6809999999999992</v>
      </c>
      <c r="P5319">
        <v>9.5749999999999993</v>
      </c>
      <c r="Q5319">
        <v>9.4489999999999998</v>
      </c>
      <c r="R5319">
        <v>9.4049999999999994</v>
      </c>
      <c r="S5319">
        <v>9.3919999999999995</v>
      </c>
      <c r="T5319">
        <v>9.3849999999999998</v>
      </c>
      <c r="U5319">
        <v>9.3849999999999998</v>
      </c>
      <c r="V5319">
        <v>9.3849999999999998</v>
      </c>
      <c r="W5319">
        <v>9.3849999999999998</v>
      </c>
      <c r="X5319">
        <v>9.3849999999999998</v>
      </c>
      <c r="Y5319">
        <v>9.3849999999999998</v>
      </c>
      <c r="Z5319">
        <v>9.3849999999999998</v>
      </c>
      <c r="AA5319">
        <v>9.3849999999999998</v>
      </c>
      <c r="AB5319">
        <v>9.3849999999999998</v>
      </c>
      <c r="AC5319">
        <v>9.3849999999999998</v>
      </c>
      <c r="AD5319">
        <v>9.3849999999999998</v>
      </c>
    </row>
    <row r="5320" spans="2:30" x14ac:dyDescent="0.25">
      <c r="B5320" t="s">
        <v>133</v>
      </c>
      <c r="C5320" t="s">
        <v>10598</v>
      </c>
      <c r="D5320" t="s">
        <v>4405</v>
      </c>
      <c r="E5320" t="s">
        <v>4406</v>
      </c>
      <c r="F5320" t="s">
        <v>10771</v>
      </c>
      <c r="G5320" t="s">
        <v>3890</v>
      </c>
      <c r="H5320" t="s">
        <v>4401</v>
      </c>
      <c r="I5320" t="s">
        <v>4267</v>
      </c>
      <c r="J5320">
        <v>1</v>
      </c>
      <c r="K5320">
        <v>20.341000000000001</v>
      </c>
      <c r="L5320">
        <v>13.728999999999999</v>
      </c>
      <c r="M5320">
        <v>12.932</v>
      </c>
      <c r="N5320">
        <v>11.975</v>
      </c>
      <c r="O5320">
        <v>12</v>
      </c>
      <c r="P5320">
        <v>12.076000000000001</v>
      </c>
      <c r="Q5320">
        <v>12.04</v>
      </c>
      <c r="R5320">
        <v>12.002000000000001</v>
      </c>
      <c r="S5320">
        <v>11.96</v>
      </c>
      <c r="T5320">
        <v>11.920999999999999</v>
      </c>
      <c r="U5320">
        <v>11.920999999999999</v>
      </c>
      <c r="V5320">
        <v>11.920999999999999</v>
      </c>
      <c r="W5320">
        <v>11.920999999999999</v>
      </c>
      <c r="X5320">
        <v>11.920999999999999</v>
      </c>
      <c r="Y5320">
        <v>11.920999999999999</v>
      </c>
      <c r="Z5320">
        <v>11.920999999999999</v>
      </c>
      <c r="AA5320">
        <v>11.920999999999999</v>
      </c>
      <c r="AB5320">
        <v>11.920999999999999</v>
      </c>
      <c r="AC5320">
        <v>11.920999999999999</v>
      </c>
      <c r="AD5320">
        <v>11.920999999999999</v>
      </c>
    </row>
    <row r="5321" spans="2:30" x14ac:dyDescent="0.25">
      <c r="B5321" t="s">
        <v>133</v>
      </c>
      <c r="C5321" t="s">
        <v>10598</v>
      </c>
      <c r="D5321" t="s">
        <v>4408</v>
      </c>
      <c r="E5321" t="s">
        <v>4409</v>
      </c>
      <c r="F5321" t="s">
        <v>10772</v>
      </c>
      <c r="G5321" t="s">
        <v>3890</v>
      </c>
      <c r="H5321" t="s">
        <v>4401</v>
      </c>
      <c r="I5321" t="s">
        <v>4267</v>
      </c>
      <c r="J5321">
        <v>1</v>
      </c>
      <c r="K5321">
        <v>16.896999999999998</v>
      </c>
      <c r="L5321">
        <v>15.007</v>
      </c>
      <c r="M5321">
        <v>14.387</v>
      </c>
      <c r="N5321">
        <v>14.454000000000001</v>
      </c>
      <c r="O5321">
        <v>14.493</v>
      </c>
      <c r="P5321">
        <v>14.391999999999999</v>
      </c>
      <c r="Q5321">
        <v>14.273</v>
      </c>
      <c r="R5321">
        <v>14.231</v>
      </c>
      <c r="S5321">
        <v>14.218999999999999</v>
      </c>
      <c r="T5321">
        <v>14.212</v>
      </c>
      <c r="U5321">
        <v>14.212</v>
      </c>
      <c r="V5321">
        <v>14.212</v>
      </c>
      <c r="W5321">
        <v>14.212</v>
      </c>
      <c r="X5321">
        <v>14.212</v>
      </c>
      <c r="Y5321">
        <v>14.212</v>
      </c>
      <c r="Z5321">
        <v>14.212</v>
      </c>
      <c r="AA5321">
        <v>14.212</v>
      </c>
      <c r="AB5321">
        <v>14.212</v>
      </c>
      <c r="AC5321">
        <v>14.212</v>
      </c>
      <c r="AD5321">
        <v>14.212</v>
      </c>
    </row>
    <row r="5322" spans="2:30" x14ac:dyDescent="0.25">
      <c r="B5322" t="s">
        <v>133</v>
      </c>
      <c r="C5322" t="s">
        <v>10598</v>
      </c>
      <c r="D5322" t="s">
        <v>4411</v>
      </c>
      <c r="E5322" t="s">
        <v>4412</v>
      </c>
      <c r="F5322" t="s">
        <v>10773</v>
      </c>
      <c r="G5322" t="s">
        <v>3890</v>
      </c>
      <c r="H5322" t="s">
        <v>4401</v>
      </c>
      <c r="I5322" t="s">
        <v>4267</v>
      </c>
      <c r="J5322">
        <v>1</v>
      </c>
      <c r="K5322">
        <v>13.301</v>
      </c>
      <c r="L5322">
        <v>6.66</v>
      </c>
      <c r="M5322">
        <v>5.9119999999999999</v>
      </c>
      <c r="N5322">
        <v>5.032</v>
      </c>
      <c r="O5322">
        <v>5.0549999999999997</v>
      </c>
      <c r="P5322">
        <v>5.125</v>
      </c>
      <c r="Q5322">
        <v>5.0919999999999996</v>
      </c>
      <c r="R5322">
        <v>5.056</v>
      </c>
      <c r="S5322">
        <v>5.0179999999999998</v>
      </c>
      <c r="T5322">
        <v>4.9820000000000002</v>
      </c>
      <c r="U5322">
        <v>4.9820000000000002</v>
      </c>
      <c r="V5322">
        <v>4.9820000000000002</v>
      </c>
      <c r="W5322">
        <v>4.9820000000000002</v>
      </c>
      <c r="X5322">
        <v>4.9820000000000002</v>
      </c>
      <c r="Y5322">
        <v>4.9820000000000002</v>
      </c>
      <c r="Z5322">
        <v>4.9820000000000002</v>
      </c>
      <c r="AA5322">
        <v>4.9820000000000002</v>
      </c>
      <c r="AB5322">
        <v>4.9820000000000002</v>
      </c>
      <c r="AC5322">
        <v>4.9820000000000002</v>
      </c>
      <c r="AD5322">
        <v>4.9820000000000002</v>
      </c>
    </row>
    <row r="5323" spans="2:30" x14ac:dyDescent="0.25">
      <c r="B5323" t="s">
        <v>133</v>
      </c>
      <c r="C5323" t="s">
        <v>10598</v>
      </c>
      <c r="D5323" t="s">
        <v>4414</v>
      </c>
      <c r="E5323" t="s">
        <v>4415</v>
      </c>
      <c r="F5323" t="s">
        <v>10774</v>
      </c>
      <c r="G5323" t="s">
        <v>3890</v>
      </c>
      <c r="H5323" t="s">
        <v>4401</v>
      </c>
      <c r="I5323" t="s">
        <v>4267</v>
      </c>
      <c r="J5323">
        <v>1</v>
      </c>
      <c r="K5323">
        <v>11.488</v>
      </c>
      <c r="L5323">
        <v>9.3889999999999993</v>
      </c>
      <c r="M5323">
        <v>8.7669999999999995</v>
      </c>
      <c r="N5323">
        <v>8.8460000000000001</v>
      </c>
      <c r="O5323">
        <v>8.8919999999999995</v>
      </c>
      <c r="P5323">
        <v>8.7729999999999997</v>
      </c>
      <c r="Q5323">
        <v>8.6319999999999997</v>
      </c>
      <c r="R5323">
        <v>8.5820000000000007</v>
      </c>
      <c r="S5323">
        <v>8.5679999999999996</v>
      </c>
      <c r="T5323">
        <v>8.56</v>
      </c>
      <c r="U5323">
        <v>8.56</v>
      </c>
      <c r="V5323">
        <v>8.56</v>
      </c>
      <c r="W5323">
        <v>8.56</v>
      </c>
      <c r="X5323">
        <v>8.56</v>
      </c>
      <c r="Y5323">
        <v>8.56</v>
      </c>
      <c r="Z5323">
        <v>8.56</v>
      </c>
      <c r="AA5323">
        <v>8.56</v>
      </c>
      <c r="AB5323">
        <v>8.56</v>
      </c>
      <c r="AC5323">
        <v>8.56</v>
      </c>
      <c r="AD5323">
        <v>8.56</v>
      </c>
    </row>
    <row r="5324" spans="2:30" x14ac:dyDescent="0.25">
      <c r="B5324" t="s">
        <v>133</v>
      </c>
      <c r="C5324" t="s">
        <v>10598</v>
      </c>
      <c r="D5324" t="s">
        <v>4417</v>
      </c>
      <c r="E5324" t="s">
        <v>4418</v>
      </c>
      <c r="F5324" t="s">
        <v>10775</v>
      </c>
      <c r="G5324" t="s">
        <v>3890</v>
      </c>
      <c r="H5324" t="s">
        <v>4401</v>
      </c>
      <c r="I5324" t="s">
        <v>4274</v>
      </c>
      <c r="J5324">
        <v>1</v>
      </c>
      <c r="K5324">
        <v>116.498</v>
      </c>
      <c r="L5324">
        <v>95.069000000000003</v>
      </c>
      <c r="M5324">
        <v>91.606999999999999</v>
      </c>
      <c r="N5324">
        <v>78.384</v>
      </c>
      <c r="O5324">
        <v>82.057000000000002</v>
      </c>
      <c r="P5324">
        <v>76.52</v>
      </c>
      <c r="Q5324">
        <v>74.995999999999995</v>
      </c>
      <c r="R5324">
        <v>74.228999999999999</v>
      </c>
      <c r="S5324">
        <v>73.557000000000002</v>
      </c>
      <c r="T5324">
        <v>72.826999999999998</v>
      </c>
      <c r="U5324">
        <v>72.826999999999998</v>
      </c>
      <c r="V5324">
        <v>72.826999999999998</v>
      </c>
      <c r="W5324">
        <v>72.826999999999998</v>
      </c>
      <c r="X5324">
        <v>72.826999999999998</v>
      </c>
      <c r="Y5324">
        <v>72.826999999999998</v>
      </c>
      <c r="Z5324">
        <v>72.826999999999998</v>
      </c>
      <c r="AA5324">
        <v>72.826999999999998</v>
      </c>
      <c r="AB5324">
        <v>72.826999999999998</v>
      </c>
      <c r="AC5324">
        <v>72.826999999999998</v>
      </c>
      <c r="AD5324">
        <v>72.826999999999998</v>
      </c>
    </row>
    <row r="5325" spans="2:30" x14ac:dyDescent="0.25">
      <c r="B5325" t="s">
        <v>133</v>
      </c>
      <c r="C5325" t="s">
        <v>10598</v>
      </c>
      <c r="D5325" t="s">
        <v>4420</v>
      </c>
      <c r="E5325" t="s">
        <v>4421</v>
      </c>
      <c r="F5325" t="s">
        <v>10776</v>
      </c>
      <c r="G5325" t="s">
        <v>3890</v>
      </c>
      <c r="H5325" t="s">
        <v>4401</v>
      </c>
      <c r="I5325" t="s">
        <v>4278</v>
      </c>
      <c r="J5325">
        <v>1</v>
      </c>
      <c r="K5325">
        <v>0.96299999999999997</v>
      </c>
      <c r="L5325">
        <v>0.81799999999999995</v>
      </c>
      <c r="M5325">
        <v>0.76400000000000001</v>
      </c>
      <c r="N5325">
        <v>0.67100000000000004</v>
      </c>
      <c r="O5325">
        <v>0.69699999999999995</v>
      </c>
      <c r="P5325">
        <v>0.65800000000000003</v>
      </c>
      <c r="Q5325">
        <v>0.64700000000000002</v>
      </c>
      <c r="R5325">
        <v>0.64200000000000002</v>
      </c>
      <c r="S5325">
        <v>0.63700000000000001</v>
      </c>
      <c r="T5325">
        <v>0.63200000000000001</v>
      </c>
      <c r="U5325">
        <v>0.63200000000000001</v>
      </c>
      <c r="V5325">
        <v>0.63200000000000001</v>
      </c>
      <c r="W5325">
        <v>0.63200000000000001</v>
      </c>
      <c r="X5325">
        <v>0.63200000000000001</v>
      </c>
      <c r="Y5325">
        <v>0.63200000000000001</v>
      </c>
      <c r="Z5325">
        <v>0.63200000000000001</v>
      </c>
      <c r="AA5325">
        <v>0.63200000000000001</v>
      </c>
      <c r="AB5325">
        <v>0.63200000000000001</v>
      </c>
      <c r="AC5325">
        <v>0.63200000000000001</v>
      </c>
      <c r="AD5325">
        <v>0.63200000000000001</v>
      </c>
    </row>
    <row r="5326" spans="2:30" x14ac:dyDescent="0.25">
      <c r="B5326" t="s">
        <v>133</v>
      </c>
      <c r="C5326" t="s">
        <v>10598</v>
      </c>
      <c r="D5326" t="s">
        <v>4423</v>
      </c>
      <c r="E5326" t="s">
        <v>4424</v>
      </c>
      <c r="F5326" t="s">
        <v>10777</v>
      </c>
      <c r="G5326" t="s">
        <v>3890</v>
      </c>
      <c r="H5326" t="s">
        <v>4401</v>
      </c>
      <c r="I5326" t="s">
        <v>4278</v>
      </c>
      <c r="J5326">
        <v>1</v>
      </c>
      <c r="K5326">
        <v>1.077</v>
      </c>
      <c r="L5326">
        <v>0.85499999999999998</v>
      </c>
      <c r="M5326">
        <v>0.77800000000000002</v>
      </c>
      <c r="N5326">
        <v>0.68400000000000005</v>
      </c>
      <c r="O5326">
        <v>0.71</v>
      </c>
      <c r="P5326">
        <v>0.67</v>
      </c>
      <c r="Q5326">
        <v>0.66</v>
      </c>
      <c r="R5326">
        <v>0.65400000000000003</v>
      </c>
      <c r="S5326">
        <v>0.64900000000000002</v>
      </c>
      <c r="T5326">
        <v>0.64400000000000002</v>
      </c>
      <c r="U5326">
        <v>0.64400000000000002</v>
      </c>
      <c r="V5326">
        <v>0.64400000000000002</v>
      </c>
      <c r="W5326">
        <v>0.64400000000000002</v>
      </c>
      <c r="X5326">
        <v>0.64400000000000002</v>
      </c>
      <c r="Y5326">
        <v>0.64400000000000002</v>
      </c>
      <c r="Z5326">
        <v>0.64400000000000002</v>
      </c>
      <c r="AA5326">
        <v>0.64400000000000002</v>
      </c>
      <c r="AB5326">
        <v>0.64400000000000002</v>
      </c>
      <c r="AC5326">
        <v>0.64400000000000002</v>
      </c>
      <c r="AD5326">
        <v>0.64400000000000002</v>
      </c>
    </row>
    <row r="5327" spans="2:30" x14ac:dyDescent="0.25">
      <c r="B5327" t="s">
        <v>133</v>
      </c>
      <c r="C5327" t="s">
        <v>10598</v>
      </c>
      <c r="D5327" t="s">
        <v>4426</v>
      </c>
      <c r="E5327" t="s">
        <v>4427</v>
      </c>
      <c r="F5327" t="s">
        <v>10778</v>
      </c>
      <c r="G5327" t="s">
        <v>3890</v>
      </c>
      <c r="H5327" t="s">
        <v>4401</v>
      </c>
      <c r="I5327" t="s">
        <v>4278</v>
      </c>
      <c r="J5327">
        <v>1</v>
      </c>
      <c r="K5327">
        <v>0.67100000000000004</v>
      </c>
      <c r="L5327">
        <v>0.57799999999999996</v>
      </c>
      <c r="M5327">
        <v>0.54300000000000004</v>
      </c>
      <c r="N5327">
        <v>0.48199999999999998</v>
      </c>
      <c r="O5327">
        <v>0.499</v>
      </c>
      <c r="P5327">
        <v>0.47399999999999998</v>
      </c>
      <c r="Q5327">
        <v>0.46700000000000003</v>
      </c>
      <c r="R5327">
        <v>0.46300000000000002</v>
      </c>
      <c r="S5327">
        <v>0.46</v>
      </c>
      <c r="T5327">
        <v>0.45700000000000002</v>
      </c>
      <c r="U5327">
        <v>0.45700000000000002</v>
      </c>
      <c r="V5327">
        <v>0.45700000000000002</v>
      </c>
      <c r="W5327">
        <v>0.45700000000000002</v>
      </c>
      <c r="X5327">
        <v>0.45700000000000002</v>
      </c>
      <c r="Y5327">
        <v>0.45700000000000002</v>
      </c>
      <c r="Z5327">
        <v>0.45700000000000002</v>
      </c>
      <c r="AA5327">
        <v>0.45700000000000002</v>
      </c>
      <c r="AB5327">
        <v>0.45700000000000002</v>
      </c>
      <c r="AC5327">
        <v>0.45700000000000002</v>
      </c>
      <c r="AD5327">
        <v>0.45700000000000002</v>
      </c>
    </row>
    <row r="5328" spans="2:30" x14ac:dyDescent="0.25">
      <c r="B5328" t="s">
        <v>133</v>
      </c>
      <c r="C5328" t="s">
        <v>10598</v>
      </c>
      <c r="D5328" t="s">
        <v>4429</v>
      </c>
      <c r="E5328" t="s">
        <v>4430</v>
      </c>
      <c r="F5328" t="s">
        <v>10779</v>
      </c>
      <c r="G5328" t="s">
        <v>3890</v>
      </c>
      <c r="H5328" t="s">
        <v>4401</v>
      </c>
      <c r="I5328" t="s">
        <v>4278</v>
      </c>
      <c r="J5328">
        <v>1</v>
      </c>
      <c r="K5328">
        <v>0.78300000000000003</v>
      </c>
      <c r="L5328">
        <v>0.69899999999999995</v>
      </c>
      <c r="M5328">
        <v>0.69099999999999995</v>
      </c>
      <c r="N5328">
        <v>0.60899999999999999</v>
      </c>
      <c r="O5328">
        <v>0.63200000000000001</v>
      </c>
      <c r="P5328">
        <v>0.59799999999999998</v>
      </c>
      <c r="Q5328">
        <v>0.58799999999999997</v>
      </c>
      <c r="R5328">
        <v>0.58399999999999996</v>
      </c>
      <c r="S5328">
        <v>0.57899999999999996</v>
      </c>
      <c r="T5328">
        <v>0.57499999999999996</v>
      </c>
      <c r="U5328">
        <v>0.57499999999999996</v>
      </c>
      <c r="V5328">
        <v>0.57499999999999996</v>
      </c>
      <c r="W5328">
        <v>0.57499999999999996</v>
      </c>
      <c r="X5328">
        <v>0.57499999999999996</v>
      </c>
      <c r="Y5328">
        <v>0.57499999999999996</v>
      </c>
      <c r="Z5328">
        <v>0.57499999999999996</v>
      </c>
      <c r="AA5328">
        <v>0.57499999999999996</v>
      </c>
      <c r="AB5328">
        <v>0.57499999999999996</v>
      </c>
      <c r="AC5328">
        <v>0.57499999999999996</v>
      </c>
      <c r="AD5328">
        <v>0.57499999999999996</v>
      </c>
    </row>
    <row r="5329" spans="2:30" x14ac:dyDescent="0.25">
      <c r="B5329" t="s">
        <v>133</v>
      </c>
      <c r="C5329" t="s">
        <v>10598</v>
      </c>
      <c r="D5329" t="s">
        <v>4432</v>
      </c>
      <c r="E5329" t="s">
        <v>4433</v>
      </c>
      <c r="F5329" t="s">
        <v>10780</v>
      </c>
      <c r="G5329" t="s">
        <v>3890</v>
      </c>
      <c r="H5329" t="s">
        <v>4435</v>
      </c>
      <c r="I5329" t="s">
        <v>4263</v>
      </c>
      <c r="J5329">
        <v>1</v>
      </c>
      <c r="K5329">
        <v>0</v>
      </c>
      <c r="L5329">
        <v>0</v>
      </c>
      <c r="M5329">
        <v>-5.5E-2</v>
      </c>
      <c r="N5329">
        <v>-5.5E-2</v>
      </c>
      <c r="O5329">
        <v>-5.5E-2</v>
      </c>
      <c r="P5329">
        <v>-5.5E-2</v>
      </c>
      <c r="Q5329">
        <v>-5.5E-2</v>
      </c>
      <c r="R5329">
        <v>-5.5E-2</v>
      </c>
      <c r="S5329">
        <v>-5.5E-2</v>
      </c>
      <c r="T5329">
        <v>-5.5E-2</v>
      </c>
      <c r="U5329">
        <v>-5.5E-2</v>
      </c>
      <c r="V5329">
        <v>-5.5E-2</v>
      </c>
      <c r="W5329">
        <v>-5.5E-2</v>
      </c>
      <c r="X5329">
        <v>-5.5E-2</v>
      </c>
      <c r="Y5329">
        <v>-5.5E-2</v>
      </c>
      <c r="Z5329">
        <v>-5.5E-2</v>
      </c>
      <c r="AA5329">
        <v>-5.5E-2</v>
      </c>
      <c r="AB5329">
        <v>-5.5E-2</v>
      </c>
      <c r="AC5329">
        <v>-5.5E-2</v>
      </c>
      <c r="AD5329">
        <v>-5.5E-2</v>
      </c>
    </row>
    <row r="5330" spans="2:30" x14ac:dyDescent="0.25">
      <c r="B5330" t="s">
        <v>133</v>
      </c>
      <c r="C5330" t="s">
        <v>10598</v>
      </c>
      <c r="D5330" t="s">
        <v>4436</v>
      </c>
      <c r="E5330" t="s">
        <v>4437</v>
      </c>
      <c r="F5330" t="s">
        <v>10781</v>
      </c>
      <c r="G5330" t="s">
        <v>3890</v>
      </c>
      <c r="H5330" t="s">
        <v>4435</v>
      </c>
      <c r="I5330" t="s">
        <v>4263</v>
      </c>
      <c r="J5330">
        <v>1</v>
      </c>
      <c r="K5330">
        <v>2E-3</v>
      </c>
      <c r="L5330">
        <v>1E-3</v>
      </c>
      <c r="M5330">
        <v>-5.5E-2</v>
      </c>
      <c r="N5330">
        <v>-5.5E-2</v>
      </c>
      <c r="O5330">
        <v>-5.5E-2</v>
      </c>
      <c r="P5330">
        <v>-5.5E-2</v>
      </c>
      <c r="Q5330">
        <v>-5.5E-2</v>
      </c>
      <c r="R5330">
        <v>-5.5E-2</v>
      </c>
      <c r="S5330">
        <v>-5.5E-2</v>
      </c>
      <c r="T5330">
        <v>-5.5E-2</v>
      </c>
      <c r="U5330">
        <v>-5.5E-2</v>
      </c>
      <c r="V5330">
        <v>-5.5E-2</v>
      </c>
      <c r="W5330">
        <v>-5.5E-2</v>
      </c>
      <c r="X5330">
        <v>-5.5E-2</v>
      </c>
      <c r="Y5330">
        <v>-5.5E-2</v>
      </c>
      <c r="Z5330">
        <v>-5.5E-2</v>
      </c>
      <c r="AA5330">
        <v>-5.5E-2</v>
      </c>
      <c r="AB5330">
        <v>-5.5E-2</v>
      </c>
      <c r="AC5330">
        <v>-5.5E-2</v>
      </c>
      <c r="AD5330">
        <v>-5.5E-2</v>
      </c>
    </row>
    <row r="5331" spans="2:30" x14ac:dyDescent="0.25">
      <c r="B5331" t="s">
        <v>133</v>
      </c>
      <c r="C5331" t="s">
        <v>10598</v>
      </c>
      <c r="D5331" t="s">
        <v>4439</v>
      </c>
      <c r="E5331" t="s">
        <v>4440</v>
      </c>
      <c r="F5331" t="s">
        <v>10782</v>
      </c>
      <c r="G5331" t="s">
        <v>3890</v>
      </c>
      <c r="H5331" t="s">
        <v>4435</v>
      </c>
      <c r="I5331" t="s">
        <v>4267</v>
      </c>
      <c r="J5331">
        <v>1</v>
      </c>
      <c r="K5331">
        <v>0.34599999999999997</v>
      </c>
      <c r="L5331">
        <v>0.219</v>
      </c>
      <c r="M5331">
        <v>0.16900000000000001</v>
      </c>
      <c r="N5331">
        <v>0.16900000000000001</v>
      </c>
      <c r="O5331">
        <v>0.16900000000000001</v>
      </c>
      <c r="P5331">
        <v>0.16900000000000001</v>
      </c>
      <c r="Q5331">
        <v>0.16900000000000001</v>
      </c>
      <c r="R5331">
        <v>0.16900000000000001</v>
      </c>
      <c r="S5331">
        <v>0.16900000000000001</v>
      </c>
      <c r="T5331">
        <v>0.16900000000000001</v>
      </c>
      <c r="U5331">
        <v>0.16900000000000001</v>
      </c>
      <c r="V5331">
        <v>0.16900000000000001</v>
      </c>
      <c r="W5331">
        <v>0.16900000000000001</v>
      </c>
      <c r="X5331">
        <v>0.16900000000000001</v>
      </c>
      <c r="Y5331">
        <v>0.16900000000000001</v>
      </c>
      <c r="Z5331">
        <v>0.16900000000000001</v>
      </c>
      <c r="AA5331">
        <v>0.16900000000000001</v>
      </c>
      <c r="AB5331">
        <v>0.16900000000000001</v>
      </c>
      <c r="AC5331">
        <v>0.16900000000000001</v>
      </c>
      <c r="AD5331">
        <v>0.16900000000000001</v>
      </c>
    </row>
    <row r="5332" spans="2:30" x14ac:dyDescent="0.25">
      <c r="B5332" t="s">
        <v>133</v>
      </c>
      <c r="C5332" t="s">
        <v>10598</v>
      </c>
      <c r="D5332" t="s">
        <v>4442</v>
      </c>
      <c r="E5332" t="s">
        <v>4443</v>
      </c>
      <c r="F5332" t="s">
        <v>10783</v>
      </c>
      <c r="G5332" t="s">
        <v>3890</v>
      </c>
      <c r="H5332" t="s">
        <v>4435</v>
      </c>
      <c r="I5332" t="s">
        <v>4267</v>
      </c>
      <c r="J5332">
        <v>1</v>
      </c>
      <c r="K5332">
        <v>-6.9240000000000004</v>
      </c>
      <c r="L5332">
        <v>-5.181</v>
      </c>
      <c r="M5332">
        <v>-4.4829999999999997</v>
      </c>
      <c r="N5332">
        <v>-4.5529999999999999</v>
      </c>
      <c r="O5332">
        <v>-4.5940000000000003</v>
      </c>
      <c r="P5332">
        <v>-4.4880000000000004</v>
      </c>
      <c r="Q5332">
        <v>-4.3620000000000001</v>
      </c>
      <c r="R5332">
        <v>-4.3179999999999996</v>
      </c>
      <c r="S5332">
        <v>-4.3049999999999997</v>
      </c>
      <c r="T5332">
        <v>-4.298</v>
      </c>
      <c r="U5332">
        <v>-4.298</v>
      </c>
      <c r="V5332">
        <v>-4.298</v>
      </c>
      <c r="W5332">
        <v>-4.298</v>
      </c>
      <c r="X5332">
        <v>-4.298</v>
      </c>
      <c r="Y5332">
        <v>-4.298</v>
      </c>
      <c r="Z5332">
        <v>-4.298</v>
      </c>
      <c r="AA5332">
        <v>-4.298</v>
      </c>
      <c r="AB5332">
        <v>-4.298</v>
      </c>
      <c r="AC5332">
        <v>-4.298</v>
      </c>
      <c r="AD5332">
        <v>-4.298</v>
      </c>
    </row>
    <row r="5333" spans="2:30" x14ac:dyDescent="0.25">
      <c r="B5333" t="s">
        <v>133</v>
      </c>
      <c r="C5333" t="s">
        <v>10598</v>
      </c>
      <c r="D5333" t="s">
        <v>4445</v>
      </c>
      <c r="E5333" t="s">
        <v>4446</v>
      </c>
      <c r="F5333" t="s">
        <v>10784</v>
      </c>
      <c r="G5333" t="s">
        <v>3890</v>
      </c>
      <c r="H5333" t="s">
        <v>4435</v>
      </c>
      <c r="I5333" t="s">
        <v>4267</v>
      </c>
      <c r="J5333">
        <v>1</v>
      </c>
      <c r="K5333">
        <v>0.184</v>
      </c>
      <c r="L5333">
        <v>0.187</v>
      </c>
      <c r="M5333">
        <v>1E-3</v>
      </c>
      <c r="N5333">
        <v>1E-3</v>
      </c>
      <c r="O5333">
        <v>1E-3</v>
      </c>
      <c r="P5333">
        <v>1E-3</v>
      </c>
      <c r="Q5333">
        <v>1E-3</v>
      </c>
      <c r="R5333">
        <v>1E-3</v>
      </c>
      <c r="S5333">
        <v>1E-3</v>
      </c>
      <c r="T5333">
        <v>1E-3</v>
      </c>
      <c r="U5333">
        <v>1E-3</v>
      </c>
      <c r="V5333">
        <v>1E-3</v>
      </c>
      <c r="W5333">
        <v>1E-3</v>
      </c>
      <c r="X5333">
        <v>1E-3</v>
      </c>
      <c r="Y5333">
        <v>1E-3</v>
      </c>
      <c r="Z5333">
        <v>1E-3</v>
      </c>
      <c r="AA5333">
        <v>1E-3</v>
      </c>
      <c r="AB5333">
        <v>1E-3</v>
      </c>
      <c r="AC5333">
        <v>1E-3</v>
      </c>
      <c r="AD5333">
        <v>1E-3</v>
      </c>
    </row>
    <row r="5334" spans="2:30" x14ac:dyDescent="0.25">
      <c r="B5334" t="s">
        <v>133</v>
      </c>
      <c r="C5334" t="s">
        <v>10598</v>
      </c>
      <c r="D5334" t="s">
        <v>4448</v>
      </c>
      <c r="E5334" t="s">
        <v>4449</v>
      </c>
      <c r="F5334" t="s">
        <v>10785</v>
      </c>
      <c r="G5334" t="s">
        <v>3890</v>
      </c>
      <c r="H5334" t="s">
        <v>4435</v>
      </c>
      <c r="I5334" t="s">
        <v>4267</v>
      </c>
      <c r="J5334">
        <v>1</v>
      </c>
      <c r="K5334">
        <v>-12.263</v>
      </c>
      <c r="L5334">
        <v>-11.798999999999999</v>
      </c>
      <c r="M5334">
        <v>-12.055999999999999</v>
      </c>
      <c r="N5334">
        <v>-12.122999999999999</v>
      </c>
      <c r="O5334">
        <v>-12.162000000000001</v>
      </c>
      <c r="P5334">
        <v>-12.061</v>
      </c>
      <c r="Q5334">
        <v>-11.942</v>
      </c>
      <c r="R5334">
        <v>-11.9</v>
      </c>
      <c r="S5334">
        <v>-11.888</v>
      </c>
      <c r="T5334">
        <v>-11.881</v>
      </c>
      <c r="U5334">
        <v>-11.881</v>
      </c>
      <c r="V5334">
        <v>-11.881</v>
      </c>
      <c r="W5334">
        <v>-11.881</v>
      </c>
      <c r="X5334">
        <v>-11.881</v>
      </c>
      <c r="Y5334">
        <v>-11.881</v>
      </c>
      <c r="Z5334">
        <v>-11.881</v>
      </c>
      <c r="AA5334">
        <v>-11.881</v>
      </c>
      <c r="AB5334">
        <v>-11.881</v>
      </c>
      <c r="AC5334">
        <v>-11.881</v>
      </c>
      <c r="AD5334">
        <v>-11.881</v>
      </c>
    </row>
    <row r="5335" spans="2:30" x14ac:dyDescent="0.25">
      <c r="B5335" t="s">
        <v>133</v>
      </c>
      <c r="C5335" t="s">
        <v>10598</v>
      </c>
      <c r="D5335" t="s">
        <v>4451</v>
      </c>
      <c r="E5335" t="s">
        <v>4452</v>
      </c>
      <c r="F5335" t="s">
        <v>10786</v>
      </c>
      <c r="G5335" t="s">
        <v>3890</v>
      </c>
      <c r="H5335" t="s">
        <v>4435</v>
      </c>
      <c r="I5335" t="s">
        <v>4267</v>
      </c>
      <c r="J5335">
        <v>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</row>
    <row r="5336" spans="2:30" x14ac:dyDescent="0.25">
      <c r="B5336" t="s">
        <v>133</v>
      </c>
      <c r="C5336" t="s">
        <v>10598</v>
      </c>
      <c r="D5336" t="s">
        <v>4454</v>
      </c>
      <c r="E5336" t="s">
        <v>4455</v>
      </c>
      <c r="F5336" t="s">
        <v>10787</v>
      </c>
      <c r="G5336" t="s">
        <v>3890</v>
      </c>
      <c r="H5336" t="s">
        <v>4435</v>
      </c>
      <c r="I5336" t="s">
        <v>4267</v>
      </c>
      <c r="J5336">
        <v>1</v>
      </c>
      <c r="K5336">
        <v>-8.7029999999999994</v>
      </c>
      <c r="L5336">
        <v>-6.7750000000000004</v>
      </c>
      <c r="M5336">
        <v>-6.1120000000000001</v>
      </c>
      <c r="N5336">
        <v>-6.1909999999999998</v>
      </c>
      <c r="O5336">
        <v>-6.2380000000000004</v>
      </c>
      <c r="P5336">
        <v>-6.1180000000000003</v>
      </c>
      <c r="Q5336">
        <v>-5.9779999999999998</v>
      </c>
      <c r="R5336">
        <v>-5.9279999999999999</v>
      </c>
      <c r="S5336">
        <v>-5.9139999999999997</v>
      </c>
      <c r="T5336">
        <v>-5.9059999999999997</v>
      </c>
      <c r="U5336">
        <v>-5.9059999999999997</v>
      </c>
      <c r="V5336">
        <v>-5.9059999999999997</v>
      </c>
      <c r="W5336">
        <v>-5.9059999999999997</v>
      </c>
      <c r="X5336">
        <v>-5.9059999999999997</v>
      </c>
      <c r="Y5336">
        <v>-5.9059999999999997</v>
      </c>
      <c r="Z5336">
        <v>-5.9059999999999997</v>
      </c>
      <c r="AA5336">
        <v>-5.9059999999999997</v>
      </c>
      <c r="AB5336">
        <v>-5.9059999999999997</v>
      </c>
      <c r="AC5336">
        <v>-5.9059999999999997</v>
      </c>
      <c r="AD5336">
        <v>-5.9059999999999997</v>
      </c>
    </row>
    <row r="5337" spans="2:30" x14ac:dyDescent="0.25">
      <c r="B5337" t="s">
        <v>133</v>
      </c>
      <c r="C5337" t="s">
        <v>10598</v>
      </c>
      <c r="D5337" t="s">
        <v>4457</v>
      </c>
      <c r="E5337" t="s">
        <v>4458</v>
      </c>
      <c r="F5337" t="s">
        <v>10788</v>
      </c>
      <c r="G5337" t="s">
        <v>3890</v>
      </c>
      <c r="H5337" t="s">
        <v>4435</v>
      </c>
      <c r="I5337" t="s">
        <v>4274</v>
      </c>
      <c r="J5337">
        <v>1</v>
      </c>
      <c r="K5337">
        <v>-83.447000000000003</v>
      </c>
      <c r="L5337">
        <v>-68.769000000000005</v>
      </c>
      <c r="M5337">
        <v>-68.430999999999997</v>
      </c>
      <c r="N5337">
        <v>-68.430999999999997</v>
      </c>
      <c r="O5337">
        <v>-68.430999999999997</v>
      </c>
      <c r="P5337">
        <v>-68.430999999999997</v>
      </c>
      <c r="Q5337">
        <v>-68.430999999999997</v>
      </c>
      <c r="R5337">
        <v>-68.430999999999997</v>
      </c>
      <c r="S5337">
        <v>-68.430999999999997</v>
      </c>
      <c r="T5337">
        <v>-68.430999999999997</v>
      </c>
      <c r="U5337">
        <v>-68.430999999999997</v>
      </c>
      <c r="V5337">
        <v>-68.430999999999997</v>
      </c>
      <c r="W5337">
        <v>-68.430999999999997</v>
      </c>
      <c r="X5337">
        <v>-68.430999999999997</v>
      </c>
      <c r="Y5337">
        <v>-68.430999999999997</v>
      </c>
      <c r="Z5337">
        <v>-68.430999999999997</v>
      </c>
      <c r="AA5337">
        <v>-68.430999999999997</v>
      </c>
      <c r="AB5337">
        <v>-68.430999999999997</v>
      </c>
      <c r="AC5337">
        <v>-68.430999999999997</v>
      </c>
      <c r="AD5337">
        <v>-68.430999999999997</v>
      </c>
    </row>
    <row r="5338" spans="2:30" x14ac:dyDescent="0.25">
      <c r="B5338" t="s">
        <v>133</v>
      </c>
      <c r="C5338" t="s">
        <v>10598</v>
      </c>
      <c r="D5338" t="s">
        <v>4460</v>
      </c>
      <c r="E5338" t="s">
        <v>4461</v>
      </c>
      <c r="F5338" t="s">
        <v>10789</v>
      </c>
      <c r="G5338" t="s">
        <v>3890</v>
      </c>
      <c r="H5338" t="s">
        <v>4435</v>
      </c>
      <c r="I5338" t="s">
        <v>4278</v>
      </c>
      <c r="J5338">
        <v>1</v>
      </c>
      <c r="K5338">
        <v>-0.36299999999999999</v>
      </c>
      <c r="L5338">
        <v>-0.40699999999999997</v>
      </c>
      <c r="M5338">
        <v>-0.42799999999999999</v>
      </c>
      <c r="N5338">
        <v>-0.33600000000000002</v>
      </c>
      <c r="O5338">
        <v>-0.36199999999999999</v>
      </c>
      <c r="P5338">
        <v>-0.32300000000000001</v>
      </c>
      <c r="Q5338">
        <v>-0.312</v>
      </c>
      <c r="R5338">
        <v>-0.307</v>
      </c>
      <c r="S5338">
        <v>-0.30199999999999999</v>
      </c>
      <c r="T5338">
        <v>-0.29699999999999999</v>
      </c>
      <c r="U5338">
        <v>-0.29699999999999999</v>
      </c>
      <c r="V5338">
        <v>-0.29699999999999999</v>
      </c>
      <c r="W5338">
        <v>-0.29699999999999999</v>
      </c>
      <c r="X5338">
        <v>-0.29699999999999999</v>
      </c>
      <c r="Y5338">
        <v>-0.29699999999999999</v>
      </c>
      <c r="Z5338">
        <v>-0.29699999999999999</v>
      </c>
      <c r="AA5338">
        <v>-0.29699999999999999</v>
      </c>
      <c r="AB5338">
        <v>-0.29699999999999999</v>
      </c>
      <c r="AC5338">
        <v>-0.29699999999999999</v>
      </c>
      <c r="AD5338">
        <v>-0.29699999999999999</v>
      </c>
    </row>
    <row r="5339" spans="2:30" x14ac:dyDescent="0.25">
      <c r="B5339" t="s">
        <v>133</v>
      </c>
      <c r="C5339" t="s">
        <v>10598</v>
      </c>
      <c r="D5339" t="s">
        <v>4463</v>
      </c>
      <c r="E5339" t="s">
        <v>4464</v>
      </c>
      <c r="F5339" t="s">
        <v>10790</v>
      </c>
      <c r="G5339" t="s">
        <v>3890</v>
      </c>
      <c r="H5339" t="s">
        <v>4435</v>
      </c>
      <c r="I5339" t="s">
        <v>4278</v>
      </c>
      <c r="J5339">
        <v>1</v>
      </c>
      <c r="K5339">
        <v>-0.66300000000000003</v>
      </c>
      <c r="L5339">
        <v>-0.57399999999999995</v>
      </c>
      <c r="M5339">
        <v>-0.52900000000000003</v>
      </c>
      <c r="N5339">
        <v>-0.435</v>
      </c>
      <c r="O5339">
        <v>-0.46100000000000002</v>
      </c>
      <c r="P5339">
        <v>-0.42099999999999999</v>
      </c>
      <c r="Q5339">
        <v>-0.41</v>
      </c>
      <c r="R5339">
        <v>-0.40500000000000003</v>
      </c>
      <c r="S5339">
        <v>-0.4</v>
      </c>
      <c r="T5339">
        <v>-0.39500000000000002</v>
      </c>
      <c r="U5339">
        <v>-0.39500000000000002</v>
      </c>
      <c r="V5339">
        <v>-0.39500000000000002</v>
      </c>
      <c r="W5339">
        <v>-0.39500000000000002</v>
      </c>
      <c r="X5339">
        <v>-0.39500000000000002</v>
      </c>
      <c r="Y5339">
        <v>-0.39500000000000002</v>
      </c>
      <c r="Z5339">
        <v>-0.39500000000000002</v>
      </c>
      <c r="AA5339">
        <v>-0.39500000000000002</v>
      </c>
      <c r="AB5339">
        <v>-0.39500000000000002</v>
      </c>
      <c r="AC5339">
        <v>-0.39500000000000002</v>
      </c>
      <c r="AD5339">
        <v>-0.39500000000000002</v>
      </c>
    </row>
    <row r="5340" spans="2:30" x14ac:dyDescent="0.25">
      <c r="B5340" t="s">
        <v>133</v>
      </c>
      <c r="C5340" t="s">
        <v>10598</v>
      </c>
      <c r="D5340" t="s">
        <v>4466</v>
      </c>
      <c r="E5340" t="s">
        <v>4467</v>
      </c>
      <c r="F5340" t="s">
        <v>10791</v>
      </c>
      <c r="G5340" t="s">
        <v>3890</v>
      </c>
      <c r="H5340" t="s">
        <v>4435</v>
      </c>
      <c r="I5340" t="s">
        <v>4278</v>
      </c>
      <c r="J5340">
        <v>1</v>
      </c>
      <c r="K5340">
        <v>-0.496</v>
      </c>
      <c r="L5340">
        <v>-0.47599999999999998</v>
      </c>
      <c r="M5340">
        <v>-0.45500000000000002</v>
      </c>
      <c r="N5340">
        <v>-0.39400000000000002</v>
      </c>
      <c r="O5340">
        <v>-0.41099999999999998</v>
      </c>
      <c r="P5340">
        <v>-0.38600000000000001</v>
      </c>
      <c r="Q5340">
        <v>-0.379</v>
      </c>
      <c r="R5340">
        <v>-0.375</v>
      </c>
      <c r="S5340">
        <v>-0.372</v>
      </c>
      <c r="T5340">
        <v>-0.36899999999999999</v>
      </c>
      <c r="U5340">
        <v>-0.36899999999999999</v>
      </c>
      <c r="V5340">
        <v>-0.36899999999999999</v>
      </c>
      <c r="W5340">
        <v>-0.36899999999999999</v>
      </c>
      <c r="X5340">
        <v>-0.36899999999999999</v>
      </c>
      <c r="Y5340">
        <v>-0.36899999999999999</v>
      </c>
      <c r="Z5340">
        <v>-0.36899999999999999</v>
      </c>
      <c r="AA5340">
        <v>-0.36899999999999999</v>
      </c>
      <c r="AB5340">
        <v>-0.36899999999999999</v>
      </c>
      <c r="AC5340">
        <v>-0.36899999999999999</v>
      </c>
      <c r="AD5340">
        <v>-0.36899999999999999</v>
      </c>
    </row>
    <row r="5341" spans="2:30" x14ac:dyDescent="0.25">
      <c r="B5341" t="s">
        <v>133</v>
      </c>
      <c r="C5341" t="s">
        <v>10598</v>
      </c>
      <c r="D5341" t="s">
        <v>4469</v>
      </c>
      <c r="E5341" t="s">
        <v>4470</v>
      </c>
      <c r="F5341" t="s">
        <v>10792</v>
      </c>
      <c r="G5341" t="s">
        <v>3890</v>
      </c>
      <c r="H5341" t="s">
        <v>4435</v>
      </c>
      <c r="I5341" t="s">
        <v>4278</v>
      </c>
      <c r="J5341">
        <v>1</v>
      </c>
      <c r="K5341">
        <v>-0.36899999999999999</v>
      </c>
      <c r="L5341">
        <v>-0.44</v>
      </c>
      <c r="M5341">
        <v>-0.44800000000000001</v>
      </c>
      <c r="N5341">
        <v>-0.36499999999999999</v>
      </c>
      <c r="O5341">
        <v>-0.38800000000000001</v>
      </c>
      <c r="P5341">
        <v>-0.35399999999999998</v>
      </c>
      <c r="Q5341">
        <v>-0.34399999999999997</v>
      </c>
      <c r="R5341">
        <v>-0.34</v>
      </c>
      <c r="S5341">
        <v>-0.33600000000000002</v>
      </c>
      <c r="T5341">
        <v>-0.33100000000000002</v>
      </c>
      <c r="U5341">
        <v>-0.33100000000000002</v>
      </c>
      <c r="V5341">
        <v>-0.33100000000000002</v>
      </c>
      <c r="W5341">
        <v>-0.33100000000000002</v>
      </c>
      <c r="X5341">
        <v>-0.33100000000000002</v>
      </c>
      <c r="Y5341">
        <v>-0.33100000000000002</v>
      </c>
      <c r="Z5341">
        <v>-0.33100000000000002</v>
      </c>
      <c r="AA5341">
        <v>-0.33100000000000002</v>
      </c>
      <c r="AB5341">
        <v>-0.33100000000000002</v>
      </c>
      <c r="AC5341">
        <v>-0.33100000000000002</v>
      </c>
      <c r="AD5341">
        <v>-0.33100000000000002</v>
      </c>
    </row>
    <row r="5342" spans="2:30" x14ac:dyDescent="0.25">
      <c r="B5342" t="s">
        <v>133</v>
      </c>
      <c r="C5342" t="s">
        <v>10598</v>
      </c>
      <c r="D5342" t="s">
        <v>4472</v>
      </c>
      <c r="E5342" t="s">
        <v>4473</v>
      </c>
      <c r="F5342" t="s">
        <v>10793</v>
      </c>
      <c r="G5342" t="s">
        <v>4475</v>
      </c>
      <c r="H5342" t="s">
        <v>4476</v>
      </c>
      <c r="I5342" t="s">
        <v>4263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</row>
    <row r="5343" spans="2:30" x14ac:dyDescent="0.25">
      <c r="B5343" t="s">
        <v>133</v>
      </c>
      <c r="C5343" t="s">
        <v>10598</v>
      </c>
      <c r="D5343" t="s">
        <v>4477</v>
      </c>
      <c r="E5343" t="s">
        <v>4478</v>
      </c>
      <c r="F5343" t="s">
        <v>10794</v>
      </c>
      <c r="G5343" t="s">
        <v>3890</v>
      </c>
      <c r="H5343" t="s">
        <v>4476</v>
      </c>
      <c r="I5343" t="s">
        <v>4263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</row>
    <row r="5344" spans="2:30" x14ac:dyDescent="0.25">
      <c r="B5344" t="s">
        <v>133</v>
      </c>
      <c r="C5344" t="s">
        <v>10598</v>
      </c>
      <c r="D5344" t="s">
        <v>4480</v>
      </c>
      <c r="E5344" t="s">
        <v>4481</v>
      </c>
      <c r="F5344" t="s">
        <v>10795</v>
      </c>
      <c r="G5344" t="s">
        <v>3890</v>
      </c>
      <c r="H5344" t="s">
        <v>4476</v>
      </c>
      <c r="I5344" t="s">
        <v>4267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</row>
    <row r="5345" spans="2:30" x14ac:dyDescent="0.25">
      <c r="B5345" t="s">
        <v>133</v>
      </c>
      <c r="C5345" t="s">
        <v>10598</v>
      </c>
      <c r="D5345" t="s">
        <v>4483</v>
      </c>
      <c r="E5345" t="s">
        <v>4484</v>
      </c>
      <c r="F5345" t="s">
        <v>10796</v>
      </c>
      <c r="G5345" t="s">
        <v>3890</v>
      </c>
      <c r="H5345" t="s">
        <v>4476</v>
      </c>
      <c r="I5345" t="s">
        <v>4267</v>
      </c>
      <c r="J5345">
        <v>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</row>
    <row r="5346" spans="2:30" x14ac:dyDescent="0.25">
      <c r="B5346" t="s">
        <v>133</v>
      </c>
      <c r="C5346" t="s">
        <v>10598</v>
      </c>
      <c r="D5346" t="s">
        <v>4486</v>
      </c>
      <c r="E5346" t="s">
        <v>4487</v>
      </c>
      <c r="F5346" t="s">
        <v>10797</v>
      </c>
      <c r="G5346" t="s">
        <v>3890</v>
      </c>
      <c r="H5346" t="s">
        <v>4476</v>
      </c>
      <c r="I5346" t="s">
        <v>4267</v>
      </c>
      <c r="J5346">
        <v>1</v>
      </c>
      <c r="K5346">
        <v>2.8740000000000001</v>
      </c>
      <c r="L5346">
        <v>1.948</v>
      </c>
      <c r="M5346">
        <v>1.8109999999999999</v>
      </c>
      <c r="N5346">
        <v>1.677</v>
      </c>
      <c r="O5346">
        <v>1.68</v>
      </c>
      <c r="P5346">
        <v>1.6910000000000001</v>
      </c>
      <c r="Q5346">
        <v>1.6859999999999999</v>
      </c>
      <c r="R5346">
        <v>1.68</v>
      </c>
      <c r="S5346">
        <v>1.675</v>
      </c>
      <c r="T5346">
        <v>1.669</v>
      </c>
      <c r="U5346">
        <v>1.669</v>
      </c>
      <c r="V5346">
        <v>1.669</v>
      </c>
      <c r="W5346">
        <v>1.669</v>
      </c>
      <c r="X5346">
        <v>1.669</v>
      </c>
      <c r="Y5346">
        <v>1.669</v>
      </c>
      <c r="Z5346">
        <v>1.669</v>
      </c>
      <c r="AA5346">
        <v>1.669</v>
      </c>
      <c r="AB5346">
        <v>1.669</v>
      </c>
      <c r="AC5346">
        <v>1.669</v>
      </c>
      <c r="AD5346">
        <v>1.669</v>
      </c>
    </row>
    <row r="5347" spans="2:30" x14ac:dyDescent="0.25">
      <c r="B5347" t="s">
        <v>133</v>
      </c>
      <c r="C5347" t="s">
        <v>10598</v>
      </c>
      <c r="D5347" t="s">
        <v>4489</v>
      </c>
      <c r="E5347" t="s">
        <v>4490</v>
      </c>
      <c r="F5347" t="s">
        <v>10798</v>
      </c>
      <c r="G5347" t="s">
        <v>3890</v>
      </c>
      <c r="H5347" t="s">
        <v>4476</v>
      </c>
      <c r="I5347" t="s">
        <v>4267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</row>
    <row r="5348" spans="2:30" x14ac:dyDescent="0.25">
      <c r="B5348" t="s">
        <v>133</v>
      </c>
      <c r="C5348" t="s">
        <v>10598</v>
      </c>
      <c r="D5348" t="s">
        <v>4492</v>
      </c>
      <c r="E5348" t="s">
        <v>4493</v>
      </c>
      <c r="F5348" t="s">
        <v>10799</v>
      </c>
      <c r="G5348" t="s">
        <v>3890</v>
      </c>
      <c r="H5348" t="s">
        <v>4476</v>
      </c>
      <c r="I5348" t="s">
        <v>4267</v>
      </c>
      <c r="J5348">
        <v>1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</row>
    <row r="5349" spans="2:30" x14ac:dyDescent="0.25">
      <c r="B5349" t="s">
        <v>133</v>
      </c>
      <c r="C5349" t="s">
        <v>10598</v>
      </c>
      <c r="D5349" t="s">
        <v>4495</v>
      </c>
      <c r="E5349" t="s">
        <v>4496</v>
      </c>
      <c r="F5349" t="s">
        <v>10800</v>
      </c>
      <c r="G5349" t="s">
        <v>3890</v>
      </c>
      <c r="H5349" t="s">
        <v>4476</v>
      </c>
      <c r="I5349" t="s">
        <v>4267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</row>
    <row r="5350" spans="2:30" x14ac:dyDescent="0.25">
      <c r="B5350" t="s">
        <v>133</v>
      </c>
      <c r="C5350" t="s">
        <v>10598</v>
      </c>
      <c r="D5350" t="s">
        <v>4498</v>
      </c>
      <c r="E5350" t="s">
        <v>4499</v>
      </c>
      <c r="F5350" t="s">
        <v>10801</v>
      </c>
      <c r="G5350" t="s">
        <v>3890</v>
      </c>
      <c r="H5350" t="s">
        <v>4476</v>
      </c>
      <c r="I5350" t="s">
        <v>4274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</row>
    <row r="5351" spans="2:30" x14ac:dyDescent="0.25">
      <c r="B5351" t="s">
        <v>133</v>
      </c>
      <c r="C5351" t="s">
        <v>10598</v>
      </c>
      <c r="D5351" t="s">
        <v>4501</v>
      </c>
      <c r="E5351" t="s">
        <v>4502</v>
      </c>
      <c r="F5351" t="s">
        <v>10802</v>
      </c>
      <c r="G5351" t="s">
        <v>3890</v>
      </c>
      <c r="H5351" t="s">
        <v>4476</v>
      </c>
      <c r="I5351" t="s">
        <v>4278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</row>
    <row r="5352" spans="2:30" x14ac:dyDescent="0.25">
      <c r="B5352" t="s">
        <v>133</v>
      </c>
      <c r="C5352" t="s">
        <v>10598</v>
      </c>
      <c r="D5352" t="s">
        <v>4504</v>
      </c>
      <c r="E5352" t="s">
        <v>4505</v>
      </c>
      <c r="F5352" t="s">
        <v>10803</v>
      </c>
      <c r="G5352" t="s">
        <v>3890</v>
      </c>
      <c r="H5352" t="s">
        <v>4476</v>
      </c>
      <c r="I5352" t="s">
        <v>4278</v>
      </c>
      <c r="J5352">
        <v>1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</row>
    <row r="5353" spans="2:30" x14ac:dyDescent="0.25">
      <c r="B5353" t="s">
        <v>133</v>
      </c>
      <c r="C5353" t="s">
        <v>10598</v>
      </c>
      <c r="D5353" t="s">
        <v>4507</v>
      </c>
      <c r="E5353" t="s">
        <v>4508</v>
      </c>
      <c r="F5353" t="s">
        <v>10804</v>
      </c>
      <c r="G5353" t="s">
        <v>3890</v>
      </c>
      <c r="H5353" t="s">
        <v>4476</v>
      </c>
      <c r="I5353" t="s">
        <v>4278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</row>
    <row r="5354" spans="2:30" x14ac:dyDescent="0.25">
      <c r="B5354" t="s">
        <v>133</v>
      </c>
      <c r="C5354" t="s">
        <v>10598</v>
      </c>
      <c r="D5354" t="s">
        <v>4510</v>
      </c>
      <c r="E5354" t="s">
        <v>4511</v>
      </c>
      <c r="F5354" t="s">
        <v>10805</v>
      </c>
      <c r="G5354" t="s">
        <v>3890</v>
      </c>
      <c r="H5354" t="s">
        <v>4476</v>
      </c>
      <c r="I5354" t="s">
        <v>4278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</row>
    <row r="5355" spans="2:30" x14ac:dyDescent="0.25">
      <c r="B5355" t="s">
        <v>133</v>
      </c>
      <c r="C5355" t="s">
        <v>10598</v>
      </c>
      <c r="D5355" t="s">
        <v>4513</v>
      </c>
      <c r="E5355" t="s">
        <v>4514</v>
      </c>
      <c r="F5355" t="s">
        <v>10806</v>
      </c>
      <c r="G5355" t="s">
        <v>3890</v>
      </c>
      <c r="H5355" t="s">
        <v>4476</v>
      </c>
      <c r="I5355" t="s">
        <v>4263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</row>
    <row r="5356" spans="2:30" x14ac:dyDescent="0.25">
      <c r="B5356" t="s">
        <v>133</v>
      </c>
      <c r="C5356" t="s">
        <v>10598</v>
      </c>
      <c r="D5356" t="s">
        <v>4516</v>
      </c>
      <c r="E5356" t="s">
        <v>4517</v>
      </c>
      <c r="F5356" t="s">
        <v>10807</v>
      </c>
      <c r="G5356" t="s">
        <v>3890</v>
      </c>
      <c r="H5356" t="s">
        <v>4476</v>
      </c>
      <c r="I5356" t="s">
        <v>4263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</row>
    <row r="5357" spans="2:30" x14ac:dyDescent="0.25">
      <c r="B5357" t="s">
        <v>133</v>
      </c>
      <c r="C5357" t="s">
        <v>10598</v>
      </c>
      <c r="D5357" t="s">
        <v>4519</v>
      </c>
      <c r="E5357" t="s">
        <v>4520</v>
      </c>
      <c r="F5357" t="s">
        <v>10808</v>
      </c>
      <c r="G5357" t="s">
        <v>3890</v>
      </c>
      <c r="H5357" t="s">
        <v>4476</v>
      </c>
      <c r="I5357" t="s">
        <v>4267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</row>
    <row r="5358" spans="2:30" x14ac:dyDescent="0.25">
      <c r="B5358" t="s">
        <v>133</v>
      </c>
      <c r="C5358" t="s">
        <v>10598</v>
      </c>
      <c r="D5358" t="s">
        <v>4522</v>
      </c>
      <c r="E5358" t="s">
        <v>4523</v>
      </c>
      <c r="F5358" t="s">
        <v>10809</v>
      </c>
      <c r="G5358" t="s">
        <v>3890</v>
      </c>
      <c r="H5358" t="s">
        <v>4476</v>
      </c>
      <c r="I5358" t="s">
        <v>4267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</row>
    <row r="5359" spans="2:30" x14ac:dyDescent="0.25">
      <c r="B5359" t="s">
        <v>133</v>
      </c>
      <c r="C5359" t="s">
        <v>10598</v>
      </c>
      <c r="D5359" t="s">
        <v>4525</v>
      </c>
      <c r="E5359" t="s">
        <v>4526</v>
      </c>
      <c r="F5359" t="s">
        <v>10810</v>
      </c>
      <c r="G5359" t="s">
        <v>3890</v>
      </c>
      <c r="H5359" t="s">
        <v>4476</v>
      </c>
      <c r="I5359" t="s">
        <v>4267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</row>
    <row r="5360" spans="2:30" x14ac:dyDescent="0.25">
      <c r="B5360" t="s">
        <v>133</v>
      </c>
      <c r="C5360" t="s">
        <v>10598</v>
      </c>
      <c r="D5360" t="s">
        <v>4528</v>
      </c>
      <c r="E5360" t="s">
        <v>4529</v>
      </c>
      <c r="F5360" t="s">
        <v>10811</v>
      </c>
      <c r="G5360" t="s">
        <v>3890</v>
      </c>
      <c r="H5360" t="s">
        <v>4476</v>
      </c>
      <c r="I5360" t="s">
        <v>4267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</row>
    <row r="5361" spans="2:30" x14ac:dyDescent="0.25">
      <c r="B5361" t="s">
        <v>133</v>
      </c>
      <c r="C5361" t="s">
        <v>10598</v>
      </c>
      <c r="D5361" t="s">
        <v>4531</v>
      </c>
      <c r="E5361" t="s">
        <v>4532</v>
      </c>
      <c r="F5361" t="s">
        <v>10812</v>
      </c>
      <c r="G5361" t="s">
        <v>3890</v>
      </c>
      <c r="H5361" t="s">
        <v>4476</v>
      </c>
      <c r="I5361" t="s">
        <v>4267</v>
      </c>
      <c r="J5361">
        <v>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</row>
    <row r="5362" spans="2:30" x14ac:dyDescent="0.25">
      <c r="B5362" t="s">
        <v>133</v>
      </c>
      <c r="C5362" t="s">
        <v>10598</v>
      </c>
      <c r="D5362" t="s">
        <v>4534</v>
      </c>
      <c r="E5362" t="s">
        <v>4535</v>
      </c>
      <c r="F5362" t="s">
        <v>10813</v>
      </c>
      <c r="G5362" t="s">
        <v>3890</v>
      </c>
      <c r="H5362" t="s">
        <v>4476</v>
      </c>
      <c r="I5362" t="s">
        <v>4267</v>
      </c>
      <c r="J5362">
        <v>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</row>
    <row r="5363" spans="2:30" x14ac:dyDescent="0.25">
      <c r="B5363" t="s">
        <v>133</v>
      </c>
      <c r="C5363" t="s">
        <v>10598</v>
      </c>
      <c r="D5363" t="s">
        <v>4537</v>
      </c>
      <c r="E5363" t="s">
        <v>4538</v>
      </c>
      <c r="F5363" t="s">
        <v>10814</v>
      </c>
      <c r="G5363" t="s">
        <v>3890</v>
      </c>
      <c r="H5363" t="s">
        <v>4476</v>
      </c>
      <c r="I5363" t="s">
        <v>4274</v>
      </c>
      <c r="J5363">
        <v>1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</row>
    <row r="5364" spans="2:30" x14ac:dyDescent="0.25">
      <c r="B5364" t="s">
        <v>133</v>
      </c>
      <c r="C5364" t="s">
        <v>10598</v>
      </c>
      <c r="D5364" t="s">
        <v>4540</v>
      </c>
      <c r="E5364" t="s">
        <v>4541</v>
      </c>
      <c r="F5364" t="s">
        <v>10815</v>
      </c>
      <c r="G5364" t="s">
        <v>3890</v>
      </c>
      <c r="H5364" t="s">
        <v>4476</v>
      </c>
      <c r="I5364" t="s">
        <v>4278</v>
      </c>
      <c r="J5364">
        <v>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</row>
    <row r="5365" spans="2:30" x14ac:dyDescent="0.25">
      <c r="B5365" t="s">
        <v>133</v>
      </c>
      <c r="C5365" t="s">
        <v>10598</v>
      </c>
      <c r="D5365" t="s">
        <v>4543</v>
      </c>
      <c r="E5365" t="s">
        <v>4544</v>
      </c>
      <c r="F5365" t="s">
        <v>10816</v>
      </c>
      <c r="G5365" t="s">
        <v>3890</v>
      </c>
      <c r="H5365" t="s">
        <v>4476</v>
      </c>
      <c r="I5365" t="s">
        <v>4278</v>
      </c>
      <c r="J5365">
        <v>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</row>
    <row r="5366" spans="2:30" x14ac:dyDescent="0.25">
      <c r="B5366" t="s">
        <v>133</v>
      </c>
      <c r="C5366" t="s">
        <v>10598</v>
      </c>
      <c r="D5366" t="s">
        <v>4546</v>
      </c>
      <c r="E5366" t="s">
        <v>4547</v>
      </c>
      <c r="F5366" t="s">
        <v>10817</v>
      </c>
      <c r="G5366" t="s">
        <v>3890</v>
      </c>
      <c r="H5366" t="s">
        <v>4476</v>
      </c>
      <c r="I5366" t="s">
        <v>4278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</row>
    <row r="5367" spans="2:30" x14ac:dyDescent="0.25">
      <c r="B5367" t="s">
        <v>133</v>
      </c>
      <c r="C5367" t="s">
        <v>10598</v>
      </c>
      <c r="D5367" t="s">
        <v>4549</v>
      </c>
      <c r="E5367" t="s">
        <v>4550</v>
      </c>
      <c r="F5367" t="s">
        <v>10818</v>
      </c>
      <c r="G5367" t="s">
        <v>3890</v>
      </c>
      <c r="H5367" t="s">
        <v>4476</v>
      </c>
      <c r="I5367" t="s">
        <v>4278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</row>
    <row r="5368" spans="2:30" x14ac:dyDescent="0.25">
      <c r="B5368" t="s">
        <v>133</v>
      </c>
      <c r="C5368" t="s">
        <v>10598</v>
      </c>
      <c r="D5368" t="s">
        <v>4552</v>
      </c>
      <c r="E5368" t="s">
        <v>4553</v>
      </c>
      <c r="F5368" t="s">
        <v>10819</v>
      </c>
      <c r="G5368" t="s">
        <v>3890</v>
      </c>
      <c r="H5368" t="s">
        <v>4555</v>
      </c>
      <c r="I5368" t="s">
        <v>4263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</row>
    <row r="5369" spans="2:30" x14ac:dyDescent="0.25">
      <c r="B5369" t="s">
        <v>133</v>
      </c>
      <c r="C5369" t="s">
        <v>10598</v>
      </c>
      <c r="D5369" t="s">
        <v>4556</v>
      </c>
      <c r="E5369" t="s">
        <v>4557</v>
      </c>
      <c r="F5369" t="s">
        <v>10820</v>
      </c>
      <c r="G5369" t="s">
        <v>3890</v>
      </c>
      <c r="H5369" t="s">
        <v>4555</v>
      </c>
      <c r="I5369" t="s">
        <v>4263</v>
      </c>
      <c r="J5369">
        <v>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</row>
    <row r="5370" spans="2:30" x14ac:dyDescent="0.25">
      <c r="B5370" t="s">
        <v>133</v>
      </c>
      <c r="C5370" t="s">
        <v>10598</v>
      </c>
      <c r="D5370" t="s">
        <v>4559</v>
      </c>
      <c r="E5370" t="s">
        <v>4560</v>
      </c>
      <c r="F5370" t="s">
        <v>10821</v>
      </c>
      <c r="G5370" t="s">
        <v>3890</v>
      </c>
      <c r="H5370" t="s">
        <v>4555</v>
      </c>
      <c r="I5370" t="s">
        <v>4267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</row>
    <row r="5371" spans="2:30" x14ac:dyDescent="0.25">
      <c r="B5371" t="s">
        <v>133</v>
      </c>
      <c r="C5371" t="s">
        <v>10598</v>
      </c>
      <c r="D5371" t="s">
        <v>4562</v>
      </c>
      <c r="E5371" t="s">
        <v>4563</v>
      </c>
      <c r="F5371" t="s">
        <v>10822</v>
      </c>
      <c r="G5371" t="s">
        <v>3890</v>
      </c>
      <c r="H5371" t="s">
        <v>4555</v>
      </c>
      <c r="I5371" t="s">
        <v>4267</v>
      </c>
      <c r="J5371">
        <v>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</row>
    <row r="5372" spans="2:30" x14ac:dyDescent="0.25">
      <c r="B5372" t="s">
        <v>133</v>
      </c>
      <c r="C5372" t="s">
        <v>10598</v>
      </c>
      <c r="D5372" t="s">
        <v>4565</v>
      </c>
      <c r="E5372" t="s">
        <v>4566</v>
      </c>
      <c r="F5372" t="s">
        <v>10823</v>
      </c>
      <c r="G5372" t="s">
        <v>3890</v>
      </c>
      <c r="H5372" t="s">
        <v>4555</v>
      </c>
      <c r="I5372" t="s">
        <v>4267</v>
      </c>
      <c r="J5372">
        <v>1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</row>
    <row r="5373" spans="2:30" x14ac:dyDescent="0.25">
      <c r="B5373" t="s">
        <v>133</v>
      </c>
      <c r="C5373" t="s">
        <v>10598</v>
      </c>
      <c r="D5373" t="s">
        <v>4568</v>
      </c>
      <c r="E5373" t="s">
        <v>4569</v>
      </c>
      <c r="F5373" t="s">
        <v>10824</v>
      </c>
      <c r="G5373" t="s">
        <v>3890</v>
      </c>
      <c r="H5373" t="s">
        <v>4555</v>
      </c>
      <c r="I5373" t="s">
        <v>4267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</row>
    <row r="5374" spans="2:30" x14ac:dyDescent="0.25">
      <c r="B5374" t="s">
        <v>133</v>
      </c>
      <c r="C5374" t="s">
        <v>10598</v>
      </c>
      <c r="D5374" t="s">
        <v>4571</v>
      </c>
      <c r="E5374" t="s">
        <v>4572</v>
      </c>
      <c r="F5374" t="s">
        <v>10825</v>
      </c>
      <c r="G5374" t="s">
        <v>3890</v>
      </c>
      <c r="H5374" t="s">
        <v>4555</v>
      </c>
      <c r="I5374" t="s">
        <v>4267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</row>
    <row r="5375" spans="2:30" x14ac:dyDescent="0.25">
      <c r="B5375" t="s">
        <v>133</v>
      </c>
      <c r="C5375" t="s">
        <v>10598</v>
      </c>
      <c r="D5375" t="s">
        <v>4574</v>
      </c>
      <c r="E5375" t="s">
        <v>4575</v>
      </c>
      <c r="F5375" t="s">
        <v>10826</v>
      </c>
      <c r="G5375" t="s">
        <v>3890</v>
      </c>
      <c r="H5375" t="s">
        <v>4555</v>
      </c>
      <c r="I5375" t="s">
        <v>4267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</row>
    <row r="5376" spans="2:30" x14ac:dyDescent="0.25">
      <c r="B5376" t="s">
        <v>133</v>
      </c>
      <c r="C5376" t="s">
        <v>10598</v>
      </c>
      <c r="D5376" t="s">
        <v>4577</v>
      </c>
      <c r="E5376" t="s">
        <v>4578</v>
      </c>
      <c r="F5376" t="s">
        <v>10827</v>
      </c>
      <c r="G5376" t="s">
        <v>3890</v>
      </c>
      <c r="H5376" t="s">
        <v>4555</v>
      </c>
      <c r="I5376" t="s">
        <v>4274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</row>
    <row r="5377" spans="2:30" x14ac:dyDescent="0.25">
      <c r="B5377" t="s">
        <v>133</v>
      </c>
      <c r="C5377" t="s">
        <v>10598</v>
      </c>
      <c r="D5377" t="s">
        <v>4580</v>
      </c>
      <c r="E5377" t="s">
        <v>4581</v>
      </c>
      <c r="F5377" t="s">
        <v>10828</v>
      </c>
      <c r="G5377" t="s">
        <v>3890</v>
      </c>
      <c r="H5377" t="s">
        <v>4555</v>
      </c>
      <c r="I5377" t="s">
        <v>4278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</row>
    <row r="5378" spans="2:30" x14ac:dyDescent="0.25">
      <c r="B5378" t="s">
        <v>133</v>
      </c>
      <c r="C5378" t="s">
        <v>10598</v>
      </c>
      <c r="D5378" t="s">
        <v>4583</v>
      </c>
      <c r="E5378" t="s">
        <v>4584</v>
      </c>
      <c r="F5378" t="s">
        <v>10829</v>
      </c>
      <c r="G5378" t="s">
        <v>3890</v>
      </c>
      <c r="H5378" t="s">
        <v>4555</v>
      </c>
      <c r="I5378" t="s">
        <v>4278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</row>
    <row r="5379" spans="2:30" x14ac:dyDescent="0.25">
      <c r="B5379" t="s">
        <v>133</v>
      </c>
      <c r="C5379" t="s">
        <v>10598</v>
      </c>
      <c r="D5379" t="s">
        <v>4586</v>
      </c>
      <c r="E5379" t="s">
        <v>4587</v>
      </c>
      <c r="F5379" t="s">
        <v>10830</v>
      </c>
      <c r="G5379" t="s">
        <v>3890</v>
      </c>
      <c r="H5379" t="s">
        <v>4555</v>
      </c>
      <c r="I5379" t="s">
        <v>4278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</row>
    <row r="5380" spans="2:30" x14ac:dyDescent="0.25">
      <c r="B5380" t="s">
        <v>133</v>
      </c>
      <c r="C5380" t="s">
        <v>10598</v>
      </c>
      <c r="D5380" t="s">
        <v>4589</v>
      </c>
      <c r="E5380" t="s">
        <v>4590</v>
      </c>
      <c r="F5380" t="s">
        <v>10831</v>
      </c>
      <c r="G5380" t="s">
        <v>3890</v>
      </c>
      <c r="H5380" t="s">
        <v>4555</v>
      </c>
      <c r="I5380" t="s">
        <v>4278</v>
      </c>
      <c r="J5380">
        <v>1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</row>
    <row r="5381" spans="2:30" x14ac:dyDescent="0.25">
      <c r="B5381" t="s">
        <v>133</v>
      </c>
      <c r="C5381" t="s">
        <v>10598</v>
      </c>
      <c r="D5381" t="s">
        <v>4592</v>
      </c>
      <c r="E5381" t="s">
        <v>4593</v>
      </c>
      <c r="F5381" t="s">
        <v>10832</v>
      </c>
      <c r="G5381" t="s">
        <v>3890</v>
      </c>
      <c r="H5381" t="s">
        <v>4595</v>
      </c>
      <c r="I5381" t="s">
        <v>4596</v>
      </c>
      <c r="J5381">
        <v>1</v>
      </c>
      <c r="K5381">
        <v>3.4550000000000001</v>
      </c>
      <c r="L5381">
        <v>2.194</v>
      </c>
      <c r="M5381">
        <v>1.6850000000000001</v>
      </c>
      <c r="N5381">
        <v>1.6850000000000001</v>
      </c>
      <c r="O5381">
        <v>1.6850000000000001</v>
      </c>
      <c r="P5381">
        <v>1.6850000000000001</v>
      </c>
      <c r="Q5381">
        <v>1.6850000000000001</v>
      </c>
      <c r="R5381">
        <v>1.6850000000000001</v>
      </c>
      <c r="S5381">
        <v>1.6850000000000001</v>
      </c>
      <c r="T5381">
        <v>1.6850000000000001</v>
      </c>
      <c r="U5381">
        <v>1.6850000000000001</v>
      </c>
      <c r="V5381">
        <v>1.6850000000000001</v>
      </c>
      <c r="W5381">
        <v>1.6850000000000001</v>
      </c>
      <c r="X5381">
        <v>1.6850000000000001</v>
      </c>
      <c r="Y5381">
        <v>1.6850000000000001</v>
      </c>
      <c r="Z5381">
        <v>1.6850000000000001</v>
      </c>
      <c r="AA5381">
        <v>1.6850000000000001</v>
      </c>
      <c r="AB5381">
        <v>1.6850000000000001</v>
      </c>
      <c r="AC5381">
        <v>1.6850000000000001</v>
      </c>
      <c r="AD5381">
        <v>1.6850000000000001</v>
      </c>
    </row>
    <row r="5382" spans="2:30" x14ac:dyDescent="0.25">
      <c r="B5382" t="s">
        <v>133</v>
      </c>
      <c r="C5382" t="s">
        <v>10598</v>
      </c>
      <c r="D5382" t="s">
        <v>4597</v>
      </c>
      <c r="E5382" t="s">
        <v>4598</v>
      </c>
      <c r="F5382" t="s">
        <v>10833</v>
      </c>
      <c r="G5382" t="s">
        <v>3890</v>
      </c>
      <c r="H5382" t="s">
        <v>4595</v>
      </c>
      <c r="I5382" t="s">
        <v>4596</v>
      </c>
      <c r="J5382">
        <v>1</v>
      </c>
      <c r="K5382">
        <v>-152.46100000000001</v>
      </c>
      <c r="L5382">
        <v>-120.94499999999999</v>
      </c>
      <c r="M5382">
        <v>-111.26300000000001</v>
      </c>
      <c r="N5382">
        <v>-112.407</v>
      </c>
      <c r="O5382">
        <v>-113.029</v>
      </c>
      <c r="P5382">
        <v>-110.715</v>
      </c>
      <c r="Q5382">
        <v>-107.973</v>
      </c>
      <c r="R5382">
        <v>-106.822</v>
      </c>
      <c r="S5382">
        <v>-106.319</v>
      </c>
      <c r="T5382">
        <v>-105.929</v>
      </c>
      <c r="U5382">
        <v>-105.684</v>
      </c>
      <c r="V5382">
        <v>-105.44499999999999</v>
      </c>
      <c r="W5382">
        <v>-105.214</v>
      </c>
      <c r="X5382">
        <v>-104.99299999999999</v>
      </c>
      <c r="Y5382">
        <v>-104.78400000000001</v>
      </c>
      <c r="Z5382">
        <v>-104.587</v>
      </c>
      <c r="AA5382">
        <v>-104.405</v>
      </c>
      <c r="AB5382">
        <v>-104.241</v>
      </c>
      <c r="AC5382">
        <v>-104.095</v>
      </c>
      <c r="AD5382">
        <v>-103.959</v>
      </c>
    </row>
    <row r="5383" spans="2:30" x14ac:dyDescent="0.25">
      <c r="B5383" t="s">
        <v>133</v>
      </c>
      <c r="C5383" t="s">
        <v>10598</v>
      </c>
      <c r="D5383" t="s">
        <v>4600</v>
      </c>
      <c r="E5383" t="s">
        <v>4601</v>
      </c>
      <c r="F5383" t="s">
        <v>10834</v>
      </c>
      <c r="G5383" t="s">
        <v>3890</v>
      </c>
      <c r="H5383" t="s">
        <v>4595</v>
      </c>
      <c r="I5383" t="s">
        <v>4596</v>
      </c>
      <c r="J5383">
        <v>1</v>
      </c>
      <c r="K5383">
        <v>-214.952</v>
      </c>
      <c r="L5383">
        <v>-225.435</v>
      </c>
      <c r="M5383">
        <v>-231.316</v>
      </c>
      <c r="N5383">
        <v>-185.77</v>
      </c>
      <c r="O5383">
        <v>-198.422</v>
      </c>
      <c r="P5383">
        <v>-179.35</v>
      </c>
      <c r="Q5383">
        <v>-174.102</v>
      </c>
      <c r="R5383">
        <v>-171.45699999999999</v>
      </c>
      <c r="S5383">
        <v>-169.14400000000001</v>
      </c>
      <c r="T5383">
        <v>-166.631</v>
      </c>
      <c r="U5383">
        <v>-166.631</v>
      </c>
      <c r="V5383">
        <v>-166.631</v>
      </c>
      <c r="W5383">
        <v>-166.631</v>
      </c>
      <c r="X5383">
        <v>-166.631</v>
      </c>
      <c r="Y5383">
        <v>-166.631</v>
      </c>
      <c r="Z5383">
        <v>-166.631</v>
      </c>
      <c r="AA5383">
        <v>-166.631</v>
      </c>
      <c r="AB5383">
        <v>-166.631</v>
      </c>
      <c r="AC5383">
        <v>-166.631</v>
      </c>
      <c r="AD5383">
        <v>-166.631</v>
      </c>
    </row>
    <row r="5384" spans="2:30" x14ac:dyDescent="0.25">
      <c r="B5384" t="s">
        <v>133</v>
      </c>
      <c r="C5384" t="s">
        <v>10598</v>
      </c>
      <c r="D5384" t="s">
        <v>4603</v>
      </c>
      <c r="E5384" t="s">
        <v>4604</v>
      </c>
      <c r="F5384" t="s">
        <v>10835</v>
      </c>
      <c r="G5384" t="s">
        <v>3890</v>
      </c>
      <c r="H5384" t="s">
        <v>4595</v>
      </c>
      <c r="I5384" t="s">
        <v>4596</v>
      </c>
      <c r="J5384">
        <v>1</v>
      </c>
      <c r="K5384">
        <v>-252.76300000000001</v>
      </c>
      <c r="L5384">
        <v>-218.88200000000001</v>
      </c>
      <c r="M5384">
        <v>-201.67699999999999</v>
      </c>
      <c r="N5384">
        <v>-165.696</v>
      </c>
      <c r="O5384">
        <v>-175.69200000000001</v>
      </c>
      <c r="P5384">
        <v>-160.624</v>
      </c>
      <c r="Q5384">
        <v>-156.47900000000001</v>
      </c>
      <c r="R5384">
        <v>-154.38900000000001</v>
      </c>
      <c r="S5384">
        <v>-152.56200000000001</v>
      </c>
      <c r="T5384">
        <v>-150.577</v>
      </c>
      <c r="U5384">
        <v>-150.577</v>
      </c>
      <c r="V5384">
        <v>-150.577</v>
      </c>
      <c r="W5384">
        <v>-150.577</v>
      </c>
      <c r="X5384">
        <v>-150.577</v>
      </c>
      <c r="Y5384">
        <v>-150.577</v>
      </c>
      <c r="Z5384">
        <v>-150.577</v>
      </c>
      <c r="AA5384">
        <v>-150.577</v>
      </c>
      <c r="AB5384">
        <v>-150.577</v>
      </c>
      <c r="AC5384">
        <v>-150.577</v>
      </c>
      <c r="AD5384">
        <v>-150.577</v>
      </c>
    </row>
    <row r="5385" spans="2:30" x14ac:dyDescent="0.25">
      <c r="B5385" t="s">
        <v>133</v>
      </c>
      <c r="C5385" t="s">
        <v>10598</v>
      </c>
      <c r="D5385" t="s">
        <v>4606</v>
      </c>
      <c r="E5385" t="s">
        <v>4607</v>
      </c>
      <c r="F5385" t="s">
        <v>10836</v>
      </c>
      <c r="G5385" t="s">
        <v>3890</v>
      </c>
      <c r="H5385" t="s">
        <v>4595</v>
      </c>
      <c r="I5385" t="s">
        <v>4596</v>
      </c>
      <c r="J5385">
        <v>1</v>
      </c>
      <c r="K5385">
        <v>-333.09699999999998</v>
      </c>
      <c r="L5385">
        <v>-314.64999999999998</v>
      </c>
      <c r="M5385">
        <v>-300.01</v>
      </c>
      <c r="N5385">
        <v>-260.95699999999999</v>
      </c>
      <c r="O5385">
        <v>-271.80599999999998</v>
      </c>
      <c r="P5385">
        <v>-255.452</v>
      </c>
      <c r="Q5385">
        <v>-250.953</v>
      </c>
      <c r="R5385">
        <v>-248.685</v>
      </c>
      <c r="S5385">
        <v>-246.702</v>
      </c>
      <c r="T5385">
        <v>-244.547</v>
      </c>
      <c r="U5385">
        <v>-244.547</v>
      </c>
      <c r="V5385">
        <v>-244.547</v>
      </c>
      <c r="W5385">
        <v>-244.547</v>
      </c>
      <c r="X5385">
        <v>-244.547</v>
      </c>
      <c r="Y5385">
        <v>-244.547</v>
      </c>
      <c r="Z5385">
        <v>-244.547</v>
      </c>
      <c r="AA5385">
        <v>-244.547</v>
      </c>
      <c r="AB5385">
        <v>-244.547</v>
      </c>
      <c r="AC5385">
        <v>-244.547</v>
      </c>
      <c r="AD5385">
        <v>-244.547</v>
      </c>
    </row>
    <row r="5386" spans="2:30" x14ac:dyDescent="0.25">
      <c r="B5386" t="s">
        <v>133</v>
      </c>
      <c r="C5386" t="s">
        <v>10598</v>
      </c>
      <c r="D5386" t="s">
        <v>4609</v>
      </c>
      <c r="E5386" t="s">
        <v>4610</v>
      </c>
      <c r="F5386" t="s">
        <v>10837</v>
      </c>
      <c r="G5386" t="s">
        <v>3890</v>
      </c>
      <c r="H5386" t="s">
        <v>4595</v>
      </c>
      <c r="I5386" t="s">
        <v>4596</v>
      </c>
      <c r="J5386">
        <v>1</v>
      </c>
      <c r="K5386">
        <v>-161.07599999999999</v>
      </c>
      <c r="L5386">
        <v>-186.827</v>
      </c>
      <c r="M5386">
        <v>-189.61500000000001</v>
      </c>
      <c r="N5386">
        <v>-155.803</v>
      </c>
      <c r="O5386">
        <v>-165.196</v>
      </c>
      <c r="P5386">
        <v>-151.03700000000001</v>
      </c>
      <c r="Q5386">
        <v>-147.14099999999999</v>
      </c>
      <c r="R5386">
        <v>-145.178</v>
      </c>
      <c r="S5386">
        <v>-143.46100000000001</v>
      </c>
      <c r="T5386">
        <v>-141.595</v>
      </c>
      <c r="U5386">
        <v>-141.595</v>
      </c>
      <c r="V5386">
        <v>-141.595</v>
      </c>
      <c r="W5386">
        <v>-141.595</v>
      </c>
      <c r="X5386">
        <v>-141.595</v>
      </c>
      <c r="Y5386">
        <v>-141.595</v>
      </c>
      <c r="Z5386">
        <v>-141.595</v>
      </c>
      <c r="AA5386">
        <v>-141.595</v>
      </c>
      <c r="AB5386">
        <v>-141.595</v>
      </c>
      <c r="AC5386">
        <v>-141.595</v>
      </c>
      <c r="AD5386">
        <v>-141.595</v>
      </c>
    </row>
    <row r="5387" spans="2:30" x14ac:dyDescent="0.25">
      <c r="B5387" t="s">
        <v>133</v>
      </c>
      <c r="C5387" t="s">
        <v>10598</v>
      </c>
      <c r="D5387" t="s">
        <v>4612</v>
      </c>
      <c r="E5387" t="s">
        <v>4613</v>
      </c>
      <c r="F5387" t="s">
        <v>10838</v>
      </c>
      <c r="G5387" t="s">
        <v>3890</v>
      </c>
      <c r="H5387" t="s">
        <v>4595</v>
      </c>
      <c r="I5387" t="s">
        <v>4596</v>
      </c>
      <c r="J5387">
        <v>1</v>
      </c>
      <c r="K5387">
        <v>-177.77199999999999</v>
      </c>
      <c r="L5387">
        <v>-146.50299999999999</v>
      </c>
      <c r="M5387">
        <v>-145.78299999999999</v>
      </c>
      <c r="N5387">
        <v>-145.78299999999999</v>
      </c>
      <c r="O5387">
        <v>-145.78299999999999</v>
      </c>
      <c r="P5387">
        <v>-145.78299999999999</v>
      </c>
      <c r="Q5387">
        <v>-145.78299999999999</v>
      </c>
      <c r="R5387">
        <v>-145.78299999999999</v>
      </c>
      <c r="S5387">
        <v>-145.78299999999999</v>
      </c>
      <c r="T5387">
        <v>-145.78299999999999</v>
      </c>
      <c r="U5387">
        <v>-145.78299999999999</v>
      </c>
      <c r="V5387">
        <v>-145.78299999999999</v>
      </c>
      <c r="W5387">
        <v>-145.78299999999999</v>
      </c>
      <c r="X5387">
        <v>-145.78299999999999</v>
      </c>
      <c r="Y5387">
        <v>-145.78299999999999</v>
      </c>
      <c r="Z5387">
        <v>-145.78299999999999</v>
      </c>
      <c r="AA5387">
        <v>-145.78299999999999</v>
      </c>
      <c r="AB5387">
        <v>-145.78299999999999</v>
      </c>
      <c r="AC5387">
        <v>-145.78299999999999</v>
      </c>
      <c r="AD5387">
        <v>-145.78299999999999</v>
      </c>
    </row>
    <row r="5388" spans="2:30" x14ac:dyDescent="0.25">
      <c r="B5388" t="s">
        <v>133</v>
      </c>
      <c r="C5388" t="s">
        <v>10598</v>
      </c>
      <c r="D5388" t="s">
        <v>4615</v>
      </c>
      <c r="E5388" t="s">
        <v>4616</v>
      </c>
      <c r="F5388" t="s">
        <v>10839</v>
      </c>
      <c r="G5388" t="s">
        <v>3890</v>
      </c>
      <c r="H5388" t="s">
        <v>4595</v>
      </c>
      <c r="I5388" t="s">
        <v>4596</v>
      </c>
      <c r="J5388">
        <v>1</v>
      </c>
      <c r="K5388">
        <v>-190.667</v>
      </c>
      <c r="L5388">
        <v>-169.042</v>
      </c>
      <c r="M5388">
        <v>-158.45699999999999</v>
      </c>
      <c r="N5388">
        <v>-143.017</v>
      </c>
      <c r="O5388">
        <v>-148.07400000000001</v>
      </c>
      <c r="P5388">
        <v>-141.452</v>
      </c>
      <c r="Q5388">
        <v>-138.785</v>
      </c>
      <c r="R5388">
        <v>-137.63999999999999</v>
      </c>
      <c r="S5388">
        <v>-136.95099999999999</v>
      </c>
      <c r="T5388">
        <v>-136.24799999999999</v>
      </c>
      <c r="U5388">
        <v>-136.536</v>
      </c>
      <c r="V5388">
        <v>-136.80000000000001</v>
      </c>
      <c r="W5388">
        <v>-137.03700000000001</v>
      </c>
      <c r="X5388">
        <v>-137.238</v>
      </c>
      <c r="Y5388">
        <v>-137.40100000000001</v>
      </c>
      <c r="Z5388">
        <v>-137.524</v>
      </c>
      <c r="AA5388">
        <v>-137.602</v>
      </c>
      <c r="AB5388">
        <v>-137.631</v>
      </c>
      <c r="AC5388">
        <v>-137.60599999999999</v>
      </c>
      <c r="AD5388">
        <v>-137.59399999999999</v>
      </c>
    </row>
    <row r="5389" spans="2:30" x14ac:dyDescent="0.25">
      <c r="B5389" t="s">
        <v>133</v>
      </c>
      <c r="C5389" t="s">
        <v>10598</v>
      </c>
      <c r="D5389" t="s">
        <v>4618</v>
      </c>
      <c r="E5389" t="s">
        <v>4619</v>
      </c>
      <c r="F5389" t="s">
        <v>10840</v>
      </c>
      <c r="G5389" t="s">
        <v>3890</v>
      </c>
      <c r="H5389" t="s">
        <v>4595</v>
      </c>
      <c r="I5389" t="s">
        <v>4596</v>
      </c>
      <c r="J5389">
        <v>1</v>
      </c>
      <c r="K5389">
        <v>3.4550000000000001</v>
      </c>
      <c r="L5389">
        <v>2.194</v>
      </c>
      <c r="M5389">
        <v>1.6850000000000001</v>
      </c>
      <c r="N5389">
        <v>1.6850000000000001</v>
      </c>
      <c r="O5389">
        <v>1.6850000000000001</v>
      </c>
      <c r="P5389">
        <v>1.6850000000000001</v>
      </c>
      <c r="Q5389">
        <v>1.6839999999999999</v>
      </c>
      <c r="R5389">
        <v>1.6850000000000001</v>
      </c>
      <c r="S5389">
        <v>1.6850000000000001</v>
      </c>
      <c r="T5389">
        <v>1.6850000000000001</v>
      </c>
      <c r="U5389">
        <v>1.6850000000000001</v>
      </c>
      <c r="V5389">
        <v>1.6850000000000001</v>
      </c>
      <c r="W5389">
        <v>1.6850000000000001</v>
      </c>
      <c r="X5389">
        <v>1.6850000000000001</v>
      </c>
      <c r="Y5389">
        <v>1.6850000000000001</v>
      </c>
      <c r="Z5389">
        <v>1.6850000000000001</v>
      </c>
      <c r="AA5389">
        <v>1.6850000000000001</v>
      </c>
      <c r="AB5389">
        <v>1.6850000000000001</v>
      </c>
      <c r="AC5389">
        <v>1.6850000000000001</v>
      </c>
      <c r="AD5389">
        <v>1.6850000000000001</v>
      </c>
    </row>
    <row r="5390" spans="2:30" x14ac:dyDescent="0.25">
      <c r="B5390" t="s">
        <v>133</v>
      </c>
      <c r="C5390" t="s">
        <v>10598</v>
      </c>
      <c r="D5390" t="s">
        <v>4621</v>
      </c>
      <c r="E5390" t="s">
        <v>4622</v>
      </c>
      <c r="F5390" t="s">
        <v>10841</v>
      </c>
      <c r="G5390" t="s">
        <v>3890</v>
      </c>
      <c r="H5390" t="s">
        <v>4595</v>
      </c>
      <c r="I5390" t="s">
        <v>4596</v>
      </c>
      <c r="J5390">
        <v>1</v>
      </c>
      <c r="K5390">
        <v>-152.46100000000001</v>
      </c>
      <c r="L5390">
        <v>-120.94499999999999</v>
      </c>
      <c r="M5390">
        <v>-111.26300000000001</v>
      </c>
      <c r="N5390">
        <v>-112.407</v>
      </c>
      <c r="O5390">
        <v>-113.029</v>
      </c>
      <c r="P5390">
        <v>-110.724</v>
      </c>
      <c r="Q5390">
        <v>-108.077</v>
      </c>
      <c r="R5390">
        <v>-106.917</v>
      </c>
      <c r="S5390">
        <v>-106.41</v>
      </c>
      <c r="T5390">
        <v>-105.999</v>
      </c>
      <c r="U5390">
        <v>-105.736</v>
      </c>
      <c r="V5390">
        <v>-105.462</v>
      </c>
      <c r="W5390">
        <v>-105.2</v>
      </c>
      <c r="X5390">
        <v>-104.928</v>
      </c>
      <c r="Y5390">
        <v>-104.7</v>
      </c>
      <c r="Z5390">
        <v>-104.488</v>
      </c>
      <c r="AA5390">
        <v>-104.265</v>
      </c>
      <c r="AB5390">
        <v>-104.119</v>
      </c>
      <c r="AC5390">
        <v>-103.863</v>
      </c>
      <c r="AD5390">
        <v>-103.81399999999999</v>
      </c>
    </row>
    <row r="5391" spans="2:30" x14ac:dyDescent="0.25">
      <c r="B5391" t="s">
        <v>133</v>
      </c>
      <c r="C5391" t="s">
        <v>10598</v>
      </c>
      <c r="D5391" t="s">
        <v>4624</v>
      </c>
      <c r="E5391" t="s">
        <v>4625</v>
      </c>
      <c r="F5391" t="s">
        <v>10842</v>
      </c>
      <c r="G5391" t="s">
        <v>3890</v>
      </c>
      <c r="H5391" t="s">
        <v>4595</v>
      </c>
      <c r="I5391" t="s">
        <v>4596</v>
      </c>
      <c r="J5391">
        <v>1</v>
      </c>
      <c r="K5391">
        <v>-214.952</v>
      </c>
      <c r="L5391">
        <v>-225.435</v>
      </c>
      <c r="M5391">
        <v>-231.316</v>
      </c>
      <c r="N5391">
        <v>-185.77</v>
      </c>
      <c r="O5391">
        <v>-198.422</v>
      </c>
      <c r="P5391">
        <v>-179.35</v>
      </c>
      <c r="Q5391">
        <v>-174.102</v>
      </c>
      <c r="R5391">
        <v>-171.45699999999999</v>
      </c>
      <c r="S5391">
        <v>-169.14400000000001</v>
      </c>
      <c r="T5391">
        <v>-166.631</v>
      </c>
      <c r="U5391">
        <v>-166.631</v>
      </c>
      <c r="V5391">
        <v>-166.631</v>
      </c>
      <c r="W5391">
        <v>-166.631</v>
      </c>
      <c r="X5391">
        <v>-166.631</v>
      </c>
      <c r="Y5391">
        <v>-166.631</v>
      </c>
      <c r="Z5391">
        <v>-166.631</v>
      </c>
      <c r="AA5391">
        <v>-166.631</v>
      </c>
      <c r="AB5391">
        <v>-166.631</v>
      </c>
      <c r="AC5391">
        <v>-166.631</v>
      </c>
      <c r="AD5391">
        <v>-166.631</v>
      </c>
    </row>
    <row r="5392" spans="2:30" x14ac:dyDescent="0.25">
      <c r="B5392" t="s">
        <v>133</v>
      </c>
      <c r="C5392" t="s">
        <v>10598</v>
      </c>
      <c r="D5392" t="s">
        <v>4627</v>
      </c>
      <c r="E5392" t="s">
        <v>4628</v>
      </c>
      <c r="F5392" t="s">
        <v>10843</v>
      </c>
      <c r="G5392" t="s">
        <v>3890</v>
      </c>
      <c r="H5392" t="s">
        <v>4595</v>
      </c>
      <c r="I5392" t="s">
        <v>4596</v>
      </c>
      <c r="J5392">
        <v>1</v>
      </c>
      <c r="K5392">
        <v>-252.76300000000001</v>
      </c>
      <c r="L5392">
        <v>-218.88200000000001</v>
      </c>
      <c r="M5392">
        <v>-201.67699999999999</v>
      </c>
      <c r="N5392">
        <v>-165.696</v>
      </c>
      <c r="O5392">
        <v>-175.69200000000001</v>
      </c>
      <c r="P5392">
        <v>-160.624</v>
      </c>
      <c r="Q5392">
        <v>-156.47900000000001</v>
      </c>
      <c r="R5392">
        <v>-154.38900000000001</v>
      </c>
      <c r="S5392">
        <v>-152.56200000000001</v>
      </c>
      <c r="T5392">
        <v>-150.577</v>
      </c>
      <c r="U5392">
        <v>-150.577</v>
      </c>
      <c r="V5392">
        <v>-150.577</v>
      </c>
      <c r="W5392">
        <v>-150.577</v>
      </c>
      <c r="X5392">
        <v>-150.577</v>
      </c>
      <c r="Y5392">
        <v>-150.577</v>
      </c>
      <c r="Z5392">
        <v>-150.577</v>
      </c>
      <c r="AA5392">
        <v>-150.577</v>
      </c>
      <c r="AB5392">
        <v>-150.577</v>
      </c>
      <c r="AC5392">
        <v>-150.577</v>
      </c>
      <c r="AD5392">
        <v>-150.577</v>
      </c>
    </row>
    <row r="5393" spans="2:30" x14ac:dyDescent="0.25">
      <c r="B5393" t="s">
        <v>133</v>
      </c>
      <c r="C5393" t="s">
        <v>10598</v>
      </c>
      <c r="D5393" t="s">
        <v>4630</v>
      </c>
      <c r="E5393" t="s">
        <v>4631</v>
      </c>
      <c r="F5393" t="s">
        <v>10844</v>
      </c>
      <c r="G5393" t="s">
        <v>3890</v>
      </c>
      <c r="H5393" t="s">
        <v>4595</v>
      </c>
      <c r="I5393" t="s">
        <v>4596</v>
      </c>
      <c r="J5393">
        <v>1</v>
      </c>
      <c r="K5393">
        <v>-333.09699999999998</v>
      </c>
      <c r="L5393">
        <v>-314.64999999999998</v>
      </c>
      <c r="M5393">
        <v>-300.01</v>
      </c>
      <c r="N5393">
        <v>-260.95699999999999</v>
      </c>
      <c r="O5393">
        <v>-271.80599999999998</v>
      </c>
      <c r="P5393">
        <v>-255.452</v>
      </c>
      <c r="Q5393">
        <v>-250.953</v>
      </c>
      <c r="R5393">
        <v>-248.685</v>
      </c>
      <c r="S5393">
        <v>-246.702</v>
      </c>
      <c r="T5393">
        <v>-244.547</v>
      </c>
      <c r="U5393">
        <v>-244.547</v>
      </c>
      <c r="V5393">
        <v>-244.547</v>
      </c>
      <c r="W5393">
        <v>-244.547</v>
      </c>
      <c r="X5393">
        <v>-244.547</v>
      </c>
      <c r="Y5393">
        <v>-244.547</v>
      </c>
      <c r="Z5393">
        <v>-244.547</v>
      </c>
      <c r="AA5393">
        <v>-244.547</v>
      </c>
      <c r="AB5393">
        <v>-244.547</v>
      </c>
      <c r="AC5393">
        <v>-244.547</v>
      </c>
      <c r="AD5393">
        <v>-244.547</v>
      </c>
    </row>
    <row r="5394" spans="2:30" x14ac:dyDescent="0.25">
      <c r="B5394" t="s">
        <v>133</v>
      </c>
      <c r="C5394" t="s">
        <v>10598</v>
      </c>
      <c r="D5394" t="s">
        <v>4633</v>
      </c>
      <c r="E5394" t="s">
        <v>4634</v>
      </c>
      <c r="F5394" t="s">
        <v>10845</v>
      </c>
      <c r="G5394" t="s">
        <v>3890</v>
      </c>
      <c r="H5394" t="s">
        <v>4595</v>
      </c>
      <c r="I5394" t="s">
        <v>4596</v>
      </c>
      <c r="J5394">
        <v>1</v>
      </c>
      <c r="K5394">
        <v>-161.07599999999999</v>
      </c>
      <c r="L5394">
        <v>-186.827</v>
      </c>
      <c r="M5394">
        <v>-189.61500000000001</v>
      </c>
      <c r="N5394">
        <v>-155.803</v>
      </c>
      <c r="O5394">
        <v>-165.196</v>
      </c>
      <c r="P5394">
        <v>-151.03700000000001</v>
      </c>
      <c r="Q5394">
        <v>-147.291</v>
      </c>
      <c r="R5394">
        <v>-145.465</v>
      </c>
      <c r="S5394">
        <v>-143.95099999999999</v>
      </c>
      <c r="T5394">
        <v>-142.21299999999999</v>
      </c>
      <c r="U5394">
        <v>-142.46899999999999</v>
      </c>
      <c r="V5394">
        <v>-142.59200000000001</v>
      </c>
      <c r="W5394">
        <v>-142.87799999999999</v>
      </c>
      <c r="X5394">
        <v>-142.96600000000001</v>
      </c>
      <c r="Y5394">
        <v>-142.81100000000001</v>
      </c>
      <c r="Z5394">
        <v>-143.00800000000001</v>
      </c>
      <c r="AA5394">
        <v>-142.565</v>
      </c>
      <c r="AB5394">
        <v>-143.137</v>
      </c>
      <c r="AC5394">
        <v>-142.346</v>
      </c>
      <c r="AD5394">
        <v>-141.595</v>
      </c>
    </row>
    <row r="5395" spans="2:30" x14ac:dyDescent="0.25">
      <c r="B5395" t="s">
        <v>133</v>
      </c>
      <c r="C5395" t="s">
        <v>10598</v>
      </c>
      <c r="D5395" t="s">
        <v>4636</v>
      </c>
      <c r="E5395" t="s">
        <v>4637</v>
      </c>
      <c r="F5395" t="s">
        <v>10846</v>
      </c>
      <c r="G5395" t="s">
        <v>3890</v>
      </c>
      <c r="H5395" t="s">
        <v>4595</v>
      </c>
      <c r="I5395" t="s">
        <v>4596</v>
      </c>
      <c r="J5395">
        <v>1</v>
      </c>
      <c r="K5395">
        <v>-177.77199999999999</v>
      </c>
      <c r="L5395">
        <v>-146.50299999999999</v>
      </c>
      <c r="M5395">
        <v>-145.78299999999999</v>
      </c>
      <c r="N5395">
        <v>-145.78299999999999</v>
      </c>
      <c r="O5395">
        <v>-145.78299999999999</v>
      </c>
      <c r="P5395">
        <v>-145.78299999999999</v>
      </c>
      <c r="Q5395">
        <v>-145.78299999999999</v>
      </c>
      <c r="R5395">
        <v>-145.78299999999999</v>
      </c>
      <c r="S5395">
        <v>-145.78299999999999</v>
      </c>
      <c r="T5395">
        <v>-145.78299999999999</v>
      </c>
      <c r="U5395">
        <v>-145.78299999999999</v>
      </c>
      <c r="V5395">
        <v>-145.78299999999999</v>
      </c>
      <c r="W5395">
        <v>-145.78299999999999</v>
      </c>
      <c r="X5395">
        <v>-145.78299999999999</v>
      </c>
      <c r="Y5395">
        <v>-145.78299999999999</v>
      </c>
      <c r="Z5395">
        <v>-145.78299999999999</v>
      </c>
      <c r="AA5395">
        <v>-145.78299999999999</v>
      </c>
      <c r="AB5395">
        <v>-145.78299999999999</v>
      </c>
      <c r="AC5395">
        <v>-145.78299999999999</v>
      </c>
      <c r="AD5395">
        <v>-145.78299999999999</v>
      </c>
    </row>
    <row r="5396" spans="2:30" x14ac:dyDescent="0.25">
      <c r="B5396" t="s">
        <v>133</v>
      </c>
      <c r="C5396" t="s">
        <v>10598</v>
      </c>
      <c r="D5396" t="s">
        <v>4639</v>
      </c>
      <c r="E5396" t="s">
        <v>4640</v>
      </c>
      <c r="F5396" t="s">
        <v>10847</v>
      </c>
      <c r="G5396" t="s">
        <v>3890</v>
      </c>
      <c r="H5396" t="s">
        <v>4595</v>
      </c>
      <c r="I5396" t="s">
        <v>4596</v>
      </c>
      <c r="J5396">
        <v>2</v>
      </c>
      <c r="K5396">
        <v>-190.667</v>
      </c>
      <c r="L5396">
        <v>-169.042</v>
      </c>
      <c r="M5396">
        <v>-158.45699999999999</v>
      </c>
      <c r="N5396">
        <v>-143.017</v>
      </c>
      <c r="O5396">
        <v>-148.07400000000001</v>
      </c>
      <c r="P5396">
        <v>-141.489</v>
      </c>
      <c r="Q5396">
        <v>-139.18299999999999</v>
      </c>
      <c r="R5396">
        <v>-138.13300000000001</v>
      </c>
      <c r="S5396">
        <v>-137.518</v>
      </c>
      <c r="T5396">
        <v>-136.90299999999999</v>
      </c>
      <c r="U5396">
        <v>-137.22</v>
      </c>
      <c r="V5396">
        <v>-137.61199999999999</v>
      </c>
      <c r="W5396">
        <v>-137.83500000000001</v>
      </c>
      <c r="X5396">
        <v>-138.18600000000001</v>
      </c>
      <c r="Y5396">
        <v>-138.35400000000001</v>
      </c>
      <c r="Z5396">
        <v>-138.44999999999999</v>
      </c>
      <c r="AA5396">
        <v>-138.68899999999999</v>
      </c>
      <c r="AB5396">
        <v>-138.44399999999999</v>
      </c>
      <c r="AC5396">
        <v>-138.95699999999999</v>
      </c>
      <c r="AD5396">
        <v>-138.27199999999999</v>
      </c>
    </row>
    <row r="5397" spans="2:30" x14ac:dyDescent="0.25">
      <c r="B5397" t="s">
        <v>133</v>
      </c>
      <c r="C5397" t="s">
        <v>10598</v>
      </c>
      <c r="D5397" t="s">
        <v>4642</v>
      </c>
      <c r="E5397" t="s">
        <v>4643</v>
      </c>
      <c r="F5397" t="s">
        <v>10848</v>
      </c>
      <c r="G5397" t="s">
        <v>3890</v>
      </c>
      <c r="H5397" t="s">
        <v>4645</v>
      </c>
      <c r="I5397" t="s">
        <v>4646</v>
      </c>
      <c r="J5397">
        <v>2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  <c r="W5397" t="e">
        <v>#N/A</v>
      </c>
      <c r="X5397" t="e">
        <v>#N/A</v>
      </c>
      <c r="Y5397" t="e">
        <v>#N/A</v>
      </c>
      <c r="Z5397" t="e">
        <v>#N/A</v>
      </c>
      <c r="AA5397" t="e">
        <v>#N/A</v>
      </c>
      <c r="AB5397" t="e">
        <v>#N/A</v>
      </c>
      <c r="AC5397" t="e">
        <v>#N/A</v>
      </c>
      <c r="AD5397" t="e">
        <v>#N/A</v>
      </c>
    </row>
    <row r="5398" spans="2:30" x14ac:dyDescent="0.25">
      <c r="B5398" t="s">
        <v>133</v>
      </c>
      <c r="C5398" t="s">
        <v>10598</v>
      </c>
      <c r="D5398" t="s">
        <v>4647</v>
      </c>
      <c r="E5398" t="s">
        <v>4648</v>
      </c>
      <c r="F5398" t="s">
        <v>10849</v>
      </c>
      <c r="G5398" t="s">
        <v>3890</v>
      </c>
      <c r="H5398" t="s">
        <v>4394</v>
      </c>
      <c r="I5398" t="s">
        <v>4646</v>
      </c>
      <c r="J5398">
        <v>2</v>
      </c>
      <c r="K5398">
        <v>0.96299999999999997</v>
      </c>
      <c r="L5398">
        <v>0.81799999999999995</v>
      </c>
      <c r="M5398">
        <v>0.76400000000000001</v>
      </c>
      <c r="N5398">
        <v>0.67100000000000004</v>
      </c>
      <c r="O5398">
        <v>0.69699999999999995</v>
      </c>
      <c r="P5398">
        <v>0.65800000000000003</v>
      </c>
      <c r="Q5398">
        <v>0.64700000000000002</v>
      </c>
      <c r="R5398">
        <v>0.64200000000000002</v>
      </c>
      <c r="S5398">
        <v>0.63700000000000001</v>
      </c>
      <c r="T5398">
        <v>0.63200000000000001</v>
      </c>
      <c r="U5398">
        <v>0.63200000000000001</v>
      </c>
      <c r="V5398">
        <v>0.63200000000000001</v>
      </c>
      <c r="W5398">
        <v>0.63200000000000001</v>
      </c>
      <c r="X5398">
        <v>0.63200000000000001</v>
      </c>
      <c r="Y5398">
        <v>0.63200000000000001</v>
      </c>
      <c r="Z5398">
        <v>0.63200000000000001</v>
      </c>
      <c r="AA5398">
        <v>0.63200000000000001</v>
      </c>
      <c r="AB5398">
        <v>0.63200000000000001</v>
      </c>
      <c r="AC5398">
        <v>0.63200000000000001</v>
      </c>
      <c r="AD5398">
        <v>0.63200000000000001</v>
      </c>
    </row>
    <row r="5399" spans="2:30" x14ac:dyDescent="0.25">
      <c r="B5399" t="s">
        <v>133</v>
      </c>
      <c r="C5399" t="s">
        <v>10598</v>
      </c>
      <c r="D5399" t="s">
        <v>4650</v>
      </c>
      <c r="E5399" t="s">
        <v>4651</v>
      </c>
      <c r="F5399" t="s">
        <v>10850</v>
      </c>
      <c r="G5399" t="s">
        <v>3890</v>
      </c>
      <c r="H5399" t="s">
        <v>4653</v>
      </c>
      <c r="I5399" t="s">
        <v>4646</v>
      </c>
      <c r="J5399">
        <v>2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  <c r="W5399" t="e">
        <v>#N/A</v>
      </c>
      <c r="X5399" t="e">
        <v>#N/A</v>
      </c>
      <c r="Y5399" t="e">
        <v>#N/A</v>
      </c>
      <c r="Z5399" t="e">
        <v>#N/A</v>
      </c>
      <c r="AA5399" t="e">
        <v>#N/A</v>
      </c>
      <c r="AB5399" t="e">
        <v>#N/A</v>
      </c>
      <c r="AC5399" t="e">
        <v>#N/A</v>
      </c>
      <c r="AD5399" t="e">
        <v>#N/A</v>
      </c>
    </row>
    <row r="5400" spans="2:30" x14ac:dyDescent="0.25">
      <c r="B5400" t="s">
        <v>133</v>
      </c>
      <c r="C5400" t="s">
        <v>10598</v>
      </c>
      <c r="D5400" t="s">
        <v>4654</v>
      </c>
      <c r="E5400" t="s">
        <v>4655</v>
      </c>
      <c r="F5400" t="s">
        <v>10851</v>
      </c>
      <c r="G5400" t="s">
        <v>3890</v>
      </c>
      <c r="H5400" t="s">
        <v>4657</v>
      </c>
      <c r="I5400" t="s">
        <v>4646</v>
      </c>
      <c r="J5400">
        <v>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</row>
    <row r="5401" spans="2:30" x14ac:dyDescent="0.25">
      <c r="B5401" t="s">
        <v>133</v>
      </c>
      <c r="C5401" t="s">
        <v>10598</v>
      </c>
      <c r="D5401" t="s">
        <v>4658</v>
      </c>
      <c r="E5401" t="s">
        <v>4659</v>
      </c>
      <c r="F5401" t="s">
        <v>10852</v>
      </c>
      <c r="G5401" t="s">
        <v>3890</v>
      </c>
      <c r="H5401" t="s">
        <v>4661</v>
      </c>
      <c r="I5401" t="s">
        <v>4646</v>
      </c>
      <c r="J5401">
        <v>2</v>
      </c>
      <c r="K5401">
        <v>3.5999999999999997E-2</v>
      </c>
      <c r="L5401">
        <v>3.7999999999999999E-2</v>
      </c>
      <c r="M5401">
        <v>3.6999999999999998E-2</v>
      </c>
      <c r="N5401">
        <v>0.04</v>
      </c>
      <c r="O5401">
        <v>4.2000000000000003E-2</v>
      </c>
      <c r="P5401">
        <v>4.5999999999999999E-2</v>
      </c>
      <c r="Q5401">
        <v>4.9000000000000002E-2</v>
      </c>
      <c r="R5401">
        <v>5.2999999999999999E-2</v>
      </c>
      <c r="S5401">
        <v>5.7000000000000002E-2</v>
      </c>
      <c r="T5401">
        <v>6.2E-2</v>
      </c>
      <c r="U5401">
        <v>6.6000000000000003E-2</v>
      </c>
      <c r="V5401">
        <v>7.0999999999999994E-2</v>
      </c>
      <c r="W5401">
        <v>7.6999999999999999E-2</v>
      </c>
      <c r="X5401">
        <v>8.2000000000000003E-2</v>
      </c>
      <c r="Y5401">
        <v>8.7999999999999995E-2</v>
      </c>
      <c r="Z5401">
        <v>9.5000000000000001E-2</v>
      </c>
      <c r="AA5401">
        <v>0.10199999999999999</v>
      </c>
      <c r="AB5401">
        <v>0.109</v>
      </c>
      <c r="AC5401">
        <v>0.11700000000000001</v>
      </c>
      <c r="AD5401">
        <v>0.126</v>
      </c>
    </row>
    <row r="5402" spans="2:30" x14ac:dyDescent="0.25">
      <c r="B5402" t="s">
        <v>133</v>
      </c>
      <c r="C5402" t="s">
        <v>10598</v>
      </c>
      <c r="D5402" t="s">
        <v>4662</v>
      </c>
      <c r="E5402" t="s">
        <v>4663</v>
      </c>
      <c r="F5402" t="s">
        <v>10853</v>
      </c>
      <c r="G5402" t="s">
        <v>3890</v>
      </c>
      <c r="H5402" t="s">
        <v>4665</v>
      </c>
      <c r="I5402" t="s">
        <v>4646</v>
      </c>
      <c r="J5402">
        <v>2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</row>
    <row r="5403" spans="2:30" x14ac:dyDescent="0.25">
      <c r="B5403" t="s">
        <v>133</v>
      </c>
      <c r="C5403" t="s">
        <v>10598</v>
      </c>
      <c r="D5403" t="s">
        <v>4666</v>
      </c>
      <c r="E5403" t="s">
        <v>4667</v>
      </c>
      <c r="F5403" t="s">
        <v>10854</v>
      </c>
      <c r="G5403" t="s">
        <v>3890</v>
      </c>
      <c r="H5403" t="s">
        <v>4669</v>
      </c>
      <c r="I5403" t="s">
        <v>4646</v>
      </c>
      <c r="J5403">
        <v>2</v>
      </c>
      <c r="K5403">
        <v>0.129</v>
      </c>
      <c r="L5403">
        <v>0.13400000000000001</v>
      </c>
      <c r="M5403">
        <v>0.14000000000000001</v>
      </c>
      <c r="N5403">
        <v>0.14499999999999999</v>
      </c>
      <c r="O5403">
        <v>0.151</v>
      </c>
      <c r="P5403">
        <v>0.157</v>
      </c>
      <c r="Q5403">
        <v>0.16300000000000001</v>
      </c>
      <c r="R5403">
        <v>0.17</v>
      </c>
      <c r="S5403">
        <v>0.17699999999999999</v>
      </c>
      <c r="T5403">
        <v>0.184</v>
      </c>
      <c r="U5403">
        <v>0.191</v>
      </c>
      <c r="V5403">
        <v>0.19900000000000001</v>
      </c>
      <c r="W5403">
        <v>0.20699999999999999</v>
      </c>
      <c r="X5403">
        <v>0.215</v>
      </c>
      <c r="Y5403">
        <v>0.224</v>
      </c>
      <c r="Z5403">
        <v>0.23300000000000001</v>
      </c>
      <c r="AA5403">
        <v>0.24199999999999999</v>
      </c>
      <c r="AB5403">
        <v>0.251</v>
      </c>
      <c r="AC5403">
        <v>0.26200000000000001</v>
      </c>
      <c r="AD5403">
        <v>0.27200000000000002</v>
      </c>
    </row>
    <row r="5404" spans="2:30" x14ac:dyDescent="0.25">
      <c r="B5404" t="s">
        <v>133</v>
      </c>
      <c r="C5404" t="s">
        <v>10598</v>
      </c>
      <c r="D5404" t="s">
        <v>4670</v>
      </c>
      <c r="E5404" t="s">
        <v>4671</v>
      </c>
      <c r="F5404" t="s">
        <v>10855</v>
      </c>
      <c r="G5404" t="s">
        <v>3890</v>
      </c>
      <c r="H5404" t="s">
        <v>4673</v>
      </c>
      <c r="I5404" t="s">
        <v>4646</v>
      </c>
      <c r="J5404">
        <v>2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  <c r="W5404" t="e">
        <v>#N/A</v>
      </c>
      <c r="X5404" t="e">
        <v>#N/A</v>
      </c>
      <c r="Y5404" t="e">
        <v>#N/A</v>
      </c>
      <c r="Z5404" t="e">
        <v>#N/A</v>
      </c>
      <c r="AA5404" t="e">
        <v>#N/A</v>
      </c>
      <c r="AB5404" t="e">
        <v>#N/A</v>
      </c>
      <c r="AC5404" t="e">
        <v>#N/A</v>
      </c>
      <c r="AD5404" t="e">
        <v>#N/A</v>
      </c>
    </row>
    <row r="5405" spans="2:30" x14ac:dyDescent="0.25">
      <c r="B5405" t="s">
        <v>133</v>
      </c>
      <c r="C5405" t="s">
        <v>10598</v>
      </c>
      <c r="D5405" t="s">
        <v>4674</v>
      </c>
      <c r="E5405" t="s">
        <v>4675</v>
      </c>
      <c r="F5405" t="s">
        <v>10856</v>
      </c>
      <c r="G5405" t="s">
        <v>3890</v>
      </c>
      <c r="H5405" t="s">
        <v>4677</v>
      </c>
      <c r="I5405" t="s">
        <v>4646</v>
      </c>
      <c r="J5405">
        <v>2</v>
      </c>
      <c r="K5405">
        <v>0.6</v>
      </c>
      <c r="L5405">
        <v>0.41099999999999998</v>
      </c>
      <c r="M5405">
        <v>0.33500000000000002</v>
      </c>
      <c r="N5405">
        <v>0.33500000000000002</v>
      </c>
      <c r="O5405">
        <v>0.33500000000000002</v>
      </c>
      <c r="P5405">
        <v>0.33500000000000002</v>
      </c>
      <c r="Q5405">
        <v>0.33500000000000002</v>
      </c>
      <c r="R5405">
        <v>0.33500000000000002</v>
      </c>
      <c r="S5405">
        <v>0.33500000000000002</v>
      </c>
      <c r="T5405">
        <v>0.33500000000000002</v>
      </c>
      <c r="U5405">
        <v>0.33500000000000002</v>
      </c>
      <c r="V5405">
        <v>0.33500000000000002</v>
      </c>
      <c r="W5405">
        <v>0.33500000000000002</v>
      </c>
      <c r="X5405">
        <v>0.33500000000000002</v>
      </c>
      <c r="Y5405">
        <v>0.33500000000000002</v>
      </c>
      <c r="Z5405">
        <v>0.33500000000000002</v>
      </c>
      <c r="AA5405">
        <v>0.33500000000000002</v>
      </c>
      <c r="AB5405">
        <v>0.33500000000000002</v>
      </c>
      <c r="AC5405">
        <v>0.33500000000000002</v>
      </c>
      <c r="AD5405">
        <v>0.33500000000000002</v>
      </c>
    </row>
    <row r="5406" spans="2:30" x14ac:dyDescent="0.25">
      <c r="B5406" t="s">
        <v>133</v>
      </c>
      <c r="C5406" t="s">
        <v>10598</v>
      </c>
      <c r="D5406" t="s">
        <v>4678</v>
      </c>
      <c r="E5406" t="s">
        <v>4679</v>
      </c>
      <c r="F5406" t="s">
        <v>10857</v>
      </c>
      <c r="G5406" t="s">
        <v>3890</v>
      </c>
      <c r="H5406" t="s">
        <v>4681</v>
      </c>
      <c r="I5406" t="s">
        <v>4646</v>
      </c>
      <c r="J5406">
        <v>2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  <c r="W5406" t="e">
        <v>#N/A</v>
      </c>
      <c r="X5406" t="e">
        <v>#N/A</v>
      </c>
      <c r="Y5406" t="e">
        <v>#N/A</v>
      </c>
      <c r="Z5406" t="e">
        <v>#N/A</v>
      </c>
      <c r="AA5406" t="e">
        <v>#N/A</v>
      </c>
      <c r="AB5406" t="e">
        <v>#N/A</v>
      </c>
      <c r="AC5406" t="e">
        <v>#N/A</v>
      </c>
      <c r="AD5406" t="e">
        <v>#N/A</v>
      </c>
    </row>
    <row r="5407" spans="2:30" x14ac:dyDescent="0.25">
      <c r="B5407" t="s">
        <v>133</v>
      </c>
      <c r="C5407" t="s">
        <v>10598</v>
      </c>
      <c r="D5407" t="s">
        <v>4682</v>
      </c>
      <c r="E5407" t="s">
        <v>4461</v>
      </c>
      <c r="F5407" t="s">
        <v>10789</v>
      </c>
      <c r="G5407" t="s">
        <v>3890</v>
      </c>
      <c r="H5407" t="s">
        <v>4435</v>
      </c>
      <c r="I5407" t="s">
        <v>4646</v>
      </c>
      <c r="J5407">
        <v>1</v>
      </c>
      <c r="K5407">
        <v>-0.36299999999999999</v>
      </c>
      <c r="L5407">
        <v>-0.40699999999999997</v>
      </c>
      <c r="M5407">
        <v>-0.42799999999999999</v>
      </c>
      <c r="N5407">
        <v>-0.33600000000000002</v>
      </c>
      <c r="O5407">
        <v>-0.36199999999999999</v>
      </c>
      <c r="P5407">
        <v>-0.32300000000000001</v>
      </c>
      <c r="Q5407">
        <v>-0.312</v>
      </c>
      <c r="R5407">
        <v>-0.307</v>
      </c>
      <c r="S5407">
        <v>-0.30199999999999999</v>
      </c>
      <c r="T5407">
        <v>-0.29699999999999999</v>
      </c>
      <c r="U5407">
        <v>-0.29699999999999999</v>
      </c>
      <c r="V5407">
        <v>-0.29699999999999999</v>
      </c>
      <c r="W5407">
        <v>-0.29699999999999999</v>
      </c>
      <c r="X5407">
        <v>-0.29699999999999999</v>
      </c>
      <c r="Y5407">
        <v>-0.29699999999999999</v>
      </c>
      <c r="Z5407">
        <v>-0.29699999999999999</v>
      </c>
      <c r="AA5407">
        <v>-0.29699999999999999</v>
      </c>
      <c r="AB5407">
        <v>-0.29699999999999999</v>
      </c>
      <c r="AC5407">
        <v>-0.29699999999999999</v>
      </c>
      <c r="AD5407">
        <v>-0.29699999999999999</v>
      </c>
    </row>
    <row r="5408" spans="2:30" x14ac:dyDescent="0.25">
      <c r="B5408" t="s">
        <v>133</v>
      </c>
      <c r="C5408" t="s">
        <v>10598</v>
      </c>
      <c r="D5408" t="s">
        <v>4683</v>
      </c>
      <c r="E5408" t="s">
        <v>4684</v>
      </c>
      <c r="F5408" t="s">
        <v>10858</v>
      </c>
      <c r="G5408" t="s">
        <v>3890</v>
      </c>
      <c r="H5408" t="s">
        <v>4686</v>
      </c>
      <c r="I5408" t="s">
        <v>4687</v>
      </c>
      <c r="J5408">
        <v>1</v>
      </c>
      <c r="K5408">
        <v>-153.93799999999999</v>
      </c>
      <c r="L5408">
        <v>-172.86199999999999</v>
      </c>
      <c r="M5408">
        <v>-181.86</v>
      </c>
      <c r="N5408">
        <v>-142.61199999999999</v>
      </c>
      <c r="O5408">
        <v>-153.51499999999999</v>
      </c>
      <c r="P5408">
        <v>-137.08000000000001</v>
      </c>
      <c r="Q5408">
        <v>-132.55799999999999</v>
      </c>
      <c r="R5408">
        <v>-130.279</v>
      </c>
      <c r="S5408">
        <v>-128.285</v>
      </c>
      <c r="T5408">
        <v>-126.12</v>
      </c>
      <c r="U5408">
        <v>-126.12</v>
      </c>
      <c r="V5408">
        <v>-126.12</v>
      </c>
      <c r="W5408">
        <v>-126.12</v>
      </c>
      <c r="X5408">
        <v>-126.12</v>
      </c>
      <c r="Y5408">
        <v>-126.12</v>
      </c>
      <c r="Z5408">
        <v>-126.12</v>
      </c>
      <c r="AA5408">
        <v>-126.12</v>
      </c>
      <c r="AB5408">
        <v>-126.12</v>
      </c>
      <c r="AC5408">
        <v>-126.12</v>
      </c>
      <c r="AD5408">
        <v>-126.12</v>
      </c>
    </row>
    <row r="5409" spans="2:30" x14ac:dyDescent="0.25">
      <c r="B5409" t="s">
        <v>133</v>
      </c>
      <c r="C5409" t="s">
        <v>10598</v>
      </c>
      <c r="D5409" t="s">
        <v>4688</v>
      </c>
      <c r="E5409" t="s">
        <v>4689</v>
      </c>
      <c r="F5409" t="s">
        <v>10859</v>
      </c>
      <c r="G5409" t="s">
        <v>3890</v>
      </c>
      <c r="H5409" t="s">
        <v>4691</v>
      </c>
      <c r="I5409" t="s">
        <v>4646</v>
      </c>
      <c r="J5409">
        <v>2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  <c r="W5409" t="e">
        <v>#N/A</v>
      </c>
      <c r="X5409" t="e">
        <v>#N/A</v>
      </c>
      <c r="Y5409" t="e">
        <v>#N/A</v>
      </c>
      <c r="Z5409" t="e">
        <v>#N/A</v>
      </c>
      <c r="AA5409" t="e">
        <v>#N/A</v>
      </c>
      <c r="AB5409" t="e">
        <v>#N/A</v>
      </c>
      <c r="AC5409" t="e">
        <v>#N/A</v>
      </c>
      <c r="AD5409" t="e">
        <v>#N/A</v>
      </c>
    </row>
    <row r="5410" spans="2:30" x14ac:dyDescent="0.25">
      <c r="B5410" t="s">
        <v>133</v>
      </c>
      <c r="C5410" t="s">
        <v>10598</v>
      </c>
      <c r="D5410" t="s">
        <v>4692</v>
      </c>
      <c r="E5410" t="s">
        <v>4693</v>
      </c>
      <c r="F5410" t="s">
        <v>10860</v>
      </c>
      <c r="G5410" t="s">
        <v>3890</v>
      </c>
      <c r="H5410" t="s">
        <v>4695</v>
      </c>
      <c r="I5410" t="s">
        <v>4687</v>
      </c>
      <c r="J5410">
        <v>2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</row>
    <row r="5411" spans="2:30" x14ac:dyDescent="0.25">
      <c r="B5411" t="s">
        <v>133</v>
      </c>
      <c r="C5411" t="s">
        <v>10598</v>
      </c>
      <c r="D5411" t="s">
        <v>4696</v>
      </c>
      <c r="E5411" t="s">
        <v>4697</v>
      </c>
      <c r="F5411" t="s">
        <v>10861</v>
      </c>
      <c r="G5411" t="s">
        <v>3890</v>
      </c>
      <c r="H5411" t="s">
        <v>4645</v>
      </c>
      <c r="I5411" t="s">
        <v>4646</v>
      </c>
      <c r="J5411">
        <v>2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  <c r="W5411" t="e">
        <v>#N/A</v>
      </c>
      <c r="X5411" t="e">
        <v>#N/A</v>
      </c>
      <c r="Y5411" t="e">
        <v>#N/A</v>
      </c>
      <c r="Z5411" t="e">
        <v>#N/A</v>
      </c>
      <c r="AA5411" t="e">
        <v>#N/A</v>
      </c>
      <c r="AB5411" t="e">
        <v>#N/A</v>
      </c>
      <c r="AC5411" t="e">
        <v>#N/A</v>
      </c>
      <c r="AD5411" t="e">
        <v>#N/A</v>
      </c>
    </row>
    <row r="5412" spans="2:30" x14ac:dyDescent="0.25">
      <c r="B5412" t="s">
        <v>133</v>
      </c>
      <c r="C5412" t="s">
        <v>10598</v>
      </c>
      <c r="D5412" t="s">
        <v>4699</v>
      </c>
      <c r="E5412" t="s">
        <v>4700</v>
      </c>
      <c r="F5412" t="s">
        <v>10862</v>
      </c>
      <c r="G5412" t="s">
        <v>3890</v>
      </c>
      <c r="H5412" t="s">
        <v>4394</v>
      </c>
      <c r="I5412" t="s">
        <v>4646</v>
      </c>
      <c r="J5412">
        <v>2</v>
      </c>
      <c r="K5412">
        <v>1.077</v>
      </c>
      <c r="L5412">
        <v>0.85499999999999998</v>
      </c>
      <c r="M5412">
        <v>0.77800000000000002</v>
      </c>
      <c r="N5412">
        <v>0.68400000000000005</v>
      </c>
      <c r="O5412">
        <v>0.71</v>
      </c>
      <c r="P5412">
        <v>0.67</v>
      </c>
      <c r="Q5412">
        <v>0.66</v>
      </c>
      <c r="R5412">
        <v>0.65400000000000003</v>
      </c>
      <c r="S5412">
        <v>0.64900000000000002</v>
      </c>
      <c r="T5412">
        <v>0.64400000000000002</v>
      </c>
      <c r="U5412">
        <v>0.64400000000000002</v>
      </c>
      <c r="V5412">
        <v>0.64400000000000002</v>
      </c>
      <c r="W5412">
        <v>0.64400000000000002</v>
      </c>
      <c r="X5412">
        <v>0.64400000000000002</v>
      </c>
      <c r="Y5412">
        <v>0.64400000000000002</v>
      </c>
      <c r="Z5412">
        <v>0.64400000000000002</v>
      </c>
      <c r="AA5412">
        <v>0.64400000000000002</v>
      </c>
      <c r="AB5412">
        <v>0.64400000000000002</v>
      </c>
      <c r="AC5412">
        <v>0.64400000000000002</v>
      </c>
      <c r="AD5412">
        <v>0.64400000000000002</v>
      </c>
    </row>
    <row r="5413" spans="2:30" x14ac:dyDescent="0.25">
      <c r="B5413" t="s">
        <v>133</v>
      </c>
      <c r="C5413" t="s">
        <v>10598</v>
      </c>
      <c r="D5413" t="s">
        <v>4702</v>
      </c>
      <c r="E5413" t="s">
        <v>4703</v>
      </c>
      <c r="F5413" t="s">
        <v>10863</v>
      </c>
      <c r="G5413" t="s">
        <v>3890</v>
      </c>
      <c r="H5413" t="s">
        <v>4653</v>
      </c>
      <c r="I5413" t="s">
        <v>4646</v>
      </c>
      <c r="J5413">
        <v>2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  <c r="W5413" t="e">
        <v>#N/A</v>
      </c>
      <c r="X5413" t="e">
        <v>#N/A</v>
      </c>
      <c r="Y5413" t="e">
        <v>#N/A</v>
      </c>
      <c r="Z5413" t="e">
        <v>#N/A</v>
      </c>
      <c r="AA5413" t="e">
        <v>#N/A</v>
      </c>
      <c r="AB5413" t="e">
        <v>#N/A</v>
      </c>
      <c r="AC5413" t="e">
        <v>#N/A</v>
      </c>
      <c r="AD5413" t="e">
        <v>#N/A</v>
      </c>
    </row>
    <row r="5414" spans="2:30" x14ac:dyDescent="0.25">
      <c r="B5414" t="s">
        <v>133</v>
      </c>
      <c r="C5414" t="s">
        <v>10598</v>
      </c>
      <c r="D5414" t="s">
        <v>4705</v>
      </c>
      <c r="E5414" t="s">
        <v>4706</v>
      </c>
      <c r="F5414" t="s">
        <v>10864</v>
      </c>
      <c r="G5414" t="s">
        <v>3890</v>
      </c>
      <c r="H5414" t="s">
        <v>4657</v>
      </c>
      <c r="I5414" t="s">
        <v>4646</v>
      </c>
      <c r="J5414">
        <v>2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</row>
    <row r="5415" spans="2:30" x14ac:dyDescent="0.25">
      <c r="B5415" t="s">
        <v>133</v>
      </c>
      <c r="C5415" t="s">
        <v>10598</v>
      </c>
      <c r="D5415" t="s">
        <v>4708</v>
      </c>
      <c r="E5415" t="s">
        <v>4709</v>
      </c>
      <c r="F5415" t="s">
        <v>10865</v>
      </c>
      <c r="G5415" t="s">
        <v>3890</v>
      </c>
      <c r="H5415" t="s">
        <v>4661</v>
      </c>
      <c r="I5415" t="s">
        <v>4646</v>
      </c>
      <c r="J5415">
        <v>2</v>
      </c>
      <c r="K5415">
        <v>1.0999999999999999E-2</v>
      </c>
      <c r="L5415">
        <v>1.0999999999999999E-2</v>
      </c>
      <c r="M5415">
        <v>0.01</v>
      </c>
      <c r="N5415">
        <v>0.01</v>
      </c>
      <c r="O5415">
        <v>0.01</v>
      </c>
      <c r="P5415">
        <v>1.2E-2</v>
      </c>
      <c r="Q5415">
        <v>1.2999999999999999E-2</v>
      </c>
      <c r="R5415">
        <v>1.4999999999999999E-2</v>
      </c>
      <c r="S5415">
        <v>1.6E-2</v>
      </c>
      <c r="T5415">
        <v>1.7999999999999999E-2</v>
      </c>
      <c r="U5415">
        <v>0.02</v>
      </c>
      <c r="V5415">
        <v>2.1999999999999999E-2</v>
      </c>
      <c r="W5415">
        <v>2.4E-2</v>
      </c>
      <c r="X5415">
        <v>2.7E-2</v>
      </c>
      <c r="Y5415">
        <v>2.9000000000000001E-2</v>
      </c>
      <c r="Z5415">
        <v>3.2000000000000001E-2</v>
      </c>
      <c r="AA5415">
        <v>3.5000000000000003E-2</v>
      </c>
      <c r="AB5415">
        <v>3.7999999999999999E-2</v>
      </c>
      <c r="AC5415">
        <v>4.2000000000000003E-2</v>
      </c>
      <c r="AD5415">
        <v>4.4999999999999998E-2</v>
      </c>
    </row>
    <row r="5416" spans="2:30" x14ac:dyDescent="0.25">
      <c r="B5416" t="s">
        <v>133</v>
      </c>
      <c r="C5416" t="s">
        <v>10598</v>
      </c>
      <c r="D5416" t="s">
        <v>4711</v>
      </c>
      <c r="E5416" t="s">
        <v>4712</v>
      </c>
      <c r="F5416" t="s">
        <v>10866</v>
      </c>
      <c r="G5416" t="s">
        <v>3890</v>
      </c>
      <c r="H5416" t="s">
        <v>4665</v>
      </c>
      <c r="I5416" t="s">
        <v>4646</v>
      </c>
      <c r="J5416">
        <v>2</v>
      </c>
      <c r="K5416">
        <v>0.14799999999999999</v>
      </c>
      <c r="L5416">
        <v>0.14099999999999999</v>
      </c>
      <c r="M5416">
        <v>0.125</v>
      </c>
      <c r="N5416">
        <v>0.121</v>
      </c>
      <c r="O5416">
        <v>0.123</v>
      </c>
      <c r="P5416">
        <v>0.127</v>
      </c>
      <c r="Q5416">
        <v>0.13200000000000001</v>
      </c>
      <c r="R5416">
        <v>0.13600000000000001</v>
      </c>
      <c r="S5416">
        <v>0.14099999999999999</v>
      </c>
      <c r="T5416">
        <v>0.14699999999999999</v>
      </c>
      <c r="U5416">
        <v>0.153</v>
      </c>
      <c r="V5416">
        <v>0.158</v>
      </c>
      <c r="W5416">
        <v>0.16300000000000001</v>
      </c>
      <c r="X5416">
        <v>0.16800000000000001</v>
      </c>
      <c r="Y5416">
        <v>0.17299999999999999</v>
      </c>
      <c r="Z5416">
        <v>0.17699999999999999</v>
      </c>
      <c r="AA5416">
        <v>0.182</v>
      </c>
      <c r="AB5416">
        <v>0.186</v>
      </c>
      <c r="AC5416">
        <v>0.19</v>
      </c>
      <c r="AD5416">
        <v>0.19500000000000001</v>
      </c>
    </row>
    <row r="5417" spans="2:30" x14ac:dyDescent="0.25">
      <c r="B5417" t="s">
        <v>133</v>
      </c>
      <c r="C5417" t="s">
        <v>10598</v>
      </c>
      <c r="D5417" t="s">
        <v>4714</v>
      </c>
      <c r="E5417" t="s">
        <v>4715</v>
      </c>
      <c r="F5417" t="s">
        <v>10867</v>
      </c>
      <c r="G5417" t="s">
        <v>3890</v>
      </c>
      <c r="H5417" t="s">
        <v>4669</v>
      </c>
      <c r="I5417" t="s">
        <v>4646</v>
      </c>
      <c r="J5417">
        <v>2</v>
      </c>
      <c r="K5417">
        <v>0.14699999999999999</v>
      </c>
      <c r="L5417">
        <v>0.153</v>
      </c>
      <c r="M5417">
        <v>0.159</v>
      </c>
      <c r="N5417">
        <v>0.16600000000000001</v>
      </c>
      <c r="O5417">
        <v>0.17199999999999999</v>
      </c>
      <c r="P5417">
        <v>0.17899999999999999</v>
      </c>
      <c r="Q5417">
        <v>0.186</v>
      </c>
      <c r="R5417">
        <v>0.19400000000000001</v>
      </c>
      <c r="S5417">
        <v>0.20200000000000001</v>
      </c>
      <c r="T5417">
        <v>0.21</v>
      </c>
      <c r="U5417">
        <v>0.218</v>
      </c>
      <c r="V5417">
        <v>0.22700000000000001</v>
      </c>
      <c r="W5417">
        <v>0.23599999999999999</v>
      </c>
      <c r="X5417">
        <v>0.245</v>
      </c>
      <c r="Y5417">
        <v>0.255</v>
      </c>
      <c r="Z5417">
        <v>0.26500000000000001</v>
      </c>
      <c r="AA5417">
        <v>0.27600000000000002</v>
      </c>
      <c r="AB5417">
        <v>0.28699999999999998</v>
      </c>
      <c r="AC5417">
        <v>0.29899999999999999</v>
      </c>
      <c r="AD5417">
        <v>0.31</v>
      </c>
    </row>
    <row r="5418" spans="2:30" x14ac:dyDescent="0.25">
      <c r="B5418" t="s">
        <v>133</v>
      </c>
      <c r="C5418" t="s">
        <v>10598</v>
      </c>
      <c r="D5418" t="s">
        <v>4717</v>
      </c>
      <c r="E5418" t="s">
        <v>4718</v>
      </c>
      <c r="F5418" t="s">
        <v>10868</v>
      </c>
      <c r="G5418" t="s">
        <v>3890</v>
      </c>
      <c r="H5418" t="s">
        <v>4673</v>
      </c>
      <c r="I5418" t="s">
        <v>4646</v>
      </c>
      <c r="J5418">
        <v>2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  <c r="W5418" t="e">
        <v>#N/A</v>
      </c>
      <c r="X5418" t="e">
        <v>#N/A</v>
      </c>
      <c r="Y5418" t="e">
        <v>#N/A</v>
      </c>
      <c r="Z5418" t="e">
        <v>#N/A</v>
      </c>
      <c r="AA5418" t="e">
        <v>#N/A</v>
      </c>
      <c r="AB5418" t="e">
        <v>#N/A</v>
      </c>
      <c r="AC5418" t="e">
        <v>#N/A</v>
      </c>
      <c r="AD5418" t="e">
        <v>#N/A</v>
      </c>
    </row>
    <row r="5419" spans="2:30" x14ac:dyDescent="0.25">
      <c r="B5419" t="s">
        <v>133</v>
      </c>
      <c r="C5419" t="s">
        <v>10598</v>
      </c>
      <c r="D5419" t="s">
        <v>4720</v>
      </c>
      <c r="E5419" t="s">
        <v>4721</v>
      </c>
      <c r="F5419" t="s">
        <v>10869</v>
      </c>
      <c r="G5419" t="s">
        <v>3890</v>
      </c>
      <c r="H5419" t="s">
        <v>4723</v>
      </c>
      <c r="I5419" t="s">
        <v>4646</v>
      </c>
      <c r="J5419">
        <v>2</v>
      </c>
      <c r="K5419">
        <v>0.41399999999999998</v>
      </c>
      <c r="L5419">
        <v>0.28100000000000003</v>
      </c>
      <c r="M5419">
        <v>0.249</v>
      </c>
      <c r="N5419">
        <v>0.249</v>
      </c>
      <c r="O5419">
        <v>0.249</v>
      </c>
      <c r="P5419">
        <v>0.249</v>
      </c>
      <c r="Q5419">
        <v>0.249</v>
      </c>
      <c r="R5419">
        <v>0.249</v>
      </c>
      <c r="S5419">
        <v>0.249</v>
      </c>
      <c r="T5419">
        <v>0.249</v>
      </c>
      <c r="U5419">
        <v>0.249</v>
      </c>
      <c r="V5419">
        <v>0.249</v>
      </c>
      <c r="W5419">
        <v>0.249</v>
      </c>
      <c r="X5419">
        <v>0.249</v>
      </c>
      <c r="Y5419">
        <v>0.249</v>
      </c>
      <c r="Z5419">
        <v>0.249</v>
      </c>
      <c r="AA5419">
        <v>0.249</v>
      </c>
      <c r="AB5419">
        <v>0.249</v>
      </c>
      <c r="AC5419">
        <v>0.249</v>
      </c>
      <c r="AD5419">
        <v>0.249</v>
      </c>
    </row>
    <row r="5420" spans="2:30" x14ac:dyDescent="0.25">
      <c r="B5420" t="s">
        <v>133</v>
      </c>
      <c r="C5420" t="s">
        <v>10598</v>
      </c>
      <c r="D5420" t="s">
        <v>4724</v>
      </c>
      <c r="E5420" t="s">
        <v>4725</v>
      </c>
      <c r="F5420" t="s">
        <v>10870</v>
      </c>
      <c r="G5420" t="s">
        <v>3890</v>
      </c>
      <c r="H5420" t="s">
        <v>4727</v>
      </c>
      <c r="I5420" t="s">
        <v>4646</v>
      </c>
      <c r="J5420">
        <v>2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  <c r="W5420" t="e">
        <v>#N/A</v>
      </c>
      <c r="X5420" t="e">
        <v>#N/A</v>
      </c>
      <c r="Y5420" t="e">
        <v>#N/A</v>
      </c>
      <c r="Z5420" t="e">
        <v>#N/A</v>
      </c>
      <c r="AA5420" t="e">
        <v>#N/A</v>
      </c>
      <c r="AB5420" t="e">
        <v>#N/A</v>
      </c>
      <c r="AC5420" t="e">
        <v>#N/A</v>
      </c>
      <c r="AD5420" t="e">
        <v>#N/A</v>
      </c>
    </row>
    <row r="5421" spans="2:30" x14ac:dyDescent="0.25">
      <c r="B5421" t="s">
        <v>133</v>
      </c>
      <c r="C5421" t="s">
        <v>10598</v>
      </c>
      <c r="D5421" t="s">
        <v>4728</v>
      </c>
      <c r="E5421" t="s">
        <v>4464</v>
      </c>
      <c r="F5421" t="s">
        <v>10790</v>
      </c>
      <c r="G5421" t="s">
        <v>3890</v>
      </c>
      <c r="H5421" t="s">
        <v>4435</v>
      </c>
      <c r="I5421" t="s">
        <v>4646</v>
      </c>
      <c r="J5421">
        <v>1</v>
      </c>
      <c r="K5421">
        <v>-0.66300000000000003</v>
      </c>
      <c r="L5421">
        <v>-0.57399999999999995</v>
      </c>
      <c r="M5421">
        <v>-0.52900000000000003</v>
      </c>
      <c r="N5421">
        <v>-0.435</v>
      </c>
      <c r="O5421">
        <v>-0.46100000000000002</v>
      </c>
      <c r="P5421">
        <v>-0.42099999999999999</v>
      </c>
      <c r="Q5421">
        <v>-0.41</v>
      </c>
      <c r="R5421">
        <v>-0.40500000000000003</v>
      </c>
      <c r="S5421">
        <v>-0.4</v>
      </c>
      <c r="T5421">
        <v>-0.39500000000000002</v>
      </c>
      <c r="U5421">
        <v>-0.39500000000000002</v>
      </c>
      <c r="V5421">
        <v>-0.39500000000000002</v>
      </c>
      <c r="W5421">
        <v>-0.39500000000000002</v>
      </c>
      <c r="X5421">
        <v>-0.39500000000000002</v>
      </c>
      <c r="Y5421">
        <v>-0.39500000000000002</v>
      </c>
      <c r="Z5421">
        <v>-0.39500000000000002</v>
      </c>
      <c r="AA5421">
        <v>-0.39500000000000002</v>
      </c>
      <c r="AB5421">
        <v>-0.39500000000000002</v>
      </c>
      <c r="AC5421">
        <v>-0.39500000000000002</v>
      </c>
      <c r="AD5421">
        <v>-0.39500000000000002</v>
      </c>
    </row>
    <row r="5422" spans="2:30" x14ac:dyDescent="0.25">
      <c r="B5422" t="s">
        <v>133</v>
      </c>
      <c r="C5422" t="s">
        <v>10598</v>
      </c>
      <c r="D5422" t="s">
        <v>4729</v>
      </c>
      <c r="E5422" t="s">
        <v>4730</v>
      </c>
      <c r="F5422" t="s">
        <v>10871</v>
      </c>
      <c r="G5422" t="s">
        <v>3890</v>
      </c>
      <c r="H5422" t="s">
        <v>4686</v>
      </c>
      <c r="I5422" t="s">
        <v>4687</v>
      </c>
      <c r="J5422">
        <v>1</v>
      </c>
      <c r="K5422">
        <v>-246.459</v>
      </c>
      <c r="L5422">
        <v>-213.54900000000001</v>
      </c>
      <c r="M5422">
        <v>-196.779</v>
      </c>
      <c r="N5422">
        <v>-161.59899999999999</v>
      </c>
      <c r="O5422">
        <v>-171.37200000000001</v>
      </c>
      <c r="P5422">
        <v>-156.63999999999999</v>
      </c>
      <c r="Q5422">
        <v>-152.58699999999999</v>
      </c>
      <c r="R5422">
        <v>-150.54400000000001</v>
      </c>
      <c r="S5422">
        <v>-148.75700000000001</v>
      </c>
      <c r="T5422">
        <v>-146.816</v>
      </c>
      <c r="U5422">
        <v>-146.816</v>
      </c>
      <c r="V5422">
        <v>-146.816</v>
      </c>
      <c r="W5422">
        <v>-146.816</v>
      </c>
      <c r="X5422">
        <v>-146.816</v>
      </c>
      <c r="Y5422">
        <v>-146.816</v>
      </c>
      <c r="Z5422">
        <v>-146.816</v>
      </c>
      <c r="AA5422">
        <v>-146.816</v>
      </c>
      <c r="AB5422">
        <v>-146.816</v>
      </c>
      <c r="AC5422">
        <v>-146.816</v>
      </c>
      <c r="AD5422">
        <v>-146.816</v>
      </c>
    </row>
    <row r="5423" spans="2:30" x14ac:dyDescent="0.25">
      <c r="B5423" t="s">
        <v>133</v>
      </c>
      <c r="C5423" t="s">
        <v>10598</v>
      </c>
      <c r="D5423" t="s">
        <v>4732</v>
      </c>
      <c r="E5423" t="s">
        <v>4733</v>
      </c>
      <c r="F5423" t="s">
        <v>10872</v>
      </c>
      <c r="G5423" t="s">
        <v>3890</v>
      </c>
      <c r="H5423" t="s">
        <v>4735</v>
      </c>
      <c r="I5423" t="s">
        <v>4646</v>
      </c>
      <c r="J5423">
        <v>2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  <c r="W5423" t="e">
        <v>#N/A</v>
      </c>
      <c r="X5423" t="e">
        <v>#N/A</v>
      </c>
      <c r="Y5423" t="e">
        <v>#N/A</v>
      </c>
      <c r="Z5423" t="e">
        <v>#N/A</v>
      </c>
      <c r="AA5423" t="e">
        <v>#N/A</v>
      </c>
      <c r="AB5423" t="e">
        <v>#N/A</v>
      </c>
      <c r="AC5423" t="e">
        <v>#N/A</v>
      </c>
      <c r="AD5423" t="e">
        <v>#N/A</v>
      </c>
    </row>
    <row r="5424" spans="2:30" x14ac:dyDescent="0.25">
      <c r="B5424" t="s">
        <v>133</v>
      </c>
      <c r="C5424" t="s">
        <v>10598</v>
      </c>
      <c r="D5424" t="s">
        <v>4736</v>
      </c>
      <c r="E5424" t="s">
        <v>4737</v>
      </c>
      <c r="F5424" t="s">
        <v>10873</v>
      </c>
      <c r="G5424" t="s">
        <v>3890</v>
      </c>
      <c r="H5424" t="s">
        <v>4695</v>
      </c>
      <c r="I5424" t="s">
        <v>4687</v>
      </c>
      <c r="J5424">
        <v>2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</row>
    <row r="5425" spans="2:30" x14ac:dyDescent="0.25">
      <c r="B5425" t="s">
        <v>133</v>
      </c>
      <c r="C5425" t="s">
        <v>10598</v>
      </c>
      <c r="D5425" t="s">
        <v>4739</v>
      </c>
      <c r="E5425" t="s">
        <v>4740</v>
      </c>
      <c r="F5425" t="s">
        <v>10874</v>
      </c>
      <c r="G5425" t="s">
        <v>3890</v>
      </c>
      <c r="H5425" t="s">
        <v>4645</v>
      </c>
      <c r="I5425" t="s">
        <v>4646</v>
      </c>
      <c r="J5425">
        <v>2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  <c r="W5425" t="e">
        <v>#N/A</v>
      </c>
      <c r="X5425" t="e">
        <v>#N/A</v>
      </c>
      <c r="Y5425" t="e">
        <v>#N/A</v>
      </c>
      <c r="Z5425" t="e">
        <v>#N/A</v>
      </c>
      <c r="AA5425" t="e">
        <v>#N/A</v>
      </c>
      <c r="AB5425" t="e">
        <v>#N/A</v>
      </c>
      <c r="AC5425" t="e">
        <v>#N/A</v>
      </c>
      <c r="AD5425" t="e">
        <v>#N/A</v>
      </c>
    </row>
    <row r="5426" spans="2:30" x14ac:dyDescent="0.25">
      <c r="B5426" t="s">
        <v>133</v>
      </c>
      <c r="C5426" t="s">
        <v>10598</v>
      </c>
      <c r="D5426" t="s">
        <v>4742</v>
      </c>
      <c r="E5426" t="s">
        <v>4743</v>
      </c>
      <c r="F5426" t="s">
        <v>10875</v>
      </c>
      <c r="G5426" t="s">
        <v>3890</v>
      </c>
      <c r="H5426" t="s">
        <v>4394</v>
      </c>
      <c r="I5426" t="s">
        <v>4646</v>
      </c>
      <c r="J5426">
        <v>2</v>
      </c>
      <c r="K5426">
        <v>0.67100000000000004</v>
      </c>
      <c r="L5426">
        <v>0.57799999999999996</v>
      </c>
      <c r="M5426">
        <v>0.54300000000000004</v>
      </c>
      <c r="N5426">
        <v>0.48199999999999998</v>
      </c>
      <c r="O5426">
        <v>0.499</v>
      </c>
      <c r="P5426">
        <v>0.47399999999999998</v>
      </c>
      <c r="Q5426">
        <v>0.46700000000000003</v>
      </c>
      <c r="R5426">
        <v>0.46300000000000002</v>
      </c>
      <c r="S5426">
        <v>0.46</v>
      </c>
      <c r="T5426">
        <v>0.45700000000000002</v>
      </c>
      <c r="U5426">
        <v>0.45700000000000002</v>
      </c>
      <c r="V5426">
        <v>0.45700000000000002</v>
      </c>
      <c r="W5426">
        <v>0.45700000000000002</v>
      </c>
      <c r="X5426">
        <v>0.45700000000000002</v>
      </c>
      <c r="Y5426">
        <v>0.45700000000000002</v>
      </c>
      <c r="Z5426">
        <v>0.45700000000000002</v>
      </c>
      <c r="AA5426">
        <v>0.45700000000000002</v>
      </c>
      <c r="AB5426">
        <v>0.45700000000000002</v>
      </c>
      <c r="AC5426">
        <v>0.45700000000000002</v>
      </c>
      <c r="AD5426">
        <v>0.45700000000000002</v>
      </c>
    </row>
    <row r="5427" spans="2:30" x14ac:dyDescent="0.25">
      <c r="B5427" t="s">
        <v>133</v>
      </c>
      <c r="C5427" t="s">
        <v>10598</v>
      </c>
      <c r="D5427" t="s">
        <v>4745</v>
      </c>
      <c r="E5427" t="s">
        <v>4746</v>
      </c>
      <c r="F5427" t="s">
        <v>10876</v>
      </c>
      <c r="G5427" t="s">
        <v>3890</v>
      </c>
      <c r="H5427" t="s">
        <v>4653</v>
      </c>
      <c r="I5427" t="s">
        <v>4646</v>
      </c>
      <c r="J5427">
        <v>2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  <c r="W5427" t="e">
        <v>#N/A</v>
      </c>
      <c r="X5427" t="e">
        <v>#N/A</v>
      </c>
      <c r="Y5427" t="e">
        <v>#N/A</v>
      </c>
      <c r="Z5427" t="e">
        <v>#N/A</v>
      </c>
      <c r="AA5427" t="e">
        <v>#N/A</v>
      </c>
      <c r="AB5427" t="e">
        <v>#N/A</v>
      </c>
      <c r="AC5427" t="e">
        <v>#N/A</v>
      </c>
      <c r="AD5427" t="e">
        <v>#N/A</v>
      </c>
    </row>
    <row r="5428" spans="2:30" x14ac:dyDescent="0.25">
      <c r="B5428" t="s">
        <v>133</v>
      </c>
      <c r="C5428" t="s">
        <v>10598</v>
      </c>
      <c r="D5428" t="s">
        <v>4748</v>
      </c>
      <c r="E5428" t="s">
        <v>4749</v>
      </c>
      <c r="F5428" t="s">
        <v>10877</v>
      </c>
      <c r="G5428" t="s">
        <v>3890</v>
      </c>
      <c r="H5428" t="s">
        <v>4669</v>
      </c>
      <c r="I5428" t="s">
        <v>4646</v>
      </c>
      <c r="J5428">
        <v>2</v>
      </c>
      <c r="K5428">
        <v>9.7000000000000003E-2</v>
      </c>
      <c r="L5428">
        <v>0.10100000000000001</v>
      </c>
      <c r="M5428">
        <v>0.105</v>
      </c>
      <c r="N5428">
        <v>0.109</v>
      </c>
      <c r="O5428">
        <v>0.113</v>
      </c>
      <c r="P5428">
        <v>0.11799999999999999</v>
      </c>
      <c r="Q5428">
        <v>0.123</v>
      </c>
      <c r="R5428">
        <v>0.128</v>
      </c>
      <c r="S5428">
        <v>0.13300000000000001</v>
      </c>
      <c r="T5428">
        <v>0.13800000000000001</v>
      </c>
      <c r="U5428">
        <v>0.14299999999999999</v>
      </c>
      <c r="V5428">
        <v>0.14899999999999999</v>
      </c>
      <c r="W5428">
        <v>0.155</v>
      </c>
      <c r="X5428">
        <v>0.161</v>
      </c>
      <c r="Y5428">
        <v>0.16800000000000001</v>
      </c>
      <c r="Z5428">
        <v>0.17499999999999999</v>
      </c>
      <c r="AA5428">
        <v>0.182</v>
      </c>
      <c r="AB5428">
        <v>0.189</v>
      </c>
      <c r="AC5428">
        <v>0.19600000000000001</v>
      </c>
      <c r="AD5428">
        <v>0.20399999999999999</v>
      </c>
    </row>
    <row r="5429" spans="2:30" x14ac:dyDescent="0.25">
      <c r="B5429" t="s">
        <v>133</v>
      </c>
      <c r="C5429" t="s">
        <v>10598</v>
      </c>
      <c r="D5429" t="s">
        <v>4751</v>
      </c>
      <c r="E5429" t="s">
        <v>4752</v>
      </c>
      <c r="F5429" t="s">
        <v>10878</v>
      </c>
      <c r="G5429" t="s">
        <v>3890</v>
      </c>
      <c r="H5429" t="s">
        <v>4673</v>
      </c>
      <c r="I5429" t="s">
        <v>4646</v>
      </c>
      <c r="J5429">
        <v>2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  <c r="W5429" t="e">
        <v>#N/A</v>
      </c>
      <c r="X5429" t="e">
        <v>#N/A</v>
      </c>
      <c r="Y5429" t="e">
        <v>#N/A</v>
      </c>
      <c r="Z5429" t="e">
        <v>#N/A</v>
      </c>
      <c r="AA5429" t="e">
        <v>#N/A</v>
      </c>
      <c r="AB5429" t="e">
        <v>#N/A</v>
      </c>
      <c r="AC5429" t="e">
        <v>#N/A</v>
      </c>
      <c r="AD5429" t="e">
        <v>#N/A</v>
      </c>
    </row>
    <row r="5430" spans="2:30" x14ac:dyDescent="0.25">
      <c r="B5430" t="s">
        <v>133</v>
      </c>
      <c r="C5430" t="s">
        <v>10598</v>
      </c>
      <c r="D5430" t="s">
        <v>4754</v>
      </c>
      <c r="E5430" t="s">
        <v>4755</v>
      </c>
      <c r="F5430" t="s">
        <v>10879</v>
      </c>
      <c r="G5430" t="s">
        <v>3890</v>
      </c>
      <c r="H5430" t="s">
        <v>4757</v>
      </c>
      <c r="I5430" t="s">
        <v>4646</v>
      </c>
      <c r="J5430">
        <v>2</v>
      </c>
      <c r="K5430">
        <v>0.17499999999999999</v>
      </c>
      <c r="L5430">
        <v>0.10199999999999999</v>
      </c>
      <c r="M5430">
        <v>8.7999999999999995E-2</v>
      </c>
      <c r="N5430">
        <v>8.7999999999999995E-2</v>
      </c>
      <c r="O5430">
        <v>8.7999999999999995E-2</v>
      </c>
      <c r="P5430">
        <v>8.7999999999999995E-2</v>
      </c>
      <c r="Q5430">
        <v>8.7999999999999995E-2</v>
      </c>
      <c r="R5430">
        <v>8.7999999999999995E-2</v>
      </c>
      <c r="S5430">
        <v>8.7999999999999995E-2</v>
      </c>
      <c r="T5430">
        <v>8.7999999999999995E-2</v>
      </c>
      <c r="U5430">
        <v>8.7999999999999995E-2</v>
      </c>
      <c r="V5430">
        <v>8.7999999999999995E-2</v>
      </c>
      <c r="W5430">
        <v>8.7999999999999995E-2</v>
      </c>
      <c r="X5430">
        <v>8.7999999999999995E-2</v>
      </c>
      <c r="Y5430">
        <v>8.7999999999999995E-2</v>
      </c>
      <c r="Z5430">
        <v>8.7999999999999995E-2</v>
      </c>
      <c r="AA5430">
        <v>8.7999999999999995E-2</v>
      </c>
      <c r="AB5430">
        <v>8.7999999999999995E-2</v>
      </c>
      <c r="AC5430">
        <v>8.7999999999999995E-2</v>
      </c>
      <c r="AD5430">
        <v>8.7999999999999995E-2</v>
      </c>
    </row>
    <row r="5431" spans="2:30" x14ac:dyDescent="0.25">
      <c r="B5431" t="s">
        <v>133</v>
      </c>
      <c r="C5431" t="s">
        <v>10598</v>
      </c>
      <c r="D5431" t="s">
        <v>4758</v>
      </c>
      <c r="E5431" t="s">
        <v>4759</v>
      </c>
      <c r="F5431" t="s">
        <v>10880</v>
      </c>
      <c r="G5431" t="s">
        <v>3890</v>
      </c>
      <c r="H5431" t="s">
        <v>4761</v>
      </c>
      <c r="I5431" t="s">
        <v>4646</v>
      </c>
      <c r="J5431">
        <v>2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  <c r="W5431" t="e">
        <v>#N/A</v>
      </c>
      <c r="X5431" t="e">
        <v>#N/A</v>
      </c>
      <c r="Y5431" t="e">
        <v>#N/A</v>
      </c>
      <c r="Z5431" t="e">
        <v>#N/A</v>
      </c>
      <c r="AA5431" t="e">
        <v>#N/A</v>
      </c>
      <c r="AB5431" t="e">
        <v>#N/A</v>
      </c>
      <c r="AC5431" t="e">
        <v>#N/A</v>
      </c>
      <c r="AD5431" t="e">
        <v>#N/A</v>
      </c>
    </row>
    <row r="5432" spans="2:30" x14ac:dyDescent="0.25">
      <c r="B5432" t="s">
        <v>133</v>
      </c>
      <c r="C5432" t="s">
        <v>10598</v>
      </c>
      <c r="D5432" t="s">
        <v>4762</v>
      </c>
      <c r="E5432" t="s">
        <v>4467</v>
      </c>
      <c r="F5432" t="s">
        <v>10791</v>
      </c>
      <c r="G5432" t="s">
        <v>3890</v>
      </c>
      <c r="H5432" t="s">
        <v>4435</v>
      </c>
      <c r="I5432" t="s">
        <v>4646</v>
      </c>
      <c r="J5432">
        <v>1</v>
      </c>
      <c r="K5432">
        <v>-0.496</v>
      </c>
      <c r="L5432">
        <v>-0.47599999999999998</v>
      </c>
      <c r="M5432">
        <v>-0.45500000000000002</v>
      </c>
      <c r="N5432">
        <v>-0.39400000000000002</v>
      </c>
      <c r="O5432">
        <v>-0.41099999999999998</v>
      </c>
      <c r="P5432">
        <v>-0.38600000000000001</v>
      </c>
      <c r="Q5432">
        <v>-0.379</v>
      </c>
      <c r="R5432">
        <v>-0.375</v>
      </c>
      <c r="S5432">
        <v>-0.372</v>
      </c>
      <c r="T5432">
        <v>-0.36899999999999999</v>
      </c>
      <c r="U5432">
        <v>-0.36899999999999999</v>
      </c>
      <c r="V5432">
        <v>-0.36899999999999999</v>
      </c>
      <c r="W5432">
        <v>-0.36899999999999999</v>
      </c>
      <c r="X5432">
        <v>-0.36899999999999999</v>
      </c>
      <c r="Y5432">
        <v>-0.36899999999999999</v>
      </c>
      <c r="Z5432">
        <v>-0.36899999999999999</v>
      </c>
      <c r="AA5432">
        <v>-0.36899999999999999</v>
      </c>
      <c r="AB5432">
        <v>-0.36899999999999999</v>
      </c>
      <c r="AC5432">
        <v>-0.36899999999999999</v>
      </c>
      <c r="AD5432">
        <v>-0.36899999999999999</v>
      </c>
    </row>
    <row r="5433" spans="2:30" x14ac:dyDescent="0.25">
      <c r="B5433" t="s">
        <v>133</v>
      </c>
      <c r="C5433" t="s">
        <v>10598</v>
      </c>
      <c r="D5433" t="s">
        <v>4763</v>
      </c>
      <c r="E5433" t="s">
        <v>4764</v>
      </c>
      <c r="F5433" t="s">
        <v>10881</v>
      </c>
      <c r="G5433" t="s">
        <v>3890</v>
      </c>
      <c r="H5433" t="s">
        <v>4686</v>
      </c>
      <c r="I5433" t="s">
        <v>4687</v>
      </c>
      <c r="J5433">
        <v>1</v>
      </c>
      <c r="K5433">
        <v>-280.26900000000001</v>
      </c>
      <c r="L5433">
        <v>-269.161</v>
      </c>
      <c r="M5433">
        <v>-257.24599999999998</v>
      </c>
      <c r="N5433">
        <v>-222.96799999999999</v>
      </c>
      <c r="O5433">
        <v>-232.49</v>
      </c>
      <c r="P5433">
        <v>-218.136</v>
      </c>
      <c r="Q5433">
        <v>-214.18700000000001</v>
      </c>
      <c r="R5433">
        <v>-212.196</v>
      </c>
      <c r="S5433">
        <v>-210.45500000000001</v>
      </c>
      <c r="T5433">
        <v>-208.56399999999999</v>
      </c>
      <c r="U5433">
        <v>-208.56399999999999</v>
      </c>
      <c r="V5433">
        <v>-208.56399999999999</v>
      </c>
      <c r="W5433">
        <v>-208.56399999999999</v>
      </c>
      <c r="X5433">
        <v>-208.56399999999999</v>
      </c>
      <c r="Y5433">
        <v>-208.56399999999999</v>
      </c>
      <c r="Z5433">
        <v>-208.56399999999999</v>
      </c>
      <c r="AA5433">
        <v>-208.56399999999999</v>
      </c>
      <c r="AB5433">
        <v>-208.56399999999999</v>
      </c>
      <c r="AC5433">
        <v>-208.56399999999999</v>
      </c>
      <c r="AD5433">
        <v>-208.56399999999999</v>
      </c>
    </row>
    <row r="5434" spans="2:30" x14ac:dyDescent="0.25">
      <c r="B5434" t="s">
        <v>133</v>
      </c>
      <c r="C5434" t="s">
        <v>10598</v>
      </c>
      <c r="D5434" t="s">
        <v>4766</v>
      </c>
      <c r="E5434" t="s">
        <v>4767</v>
      </c>
      <c r="F5434" t="s">
        <v>10882</v>
      </c>
      <c r="G5434" t="s">
        <v>3890</v>
      </c>
      <c r="H5434" t="s">
        <v>4769</v>
      </c>
      <c r="I5434" t="s">
        <v>4646</v>
      </c>
      <c r="J5434">
        <v>2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  <c r="W5434" t="e">
        <v>#N/A</v>
      </c>
      <c r="X5434" t="e">
        <v>#N/A</v>
      </c>
      <c r="Y5434" t="e">
        <v>#N/A</v>
      </c>
      <c r="Z5434" t="e">
        <v>#N/A</v>
      </c>
      <c r="AA5434" t="e">
        <v>#N/A</v>
      </c>
      <c r="AB5434" t="e">
        <v>#N/A</v>
      </c>
      <c r="AC5434" t="e">
        <v>#N/A</v>
      </c>
      <c r="AD5434" t="e">
        <v>#N/A</v>
      </c>
    </row>
    <row r="5435" spans="2:30" x14ac:dyDescent="0.25">
      <c r="B5435" t="s">
        <v>133</v>
      </c>
      <c r="C5435" t="s">
        <v>10598</v>
      </c>
      <c r="D5435" t="s">
        <v>4770</v>
      </c>
      <c r="E5435" t="s">
        <v>4771</v>
      </c>
      <c r="F5435" t="s">
        <v>10883</v>
      </c>
      <c r="G5435" t="s">
        <v>3890</v>
      </c>
      <c r="H5435" t="s">
        <v>4695</v>
      </c>
      <c r="I5435" t="s">
        <v>4687</v>
      </c>
      <c r="J5435">
        <v>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</row>
    <row r="5436" spans="2:30" x14ac:dyDescent="0.25">
      <c r="B5436" t="s">
        <v>133</v>
      </c>
      <c r="C5436" t="s">
        <v>10598</v>
      </c>
      <c r="D5436" t="s">
        <v>4773</v>
      </c>
      <c r="E5436" t="s">
        <v>4774</v>
      </c>
      <c r="F5436" t="s">
        <v>10884</v>
      </c>
      <c r="G5436" t="s">
        <v>3890</v>
      </c>
      <c r="H5436" t="s">
        <v>4645</v>
      </c>
      <c r="I5436" t="s">
        <v>4646</v>
      </c>
      <c r="J5436">
        <v>2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  <c r="W5436" t="e">
        <v>#N/A</v>
      </c>
      <c r="X5436" t="e">
        <v>#N/A</v>
      </c>
      <c r="Y5436" t="e">
        <v>#N/A</v>
      </c>
      <c r="Z5436" t="e">
        <v>#N/A</v>
      </c>
      <c r="AA5436" t="e">
        <v>#N/A</v>
      </c>
      <c r="AB5436" t="e">
        <v>#N/A</v>
      </c>
      <c r="AC5436" t="e">
        <v>#N/A</v>
      </c>
      <c r="AD5436" t="e">
        <v>#N/A</v>
      </c>
    </row>
    <row r="5437" spans="2:30" x14ac:dyDescent="0.25">
      <c r="B5437" t="s">
        <v>133</v>
      </c>
      <c r="C5437" t="s">
        <v>10598</v>
      </c>
      <c r="D5437" t="s">
        <v>4776</v>
      </c>
      <c r="E5437" t="s">
        <v>4777</v>
      </c>
      <c r="F5437" t="s">
        <v>10885</v>
      </c>
      <c r="G5437" t="s">
        <v>3890</v>
      </c>
      <c r="H5437" t="s">
        <v>4394</v>
      </c>
      <c r="I5437" t="s">
        <v>4646</v>
      </c>
      <c r="J5437">
        <v>2</v>
      </c>
      <c r="K5437">
        <v>0.78300000000000003</v>
      </c>
      <c r="L5437">
        <v>0.69899999999999995</v>
      </c>
      <c r="M5437">
        <v>0.69099999999999995</v>
      </c>
      <c r="N5437">
        <v>0.60899999999999999</v>
      </c>
      <c r="O5437">
        <v>0.63200000000000001</v>
      </c>
      <c r="P5437">
        <v>0.59799999999999998</v>
      </c>
      <c r="Q5437">
        <v>0.58799999999999997</v>
      </c>
      <c r="R5437">
        <v>0.58399999999999996</v>
      </c>
      <c r="S5437">
        <v>0.57899999999999996</v>
      </c>
      <c r="T5437">
        <v>0.57499999999999996</v>
      </c>
      <c r="U5437">
        <v>0.57499999999999996</v>
      </c>
      <c r="V5437">
        <v>0.57499999999999996</v>
      </c>
      <c r="W5437">
        <v>0.57499999999999996</v>
      </c>
      <c r="X5437">
        <v>0.57499999999999996</v>
      </c>
      <c r="Y5437">
        <v>0.57499999999999996</v>
      </c>
      <c r="Z5437">
        <v>0.57499999999999996</v>
      </c>
      <c r="AA5437">
        <v>0.57499999999999996</v>
      </c>
      <c r="AB5437">
        <v>0.57499999999999996</v>
      </c>
      <c r="AC5437">
        <v>0.57499999999999996</v>
      </c>
      <c r="AD5437">
        <v>0.57499999999999996</v>
      </c>
    </row>
    <row r="5438" spans="2:30" x14ac:dyDescent="0.25">
      <c r="B5438" t="s">
        <v>133</v>
      </c>
      <c r="C5438" t="s">
        <v>10598</v>
      </c>
      <c r="D5438" t="s">
        <v>4779</v>
      </c>
      <c r="E5438" t="s">
        <v>4780</v>
      </c>
      <c r="F5438" t="s">
        <v>10886</v>
      </c>
      <c r="G5438" t="s">
        <v>3890</v>
      </c>
      <c r="H5438" t="s">
        <v>4653</v>
      </c>
      <c r="I5438" t="s">
        <v>4646</v>
      </c>
      <c r="J5438">
        <v>2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  <c r="W5438" t="e">
        <v>#N/A</v>
      </c>
      <c r="X5438" t="e">
        <v>#N/A</v>
      </c>
      <c r="Y5438" t="e">
        <v>#N/A</v>
      </c>
      <c r="Z5438" t="e">
        <v>#N/A</v>
      </c>
      <c r="AA5438" t="e">
        <v>#N/A</v>
      </c>
      <c r="AB5438" t="e">
        <v>#N/A</v>
      </c>
      <c r="AC5438" t="e">
        <v>#N/A</v>
      </c>
      <c r="AD5438" t="e">
        <v>#N/A</v>
      </c>
    </row>
    <row r="5439" spans="2:30" x14ac:dyDescent="0.25">
      <c r="B5439" t="s">
        <v>133</v>
      </c>
      <c r="C5439" t="s">
        <v>10598</v>
      </c>
      <c r="D5439" t="s">
        <v>4782</v>
      </c>
      <c r="E5439" t="s">
        <v>4783</v>
      </c>
      <c r="F5439" t="s">
        <v>10887</v>
      </c>
      <c r="G5439" t="s">
        <v>3890</v>
      </c>
      <c r="H5439" t="s">
        <v>4669</v>
      </c>
      <c r="I5439" t="s">
        <v>4646</v>
      </c>
      <c r="J5439">
        <v>2</v>
      </c>
      <c r="K5439">
        <v>0.14099999999999999</v>
      </c>
      <c r="L5439">
        <v>0.14699999999999999</v>
      </c>
      <c r="M5439">
        <v>0.153</v>
      </c>
      <c r="N5439">
        <v>0.159</v>
      </c>
      <c r="O5439">
        <v>0.16500000000000001</v>
      </c>
      <c r="P5439">
        <v>0.17199999999999999</v>
      </c>
      <c r="Q5439">
        <v>0.17799999999999999</v>
      </c>
      <c r="R5439">
        <v>0.186</v>
      </c>
      <c r="S5439">
        <v>0.193</v>
      </c>
      <c r="T5439">
        <v>0.20100000000000001</v>
      </c>
      <c r="U5439">
        <v>0.20899999999999999</v>
      </c>
      <c r="V5439">
        <v>0.217</v>
      </c>
      <c r="W5439">
        <v>0.22600000000000001</v>
      </c>
      <c r="X5439">
        <v>0.23499999999999999</v>
      </c>
      <c r="Y5439">
        <v>0.24399999999999999</v>
      </c>
      <c r="Z5439">
        <v>0.254</v>
      </c>
      <c r="AA5439">
        <v>0.26400000000000001</v>
      </c>
      <c r="AB5439">
        <v>0.27500000000000002</v>
      </c>
      <c r="AC5439">
        <v>0.28599999999999998</v>
      </c>
      <c r="AD5439">
        <v>0.29699999999999999</v>
      </c>
    </row>
    <row r="5440" spans="2:30" x14ac:dyDescent="0.25">
      <c r="B5440" t="s">
        <v>133</v>
      </c>
      <c r="C5440" t="s">
        <v>10598</v>
      </c>
      <c r="D5440" t="s">
        <v>4785</v>
      </c>
      <c r="E5440" t="s">
        <v>4786</v>
      </c>
      <c r="F5440" t="s">
        <v>10888</v>
      </c>
      <c r="G5440" t="s">
        <v>3890</v>
      </c>
      <c r="H5440" t="s">
        <v>4673</v>
      </c>
      <c r="I5440" t="s">
        <v>4646</v>
      </c>
      <c r="J5440">
        <v>2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  <c r="W5440" t="e">
        <v>#N/A</v>
      </c>
      <c r="X5440" t="e">
        <v>#N/A</v>
      </c>
      <c r="Y5440" t="e">
        <v>#N/A</v>
      </c>
      <c r="Z5440" t="e">
        <v>#N/A</v>
      </c>
      <c r="AA5440" t="e">
        <v>#N/A</v>
      </c>
      <c r="AB5440" t="e">
        <v>#N/A</v>
      </c>
      <c r="AC5440" t="e">
        <v>#N/A</v>
      </c>
      <c r="AD5440" t="e">
        <v>#N/A</v>
      </c>
    </row>
    <row r="5441" spans="2:30" x14ac:dyDescent="0.25">
      <c r="B5441" t="s">
        <v>133</v>
      </c>
      <c r="C5441" t="s">
        <v>10598</v>
      </c>
      <c r="D5441" t="s">
        <v>4788</v>
      </c>
      <c r="E5441" t="s">
        <v>4789</v>
      </c>
      <c r="F5441" t="s">
        <v>10889</v>
      </c>
      <c r="G5441" t="s">
        <v>3890</v>
      </c>
      <c r="H5441" t="s">
        <v>4791</v>
      </c>
      <c r="I5441" t="s">
        <v>4646</v>
      </c>
      <c r="J5441">
        <v>2</v>
      </c>
      <c r="K5441">
        <v>0.41399999999999998</v>
      </c>
      <c r="L5441">
        <v>0.25900000000000001</v>
      </c>
      <c r="M5441">
        <v>0.24399999999999999</v>
      </c>
      <c r="N5441">
        <v>0.24399999999999999</v>
      </c>
      <c r="O5441">
        <v>0.24399999999999999</v>
      </c>
      <c r="P5441">
        <v>0.24399999999999999</v>
      </c>
      <c r="Q5441">
        <v>0.251</v>
      </c>
      <c r="R5441">
        <v>0.25700000000000001</v>
      </c>
      <c r="S5441">
        <v>0.26700000000000002</v>
      </c>
      <c r="T5441">
        <v>0.27300000000000002</v>
      </c>
      <c r="U5441">
        <v>0.28499999999999998</v>
      </c>
      <c r="V5441">
        <v>0.29099999999999998</v>
      </c>
      <c r="W5441">
        <v>0.30399999999999999</v>
      </c>
      <c r="X5441">
        <v>0.308</v>
      </c>
      <c r="Y5441">
        <v>0.30099999999999999</v>
      </c>
      <c r="Z5441">
        <v>0.31</v>
      </c>
      <c r="AA5441">
        <v>0.28899999999999998</v>
      </c>
      <c r="AB5441">
        <v>0.316</v>
      </c>
      <c r="AC5441">
        <v>0.27900000000000003</v>
      </c>
      <c r="AD5441">
        <v>0.24399999999999999</v>
      </c>
    </row>
    <row r="5442" spans="2:30" x14ac:dyDescent="0.25">
      <c r="B5442" t="s">
        <v>133</v>
      </c>
      <c r="C5442" t="s">
        <v>10598</v>
      </c>
      <c r="D5442" t="s">
        <v>4792</v>
      </c>
      <c r="E5442" t="s">
        <v>4793</v>
      </c>
      <c r="F5442" t="s">
        <v>10890</v>
      </c>
      <c r="G5442" t="s">
        <v>3890</v>
      </c>
      <c r="H5442" t="s">
        <v>4795</v>
      </c>
      <c r="I5442" t="s">
        <v>4646</v>
      </c>
      <c r="J5442">
        <v>2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  <c r="W5442" t="e">
        <v>#N/A</v>
      </c>
      <c r="X5442" t="e">
        <v>#N/A</v>
      </c>
      <c r="Y5442" t="e">
        <v>#N/A</v>
      </c>
      <c r="Z5442" t="e">
        <v>#N/A</v>
      </c>
      <c r="AA5442" t="e">
        <v>#N/A</v>
      </c>
      <c r="AB5442" t="e">
        <v>#N/A</v>
      </c>
      <c r="AC5442" t="e">
        <v>#N/A</v>
      </c>
      <c r="AD5442" t="e">
        <v>#N/A</v>
      </c>
    </row>
    <row r="5443" spans="2:30" x14ac:dyDescent="0.25">
      <c r="B5443" t="s">
        <v>133</v>
      </c>
      <c r="C5443" t="s">
        <v>10598</v>
      </c>
      <c r="D5443" t="s">
        <v>4796</v>
      </c>
      <c r="E5443" t="s">
        <v>4470</v>
      </c>
      <c r="F5443" t="s">
        <v>10792</v>
      </c>
      <c r="G5443" t="s">
        <v>3890</v>
      </c>
      <c r="H5443" t="s">
        <v>4435</v>
      </c>
      <c r="I5443" t="s">
        <v>4646</v>
      </c>
      <c r="J5443">
        <v>1</v>
      </c>
      <c r="K5443">
        <v>-0.36899999999999999</v>
      </c>
      <c r="L5443">
        <v>-0.44</v>
      </c>
      <c r="M5443">
        <v>-0.44800000000000001</v>
      </c>
      <c r="N5443">
        <v>-0.36499999999999999</v>
      </c>
      <c r="O5443">
        <v>-0.38800000000000001</v>
      </c>
      <c r="P5443">
        <v>-0.35399999999999998</v>
      </c>
      <c r="Q5443">
        <v>-0.34399999999999997</v>
      </c>
      <c r="R5443">
        <v>-0.34</v>
      </c>
      <c r="S5443">
        <v>-0.33600000000000002</v>
      </c>
      <c r="T5443">
        <v>-0.33100000000000002</v>
      </c>
      <c r="U5443">
        <v>-0.33100000000000002</v>
      </c>
      <c r="V5443">
        <v>-0.33100000000000002</v>
      </c>
      <c r="W5443">
        <v>-0.33100000000000002</v>
      </c>
      <c r="X5443">
        <v>-0.33100000000000002</v>
      </c>
      <c r="Y5443">
        <v>-0.33100000000000002</v>
      </c>
      <c r="Z5443">
        <v>-0.33100000000000002</v>
      </c>
      <c r="AA5443">
        <v>-0.33100000000000002</v>
      </c>
      <c r="AB5443">
        <v>-0.33100000000000002</v>
      </c>
      <c r="AC5443">
        <v>-0.33100000000000002</v>
      </c>
      <c r="AD5443">
        <v>-0.33100000000000002</v>
      </c>
    </row>
    <row r="5444" spans="2:30" x14ac:dyDescent="0.25">
      <c r="B5444" t="s">
        <v>133</v>
      </c>
      <c r="C5444" t="s">
        <v>10598</v>
      </c>
      <c r="D5444" t="s">
        <v>4797</v>
      </c>
      <c r="E5444" t="s">
        <v>4798</v>
      </c>
      <c r="F5444" t="s">
        <v>10891</v>
      </c>
      <c r="G5444" t="s">
        <v>3890</v>
      </c>
      <c r="H5444" t="s">
        <v>4686</v>
      </c>
      <c r="I5444" t="s">
        <v>4687</v>
      </c>
      <c r="J5444">
        <v>1</v>
      </c>
      <c r="K5444">
        <v>-143.566</v>
      </c>
      <c r="L5444">
        <v>-170.96600000000001</v>
      </c>
      <c r="M5444">
        <v>-173.893</v>
      </c>
      <c r="N5444">
        <v>-142.01</v>
      </c>
      <c r="O5444">
        <v>-150.86699999999999</v>
      </c>
      <c r="P5444">
        <v>-137.51599999999999</v>
      </c>
      <c r="Q5444">
        <v>-133.84299999999999</v>
      </c>
      <c r="R5444">
        <v>-131.99100000000001</v>
      </c>
      <c r="S5444">
        <v>-130.37200000000001</v>
      </c>
      <c r="T5444">
        <v>-128.613</v>
      </c>
      <c r="U5444">
        <v>-128.613</v>
      </c>
      <c r="V5444">
        <v>-128.613</v>
      </c>
      <c r="W5444">
        <v>-128.613</v>
      </c>
      <c r="X5444">
        <v>-128.613</v>
      </c>
      <c r="Y5444">
        <v>-128.613</v>
      </c>
      <c r="Z5444">
        <v>-128.613</v>
      </c>
      <c r="AA5444">
        <v>-128.613</v>
      </c>
      <c r="AB5444">
        <v>-128.613</v>
      </c>
      <c r="AC5444">
        <v>-128.613</v>
      </c>
      <c r="AD5444">
        <v>-128.613</v>
      </c>
    </row>
    <row r="5445" spans="2:30" x14ac:dyDescent="0.25">
      <c r="B5445" t="s">
        <v>133</v>
      </c>
      <c r="C5445" t="s">
        <v>10598</v>
      </c>
      <c r="D5445" t="s">
        <v>4800</v>
      </c>
      <c r="E5445" t="s">
        <v>4801</v>
      </c>
      <c r="F5445" t="s">
        <v>10892</v>
      </c>
      <c r="G5445" t="s">
        <v>3890</v>
      </c>
      <c r="H5445" t="s">
        <v>4803</v>
      </c>
      <c r="I5445" t="s">
        <v>4646</v>
      </c>
      <c r="J5445">
        <v>2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  <c r="W5445" t="e">
        <v>#N/A</v>
      </c>
      <c r="X5445" t="e">
        <v>#N/A</v>
      </c>
      <c r="Y5445" t="e">
        <v>#N/A</v>
      </c>
      <c r="Z5445" t="e">
        <v>#N/A</v>
      </c>
      <c r="AA5445" t="e">
        <v>#N/A</v>
      </c>
      <c r="AB5445" t="e">
        <v>#N/A</v>
      </c>
      <c r="AC5445" t="e">
        <v>#N/A</v>
      </c>
      <c r="AD5445" t="e">
        <v>#N/A</v>
      </c>
    </row>
    <row r="5446" spans="2:30" x14ac:dyDescent="0.25">
      <c r="B5446" t="s">
        <v>133</v>
      </c>
      <c r="C5446" t="s">
        <v>10598</v>
      </c>
      <c r="D5446" t="s">
        <v>4804</v>
      </c>
      <c r="E5446" t="s">
        <v>4805</v>
      </c>
      <c r="F5446" t="s">
        <v>10893</v>
      </c>
      <c r="G5446" t="s">
        <v>3890</v>
      </c>
      <c r="H5446" t="s">
        <v>4695</v>
      </c>
      <c r="I5446" t="s">
        <v>4687</v>
      </c>
      <c r="J5446">
        <v>2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</row>
    <row r="5447" spans="2:30" x14ac:dyDescent="0.25">
      <c r="B5447" t="s">
        <v>133</v>
      </c>
      <c r="C5447" t="s">
        <v>10598</v>
      </c>
      <c r="D5447" t="s">
        <v>4807</v>
      </c>
      <c r="E5447" t="s">
        <v>4808</v>
      </c>
      <c r="F5447" t="s">
        <v>10894</v>
      </c>
      <c r="G5447" t="s">
        <v>3890</v>
      </c>
      <c r="H5447" t="s">
        <v>4645</v>
      </c>
      <c r="I5447" t="s">
        <v>4810</v>
      </c>
      <c r="J5447">
        <v>2</v>
      </c>
      <c r="K5447">
        <v>16.391999999999999</v>
      </c>
      <c r="L5447">
        <v>14.093999999999999</v>
      </c>
      <c r="M5447">
        <v>13.279</v>
      </c>
      <c r="N5447">
        <v>12.816000000000001</v>
      </c>
      <c r="O5447">
        <v>13.071</v>
      </c>
      <c r="P5447">
        <v>13.372999999999999</v>
      </c>
      <c r="Q5447">
        <v>13.603</v>
      </c>
      <c r="R5447">
        <v>13.842000000000001</v>
      </c>
      <c r="S5447">
        <v>14.09</v>
      </c>
      <c r="T5447">
        <v>14.35</v>
      </c>
      <c r="U5447">
        <v>14.65</v>
      </c>
      <c r="V5447">
        <v>14.962</v>
      </c>
      <c r="W5447">
        <v>15.287000000000001</v>
      </c>
      <c r="X5447">
        <v>15.624000000000001</v>
      </c>
      <c r="Y5447">
        <v>15.975</v>
      </c>
      <c r="Z5447">
        <v>16.341000000000001</v>
      </c>
      <c r="AA5447">
        <v>16.72</v>
      </c>
      <c r="AB5447">
        <v>17.114999999999998</v>
      </c>
      <c r="AC5447">
        <v>17.526</v>
      </c>
      <c r="AD5447">
        <v>17.952999999999999</v>
      </c>
    </row>
    <row r="5448" spans="2:30" x14ac:dyDescent="0.25">
      <c r="B5448" t="s">
        <v>133</v>
      </c>
      <c r="C5448" t="s">
        <v>10598</v>
      </c>
      <c r="D5448" t="s">
        <v>4811</v>
      </c>
      <c r="E5448" t="s">
        <v>4812</v>
      </c>
      <c r="F5448" t="s">
        <v>10895</v>
      </c>
      <c r="G5448" t="s">
        <v>3890</v>
      </c>
      <c r="H5448" t="s">
        <v>4394</v>
      </c>
      <c r="I5448" t="s">
        <v>4810</v>
      </c>
      <c r="J5448">
        <v>2</v>
      </c>
      <c r="K5448">
        <v>11.12</v>
      </c>
      <c r="L5448">
        <v>8.6110000000000007</v>
      </c>
      <c r="M5448">
        <v>7.577</v>
      </c>
      <c r="N5448">
        <v>6.8849999999999998</v>
      </c>
      <c r="O5448">
        <v>6.9039999999999999</v>
      </c>
      <c r="P5448">
        <v>6.9580000000000002</v>
      </c>
      <c r="Q5448">
        <v>6.9320000000000004</v>
      </c>
      <c r="R5448">
        <v>6.9039999999999999</v>
      </c>
      <c r="S5448">
        <v>6.875</v>
      </c>
      <c r="T5448">
        <v>6.8460000000000001</v>
      </c>
      <c r="U5448">
        <v>6.8460000000000001</v>
      </c>
      <c r="V5448">
        <v>6.8460000000000001</v>
      </c>
      <c r="W5448">
        <v>6.8460000000000001</v>
      </c>
      <c r="X5448">
        <v>6.8460000000000001</v>
      </c>
      <c r="Y5448">
        <v>6.8460000000000001</v>
      </c>
      <c r="Z5448">
        <v>6.8460000000000001</v>
      </c>
      <c r="AA5448">
        <v>6.8460000000000001</v>
      </c>
      <c r="AB5448">
        <v>6.8460000000000001</v>
      </c>
      <c r="AC5448">
        <v>6.8460000000000001</v>
      </c>
      <c r="AD5448">
        <v>6.8460000000000001</v>
      </c>
    </row>
    <row r="5449" spans="2:30" x14ac:dyDescent="0.25">
      <c r="B5449" t="s">
        <v>133</v>
      </c>
      <c r="C5449" t="s">
        <v>10598</v>
      </c>
      <c r="D5449" t="s">
        <v>4814</v>
      </c>
      <c r="E5449" t="s">
        <v>4815</v>
      </c>
      <c r="F5449" t="s">
        <v>10896</v>
      </c>
      <c r="G5449" t="s">
        <v>3890</v>
      </c>
      <c r="H5449" t="s">
        <v>4653</v>
      </c>
      <c r="I5449" t="s">
        <v>4810</v>
      </c>
      <c r="J5449">
        <v>2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</row>
    <row r="5450" spans="2:30" x14ac:dyDescent="0.25">
      <c r="B5450" t="s">
        <v>133</v>
      </c>
      <c r="C5450" t="s">
        <v>10598</v>
      </c>
      <c r="D5450" t="s">
        <v>4817</v>
      </c>
      <c r="E5450" t="s">
        <v>4818</v>
      </c>
      <c r="F5450" t="s">
        <v>10897</v>
      </c>
      <c r="G5450" t="s">
        <v>3890</v>
      </c>
      <c r="H5450" t="s">
        <v>4669</v>
      </c>
      <c r="I5450" t="s">
        <v>4810</v>
      </c>
      <c r="J5450">
        <v>2</v>
      </c>
      <c r="K5450">
        <v>5.2720000000000002</v>
      </c>
      <c r="L5450">
        <v>5.4829999999999997</v>
      </c>
      <c r="M5450">
        <v>5.702</v>
      </c>
      <c r="N5450">
        <v>5.93</v>
      </c>
      <c r="O5450">
        <v>6.1680000000000001</v>
      </c>
      <c r="P5450">
        <v>6.4139999999999997</v>
      </c>
      <c r="Q5450">
        <v>6.6710000000000003</v>
      </c>
      <c r="R5450">
        <v>6.9379999999999997</v>
      </c>
      <c r="S5450">
        <v>7.2149999999999999</v>
      </c>
      <c r="T5450">
        <v>7.5039999999999996</v>
      </c>
      <c r="U5450">
        <v>7.8040000000000003</v>
      </c>
      <c r="V5450">
        <v>8.1159999999999997</v>
      </c>
      <c r="W5450">
        <v>8.4410000000000007</v>
      </c>
      <c r="X5450">
        <v>8.7780000000000005</v>
      </c>
      <c r="Y5450">
        <v>9.1300000000000008</v>
      </c>
      <c r="Z5450">
        <v>9.4949999999999992</v>
      </c>
      <c r="AA5450">
        <v>9.8740000000000006</v>
      </c>
      <c r="AB5450">
        <v>10.269</v>
      </c>
      <c r="AC5450">
        <v>10.68</v>
      </c>
      <c r="AD5450">
        <v>11.106999999999999</v>
      </c>
    </row>
    <row r="5451" spans="2:30" x14ac:dyDescent="0.25">
      <c r="B5451" t="s">
        <v>133</v>
      </c>
      <c r="C5451" t="s">
        <v>10598</v>
      </c>
      <c r="D5451" t="s">
        <v>4820</v>
      </c>
      <c r="E5451" t="s">
        <v>4821</v>
      </c>
      <c r="F5451" t="s">
        <v>10898</v>
      </c>
      <c r="G5451" t="s">
        <v>3890</v>
      </c>
      <c r="H5451" t="s">
        <v>4673</v>
      </c>
      <c r="I5451" t="s">
        <v>4810</v>
      </c>
      <c r="J5451">
        <v>2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</row>
    <row r="5452" spans="2:30" x14ac:dyDescent="0.25">
      <c r="B5452" t="s">
        <v>133</v>
      </c>
      <c r="C5452" t="s">
        <v>10598</v>
      </c>
      <c r="D5452" t="s">
        <v>4823</v>
      </c>
      <c r="E5452" t="s">
        <v>4824</v>
      </c>
      <c r="F5452" t="s">
        <v>10899</v>
      </c>
      <c r="G5452" t="s">
        <v>3890</v>
      </c>
      <c r="H5452" t="s">
        <v>4826</v>
      </c>
      <c r="I5452" t="s">
        <v>4810</v>
      </c>
      <c r="J5452">
        <v>2</v>
      </c>
      <c r="K5452">
        <v>11.465999999999999</v>
      </c>
      <c r="L5452">
        <v>8.83</v>
      </c>
      <c r="M5452">
        <v>7.7460000000000004</v>
      </c>
      <c r="N5452">
        <v>7.0540000000000003</v>
      </c>
      <c r="O5452">
        <v>7.0720000000000001</v>
      </c>
      <c r="P5452">
        <v>7.1269999999999998</v>
      </c>
      <c r="Q5452">
        <v>7.3760000000000003</v>
      </c>
      <c r="R5452">
        <v>7.6</v>
      </c>
      <c r="S5452">
        <v>7.9409999999999998</v>
      </c>
      <c r="T5452">
        <v>8.1460000000000008</v>
      </c>
      <c r="U5452">
        <v>8.6150000000000002</v>
      </c>
      <c r="V5452">
        <v>8.8420000000000005</v>
      </c>
      <c r="W5452">
        <v>9.3650000000000002</v>
      </c>
      <c r="X5452">
        <v>9.5259999999999998</v>
      </c>
      <c r="Y5452">
        <v>9.2430000000000003</v>
      </c>
      <c r="Z5452">
        <v>9.6029999999999998</v>
      </c>
      <c r="AA5452">
        <v>8.7929999999999993</v>
      </c>
      <c r="AB5452">
        <v>9.84</v>
      </c>
      <c r="AC5452">
        <v>8.39</v>
      </c>
      <c r="AD5452">
        <v>7.0140000000000002</v>
      </c>
    </row>
    <row r="5453" spans="2:30" x14ac:dyDescent="0.25">
      <c r="B5453" t="s">
        <v>133</v>
      </c>
      <c r="C5453" t="s">
        <v>10598</v>
      </c>
      <c r="D5453" t="s">
        <v>4827</v>
      </c>
      <c r="E5453" t="s">
        <v>4828</v>
      </c>
      <c r="F5453" t="s">
        <v>10900</v>
      </c>
      <c r="G5453" t="s">
        <v>3890</v>
      </c>
      <c r="H5453" t="s">
        <v>4830</v>
      </c>
      <c r="I5453" t="s">
        <v>4810</v>
      </c>
      <c r="J5453">
        <v>2</v>
      </c>
      <c r="K5453">
        <v>-4.9260000000000002</v>
      </c>
      <c r="L5453">
        <v>-5.2640000000000002</v>
      </c>
      <c r="M5453">
        <v>-5.5339999999999998</v>
      </c>
      <c r="N5453">
        <v>-5.7619999999999996</v>
      </c>
      <c r="O5453">
        <v>-5.9989999999999997</v>
      </c>
      <c r="P5453">
        <v>-6.2460000000000004</v>
      </c>
      <c r="Q5453">
        <v>-6.2270000000000003</v>
      </c>
      <c r="R5453">
        <v>-6.242</v>
      </c>
      <c r="S5453">
        <v>-6.1479999999999997</v>
      </c>
      <c r="T5453">
        <v>-6.2030000000000003</v>
      </c>
      <c r="U5453">
        <v>-6.0339999999999998</v>
      </c>
      <c r="V5453">
        <v>-6.12</v>
      </c>
      <c r="W5453">
        <v>-5.9219999999999997</v>
      </c>
      <c r="X5453">
        <v>-6.0979999999999999</v>
      </c>
      <c r="Y5453">
        <v>-6.7329999999999997</v>
      </c>
      <c r="Z5453">
        <v>-6.7370000000000001</v>
      </c>
      <c r="AA5453">
        <v>-7.9279999999999999</v>
      </c>
      <c r="AB5453">
        <v>-7.2759999999999998</v>
      </c>
      <c r="AC5453">
        <v>-9.1359999999999992</v>
      </c>
      <c r="AD5453">
        <v>-10.939</v>
      </c>
    </row>
    <row r="5454" spans="2:30" x14ac:dyDescent="0.25">
      <c r="B5454" t="s">
        <v>133</v>
      </c>
      <c r="C5454" t="s">
        <v>10598</v>
      </c>
      <c r="D5454" t="s">
        <v>4831</v>
      </c>
      <c r="E5454" t="s">
        <v>4440</v>
      </c>
      <c r="F5454" t="s">
        <v>10782</v>
      </c>
      <c r="G5454" t="s">
        <v>3890</v>
      </c>
      <c r="H5454" t="s">
        <v>4832</v>
      </c>
      <c r="I5454" t="s">
        <v>4810</v>
      </c>
      <c r="J5454">
        <v>1</v>
      </c>
      <c r="K5454">
        <v>0.34599999999999997</v>
      </c>
      <c r="L5454">
        <v>0.219</v>
      </c>
      <c r="M5454">
        <v>0.16900000000000001</v>
      </c>
      <c r="N5454">
        <v>0.16900000000000001</v>
      </c>
      <c r="O5454">
        <v>0.16900000000000001</v>
      </c>
      <c r="P5454">
        <v>0.16900000000000001</v>
      </c>
      <c r="Q5454">
        <v>0.16900000000000001</v>
      </c>
      <c r="R5454">
        <v>0.16900000000000001</v>
      </c>
      <c r="S5454">
        <v>0.16900000000000001</v>
      </c>
      <c r="T5454">
        <v>0.16900000000000001</v>
      </c>
      <c r="U5454">
        <v>0.16900000000000001</v>
      </c>
      <c r="V5454">
        <v>0.16900000000000001</v>
      </c>
      <c r="W5454">
        <v>0.16900000000000001</v>
      </c>
      <c r="X5454">
        <v>0.16900000000000001</v>
      </c>
      <c r="Y5454">
        <v>0.16900000000000001</v>
      </c>
      <c r="Z5454">
        <v>0.16900000000000001</v>
      </c>
      <c r="AA5454">
        <v>0.16900000000000001</v>
      </c>
      <c r="AB5454">
        <v>0.16900000000000001</v>
      </c>
      <c r="AC5454">
        <v>0.16900000000000001</v>
      </c>
      <c r="AD5454">
        <v>0.16900000000000001</v>
      </c>
    </row>
    <row r="5455" spans="2:30" x14ac:dyDescent="0.25">
      <c r="B5455" t="s">
        <v>133</v>
      </c>
      <c r="C5455" t="s">
        <v>10598</v>
      </c>
      <c r="D5455" t="s">
        <v>4833</v>
      </c>
      <c r="E5455" t="s">
        <v>4834</v>
      </c>
      <c r="F5455" t="s">
        <v>10901</v>
      </c>
      <c r="G5455" t="s">
        <v>3890</v>
      </c>
      <c r="H5455" t="s">
        <v>4686</v>
      </c>
      <c r="I5455" t="s">
        <v>4687</v>
      </c>
      <c r="J5455">
        <v>1</v>
      </c>
      <c r="K5455">
        <v>3.5920000000000001</v>
      </c>
      <c r="L5455">
        <v>2.2810000000000001</v>
      </c>
      <c r="M5455">
        <v>1.7529999999999999</v>
      </c>
      <c r="N5455">
        <v>1.7529999999999999</v>
      </c>
      <c r="O5455">
        <v>1.7529999999999999</v>
      </c>
      <c r="P5455">
        <v>1.7529999999999999</v>
      </c>
      <c r="Q5455">
        <v>1.7529999999999999</v>
      </c>
      <c r="R5455">
        <v>1.7529999999999999</v>
      </c>
      <c r="S5455">
        <v>1.7529999999999999</v>
      </c>
      <c r="T5455">
        <v>1.7529999999999999</v>
      </c>
      <c r="U5455">
        <v>1.7529999999999999</v>
      </c>
      <c r="V5455">
        <v>1.7529999999999999</v>
      </c>
      <c r="W5455">
        <v>1.7529999999999999</v>
      </c>
      <c r="X5455">
        <v>1.7529999999999999</v>
      </c>
      <c r="Y5455">
        <v>1.7529999999999999</v>
      </c>
      <c r="Z5455">
        <v>1.7529999999999999</v>
      </c>
      <c r="AA5455">
        <v>1.7529999999999999</v>
      </c>
      <c r="AB5455">
        <v>1.7529999999999999</v>
      </c>
      <c r="AC5455">
        <v>1.7529999999999999</v>
      </c>
      <c r="AD5455">
        <v>1.7529999999999999</v>
      </c>
    </row>
    <row r="5456" spans="2:30" x14ac:dyDescent="0.25">
      <c r="B5456" t="s">
        <v>133</v>
      </c>
      <c r="C5456" t="s">
        <v>10598</v>
      </c>
      <c r="D5456" t="s">
        <v>4836</v>
      </c>
      <c r="E5456" t="s">
        <v>4837</v>
      </c>
      <c r="F5456" t="s">
        <v>10902</v>
      </c>
      <c r="G5456" t="s">
        <v>3890</v>
      </c>
      <c r="H5456" t="s">
        <v>4839</v>
      </c>
      <c r="I5456" t="s">
        <v>4810</v>
      </c>
      <c r="J5456">
        <v>2</v>
      </c>
      <c r="K5456">
        <v>5.2720000000000002</v>
      </c>
      <c r="L5456">
        <v>5.4829999999999997</v>
      </c>
      <c r="M5456">
        <v>5.702</v>
      </c>
      <c r="N5456">
        <v>5.93</v>
      </c>
      <c r="O5456">
        <v>6.1680000000000001</v>
      </c>
      <c r="P5456">
        <v>6.4139999999999997</v>
      </c>
      <c r="Q5456">
        <v>6.6710000000000003</v>
      </c>
      <c r="R5456">
        <v>6.9379999999999997</v>
      </c>
      <c r="S5456">
        <v>7.2149999999999999</v>
      </c>
      <c r="T5456">
        <v>7.5039999999999996</v>
      </c>
      <c r="U5456">
        <v>7.8040000000000003</v>
      </c>
      <c r="V5456">
        <v>8.1159999999999997</v>
      </c>
      <c r="W5456">
        <v>8.4410000000000007</v>
      </c>
      <c r="X5456">
        <v>8.7780000000000005</v>
      </c>
      <c r="Y5456">
        <v>9.1300000000000008</v>
      </c>
      <c r="Z5456">
        <v>9.4949999999999992</v>
      </c>
      <c r="AA5456">
        <v>9.8740000000000006</v>
      </c>
      <c r="AB5456">
        <v>10.269</v>
      </c>
      <c r="AC5456">
        <v>10.68</v>
      </c>
      <c r="AD5456">
        <v>11.106999999999999</v>
      </c>
    </row>
    <row r="5457" spans="2:30" x14ac:dyDescent="0.25">
      <c r="B5457" t="s">
        <v>133</v>
      </c>
      <c r="C5457" t="s">
        <v>10598</v>
      </c>
      <c r="D5457" t="s">
        <v>4840</v>
      </c>
      <c r="E5457" t="s">
        <v>4841</v>
      </c>
      <c r="F5457" t="s">
        <v>10903</v>
      </c>
      <c r="G5457" t="s">
        <v>3890</v>
      </c>
      <c r="H5457" t="s">
        <v>4695</v>
      </c>
      <c r="I5457" t="s">
        <v>4687</v>
      </c>
      <c r="J5457">
        <v>2</v>
      </c>
      <c r="K5457">
        <v>54.802</v>
      </c>
      <c r="L5457">
        <v>56.994</v>
      </c>
      <c r="M5457">
        <v>59.274000000000001</v>
      </c>
      <c r="N5457">
        <v>61.645000000000003</v>
      </c>
      <c r="O5457">
        <v>64.11</v>
      </c>
      <c r="P5457">
        <v>66.674999999999997</v>
      </c>
      <c r="Q5457">
        <v>69.341999999999999</v>
      </c>
      <c r="R5457">
        <v>72.114999999999995</v>
      </c>
      <c r="S5457">
        <v>75</v>
      </c>
      <c r="T5457">
        <v>78</v>
      </c>
      <c r="U5457">
        <v>81.12</v>
      </c>
      <c r="V5457">
        <v>84.364999999999995</v>
      </c>
      <c r="W5457">
        <v>87.739000000000004</v>
      </c>
      <c r="X5457">
        <v>91.248999999999995</v>
      </c>
      <c r="Y5457">
        <v>94.899000000000001</v>
      </c>
      <c r="Z5457">
        <v>98.694999999999993</v>
      </c>
      <c r="AA5457">
        <v>102.643</v>
      </c>
      <c r="AB5457">
        <v>106.748</v>
      </c>
      <c r="AC5457">
        <v>111.018</v>
      </c>
      <c r="AD5457">
        <v>115.459</v>
      </c>
    </row>
    <row r="5458" spans="2:30" x14ac:dyDescent="0.25">
      <c r="B5458" t="s">
        <v>133</v>
      </c>
      <c r="C5458" t="s">
        <v>10598</v>
      </c>
      <c r="D5458" t="s">
        <v>4843</v>
      </c>
      <c r="E5458" t="s">
        <v>4844</v>
      </c>
      <c r="F5458" t="s">
        <v>10904</v>
      </c>
      <c r="G5458" t="s">
        <v>3890</v>
      </c>
      <c r="H5458" t="s">
        <v>4645</v>
      </c>
      <c r="I5458" t="s">
        <v>4810</v>
      </c>
      <c r="J5458">
        <v>2</v>
      </c>
      <c r="K5458">
        <v>29.199000000000002</v>
      </c>
      <c r="L5458">
        <v>21.902000000000001</v>
      </c>
      <c r="M5458">
        <v>21.242999999999999</v>
      </c>
      <c r="N5458">
        <v>20.411999999999999</v>
      </c>
      <c r="O5458">
        <v>20.712</v>
      </c>
      <c r="P5458">
        <v>21.079000000000001</v>
      </c>
      <c r="Q5458">
        <v>21.331</v>
      </c>
      <c r="R5458">
        <v>21.591000000000001</v>
      </c>
      <c r="S5458">
        <v>21.86</v>
      </c>
      <c r="T5458">
        <v>22.143999999999998</v>
      </c>
      <c r="U5458">
        <v>22.486000000000001</v>
      </c>
      <c r="V5458">
        <v>22.841999999999999</v>
      </c>
      <c r="W5458">
        <v>23.212</v>
      </c>
      <c r="X5458">
        <v>23.597000000000001</v>
      </c>
      <c r="Y5458">
        <v>23.997</v>
      </c>
      <c r="Z5458">
        <v>24.413</v>
      </c>
      <c r="AA5458">
        <v>24.846</v>
      </c>
      <c r="AB5458">
        <v>25.297000000000001</v>
      </c>
      <c r="AC5458">
        <v>25.765000000000001</v>
      </c>
      <c r="AD5458">
        <v>26.251999999999999</v>
      </c>
    </row>
    <row r="5459" spans="2:30" x14ac:dyDescent="0.25">
      <c r="B5459" t="s">
        <v>133</v>
      </c>
      <c r="C5459" t="s">
        <v>10598</v>
      </c>
      <c r="D5459" t="s">
        <v>4846</v>
      </c>
      <c r="E5459" t="s">
        <v>4847</v>
      </c>
      <c r="F5459" t="s">
        <v>10905</v>
      </c>
      <c r="G5459" t="s">
        <v>3890</v>
      </c>
      <c r="H5459" t="s">
        <v>4394</v>
      </c>
      <c r="I5459" t="s">
        <v>4810</v>
      </c>
      <c r="J5459">
        <v>2</v>
      </c>
      <c r="K5459">
        <v>20.341000000000001</v>
      </c>
      <c r="L5459">
        <v>13.728999999999999</v>
      </c>
      <c r="M5459">
        <v>12.932</v>
      </c>
      <c r="N5459">
        <v>11.975</v>
      </c>
      <c r="O5459">
        <v>12</v>
      </c>
      <c r="P5459">
        <v>12.076000000000001</v>
      </c>
      <c r="Q5459">
        <v>12.04</v>
      </c>
      <c r="R5459">
        <v>12.002000000000001</v>
      </c>
      <c r="S5459">
        <v>11.96</v>
      </c>
      <c r="T5459">
        <v>11.920999999999999</v>
      </c>
      <c r="U5459">
        <v>11.920999999999999</v>
      </c>
      <c r="V5459">
        <v>11.920999999999999</v>
      </c>
      <c r="W5459">
        <v>11.920999999999999</v>
      </c>
      <c r="X5459">
        <v>11.920999999999999</v>
      </c>
      <c r="Y5459">
        <v>11.920999999999999</v>
      </c>
      <c r="Z5459">
        <v>11.920999999999999</v>
      </c>
      <c r="AA5459">
        <v>11.920999999999999</v>
      </c>
      <c r="AB5459">
        <v>11.920999999999999</v>
      </c>
      <c r="AC5459">
        <v>11.920999999999999</v>
      </c>
      <c r="AD5459">
        <v>11.920999999999999</v>
      </c>
    </row>
    <row r="5460" spans="2:30" x14ac:dyDescent="0.25">
      <c r="B5460" t="s">
        <v>133</v>
      </c>
      <c r="C5460" t="s">
        <v>10598</v>
      </c>
      <c r="D5460" t="s">
        <v>4849</v>
      </c>
      <c r="E5460" t="s">
        <v>4850</v>
      </c>
      <c r="F5460" t="s">
        <v>10906</v>
      </c>
      <c r="G5460" t="s">
        <v>3890</v>
      </c>
      <c r="H5460" t="s">
        <v>4653</v>
      </c>
      <c r="I5460" t="s">
        <v>4810</v>
      </c>
      <c r="J5460">
        <v>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</row>
    <row r="5461" spans="2:30" x14ac:dyDescent="0.25">
      <c r="B5461" t="s">
        <v>133</v>
      </c>
      <c r="C5461" t="s">
        <v>10598</v>
      </c>
      <c r="D5461" t="s">
        <v>4852</v>
      </c>
      <c r="E5461" t="s">
        <v>4853</v>
      </c>
      <c r="F5461" t="s">
        <v>10907</v>
      </c>
      <c r="G5461" t="s">
        <v>3890</v>
      </c>
      <c r="H5461" t="s">
        <v>4669</v>
      </c>
      <c r="I5461" t="s">
        <v>4810</v>
      </c>
      <c r="J5461">
        <v>2</v>
      </c>
      <c r="K5461">
        <v>5.2720000000000002</v>
      </c>
      <c r="L5461">
        <v>5.4829999999999997</v>
      </c>
      <c r="M5461">
        <v>5.702</v>
      </c>
      <c r="N5461">
        <v>5.93</v>
      </c>
      <c r="O5461">
        <v>6.1680000000000001</v>
      </c>
      <c r="P5461">
        <v>6.4139999999999997</v>
      </c>
      <c r="Q5461">
        <v>6.6710000000000003</v>
      </c>
      <c r="R5461">
        <v>6.9379999999999997</v>
      </c>
      <c r="S5461">
        <v>7.2149999999999999</v>
      </c>
      <c r="T5461">
        <v>7.5039999999999996</v>
      </c>
      <c r="U5461">
        <v>7.8040000000000003</v>
      </c>
      <c r="V5461">
        <v>8.1159999999999997</v>
      </c>
      <c r="W5461">
        <v>8.4410000000000007</v>
      </c>
      <c r="X5461">
        <v>8.7780000000000005</v>
      </c>
      <c r="Y5461">
        <v>9.1300000000000008</v>
      </c>
      <c r="Z5461">
        <v>9.4949999999999992</v>
      </c>
      <c r="AA5461">
        <v>9.8740000000000006</v>
      </c>
      <c r="AB5461">
        <v>10.269</v>
      </c>
      <c r="AC5461">
        <v>10.68</v>
      </c>
      <c r="AD5461">
        <v>11.106999999999999</v>
      </c>
    </row>
    <row r="5462" spans="2:30" x14ac:dyDescent="0.25">
      <c r="B5462" t="s">
        <v>133</v>
      </c>
      <c r="C5462" t="s">
        <v>10598</v>
      </c>
      <c r="D5462" t="s">
        <v>4855</v>
      </c>
      <c r="E5462" t="s">
        <v>4856</v>
      </c>
      <c r="F5462" t="s">
        <v>10908</v>
      </c>
      <c r="G5462" t="s">
        <v>3890</v>
      </c>
      <c r="H5462" t="s">
        <v>4673</v>
      </c>
      <c r="I5462" t="s">
        <v>4810</v>
      </c>
      <c r="J5462">
        <v>2</v>
      </c>
      <c r="K5462">
        <v>3.5859999999999999</v>
      </c>
      <c r="L5462">
        <v>2.69</v>
      </c>
      <c r="M5462">
        <v>2.609</v>
      </c>
      <c r="N5462">
        <v>2.5070000000000001</v>
      </c>
      <c r="O5462">
        <v>2.544</v>
      </c>
      <c r="P5462">
        <v>2.589</v>
      </c>
      <c r="Q5462">
        <v>2.62</v>
      </c>
      <c r="R5462">
        <v>2.6520000000000001</v>
      </c>
      <c r="S5462">
        <v>2.6850000000000001</v>
      </c>
      <c r="T5462">
        <v>2.7189999999999999</v>
      </c>
      <c r="U5462">
        <v>2.7610000000000001</v>
      </c>
      <c r="V5462">
        <v>2.8050000000000002</v>
      </c>
      <c r="W5462">
        <v>2.851</v>
      </c>
      <c r="X5462">
        <v>2.8980000000000001</v>
      </c>
      <c r="Y5462">
        <v>2.9470000000000001</v>
      </c>
      <c r="Z5462">
        <v>2.9980000000000002</v>
      </c>
      <c r="AA5462">
        <v>3.0510000000000002</v>
      </c>
      <c r="AB5462">
        <v>3.1070000000000002</v>
      </c>
      <c r="AC5462">
        <v>3.1640000000000001</v>
      </c>
      <c r="AD5462">
        <v>3.2240000000000002</v>
      </c>
    </row>
    <row r="5463" spans="2:30" x14ac:dyDescent="0.25">
      <c r="B5463" t="s">
        <v>133</v>
      </c>
      <c r="C5463" t="s">
        <v>10598</v>
      </c>
      <c r="D5463" t="s">
        <v>4858</v>
      </c>
      <c r="E5463" t="s">
        <v>4859</v>
      </c>
      <c r="F5463" t="s">
        <v>10909</v>
      </c>
      <c r="G5463" t="s">
        <v>3890</v>
      </c>
      <c r="H5463" t="s">
        <v>4826</v>
      </c>
      <c r="I5463" t="s">
        <v>4810</v>
      </c>
      <c r="J5463">
        <v>2</v>
      </c>
      <c r="K5463">
        <v>23.399000000000001</v>
      </c>
      <c r="L5463">
        <v>15.864000000000001</v>
      </c>
      <c r="M5463">
        <v>14.744</v>
      </c>
      <c r="N5463">
        <v>13.651999999999999</v>
      </c>
      <c r="O5463">
        <v>13.680999999999999</v>
      </c>
      <c r="P5463">
        <v>13.768000000000001</v>
      </c>
      <c r="Q5463">
        <v>13.727</v>
      </c>
      <c r="R5463">
        <v>13.683</v>
      </c>
      <c r="S5463">
        <v>13.635999999999999</v>
      </c>
      <c r="T5463">
        <v>13.59</v>
      </c>
      <c r="U5463">
        <v>13.59</v>
      </c>
      <c r="V5463">
        <v>13.59</v>
      </c>
      <c r="W5463">
        <v>13.59</v>
      </c>
      <c r="X5463">
        <v>13.59</v>
      </c>
      <c r="Y5463">
        <v>13.59</v>
      </c>
      <c r="Z5463">
        <v>13.59</v>
      </c>
      <c r="AA5463">
        <v>13.59</v>
      </c>
      <c r="AB5463">
        <v>13.59</v>
      </c>
      <c r="AC5463">
        <v>13.59</v>
      </c>
      <c r="AD5463">
        <v>13.59</v>
      </c>
    </row>
    <row r="5464" spans="2:30" x14ac:dyDescent="0.25">
      <c r="B5464" t="s">
        <v>133</v>
      </c>
      <c r="C5464" t="s">
        <v>10598</v>
      </c>
      <c r="D5464" t="s">
        <v>4861</v>
      </c>
      <c r="E5464" t="s">
        <v>4862</v>
      </c>
      <c r="F5464" t="s">
        <v>10910</v>
      </c>
      <c r="G5464" t="s">
        <v>3890</v>
      </c>
      <c r="H5464" t="s">
        <v>4830</v>
      </c>
      <c r="I5464" t="s">
        <v>4810</v>
      </c>
      <c r="J5464">
        <v>2</v>
      </c>
      <c r="K5464">
        <v>-5.8</v>
      </c>
      <c r="L5464">
        <v>-6.0380000000000003</v>
      </c>
      <c r="M5464">
        <v>-6.5</v>
      </c>
      <c r="N5464">
        <v>-6.76</v>
      </c>
      <c r="O5464">
        <v>-7.03</v>
      </c>
      <c r="P5464">
        <v>-7.3120000000000003</v>
      </c>
      <c r="Q5464">
        <v>-7.6040000000000001</v>
      </c>
      <c r="R5464">
        <v>-7.9080000000000004</v>
      </c>
      <c r="S5464">
        <v>-8.2249999999999996</v>
      </c>
      <c r="T5464">
        <v>-8.5540000000000003</v>
      </c>
      <c r="U5464">
        <v>-8.8960000000000008</v>
      </c>
      <c r="V5464">
        <v>-9.2520000000000007</v>
      </c>
      <c r="W5464">
        <v>-9.6219999999999999</v>
      </c>
      <c r="X5464">
        <v>-10.007</v>
      </c>
      <c r="Y5464">
        <v>-10.407</v>
      </c>
      <c r="Z5464">
        <v>-10.823</v>
      </c>
      <c r="AA5464">
        <v>-11.256</v>
      </c>
      <c r="AB5464">
        <v>-11.706</v>
      </c>
      <c r="AC5464">
        <v>-12.175000000000001</v>
      </c>
      <c r="AD5464">
        <v>-12.662000000000001</v>
      </c>
    </row>
    <row r="5465" spans="2:30" x14ac:dyDescent="0.25">
      <c r="B5465" t="s">
        <v>133</v>
      </c>
      <c r="C5465" t="s">
        <v>10598</v>
      </c>
      <c r="D5465" t="s">
        <v>4864</v>
      </c>
      <c r="E5465" t="s">
        <v>4446</v>
      </c>
      <c r="F5465" t="s">
        <v>10784</v>
      </c>
      <c r="G5465" t="s">
        <v>3890</v>
      </c>
      <c r="H5465" t="s">
        <v>4865</v>
      </c>
      <c r="I5465" t="s">
        <v>4810</v>
      </c>
      <c r="J5465">
        <v>1</v>
      </c>
      <c r="K5465">
        <v>0.184</v>
      </c>
      <c r="L5465">
        <v>0.187</v>
      </c>
      <c r="M5465">
        <v>1E-3</v>
      </c>
      <c r="N5465">
        <v>1E-3</v>
      </c>
      <c r="O5465">
        <v>1E-3</v>
      </c>
      <c r="P5465">
        <v>1E-3</v>
      </c>
      <c r="Q5465">
        <v>1E-3</v>
      </c>
      <c r="R5465">
        <v>1E-3</v>
      </c>
      <c r="S5465">
        <v>1E-3</v>
      </c>
      <c r="T5465">
        <v>1E-3</v>
      </c>
      <c r="U5465">
        <v>1E-3</v>
      </c>
      <c r="V5465">
        <v>1E-3</v>
      </c>
      <c r="W5465">
        <v>1E-3</v>
      </c>
      <c r="X5465">
        <v>1E-3</v>
      </c>
      <c r="Y5465">
        <v>1E-3</v>
      </c>
      <c r="Z5465">
        <v>1E-3</v>
      </c>
      <c r="AA5465">
        <v>1E-3</v>
      </c>
      <c r="AB5465">
        <v>1E-3</v>
      </c>
      <c r="AC5465">
        <v>1E-3</v>
      </c>
      <c r="AD5465">
        <v>1E-3</v>
      </c>
    </row>
    <row r="5466" spans="2:30" x14ac:dyDescent="0.25">
      <c r="B5466" t="s">
        <v>133</v>
      </c>
      <c r="C5466" t="s">
        <v>10598</v>
      </c>
      <c r="D5466" t="s">
        <v>4866</v>
      </c>
      <c r="E5466" t="s">
        <v>4867</v>
      </c>
      <c r="F5466" t="s">
        <v>10911</v>
      </c>
      <c r="G5466" t="s">
        <v>3890</v>
      </c>
      <c r="H5466" t="s">
        <v>4686</v>
      </c>
      <c r="I5466" t="s">
        <v>4687</v>
      </c>
      <c r="J5466">
        <v>1</v>
      </c>
      <c r="K5466">
        <v>1.9179999999999999</v>
      </c>
      <c r="L5466">
        <v>1.9410000000000001</v>
      </c>
      <c r="M5466">
        <v>7.0000000000000001E-3</v>
      </c>
      <c r="N5466">
        <v>7.0000000000000001E-3</v>
      </c>
      <c r="O5466">
        <v>7.0000000000000001E-3</v>
      </c>
      <c r="P5466">
        <v>7.0000000000000001E-3</v>
      </c>
      <c r="Q5466">
        <v>7.0000000000000001E-3</v>
      </c>
      <c r="R5466">
        <v>7.0000000000000001E-3</v>
      </c>
      <c r="S5466">
        <v>7.0000000000000001E-3</v>
      </c>
      <c r="T5466">
        <v>7.0000000000000001E-3</v>
      </c>
      <c r="U5466">
        <v>7.0000000000000001E-3</v>
      </c>
      <c r="V5466">
        <v>7.0000000000000001E-3</v>
      </c>
      <c r="W5466">
        <v>7.0000000000000001E-3</v>
      </c>
      <c r="X5466">
        <v>7.0000000000000001E-3</v>
      </c>
      <c r="Y5466">
        <v>7.0000000000000001E-3</v>
      </c>
      <c r="Z5466">
        <v>7.0000000000000001E-3</v>
      </c>
      <c r="AA5466">
        <v>7.0000000000000001E-3</v>
      </c>
      <c r="AB5466">
        <v>7.0000000000000001E-3</v>
      </c>
      <c r="AC5466">
        <v>7.0000000000000001E-3</v>
      </c>
      <c r="AD5466">
        <v>7.0000000000000001E-3</v>
      </c>
    </row>
    <row r="5467" spans="2:30" x14ac:dyDescent="0.25">
      <c r="B5467" t="s">
        <v>133</v>
      </c>
      <c r="C5467" t="s">
        <v>10598</v>
      </c>
      <c r="D5467" t="s">
        <v>4869</v>
      </c>
      <c r="E5467" t="s">
        <v>4870</v>
      </c>
      <c r="F5467" t="s">
        <v>10912</v>
      </c>
      <c r="G5467" t="s">
        <v>3890</v>
      </c>
      <c r="H5467" t="s">
        <v>4839</v>
      </c>
      <c r="I5467" t="s">
        <v>4810</v>
      </c>
      <c r="J5467">
        <v>2</v>
      </c>
      <c r="K5467">
        <v>5.2720000000000002</v>
      </c>
      <c r="L5467">
        <v>5.4829999999999997</v>
      </c>
      <c r="M5467">
        <v>5.702</v>
      </c>
      <c r="N5467">
        <v>5.93</v>
      </c>
      <c r="O5467">
        <v>6.1680000000000001</v>
      </c>
      <c r="P5467">
        <v>6.4139999999999997</v>
      </c>
      <c r="Q5467">
        <v>6.6710000000000003</v>
      </c>
      <c r="R5467">
        <v>6.9379999999999997</v>
      </c>
      <c r="S5467">
        <v>7.2149999999999999</v>
      </c>
      <c r="T5467">
        <v>7.5039999999999996</v>
      </c>
      <c r="U5467">
        <v>7.8040000000000003</v>
      </c>
      <c r="V5467">
        <v>8.1159999999999997</v>
      </c>
      <c r="W5467">
        <v>8.4410000000000007</v>
      </c>
      <c r="X5467">
        <v>8.7780000000000005</v>
      </c>
      <c r="Y5467">
        <v>9.1300000000000008</v>
      </c>
      <c r="Z5467">
        <v>9.4949999999999992</v>
      </c>
      <c r="AA5467">
        <v>9.8740000000000006</v>
      </c>
      <c r="AB5467">
        <v>10.269</v>
      </c>
      <c r="AC5467">
        <v>10.68</v>
      </c>
      <c r="AD5467">
        <v>11.106999999999999</v>
      </c>
    </row>
    <row r="5468" spans="2:30" x14ac:dyDescent="0.25">
      <c r="B5468" t="s">
        <v>133</v>
      </c>
      <c r="C5468" t="s">
        <v>10598</v>
      </c>
      <c r="D5468" t="s">
        <v>4872</v>
      </c>
      <c r="E5468" t="s">
        <v>4873</v>
      </c>
      <c r="F5468" t="s">
        <v>10913</v>
      </c>
      <c r="G5468" t="s">
        <v>3890</v>
      </c>
      <c r="H5468" t="s">
        <v>4695</v>
      </c>
      <c r="I5468" t="s">
        <v>4687</v>
      </c>
      <c r="J5468">
        <v>2</v>
      </c>
      <c r="K5468">
        <v>54.802</v>
      </c>
      <c r="L5468">
        <v>56.994</v>
      </c>
      <c r="M5468">
        <v>59.274000000000001</v>
      </c>
      <c r="N5468">
        <v>61.645000000000003</v>
      </c>
      <c r="O5468">
        <v>64.11</v>
      </c>
      <c r="P5468">
        <v>66.674999999999997</v>
      </c>
      <c r="Q5468">
        <v>69.341999999999999</v>
      </c>
      <c r="R5468">
        <v>72.114999999999995</v>
      </c>
      <c r="S5468">
        <v>75</v>
      </c>
      <c r="T5468">
        <v>78</v>
      </c>
      <c r="U5468">
        <v>81.12</v>
      </c>
      <c r="V5468">
        <v>84.364999999999995</v>
      </c>
      <c r="W5468">
        <v>87.739000000000004</v>
      </c>
      <c r="X5468">
        <v>91.248999999999995</v>
      </c>
      <c r="Y5468">
        <v>94.899000000000001</v>
      </c>
      <c r="Z5468">
        <v>98.694999999999993</v>
      </c>
      <c r="AA5468">
        <v>102.643</v>
      </c>
      <c r="AB5468">
        <v>106.748</v>
      </c>
      <c r="AC5468">
        <v>111.018</v>
      </c>
      <c r="AD5468">
        <v>115.459</v>
      </c>
    </row>
    <row r="5469" spans="2:30" x14ac:dyDescent="0.25">
      <c r="B5469" t="s">
        <v>133</v>
      </c>
      <c r="C5469" t="s">
        <v>10598</v>
      </c>
      <c r="D5469" t="s">
        <v>4875</v>
      </c>
      <c r="E5469" t="s">
        <v>4876</v>
      </c>
      <c r="F5469" t="s">
        <v>10914</v>
      </c>
      <c r="G5469" t="s">
        <v>3890</v>
      </c>
      <c r="H5469" t="s">
        <v>4645</v>
      </c>
      <c r="I5469" t="s">
        <v>4810</v>
      </c>
      <c r="J5469">
        <v>2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  <c r="W5469" t="e">
        <v>#N/A</v>
      </c>
      <c r="X5469" t="e">
        <v>#N/A</v>
      </c>
      <c r="Y5469" t="e">
        <v>#N/A</v>
      </c>
      <c r="Z5469" t="e">
        <v>#N/A</v>
      </c>
      <c r="AA5469" t="e">
        <v>#N/A</v>
      </c>
      <c r="AB5469" t="e">
        <v>#N/A</v>
      </c>
      <c r="AC5469" t="e">
        <v>#N/A</v>
      </c>
      <c r="AD5469" t="e">
        <v>#N/A</v>
      </c>
    </row>
    <row r="5470" spans="2:30" x14ac:dyDescent="0.25">
      <c r="B5470" t="s">
        <v>133</v>
      </c>
      <c r="C5470" t="s">
        <v>10598</v>
      </c>
      <c r="D5470" t="s">
        <v>4878</v>
      </c>
      <c r="E5470" t="s">
        <v>4879</v>
      </c>
      <c r="F5470" t="s">
        <v>10915</v>
      </c>
      <c r="G5470" t="s">
        <v>3890</v>
      </c>
      <c r="H5470" t="s">
        <v>4394</v>
      </c>
      <c r="I5470" t="s">
        <v>4810</v>
      </c>
      <c r="J5470">
        <v>2</v>
      </c>
      <c r="K5470">
        <v>13.301</v>
      </c>
      <c r="L5470">
        <v>6.66</v>
      </c>
      <c r="M5470">
        <v>5.9119999999999999</v>
      </c>
      <c r="N5470">
        <v>5.032</v>
      </c>
      <c r="O5470">
        <v>5.0549999999999997</v>
      </c>
      <c r="P5470">
        <v>5.125</v>
      </c>
      <c r="Q5470">
        <v>5.0919999999999996</v>
      </c>
      <c r="R5470">
        <v>5.056</v>
      </c>
      <c r="S5470">
        <v>5.0179999999999998</v>
      </c>
      <c r="T5470">
        <v>4.9820000000000002</v>
      </c>
      <c r="U5470">
        <v>4.9820000000000002</v>
      </c>
      <c r="V5470">
        <v>4.9820000000000002</v>
      </c>
      <c r="W5470">
        <v>4.9820000000000002</v>
      </c>
      <c r="X5470">
        <v>4.9820000000000002</v>
      </c>
      <c r="Y5470">
        <v>4.9820000000000002</v>
      </c>
      <c r="Z5470">
        <v>4.9820000000000002</v>
      </c>
      <c r="AA5470">
        <v>4.9820000000000002</v>
      </c>
      <c r="AB5470">
        <v>4.9820000000000002</v>
      </c>
      <c r="AC5470">
        <v>4.9820000000000002</v>
      </c>
      <c r="AD5470">
        <v>4.9820000000000002</v>
      </c>
    </row>
    <row r="5471" spans="2:30" x14ac:dyDescent="0.25">
      <c r="B5471" t="s">
        <v>133</v>
      </c>
      <c r="C5471" t="s">
        <v>10598</v>
      </c>
      <c r="D5471" t="s">
        <v>4881</v>
      </c>
      <c r="E5471" t="s">
        <v>4882</v>
      </c>
      <c r="F5471" t="s">
        <v>10916</v>
      </c>
      <c r="G5471" t="s">
        <v>3890</v>
      </c>
      <c r="H5471" t="s">
        <v>4653</v>
      </c>
      <c r="I5471" t="s">
        <v>4810</v>
      </c>
      <c r="J5471">
        <v>2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  <c r="W5471" t="e">
        <v>#N/A</v>
      </c>
      <c r="X5471" t="e">
        <v>#N/A</v>
      </c>
      <c r="Y5471" t="e">
        <v>#N/A</v>
      </c>
      <c r="Z5471" t="e">
        <v>#N/A</v>
      </c>
      <c r="AA5471" t="e">
        <v>#N/A</v>
      </c>
      <c r="AB5471" t="e">
        <v>#N/A</v>
      </c>
      <c r="AC5471" t="e">
        <v>#N/A</v>
      </c>
      <c r="AD5471" t="e">
        <v>#N/A</v>
      </c>
    </row>
    <row r="5472" spans="2:30" x14ac:dyDescent="0.25">
      <c r="B5472" t="s">
        <v>133</v>
      </c>
      <c r="C5472" t="s">
        <v>10598</v>
      </c>
      <c r="D5472" t="s">
        <v>4884</v>
      </c>
      <c r="E5472" t="s">
        <v>4885</v>
      </c>
      <c r="F5472" t="s">
        <v>10917</v>
      </c>
      <c r="G5472" t="s">
        <v>3890</v>
      </c>
      <c r="H5472" t="s">
        <v>4669</v>
      </c>
      <c r="I5472" t="s">
        <v>4810</v>
      </c>
      <c r="J5472">
        <v>2</v>
      </c>
      <c r="K5472">
        <v>5.2720000000000002</v>
      </c>
      <c r="L5472">
        <v>5.4829999999999997</v>
      </c>
      <c r="M5472">
        <v>5.702</v>
      </c>
      <c r="N5472">
        <v>5.93</v>
      </c>
      <c r="O5472">
        <v>6.1680000000000001</v>
      </c>
      <c r="P5472">
        <v>6.4139999999999997</v>
      </c>
      <c r="Q5472">
        <v>6.6710000000000003</v>
      </c>
      <c r="R5472">
        <v>6.9379999999999997</v>
      </c>
      <c r="S5472">
        <v>7.2149999999999999</v>
      </c>
      <c r="T5472">
        <v>7.5039999999999996</v>
      </c>
      <c r="U5472">
        <v>7.8040000000000003</v>
      </c>
      <c r="V5472">
        <v>8.1159999999999997</v>
      </c>
      <c r="W5472">
        <v>8.4410000000000007</v>
      </c>
      <c r="X5472">
        <v>8.7780000000000005</v>
      </c>
      <c r="Y5472">
        <v>9.1300000000000008</v>
      </c>
      <c r="Z5472">
        <v>9.4949999999999992</v>
      </c>
      <c r="AA5472">
        <v>9.8740000000000006</v>
      </c>
      <c r="AB5472">
        <v>10.269</v>
      </c>
      <c r="AC5472">
        <v>10.68</v>
      </c>
      <c r="AD5472">
        <v>11.106999999999999</v>
      </c>
    </row>
    <row r="5473" spans="2:30" x14ac:dyDescent="0.25">
      <c r="B5473" t="s">
        <v>133</v>
      </c>
      <c r="C5473" t="s">
        <v>10598</v>
      </c>
      <c r="D5473" t="s">
        <v>4887</v>
      </c>
      <c r="E5473" t="s">
        <v>4888</v>
      </c>
      <c r="F5473" t="s">
        <v>10918</v>
      </c>
      <c r="G5473" t="s">
        <v>3890</v>
      </c>
      <c r="H5473" t="s">
        <v>4673</v>
      </c>
      <c r="I5473" t="s">
        <v>4810</v>
      </c>
      <c r="J5473">
        <v>2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</row>
    <row r="5474" spans="2:30" x14ac:dyDescent="0.25">
      <c r="B5474" t="s">
        <v>133</v>
      </c>
      <c r="C5474" t="s">
        <v>10598</v>
      </c>
      <c r="D5474" t="s">
        <v>4890</v>
      </c>
      <c r="E5474" t="s">
        <v>4891</v>
      </c>
      <c r="F5474" t="s">
        <v>10919</v>
      </c>
      <c r="G5474" t="s">
        <v>3890</v>
      </c>
      <c r="H5474" t="s">
        <v>4826</v>
      </c>
      <c r="I5474" t="s">
        <v>4810</v>
      </c>
      <c r="J5474">
        <v>2</v>
      </c>
      <c r="K5474">
        <v>13.301</v>
      </c>
      <c r="L5474">
        <v>6.66</v>
      </c>
      <c r="M5474">
        <v>5.9119999999999999</v>
      </c>
      <c r="N5474">
        <v>5.032</v>
      </c>
      <c r="O5474">
        <v>5.0549999999999997</v>
      </c>
      <c r="P5474">
        <v>5.125</v>
      </c>
      <c r="Q5474">
        <v>5.351</v>
      </c>
      <c r="R5474">
        <v>5.5529999999999999</v>
      </c>
      <c r="S5474">
        <v>5.8650000000000002</v>
      </c>
      <c r="T5474">
        <v>6.0490000000000004</v>
      </c>
      <c r="U5474">
        <v>6.4909999999999997</v>
      </c>
      <c r="V5474">
        <v>6.7050000000000001</v>
      </c>
      <c r="W5474">
        <v>7.1980000000000004</v>
      </c>
      <c r="X5474">
        <v>7.351</v>
      </c>
      <c r="Y5474">
        <v>7.0830000000000002</v>
      </c>
      <c r="Z5474">
        <v>7.423</v>
      </c>
      <c r="AA5474">
        <v>6.6589999999999998</v>
      </c>
      <c r="AB5474">
        <v>7.6459999999999999</v>
      </c>
      <c r="AC5474">
        <v>6.2789999999999999</v>
      </c>
      <c r="AD5474">
        <v>4.9820000000000002</v>
      </c>
    </row>
    <row r="5475" spans="2:30" x14ac:dyDescent="0.25">
      <c r="B5475" t="s">
        <v>133</v>
      </c>
      <c r="C5475" t="s">
        <v>10598</v>
      </c>
      <c r="D5475" t="s">
        <v>4893</v>
      </c>
      <c r="E5475" t="s">
        <v>4894</v>
      </c>
      <c r="F5475" t="s">
        <v>10920</v>
      </c>
      <c r="G5475" t="s">
        <v>3890</v>
      </c>
      <c r="H5475" t="s">
        <v>4830</v>
      </c>
      <c r="I5475" t="s">
        <v>4810</v>
      </c>
      <c r="J5475">
        <v>2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  <c r="W5475" t="e">
        <v>#N/A</v>
      </c>
      <c r="X5475" t="e">
        <v>#N/A</v>
      </c>
      <c r="Y5475" t="e">
        <v>#N/A</v>
      </c>
      <c r="Z5475" t="e">
        <v>#N/A</v>
      </c>
      <c r="AA5475" t="e">
        <v>#N/A</v>
      </c>
      <c r="AB5475" t="e">
        <v>#N/A</v>
      </c>
      <c r="AC5475" t="e">
        <v>#N/A</v>
      </c>
      <c r="AD5475" t="e">
        <v>#N/A</v>
      </c>
    </row>
    <row r="5476" spans="2:30" x14ac:dyDescent="0.25">
      <c r="B5476" t="s">
        <v>133</v>
      </c>
      <c r="C5476" t="s">
        <v>10598</v>
      </c>
      <c r="D5476" t="s">
        <v>4896</v>
      </c>
      <c r="E5476" t="s">
        <v>4452</v>
      </c>
      <c r="F5476" t="s">
        <v>10786</v>
      </c>
      <c r="G5476" t="s">
        <v>3890</v>
      </c>
      <c r="H5476" t="s">
        <v>4897</v>
      </c>
      <c r="I5476" t="s">
        <v>4810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</row>
    <row r="5477" spans="2:30" x14ac:dyDescent="0.25">
      <c r="B5477" t="s">
        <v>133</v>
      </c>
      <c r="C5477" t="s">
        <v>10598</v>
      </c>
      <c r="D5477" t="s">
        <v>4898</v>
      </c>
      <c r="E5477" t="s">
        <v>4899</v>
      </c>
      <c r="F5477" t="s">
        <v>10921</v>
      </c>
      <c r="G5477" t="s">
        <v>3890</v>
      </c>
      <c r="H5477" t="s">
        <v>4686</v>
      </c>
      <c r="I5477" t="s">
        <v>4687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</row>
    <row r="5478" spans="2:30" x14ac:dyDescent="0.25">
      <c r="B5478" t="s">
        <v>133</v>
      </c>
      <c r="C5478" t="s">
        <v>10598</v>
      </c>
      <c r="D5478" t="s">
        <v>4901</v>
      </c>
      <c r="E5478" t="s">
        <v>4902</v>
      </c>
      <c r="F5478" t="s">
        <v>10922</v>
      </c>
      <c r="G5478" t="s">
        <v>3890</v>
      </c>
      <c r="H5478" t="s">
        <v>4839</v>
      </c>
      <c r="I5478" t="s">
        <v>4810</v>
      </c>
      <c r="J5478">
        <v>2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  <c r="W5478" t="e">
        <v>#N/A</v>
      </c>
      <c r="X5478" t="e">
        <v>#N/A</v>
      </c>
      <c r="Y5478" t="e">
        <v>#N/A</v>
      </c>
      <c r="Z5478" t="e">
        <v>#N/A</v>
      </c>
      <c r="AA5478" t="e">
        <v>#N/A</v>
      </c>
      <c r="AB5478" t="e">
        <v>#N/A</v>
      </c>
      <c r="AC5478" t="e">
        <v>#N/A</v>
      </c>
      <c r="AD5478" t="e">
        <v>#N/A</v>
      </c>
    </row>
    <row r="5479" spans="2:30" x14ac:dyDescent="0.25">
      <c r="B5479" t="s">
        <v>133</v>
      </c>
      <c r="C5479" t="s">
        <v>10598</v>
      </c>
      <c r="D5479" t="s">
        <v>4904</v>
      </c>
      <c r="E5479" t="s">
        <v>4905</v>
      </c>
      <c r="F5479" t="s">
        <v>10923</v>
      </c>
      <c r="G5479" t="s">
        <v>3890</v>
      </c>
      <c r="H5479" t="s">
        <v>4695</v>
      </c>
      <c r="I5479" t="s">
        <v>4687</v>
      </c>
      <c r="J5479">
        <v>2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</row>
    <row r="5480" spans="2:30" x14ac:dyDescent="0.25">
      <c r="B5480" t="s">
        <v>133</v>
      </c>
      <c r="C5480" t="s">
        <v>10598</v>
      </c>
      <c r="D5480" t="s">
        <v>4907</v>
      </c>
      <c r="E5480" t="s">
        <v>4908</v>
      </c>
      <c r="F5480" t="s">
        <v>10924</v>
      </c>
      <c r="G5480" t="s">
        <v>3890</v>
      </c>
      <c r="H5480" t="s">
        <v>4645</v>
      </c>
      <c r="I5480" t="s">
        <v>4810</v>
      </c>
      <c r="J5480">
        <v>2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  <c r="W5480" t="e">
        <v>#N/A</v>
      </c>
      <c r="X5480" t="e">
        <v>#N/A</v>
      </c>
      <c r="Y5480" t="e">
        <v>#N/A</v>
      </c>
      <c r="Z5480" t="e">
        <v>#N/A</v>
      </c>
      <c r="AA5480" t="e">
        <v>#N/A</v>
      </c>
      <c r="AB5480" t="e">
        <v>#N/A</v>
      </c>
      <c r="AC5480" t="e">
        <v>#N/A</v>
      </c>
      <c r="AD5480" t="e">
        <v>#N/A</v>
      </c>
    </row>
    <row r="5481" spans="2:30" x14ac:dyDescent="0.25">
      <c r="B5481" t="s">
        <v>133</v>
      </c>
      <c r="C5481" t="s">
        <v>10598</v>
      </c>
      <c r="D5481" t="s">
        <v>4910</v>
      </c>
      <c r="E5481" t="s">
        <v>4911</v>
      </c>
      <c r="F5481" t="s">
        <v>10925</v>
      </c>
      <c r="G5481" t="s">
        <v>3890</v>
      </c>
      <c r="H5481" t="s">
        <v>4394</v>
      </c>
      <c r="I5481" t="s">
        <v>4810</v>
      </c>
      <c r="J5481">
        <v>2</v>
      </c>
      <c r="K5481">
        <v>12.260999999999999</v>
      </c>
      <c r="L5481">
        <v>10.192</v>
      </c>
      <c r="M5481">
        <v>9.57</v>
      </c>
      <c r="N5481">
        <v>9.64</v>
      </c>
      <c r="O5481">
        <v>9.6809999999999992</v>
      </c>
      <c r="P5481">
        <v>9.5749999999999993</v>
      </c>
      <c r="Q5481">
        <v>9.4489999999999998</v>
      </c>
      <c r="R5481">
        <v>9.4049999999999994</v>
      </c>
      <c r="S5481">
        <v>9.3919999999999995</v>
      </c>
      <c r="T5481">
        <v>9.3849999999999998</v>
      </c>
      <c r="U5481">
        <v>9.3849999999999998</v>
      </c>
      <c r="V5481">
        <v>9.3849999999999998</v>
      </c>
      <c r="W5481">
        <v>9.3849999999999998</v>
      </c>
      <c r="X5481">
        <v>9.3849999999999998</v>
      </c>
      <c r="Y5481">
        <v>9.3849999999999998</v>
      </c>
      <c r="Z5481">
        <v>9.3849999999999998</v>
      </c>
      <c r="AA5481">
        <v>9.3849999999999998</v>
      </c>
      <c r="AB5481">
        <v>9.3849999999999998</v>
      </c>
      <c r="AC5481">
        <v>9.3849999999999998</v>
      </c>
      <c r="AD5481">
        <v>9.3849999999999998</v>
      </c>
    </row>
    <row r="5482" spans="2:30" x14ac:dyDescent="0.25">
      <c r="B5482" t="s">
        <v>133</v>
      </c>
      <c r="C5482" t="s">
        <v>10598</v>
      </c>
      <c r="D5482" t="s">
        <v>4913</v>
      </c>
      <c r="E5482" t="s">
        <v>4914</v>
      </c>
      <c r="F5482" t="s">
        <v>10926</v>
      </c>
      <c r="G5482" t="s">
        <v>3890</v>
      </c>
      <c r="H5482" t="s">
        <v>4653</v>
      </c>
      <c r="I5482" t="s">
        <v>4810</v>
      </c>
      <c r="J5482">
        <v>2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  <c r="W5482" t="e">
        <v>#N/A</v>
      </c>
      <c r="X5482" t="e">
        <v>#N/A</v>
      </c>
      <c r="Y5482" t="e">
        <v>#N/A</v>
      </c>
      <c r="Z5482" t="e">
        <v>#N/A</v>
      </c>
      <c r="AA5482" t="e">
        <v>#N/A</v>
      </c>
      <c r="AB5482" t="e">
        <v>#N/A</v>
      </c>
      <c r="AC5482" t="e">
        <v>#N/A</v>
      </c>
      <c r="AD5482" t="e">
        <v>#N/A</v>
      </c>
    </row>
    <row r="5483" spans="2:30" x14ac:dyDescent="0.25">
      <c r="B5483" t="s">
        <v>133</v>
      </c>
      <c r="C5483" t="s">
        <v>10598</v>
      </c>
      <c r="D5483" t="s">
        <v>4916</v>
      </c>
      <c r="E5483" t="s">
        <v>4917</v>
      </c>
      <c r="F5483" t="s">
        <v>10927</v>
      </c>
      <c r="G5483" t="s">
        <v>3890</v>
      </c>
      <c r="H5483" t="s">
        <v>4669</v>
      </c>
      <c r="I5483" t="s">
        <v>4810</v>
      </c>
      <c r="J5483">
        <v>2</v>
      </c>
      <c r="K5483">
        <v>3.0579999999999998</v>
      </c>
      <c r="L5483">
        <v>3.18</v>
      </c>
      <c r="M5483">
        <v>3.3069999999999999</v>
      </c>
      <c r="N5483">
        <v>3.44</v>
      </c>
      <c r="O5483">
        <v>3.577</v>
      </c>
      <c r="P5483">
        <v>3.72</v>
      </c>
      <c r="Q5483">
        <v>3.8690000000000002</v>
      </c>
      <c r="R5483">
        <v>4.024</v>
      </c>
      <c r="S5483">
        <v>4.1849999999999996</v>
      </c>
      <c r="T5483">
        <v>4.3520000000000003</v>
      </c>
      <c r="U5483">
        <v>4.5259999999999998</v>
      </c>
      <c r="V5483">
        <v>4.7080000000000002</v>
      </c>
      <c r="W5483">
        <v>4.8959999999999999</v>
      </c>
      <c r="X5483">
        <v>5.0919999999999996</v>
      </c>
      <c r="Y5483">
        <v>5.2949999999999999</v>
      </c>
      <c r="Z5483">
        <v>5.5069999999999997</v>
      </c>
      <c r="AA5483">
        <v>5.7270000000000003</v>
      </c>
      <c r="AB5483">
        <v>5.9569999999999999</v>
      </c>
      <c r="AC5483">
        <v>6.1950000000000003</v>
      </c>
      <c r="AD5483">
        <v>6.4429999999999996</v>
      </c>
    </row>
    <row r="5484" spans="2:30" x14ac:dyDescent="0.25">
      <c r="B5484" t="s">
        <v>133</v>
      </c>
      <c r="C5484" t="s">
        <v>10598</v>
      </c>
      <c r="D5484" t="s">
        <v>4919</v>
      </c>
      <c r="E5484" t="s">
        <v>4920</v>
      </c>
      <c r="F5484" t="s">
        <v>10928</v>
      </c>
      <c r="G5484" t="s">
        <v>3890</v>
      </c>
      <c r="H5484" t="s">
        <v>4673</v>
      </c>
      <c r="I5484" t="s">
        <v>4810</v>
      </c>
      <c r="J5484">
        <v>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</row>
    <row r="5485" spans="2:30" x14ac:dyDescent="0.25">
      <c r="B5485" t="s">
        <v>133</v>
      </c>
      <c r="C5485" t="s">
        <v>10598</v>
      </c>
      <c r="D5485" t="s">
        <v>4922</v>
      </c>
      <c r="E5485" t="s">
        <v>4923</v>
      </c>
      <c r="F5485" t="s">
        <v>10929</v>
      </c>
      <c r="G5485" t="s">
        <v>3890</v>
      </c>
      <c r="H5485" t="s">
        <v>4925</v>
      </c>
      <c r="I5485" t="s">
        <v>4810</v>
      </c>
      <c r="J5485">
        <v>2</v>
      </c>
      <c r="K5485">
        <v>5.3360000000000003</v>
      </c>
      <c r="L5485">
        <v>5.01</v>
      </c>
      <c r="M5485">
        <v>5.0869999999999997</v>
      </c>
      <c r="N5485">
        <v>5.0869999999999997</v>
      </c>
      <c r="O5485">
        <v>5.0869999999999997</v>
      </c>
      <c r="P5485">
        <v>5.0869999999999997</v>
      </c>
      <c r="Q5485">
        <v>5.24</v>
      </c>
      <c r="R5485">
        <v>5.3810000000000002</v>
      </c>
      <c r="S5485">
        <v>5.5880000000000001</v>
      </c>
      <c r="T5485">
        <v>5.7190000000000003</v>
      </c>
      <c r="U5485">
        <v>5.98</v>
      </c>
      <c r="V5485">
        <v>6.1070000000000002</v>
      </c>
      <c r="W5485">
        <v>6.399</v>
      </c>
      <c r="X5485">
        <v>6.4889999999999999</v>
      </c>
      <c r="Y5485">
        <v>6.33</v>
      </c>
      <c r="Z5485">
        <v>6.5309999999999997</v>
      </c>
      <c r="AA5485">
        <v>6.0789999999999997</v>
      </c>
      <c r="AB5485">
        <v>6.6630000000000003</v>
      </c>
      <c r="AC5485">
        <v>5.8550000000000004</v>
      </c>
      <c r="AD5485">
        <v>5.0869999999999997</v>
      </c>
    </row>
    <row r="5486" spans="2:30" x14ac:dyDescent="0.25">
      <c r="B5486" t="s">
        <v>133</v>
      </c>
      <c r="C5486" t="s">
        <v>10598</v>
      </c>
      <c r="D5486" t="s">
        <v>4926</v>
      </c>
      <c r="E5486" t="s">
        <v>4927</v>
      </c>
      <c r="F5486" t="s">
        <v>10930</v>
      </c>
      <c r="G5486" t="s">
        <v>3890</v>
      </c>
      <c r="H5486" t="s">
        <v>4929</v>
      </c>
      <c r="I5486" t="s">
        <v>4810</v>
      </c>
      <c r="J5486">
        <v>2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  <c r="W5486" t="e">
        <v>#N/A</v>
      </c>
      <c r="X5486" t="e">
        <v>#N/A</v>
      </c>
      <c r="Y5486" t="e">
        <v>#N/A</v>
      </c>
      <c r="Z5486" t="e">
        <v>#N/A</v>
      </c>
      <c r="AA5486" t="e">
        <v>#N/A</v>
      </c>
      <c r="AB5486" t="e">
        <v>#N/A</v>
      </c>
      <c r="AC5486" t="e">
        <v>#N/A</v>
      </c>
      <c r="AD5486" t="e">
        <v>#N/A</v>
      </c>
    </row>
    <row r="5487" spans="2:30" x14ac:dyDescent="0.25">
      <c r="B5487" t="s">
        <v>133</v>
      </c>
      <c r="C5487" t="s">
        <v>10598</v>
      </c>
      <c r="D5487" t="s">
        <v>4930</v>
      </c>
      <c r="E5487" t="s">
        <v>4443</v>
      </c>
      <c r="F5487" t="s">
        <v>10783</v>
      </c>
      <c r="G5487" t="s">
        <v>3890</v>
      </c>
      <c r="H5487" t="s">
        <v>4832</v>
      </c>
      <c r="I5487" t="s">
        <v>4810</v>
      </c>
      <c r="J5487">
        <v>1</v>
      </c>
      <c r="K5487">
        <v>-6.9240000000000004</v>
      </c>
      <c r="L5487">
        <v>-5.181</v>
      </c>
      <c r="M5487">
        <v>-4.4829999999999997</v>
      </c>
      <c r="N5487">
        <v>-4.5529999999999999</v>
      </c>
      <c r="O5487">
        <v>-4.5940000000000003</v>
      </c>
      <c r="P5487">
        <v>-4.4880000000000004</v>
      </c>
      <c r="Q5487">
        <v>-4.3620000000000001</v>
      </c>
      <c r="R5487">
        <v>-4.3179999999999996</v>
      </c>
      <c r="S5487">
        <v>-4.3049999999999997</v>
      </c>
      <c r="T5487">
        <v>-4.298</v>
      </c>
      <c r="U5487">
        <v>-4.298</v>
      </c>
      <c r="V5487">
        <v>-4.298</v>
      </c>
      <c r="W5487">
        <v>-4.298</v>
      </c>
      <c r="X5487">
        <v>-4.298</v>
      </c>
      <c r="Y5487">
        <v>-4.298</v>
      </c>
      <c r="Z5487">
        <v>-4.298</v>
      </c>
      <c r="AA5487">
        <v>-4.298</v>
      </c>
      <c r="AB5487">
        <v>-4.298</v>
      </c>
      <c r="AC5487">
        <v>-4.298</v>
      </c>
      <c r="AD5487">
        <v>-4.298</v>
      </c>
    </row>
    <row r="5488" spans="2:30" x14ac:dyDescent="0.25">
      <c r="B5488" t="s">
        <v>133</v>
      </c>
      <c r="C5488" t="s">
        <v>10598</v>
      </c>
      <c r="D5488" t="s">
        <v>4931</v>
      </c>
      <c r="E5488" t="s">
        <v>4932</v>
      </c>
      <c r="F5488" t="s">
        <v>10931</v>
      </c>
      <c r="G5488" t="s">
        <v>3890</v>
      </c>
      <c r="H5488" t="s">
        <v>4686</v>
      </c>
      <c r="I5488" t="s">
        <v>4687</v>
      </c>
      <c r="J5488">
        <v>1</v>
      </c>
      <c r="K5488">
        <v>-124.092</v>
      </c>
      <c r="L5488">
        <v>-92.858000000000004</v>
      </c>
      <c r="M5488">
        <v>-80.331999999999994</v>
      </c>
      <c r="N5488">
        <v>-81.596000000000004</v>
      </c>
      <c r="O5488">
        <v>-82.334999999999994</v>
      </c>
      <c r="P5488">
        <v>-80.424999999999997</v>
      </c>
      <c r="Q5488">
        <v>-78.180000000000007</v>
      </c>
      <c r="R5488">
        <v>-77.38</v>
      </c>
      <c r="S5488">
        <v>-77.153000000000006</v>
      </c>
      <c r="T5488">
        <v>-77.024000000000001</v>
      </c>
      <c r="U5488">
        <v>-77.024000000000001</v>
      </c>
      <c r="V5488">
        <v>-77.024000000000001</v>
      </c>
      <c r="W5488">
        <v>-77.024000000000001</v>
      </c>
      <c r="X5488">
        <v>-77.024000000000001</v>
      </c>
      <c r="Y5488">
        <v>-77.024000000000001</v>
      </c>
      <c r="Z5488">
        <v>-77.024000000000001</v>
      </c>
      <c r="AA5488">
        <v>-77.024000000000001</v>
      </c>
      <c r="AB5488">
        <v>-77.024000000000001</v>
      </c>
      <c r="AC5488">
        <v>-77.024000000000001</v>
      </c>
      <c r="AD5488">
        <v>-77.024000000000001</v>
      </c>
    </row>
    <row r="5489" spans="2:30" x14ac:dyDescent="0.25">
      <c r="B5489" t="s">
        <v>133</v>
      </c>
      <c r="C5489" t="s">
        <v>10598</v>
      </c>
      <c r="D5489" t="s">
        <v>4934</v>
      </c>
      <c r="E5489" t="s">
        <v>4935</v>
      </c>
      <c r="F5489" t="s">
        <v>10932</v>
      </c>
      <c r="G5489" t="s">
        <v>3890</v>
      </c>
      <c r="H5489" t="s">
        <v>4937</v>
      </c>
      <c r="I5489" t="s">
        <v>4810</v>
      </c>
      <c r="J5489">
        <v>2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  <c r="W5489" t="e">
        <v>#N/A</v>
      </c>
      <c r="X5489" t="e">
        <v>#N/A</v>
      </c>
      <c r="Y5489" t="e">
        <v>#N/A</v>
      </c>
      <c r="Z5489" t="e">
        <v>#N/A</v>
      </c>
      <c r="AA5489" t="e">
        <v>#N/A</v>
      </c>
      <c r="AB5489" t="e">
        <v>#N/A</v>
      </c>
      <c r="AC5489" t="e">
        <v>#N/A</v>
      </c>
      <c r="AD5489" t="e">
        <v>#N/A</v>
      </c>
    </row>
    <row r="5490" spans="2:30" x14ac:dyDescent="0.25">
      <c r="B5490" t="s">
        <v>133</v>
      </c>
      <c r="C5490" t="s">
        <v>10598</v>
      </c>
      <c r="D5490" t="s">
        <v>4938</v>
      </c>
      <c r="E5490" t="s">
        <v>4939</v>
      </c>
      <c r="F5490" t="s">
        <v>10933</v>
      </c>
      <c r="G5490" t="s">
        <v>3890</v>
      </c>
      <c r="H5490" t="s">
        <v>4695</v>
      </c>
      <c r="I5490" t="s">
        <v>4687</v>
      </c>
      <c r="J5490">
        <v>2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</row>
    <row r="5491" spans="2:30" x14ac:dyDescent="0.25">
      <c r="B5491" t="s">
        <v>133</v>
      </c>
      <c r="C5491" t="s">
        <v>10598</v>
      </c>
      <c r="D5491" t="s">
        <v>4941</v>
      </c>
      <c r="E5491" t="s">
        <v>4942</v>
      </c>
      <c r="F5491" t="s">
        <v>10934</v>
      </c>
      <c r="G5491" t="s">
        <v>3890</v>
      </c>
      <c r="H5491" t="s">
        <v>4645</v>
      </c>
      <c r="I5491" t="s">
        <v>4810</v>
      </c>
      <c r="J5491">
        <v>2</v>
      </c>
      <c r="K5491">
        <v>22.748999999999999</v>
      </c>
      <c r="L5491">
        <v>20.734000000000002</v>
      </c>
      <c r="M5491">
        <v>20.172000000000001</v>
      </c>
      <c r="N5491">
        <v>20.399000000000001</v>
      </c>
      <c r="O5491">
        <v>20.600999999999999</v>
      </c>
      <c r="P5491">
        <v>20.649000000000001</v>
      </c>
      <c r="Q5491">
        <v>20.683</v>
      </c>
      <c r="R5491">
        <v>20.811</v>
      </c>
      <c r="S5491">
        <v>20.981000000000002</v>
      </c>
      <c r="T5491">
        <v>21.164000000000001</v>
      </c>
      <c r="U5491">
        <v>21.363</v>
      </c>
      <c r="V5491">
        <v>21.568999999999999</v>
      </c>
      <c r="W5491">
        <v>21.783999999999999</v>
      </c>
      <c r="X5491">
        <v>22.007000000000001</v>
      </c>
      <c r="Y5491">
        <v>22.239000000000001</v>
      </c>
      <c r="Z5491">
        <v>22.481000000000002</v>
      </c>
      <c r="AA5491">
        <v>22.731999999999999</v>
      </c>
      <c r="AB5491">
        <v>22.992999999999999</v>
      </c>
      <c r="AC5491">
        <v>23.265000000000001</v>
      </c>
      <c r="AD5491">
        <v>23.547000000000001</v>
      </c>
    </row>
    <row r="5492" spans="2:30" x14ac:dyDescent="0.25">
      <c r="B5492" t="s">
        <v>133</v>
      </c>
      <c r="C5492" t="s">
        <v>10598</v>
      </c>
      <c r="D5492" t="s">
        <v>4944</v>
      </c>
      <c r="E5492" t="s">
        <v>4945</v>
      </c>
      <c r="F5492" t="s">
        <v>10935</v>
      </c>
      <c r="G5492" t="s">
        <v>3890</v>
      </c>
      <c r="H5492" t="s">
        <v>4394</v>
      </c>
      <c r="I5492" t="s">
        <v>4810</v>
      </c>
      <c r="J5492">
        <v>2</v>
      </c>
      <c r="K5492">
        <v>16.896999999999998</v>
      </c>
      <c r="L5492">
        <v>15.007</v>
      </c>
      <c r="M5492">
        <v>14.387</v>
      </c>
      <c r="N5492">
        <v>14.454000000000001</v>
      </c>
      <c r="O5492">
        <v>14.493</v>
      </c>
      <c r="P5492">
        <v>14.391999999999999</v>
      </c>
      <c r="Q5492">
        <v>14.273</v>
      </c>
      <c r="R5492">
        <v>14.231</v>
      </c>
      <c r="S5492">
        <v>14.218999999999999</v>
      </c>
      <c r="T5492">
        <v>14.212</v>
      </c>
      <c r="U5492">
        <v>14.212</v>
      </c>
      <c r="V5492">
        <v>14.212</v>
      </c>
      <c r="W5492">
        <v>14.212</v>
      </c>
      <c r="X5492">
        <v>14.212</v>
      </c>
      <c r="Y5492">
        <v>14.212</v>
      </c>
      <c r="Z5492">
        <v>14.212</v>
      </c>
      <c r="AA5492">
        <v>14.212</v>
      </c>
      <c r="AB5492">
        <v>14.212</v>
      </c>
      <c r="AC5492">
        <v>14.212</v>
      </c>
      <c r="AD5492">
        <v>14.212</v>
      </c>
    </row>
    <row r="5493" spans="2:30" x14ac:dyDescent="0.25">
      <c r="B5493" t="s">
        <v>133</v>
      </c>
      <c r="C5493" t="s">
        <v>10598</v>
      </c>
      <c r="D5493" t="s">
        <v>4947</v>
      </c>
      <c r="E5493" t="s">
        <v>4948</v>
      </c>
      <c r="F5493" t="s">
        <v>10936</v>
      </c>
      <c r="G5493" t="s">
        <v>3890</v>
      </c>
      <c r="H5493" t="s">
        <v>4653</v>
      </c>
      <c r="I5493" t="s">
        <v>4810</v>
      </c>
      <c r="J5493">
        <v>2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</row>
    <row r="5494" spans="2:30" x14ac:dyDescent="0.25">
      <c r="B5494" t="s">
        <v>133</v>
      </c>
      <c r="C5494" t="s">
        <v>10598</v>
      </c>
      <c r="D5494" t="s">
        <v>4950</v>
      </c>
      <c r="E5494" t="s">
        <v>4951</v>
      </c>
      <c r="F5494" t="s">
        <v>10937</v>
      </c>
      <c r="G5494" t="s">
        <v>3890</v>
      </c>
      <c r="H5494" t="s">
        <v>4669</v>
      </c>
      <c r="I5494" t="s">
        <v>4810</v>
      </c>
      <c r="J5494">
        <v>2</v>
      </c>
      <c r="K5494">
        <v>3.0579999999999998</v>
      </c>
      <c r="L5494">
        <v>3.18</v>
      </c>
      <c r="M5494">
        <v>3.3069999999999999</v>
      </c>
      <c r="N5494">
        <v>3.44</v>
      </c>
      <c r="O5494">
        <v>3.577</v>
      </c>
      <c r="P5494">
        <v>3.72</v>
      </c>
      <c r="Q5494">
        <v>3.8690000000000002</v>
      </c>
      <c r="R5494">
        <v>4.024</v>
      </c>
      <c r="S5494">
        <v>4.1849999999999996</v>
      </c>
      <c r="T5494">
        <v>4.3520000000000003</v>
      </c>
      <c r="U5494">
        <v>4.5259999999999998</v>
      </c>
      <c r="V5494">
        <v>4.7080000000000002</v>
      </c>
      <c r="W5494">
        <v>4.8959999999999999</v>
      </c>
      <c r="X5494">
        <v>5.0919999999999996</v>
      </c>
      <c r="Y5494">
        <v>5.2949999999999999</v>
      </c>
      <c r="Z5494">
        <v>5.5069999999999997</v>
      </c>
      <c r="AA5494">
        <v>5.7270000000000003</v>
      </c>
      <c r="AB5494">
        <v>5.9569999999999999</v>
      </c>
      <c r="AC5494">
        <v>6.1950000000000003</v>
      </c>
      <c r="AD5494">
        <v>6.4429999999999996</v>
      </c>
    </row>
    <row r="5495" spans="2:30" x14ac:dyDescent="0.25">
      <c r="B5495" t="s">
        <v>133</v>
      </c>
      <c r="C5495" t="s">
        <v>10598</v>
      </c>
      <c r="D5495" t="s">
        <v>4953</v>
      </c>
      <c r="E5495" t="s">
        <v>4954</v>
      </c>
      <c r="F5495" t="s">
        <v>10938</v>
      </c>
      <c r="G5495" t="s">
        <v>3890</v>
      </c>
      <c r="H5495" t="s">
        <v>4673</v>
      </c>
      <c r="I5495" t="s">
        <v>4810</v>
      </c>
      <c r="J5495">
        <v>2</v>
      </c>
      <c r="K5495">
        <v>2.794</v>
      </c>
      <c r="L5495">
        <v>2.5459999999999998</v>
      </c>
      <c r="M5495">
        <v>2.4769999999999999</v>
      </c>
      <c r="N5495">
        <v>2.5049999999999999</v>
      </c>
      <c r="O5495">
        <v>2.5299999999999998</v>
      </c>
      <c r="P5495">
        <v>2.536</v>
      </c>
      <c r="Q5495">
        <v>2.54</v>
      </c>
      <c r="R5495">
        <v>2.556</v>
      </c>
      <c r="S5495">
        <v>2.577</v>
      </c>
      <c r="T5495">
        <v>2.5990000000000002</v>
      </c>
      <c r="U5495">
        <v>2.6230000000000002</v>
      </c>
      <c r="V5495">
        <v>2.649</v>
      </c>
      <c r="W5495">
        <v>2.6749999999999998</v>
      </c>
      <c r="X5495">
        <v>2.7029999999999998</v>
      </c>
      <c r="Y5495">
        <v>2.7309999999999999</v>
      </c>
      <c r="Z5495">
        <v>2.7610000000000001</v>
      </c>
      <c r="AA5495">
        <v>2.7919999999999998</v>
      </c>
      <c r="AB5495">
        <v>2.8239999999999998</v>
      </c>
      <c r="AC5495">
        <v>2.8570000000000002</v>
      </c>
      <c r="AD5495">
        <v>2.8919999999999999</v>
      </c>
    </row>
    <row r="5496" spans="2:30" x14ac:dyDescent="0.25">
      <c r="B5496" t="s">
        <v>133</v>
      </c>
      <c r="C5496" t="s">
        <v>10598</v>
      </c>
      <c r="D5496" t="s">
        <v>4956</v>
      </c>
      <c r="E5496" t="s">
        <v>4957</v>
      </c>
      <c r="F5496" t="s">
        <v>10939</v>
      </c>
      <c r="G5496" t="s">
        <v>3890</v>
      </c>
      <c r="H5496" t="s">
        <v>4925</v>
      </c>
      <c r="I5496" t="s">
        <v>4810</v>
      </c>
      <c r="J5496">
        <v>2</v>
      </c>
      <c r="K5496">
        <v>4.6340000000000003</v>
      </c>
      <c r="L5496">
        <v>3.2090000000000001</v>
      </c>
      <c r="M5496">
        <v>2.331</v>
      </c>
      <c r="N5496">
        <v>2.331</v>
      </c>
      <c r="O5496">
        <v>2.331</v>
      </c>
      <c r="P5496">
        <v>2.331</v>
      </c>
      <c r="Q5496">
        <v>2.331</v>
      </c>
      <c r="R5496">
        <v>2.331</v>
      </c>
      <c r="S5496">
        <v>2.331</v>
      </c>
      <c r="T5496">
        <v>2.331</v>
      </c>
      <c r="U5496">
        <v>2.331</v>
      </c>
      <c r="V5496">
        <v>2.331</v>
      </c>
      <c r="W5496">
        <v>2.331</v>
      </c>
      <c r="X5496">
        <v>2.331</v>
      </c>
      <c r="Y5496">
        <v>2.331</v>
      </c>
      <c r="Z5496">
        <v>2.331</v>
      </c>
      <c r="AA5496">
        <v>2.331</v>
      </c>
      <c r="AB5496">
        <v>2.331</v>
      </c>
      <c r="AC5496">
        <v>2.331</v>
      </c>
      <c r="AD5496">
        <v>2.331</v>
      </c>
    </row>
    <row r="5497" spans="2:30" x14ac:dyDescent="0.25">
      <c r="B5497" t="s">
        <v>133</v>
      </c>
      <c r="C5497" t="s">
        <v>10598</v>
      </c>
      <c r="D5497" t="s">
        <v>4959</v>
      </c>
      <c r="E5497" t="s">
        <v>4960</v>
      </c>
      <c r="F5497" t="s">
        <v>10940</v>
      </c>
      <c r="G5497" t="s">
        <v>3890</v>
      </c>
      <c r="H5497" t="s">
        <v>4929</v>
      </c>
      <c r="I5497" t="s">
        <v>4810</v>
      </c>
      <c r="J5497">
        <v>2</v>
      </c>
      <c r="K5497">
        <v>-18.114999999999998</v>
      </c>
      <c r="L5497">
        <v>-17.526</v>
      </c>
      <c r="M5497">
        <v>-17.841000000000001</v>
      </c>
      <c r="N5497">
        <v>-18.068000000000001</v>
      </c>
      <c r="O5497">
        <v>-18.27</v>
      </c>
      <c r="P5497">
        <v>-18.318000000000001</v>
      </c>
      <c r="Q5497">
        <v>-18.352</v>
      </c>
      <c r="R5497">
        <v>-18.48</v>
      </c>
      <c r="S5497">
        <v>-18.649999999999999</v>
      </c>
      <c r="T5497">
        <v>-18.832999999999998</v>
      </c>
      <c r="U5497">
        <v>-19.032</v>
      </c>
      <c r="V5497">
        <v>-19.238</v>
      </c>
      <c r="W5497">
        <v>-19.452999999999999</v>
      </c>
      <c r="X5497">
        <v>-19.675999999999998</v>
      </c>
      <c r="Y5497">
        <v>-19.908000000000001</v>
      </c>
      <c r="Z5497">
        <v>-20.149999999999999</v>
      </c>
      <c r="AA5497">
        <v>-20.401</v>
      </c>
      <c r="AB5497">
        <v>-20.661999999999999</v>
      </c>
      <c r="AC5497">
        <v>-20.934000000000001</v>
      </c>
      <c r="AD5497">
        <v>-21.216000000000001</v>
      </c>
    </row>
    <row r="5498" spans="2:30" x14ac:dyDescent="0.25">
      <c r="B5498" t="s">
        <v>133</v>
      </c>
      <c r="C5498" t="s">
        <v>10598</v>
      </c>
      <c r="D5498" t="s">
        <v>4962</v>
      </c>
      <c r="E5498" t="s">
        <v>4449</v>
      </c>
      <c r="F5498" t="s">
        <v>10785</v>
      </c>
      <c r="G5498" t="s">
        <v>3890</v>
      </c>
      <c r="H5498" t="s">
        <v>4865</v>
      </c>
      <c r="I5498" t="s">
        <v>4810</v>
      </c>
      <c r="J5498">
        <v>1</v>
      </c>
      <c r="K5498">
        <v>-12.263</v>
      </c>
      <c r="L5498">
        <v>-11.798999999999999</v>
      </c>
      <c r="M5498">
        <v>-12.055999999999999</v>
      </c>
      <c r="N5498">
        <v>-12.122999999999999</v>
      </c>
      <c r="O5498">
        <v>-12.162000000000001</v>
      </c>
      <c r="P5498">
        <v>-12.061</v>
      </c>
      <c r="Q5498">
        <v>-11.942</v>
      </c>
      <c r="R5498">
        <v>-11.9</v>
      </c>
      <c r="S5498">
        <v>-11.888</v>
      </c>
      <c r="T5498">
        <v>-11.881</v>
      </c>
      <c r="U5498">
        <v>-11.881</v>
      </c>
      <c r="V5498">
        <v>-11.881</v>
      </c>
      <c r="W5498">
        <v>-11.881</v>
      </c>
      <c r="X5498">
        <v>-11.881</v>
      </c>
      <c r="Y5498">
        <v>-11.881</v>
      </c>
      <c r="Z5498">
        <v>-11.881</v>
      </c>
      <c r="AA5498">
        <v>-11.881</v>
      </c>
      <c r="AB5498">
        <v>-11.881</v>
      </c>
      <c r="AC5498">
        <v>-11.881</v>
      </c>
      <c r="AD5498">
        <v>-11.881</v>
      </c>
    </row>
    <row r="5499" spans="2:30" x14ac:dyDescent="0.25">
      <c r="B5499" t="s">
        <v>133</v>
      </c>
      <c r="C5499" t="s">
        <v>10598</v>
      </c>
      <c r="D5499" t="s">
        <v>4963</v>
      </c>
      <c r="E5499" t="s">
        <v>4964</v>
      </c>
      <c r="F5499" t="s">
        <v>10941</v>
      </c>
      <c r="G5499" t="s">
        <v>3890</v>
      </c>
      <c r="H5499" t="s">
        <v>4686</v>
      </c>
      <c r="I5499" t="s">
        <v>4687</v>
      </c>
      <c r="J5499">
        <v>1</v>
      </c>
      <c r="K5499">
        <v>-219.76400000000001</v>
      </c>
      <c r="L5499">
        <v>-211.446</v>
      </c>
      <c r="M5499">
        <v>-216.06299999999999</v>
      </c>
      <c r="N5499">
        <v>-217.261</v>
      </c>
      <c r="O5499">
        <v>-217.96</v>
      </c>
      <c r="P5499">
        <v>-216.15100000000001</v>
      </c>
      <c r="Q5499">
        <v>-214.023</v>
      </c>
      <c r="R5499">
        <v>-213.26499999999999</v>
      </c>
      <c r="S5499">
        <v>-213.05</v>
      </c>
      <c r="T5499">
        <v>-212.928</v>
      </c>
      <c r="U5499">
        <v>-212.928</v>
      </c>
      <c r="V5499">
        <v>-212.928</v>
      </c>
      <c r="W5499">
        <v>-212.928</v>
      </c>
      <c r="X5499">
        <v>-212.928</v>
      </c>
      <c r="Y5499">
        <v>-212.928</v>
      </c>
      <c r="Z5499">
        <v>-212.928</v>
      </c>
      <c r="AA5499">
        <v>-212.928</v>
      </c>
      <c r="AB5499">
        <v>-212.928</v>
      </c>
      <c r="AC5499">
        <v>-212.928</v>
      </c>
      <c r="AD5499">
        <v>-212.928</v>
      </c>
    </row>
    <row r="5500" spans="2:30" x14ac:dyDescent="0.25">
      <c r="B5500" t="s">
        <v>133</v>
      </c>
      <c r="C5500" t="s">
        <v>10598</v>
      </c>
      <c r="D5500" t="s">
        <v>4966</v>
      </c>
      <c r="E5500" t="s">
        <v>4967</v>
      </c>
      <c r="F5500" t="s">
        <v>10942</v>
      </c>
      <c r="G5500" t="s">
        <v>3890</v>
      </c>
      <c r="H5500" t="s">
        <v>4937</v>
      </c>
      <c r="I5500" t="s">
        <v>4810</v>
      </c>
      <c r="J5500">
        <v>2</v>
      </c>
      <c r="K5500">
        <v>3.0579999999999998</v>
      </c>
      <c r="L5500">
        <v>3.181</v>
      </c>
      <c r="M5500">
        <v>3.3079999999999998</v>
      </c>
      <c r="N5500">
        <v>3.44</v>
      </c>
      <c r="O5500">
        <v>3.5779999999999998</v>
      </c>
      <c r="P5500">
        <v>3.7210000000000001</v>
      </c>
      <c r="Q5500">
        <v>3.87</v>
      </c>
      <c r="R5500">
        <v>4.024</v>
      </c>
      <c r="S5500">
        <v>4.1849999999999996</v>
      </c>
      <c r="T5500">
        <v>4.3529999999999998</v>
      </c>
      <c r="U5500">
        <v>4.5270000000000001</v>
      </c>
      <c r="V5500">
        <v>4.7080000000000002</v>
      </c>
      <c r="W5500">
        <v>4.8959999999999999</v>
      </c>
      <c r="X5500">
        <v>5.0919999999999996</v>
      </c>
      <c r="Y5500">
        <v>5.2960000000000003</v>
      </c>
      <c r="Z5500">
        <v>5.508</v>
      </c>
      <c r="AA5500">
        <v>5.7279999999999998</v>
      </c>
      <c r="AB5500">
        <v>5.9569999999999999</v>
      </c>
      <c r="AC5500">
        <v>6.1950000000000003</v>
      </c>
      <c r="AD5500">
        <v>6.4429999999999996</v>
      </c>
    </row>
    <row r="5501" spans="2:30" x14ac:dyDescent="0.25">
      <c r="B5501" t="s">
        <v>133</v>
      </c>
      <c r="C5501" t="s">
        <v>10598</v>
      </c>
      <c r="D5501" t="s">
        <v>4969</v>
      </c>
      <c r="E5501" t="s">
        <v>4970</v>
      </c>
      <c r="F5501" t="s">
        <v>10943</v>
      </c>
      <c r="G5501" t="s">
        <v>3890</v>
      </c>
      <c r="H5501" t="s">
        <v>4695</v>
      </c>
      <c r="I5501" t="s">
        <v>4687</v>
      </c>
      <c r="J5501">
        <v>2</v>
      </c>
      <c r="K5501">
        <v>54.808999999999997</v>
      </c>
      <c r="L5501">
        <v>57.000999999999998</v>
      </c>
      <c r="M5501">
        <v>59.280999999999999</v>
      </c>
      <c r="N5501">
        <v>61.652000000000001</v>
      </c>
      <c r="O5501">
        <v>64.117999999999995</v>
      </c>
      <c r="P5501">
        <v>66.682000000000002</v>
      </c>
      <c r="Q5501">
        <v>69.349000000000004</v>
      </c>
      <c r="R5501">
        <v>72.123000000000005</v>
      </c>
      <c r="S5501">
        <v>75.007999999999996</v>
      </c>
      <c r="T5501">
        <v>78.007999999999996</v>
      </c>
      <c r="U5501">
        <v>81.128</v>
      </c>
      <c r="V5501">
        <v>84.373000000000005</v>
      </c>
      <c r="W5501">
        <v>87.748000000000005</v>
      </c>
      <c r="X5501">
        <v>91.257000000000005</v>
      </c>
      <c r="Y5501">
        <v>94.906999999999996</v>
      </c>
      <c r="Z5501">
        <v>98.703000000000003</v>
      </c>
      <c r="AA5501">
        <v>102.651</v>
      </c>
      <c r="AB5501">
        <v>106.75700000000001</v>
      </c>
      <c r="AC5501">
        <v>111.027</v>
      </c>
      <c r="AD5501">
        <v>115.467</v>
      </c>
    </row>
    <row r="5502" spans="2:30" x14ac:dyDescent="0.25">
      <c r="B5502" t="s">
        <v>133</v>
      </c>
      <c r="C5502" t="s">
        <v>10598</v>
      </c>
      <c r="D5502" t="s">
        <v>4972</v>
      </c>
      <c r="E5502" t="s">
        <v>4973</v>
      </c>
      <c r="F5502" t="s">
        <v>10944</v>
      </c>
      <c r="G5502" t="s">
        <v>3890</v>
      </c>
      <c r="H5502" t="s">
        <v>4645</v>
      </c>
      <c r="I5502" t="s">
        <v>4810</v>
      </c>
      <c r="J5502">
        <v>2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  <c r="W5502" t="e">
        <v>#N/A</v>
      </c>
      <c r="X5502" t="e">
        <v>#N/A</v>
      </c>
      <c r="Y5502" t="e">
        <v>#N/A</v>
      </c>
      <c r="Z5502" t="e">
        <v>#N/A</v>
      </c>
      <c r="AA5502" t="e">
        <v>#N/A</v>
      </c>
      <c r="AB5502" t="e">
        <v>#N/A</v>
      </c>
      <c r="AC5502" t="e">
        <v>#N/A</v>
      </c>
      <c r="AD5502" t="e">
        <v>#N/A</v>
      </c>
    </row>
    <row r="5503" spans="2:30" x14ac:dyDescent="0.25">
      <c r="B5503" t="s">
        <v>133</v>
      </c>
      <c r="C5503" t="s">
        <v>10598</v>
      </c>
      <c r="D5503" t="s">
        <v>4975</v>
      </c>
      <c r="E5503" t="s">
        <v>4976</v>
      </c>
      <c r="F5503" t="s">
        <v>10945</v>
      </c>
      <c r="G5503" t="s">
        <v>3890</v>
      </c>
      <c r="H5503" t="s">
        <v>4394</v>
      </c>
      <c r="I5503" t="s">
        <v>4810</v>
      </c>
      <c r="J5503">
        <v>2</v>
      </c>
      <c r="K5503">
        <v>11.488</v>
      </c>
      <c r="L5503">
        <v>9.3889999999999993</v>
      </c>
      <c r="M5503">
        <v>8.7669999999999995</v>
      </c>
      <c r="N5503">
        <v>8.8460000000000001</v>
      </c>
      <c r="O5503">
        <v>8.8919999999999995</v>
      </c>
      <c r="P5503">
        <v>8.7729999999999997</v>
      </c>
      <c r="Q5503">
        <v>8.6319999999999997</v>
      </c>
      <c r="R5503">
        <v>8.5820000000000007</v>
      </c>
      <c r="S5503">
        <v>8.5679999999999996</v>
      </c>
      <c r="T5503">
        <v>8.56</v>
      </c>
      <c r="U5503">
        <v>8.56</v>
      </c>
      <c r="V5503">
        <v>8.56</v>
      </c>
      <c r="W5503">
        <v>8.56</v>
      </c>
      <c r="X5503">
        <v>8.56</v>
      </c>
      <c r="Y5503">
        <v>8.56</v>
      </c>
      <c r="Z5503">
        <v>8.56</v>
      </c>
      <c r="AA5503">
        <v>8.56</v>
      </c>
      <c r="AB5503">
        <v>8.56</v>
      </c>
      <c r="AC5503">
        <v>8.56</v>
      </c>
      <c r="AD5503">
        <v>8.56</v>
      </c>
    </row>
    <row r="5504" spans="2:30" x14ac:dyDescent="0.25">
      <c r="B5504" t="s">
        <v>133</v>
      </c>
      <c r="C5504" t="s">
        <v>10598</v>
      </c>
      <c r="D5504" t="s">
        <v>4978</v>
      </c>
      <c r="E5504" t="s">
        <v>4979</v>
      </c>
      <c r="F5504" t="s">
        <v>10946</v>
      </c>
      <c r="G5504" t="s">
        <v>3890</v>
      </c>
      <c r="H5504" t="s">
        <v>4653</v>
      </c>
      <c r="I5504" t="s">
        <v>4810</v>
      </c>
      <c r="J5504">
        <v>2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  <c r="W5504" t="e">
        <v>#N/A</v>
      </c>
      <c r="X5504" t="e">
        <v>#N/A</v>
      </c>
      <c r="Y5504" t="e">
        <v>#N/A</v>
      </c>
      <c r="Z5504" t="e">
        <v>#N/A</v>
      </c>
      <c r="AA5504" t="e">
        <v>#N/A</v>
      </c>
      <c r="AB5504" t="e">
        <v>#N/A</v>
      </c>
      <c r="AC5504" t="e">
        <v>#N/A</v>
      </c>
      <c r="AD5504" t="e">
        <v>#N/A</v>
      </c>
    </row>
    <row r="5505" spans="2:30" x14ac:dyDescent="0.25">
      <c r="B5505" t="s">
        <v>133</v>
      </c>
      <c r="C5505" t="s">
        <v>10598</v>
      </c>
      <c r="D5505" t="s">
        <v>4981</v>
      </c>
      <c r="E5505" t="s">
        <v>4982</v>
      </c>
      <c r="F5505" t="s">
        <v>10947</v>
      </c>
      <c r="G5505" t="s">
        <v>3890</v>
      </c>
      <c r="H5505" t="s">
        <v>4669</v>
      </c>
      <c r="I5505" t="s">
        <v>4810</v>
      </c>
      <c r="J5505">
        <v>2</v>
      </c>
      <c r="K5505">
        <v>3.0579999999999998</v>
      </c>
      <c r="L5505">
        <v>3.18</v>
      </c>
      <c r="M5505">
        <v>3.3069999999999999</v>
      </c>
      <c r="N5505">
        <v>3.44</v>
      </c>
      <c r="O5505">
        <v>3.577</v>
      </c>
      <c r="P5505">
        <v>3.72</v>
      </c>
      <c r="Q5505">
        <v>3.8690000000000002</v>
      </c>
      <c r="R5505">
        <v>4.024</v>
      </c>
      <c r="S5505">
        <v>4.1849999999999996</v>
      </c>
      <c r="T5505">
        <v>4.3520000000000003</v>
      </c>
      <c r="U5505">
        <v>4.5259999999999998</v>
      </c>
      <c r="V5505">
        <v>4.7080000000000002</v>
      </c>
      <c r="W5505">
        <v>4.8959999999999999</v>
      </c>
      <c r="X5505">
        <v>5.0919999999999996</v>
      </c>
      <c r="Y5505">
        <v>5.2949999999999999</v>
      </c>
      <c r="Z5505">
        <v>5.5069999999999997</v>
      </c>
      <c r="AA5505">
        <v>5.7270000000000003</v>
      </c>
      <c r="AB5505">
        <v>5.9569999999999999</v>
      </c>
      <c r="AC5505">
        <v>6.1950000000000003</v>
      </c>
      <c r="AD5505">
        <v>6.4429999999999996</v>
      </c>
    </row>
    <row r="5506" spans="2:30" x14ac:dyDescent="0.25">
      <c r="B5506" t="s">
        <v>133</v>
      </c>
      <c r="C5506" t="s">
        <v>10598</v>
      </c>
      <c r="D5506" t="s">
        <v>4984</v>
      </c>
      <c r="E5506" t="s">
        <v>4985</v>
      </c>
      <c r="F5506" t="s">
        <v>10948</v>
      </c>
      <c r="G5506" t="s">
        <v>3890</v>
      </c>
      <c r="H5506" t="s">
        <v>4673</v>
      </c>
      <c r="I5506" t="s">
        <v>4810</v>
      </c>
      <c r="J5506">
        <v>2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</row>
    <row r="5507" spans="2:30" x14ac:dyDescent="0.25">
      <c r="B5507" t="s">
        <v>133</v>
      </c>
      <c r="C5507" t="s">
        <v>10598</v>
      </c>
      <c r="D5507" t="s">
        <v>4987</v>
      </c>
      <c r="E5507" t="s">
        <v>4988</v>
      </c>
      <c r="F5507" t="s">
        <v>10949</v>
      </c>
      <c r="G5507" t="s">
        <v>3890</v>
      </c>
      <c r="H5507" t="s">
        <v>4925</v>
      </c>
      <c r="I5507" t="s">
        <v>4810</v>
      </c>
      <c r="J5507">
        <v>2</v>
      </c>
      <c r="K5507">
        <v>2.7839999999999998</v>
      </c>
      <c r="L5507">
        <v>2.6139999999999999</v>
      </c>
      <c r="M5507">
        <v>2.6539999999999999</v>
      </c>
      <c r="N5507">
        <v>2.6539999999999999</v>
      </c>
      <c r="O5507">
        <v>2.6539999999999999</v>
      </c>
      <c r="P5507">
        <v>2.6539999999999999</v>
      </c>
      <c r="Q5507">
        <v>2.8079999999999998</v>
      </c>
      <c r="R5507">
        <v>2.948</v>
      </c>
      <c r="S5507">
        <v>3.1560000000000001</v>
      </c>
      <c r="T5507">
        <v>3.286</v>
      </c>
      <c r="U5507">
        <v>3.548</v>
      </c>
      <c r="V5507">
        <v>3.6739999999999999</v>
      </c>
      <c r="W5507">
        <v>3.9660000000000002</v>
      </c>
      <c r="X5507">
        <v>4.056</v>
      </c>
      <c r="Y5507">
        <v>3.8980000000000001</v>
      </c>
      <c r="Z5507">
        <v>4.0990000000000002</v>
      </c>
      <c r="AA5507">
        <v>3.6469999999999998</v>
      </c>
      <c r="AB5507">
        <v>4.2309999999999999</v>
      </c>
      <c r="AC5507">
        <v>3.4220000000000002</v>
      </c>
      <c r="AD5507">
        <v>2.6539999999999999</v>
      </c>
    </row>
    <row r="5508" spans="2:30" x14ac:dyDescent="0.25">
      <c r="B5508" t="s">
        <v>133</v>
      </c>
      <c r="C5508" t="s">
        <v>10598</v>
      </c>
      <c r="D5508" t="s">
        <v>4990</v>
      </c>
      <c r="E5508" t="s">
        <v>4991</v>
      </c>
      <c r="F5508" t="s">
        <v>10950</v>
      </c>
      <c r="G5508" t="s">
        <v>3890</v>
      </c>
      <c r="H5508" t="s">
        <v>4929</v>
      </c>
      <c r="I5508" t="s">
        <v>4810</v>
      </c>
      <c r="J5508">
        <v>2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  <c r="W5508" t="e">
        <v>#N/A</v>
      </c>
      <c r="X5508" t="e">
        <v>#N/A</v>
      </c>
      <c r="Y5508" t="e">
        <v>#N/A</v>
      </c>
      <c r="Z5508" t="e">
        <v>#N/A</v>
      </c>
      <c r="AA5508" t="e">
        <v>#N/A</v>
      </c>
      <c r="AB5508" t="e">
        <v>#N/A</v>
      </c>
      <c r="AC5508" t="e">
        <v>#N/A</v>
      </c>
      <c r="AD5508" t="e">
        <v>#N/A</v>
      </c>
    </row>
    <row r="5509" spans="2:30" x14ac:dyDescent="0.25">
      <c r="B5509" t="s">
        <v>133</v>
      </c>
      <c r="C5509" t="s">
        <v>10598</v>
      </c>
      <c r="D5509" t="s">
        <v>4993</v>
      </c>
      <c r="E5509" t="s">
        <v>4455</v>
      </c>
      <c r="F5509" t="s">
        <v>10787</v>
      </c>
      <c r="G5509" t="s">
        <v>3890</v>
      </c>
      <c r="H5509" t="s">
        <v>4897</v>
      </c>
      <c r="I5509" t="s">
        <v>4810</v>
      </c>
      <c r="J5509">
        <v>1</v>
      </c>
      <c r="K5509">
        <v>-8.7029999999999994</v>
      </c>
      <c r="L5509">
        <v>-6.7750000000000004</v>
      </c>
      <c r="M5509">
        <v>-6.1120000000000001</v>
      </c>
      <c r="N5509">
        <v>-6.1909999999999998</v>
      </c>
      <c r="O5509">
        <v>-6.2380000000000004</v>
      </c>
      <c r="P5509">
        <v>-6.1180000000000003</v>
      </c>
      <c r="Q5509">
        <v>-5.9779999999999998</v>
      </c>
      <c r="R5509">
        <v>-5.9279999999999999</v>
      </c>
      <c r="S5509">
        <v>-5.9139999999999997</v>
      </c>
      <c r="T5509">
        <v>-5.9059999999999997</v>
      </c>
      <c r="U5509">
        <v>-5.9059999999999997</v>
      </c>
      <c r="V5509">
        <v>-5.9059999999999997</v>
      </c>
      <c r="W5509">
        <v>-5.9059999999999997</v>
      </c>
      <c r="X5509">
        <v>-5.9059999999999997</v>
      </c>
      <c r="Y5509">
        <v>-5.9059999999999997</v>
      </c>
      <c r="Z5509">
        <v>-5.9059999999999997</v>
      </c>
      <c r="AA5509">
        <v>-5.9059999999999997</v>
      </c>
      <c r="AB5509">
        <v>-5.9059999999999997</v>
      </c>
      <c r="AC5509">
        <v>-5.9059999999999997</v>
      </c>
      <c r="AD5509">
        <v>-5.9059999999999997</v>
      </c>
    </row>
    <row r="5510" spans="2:30" x14ac:dyDescent="0.25">
      <c r="B5510" t="s">
        <v>133</v>
      </c>
      <c r="C5510" t="s">
        <v>10598</v>
      </c>
      <c r="D5510" t="s">
        <v>4994</v>
      </c>
      <c r="E5510" t="s">
        <v>4995</v>
      </c>
      <c r="F5510" t="s">
        <v>10951</v>
      </c>
      <c r="G5510" t="s">
        <v>3890</v>
      </c>
      <c r="H5510" t="s">
        <v>4686</v>
      </c>
      <c r="I5510" t="s">
        <v>4687</v>
      </c>
      <c r="J5510">
        <v>1</v>
      </c>
      <c r="K5510">
        <v>-155.976</v>
      </c>
      <c r="L5510">
        <v>-121.42400000000001</v>
      </c>
      <c r="M5510">
        <v>-109.542</v>
      </c>
      <c r="N5510">
        <v>-110.958</v>
      </c>
      <c r="O5510">
        <v>-111.785</v>
      </c>
      <c r="P5510">
        <v>-109.64700000000001</v>
      </c>
      <c r="Q5510">
        <v>-107.131</v>
      </c>
      <c r="R5510">
        <v>-106.235</v>
      </c>
      <c r="S5510">
        <v>-105.98099999999999</v>
      </c>
      <c r="T5510">
        <v>-105.837</v>
      </c>
      <c r="U5510">
        <v>-105.837</v>
      </c>
      <c r="V5510">
        <v>-105.837</v>
      </c>
      <c r="W5510">
        <v>-105.837</v>
      </c>
      <c r="X5510">
        <v>-105.837</v>
      </c>
      <c r="Y5510">
        <v>-105.837</v>
      </c>
      <c r="Z5510">
        <v>-105.837</v>
      </c>
      <c r="AA5510">
        <v>-105.837</v>
      </c>
      <c r="AB5510">
        <v>-105.837</v>
      </c>
      <c r="AC5510">
        <v>-105.837</v>
      </c>
      <c r="AD5510">
        <v>-105.837</v>
      </c>
    </row>
    <row r="5511" spans="2:30" x14ac:dyDescent="0.25">
      <c r="B5511" t="s">
        <v>133</v>
      </c>
      <c r="C5511" t="s">
        <v>10598</v>
      </c>
      <c r="D5511" t="s">
        <v>4997</v>
      </c>
      <c r="E5511" t="s">
        <v>4998</v>
      </c>
      <c r="F5511" t="s">
        <v>10952</v>
      </c>
      <c r="G5511" t="s">
        <v>3890</v>
      </c>
      <c r="H5511" t="s">
        <v>4937</v>
      </c>
      <c r="I5511" t="s">
        <v>4810</v>
      </c>
      <c r="J5511">
        <v>2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  <c r="W5511" t="e">
        <v>#N/A</v>
      </c>
      <c r="X5511" t="e">
        <v>#N/A</v>
      </c>
      <c r="Y5511" t="e">
        <v>#N/A</v>
      </c>
      <c r="Z5511" t="e">
        <v>#N/A</v>
      </c>
      <c r="AA5511" t="e">
        <v>#N/A</v>
      </c>
      <c r="AB5511" t="e">
        <v>#N/A</v>
      </c>
      <c r="AC5511" t="e">
        <v>#N/A</v>
      </c>
      <c r="AD5511" t="e">
        <v>#N/A</v>
      </c>
    </row>
    <row r="5512" spans="2:30" x14ac:dyDescent="0.25">
      <c r="B5512" t="s">
        <v>133</v>
      </c>
      <c r="C5512" t="s">
        <v>10598</v>
      </c>
      <c r="D5512" t="s">
        <v>5000</v>
      </c>
      <c r="E5512" t="s">
        <v>5001</v>
      </c>
      <c r="F5512" t="s">
        <v>10953</v>
      </c>
      <c r="G5512" t="s">
        <v>3890</v>
      </c>
      <c r="H5512" t="s">
        <v>4695</v>
      </c>
      <c r="I5512" t="s">
        <v>4687</v>
      </c>
      <c r="J5512">
        <v>2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</row>
    <row r="5513" spans="2:30" x14ac:dyDescent="0.25">
      <c r="B5513" t="s">
        <v>133</v>
      </c>
      <c r="C5513" t="s">
        <v>10598</v>
      </c>
      <c r="D5513" t="s">
        <v>5003</v>
      </c>
      <c r="E5513" t="s">
        <v>5004</v>
      </c>
      <c r="F5513" t="s">
        <v>10954</v>
      </c>
      <c r="G5513" t="s">
        <v>3890</v>
      </c>
      <c r="H5513" t="s">
        <v>4645</v>
      </c>
      <c r="I5513" t="s">
        <v>4263</v>
      </c>
      <c r="J5513">
        <v>2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  <c r="W5513" t="e">
        <v>#N/A</v>
      </c>
      <c r="X5513" t="e">
        <v>#N/A</v>
      </c>
      <c r="Y5513" t="e">
        <v>#N/A</v>
      </c>
      <c r="Z5513" t="e">
        <v>#N/A</v>
      </c>
      <c r="AA5513" t="e">
        <v>#N/A</v>
      </c>
      <c r="AB5513" t="e">
        <v>#N/A</v>
      </c>
      <c r="AC5513" t="e">
        <v>#N/A</v>
      </c>
      <c r="AD5513" t="e">
        <v>#N/A</v>
      </c>
    </row>
    <row r="5514" spans="2:30" x14ac:dyDescent="0.25">
      <c r="B5514" t="s">
        <v>133</v>
      </c>
      <c r="C5514" t="s">
        <v>10598</v>
      </c>
      <c r="D5514" t="s">
        <v>5006</v>
      </c>
      <c r="E5514" t="s">
        <v>5007</v>
      </c>
      <c r="F5514" t="s">
        <v>10955</v>
      </c>
      <c r="G5514" t="s">
        <v>3890</v>
      </c>
      <c r="H5514" t="s">
        <v>4394</v>
      </c>
      <c r="I5514" t="s">
        <v>4263</v>
      </c>
      <c r="J5514">
        <v>2</v>
      </c>
      <c r="K5514">
        <v>6.4000000000000001E-2</v>
      </c>
      <c r="L5514">
        <v>6.2E-2</v>
      </c>
      <c r="M5514">
        <v>0.107</v>
      </c>
      <c r="N5514">
        <v>0.105</v>
      </c>
      <c r="O5514">
        <v>0.107</v>
      </c>
      <c r="P5514">
        <v>0.108</v>
      </c>
      <c r="Q5514">
        <v>0.108</v>
      </c>
      <c r="R5514">
        <v>0.107</v>
      </c>
      <c r="S5514">
        <v>0.107</v>
      </c>
      <c r="T5514">
        <v>0.107</v>
      </c>
      <c r="U5514">
        <v>0.107</v>
      </c>
      <c r="V5514">
        <v>0.106</v>
      </c>
      <c r="W5514">
        <v>0.106</v>
      </c>
      <c r="X5514">
        <v>0.106</v>
      </c>
      <c r="Y5514">
        <v>0.106</v>
      </c>
      <c r="Z5514">
        <v>0.105</v>
      </c>
      <c r="AA5514">
        <v>0.105</v>
      </c>
      <c r="AB5514">
        <v>0.105</v>
      </c>
      <c r="AC5514">
        <v>0.104</v>
      </c>
      <c r="AD5514">
        <v>0.104</v>
      </c>
    </row>
    <row r="5515" spans="2:30" x14ac:dyDescent="0.25">
      <c r="B5515" t="s">
        <v>133</v>
      </c>
      <c r="C5515" t="s">
        <v>10598</v>
      </c>
      <c r="D5515" t="s">
        <v>5009</v>
      </c>
      <c r="E5515" t="s">
        <v>5010</v>
      </c>
      <c r="F5515" t="s">
        <v>10956</v>
      </c>
      <c r="G5515" t="s">
        <v>3890</v>
      </c>
      <c r="H5515" t="s">
        <v>4653</v>
      </c>
      <c r="I5515" t="s">
        <v>4263</v>
      </c>
      <c r="J5515">
        <v>2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  <c r="W5515" t="e">
        <v>#N/A</v>
      </c>
      <c r="X5515" t="e">
        <v>#N/A</v>
      </c>
      <c r="Y5515" t="e">
        <v>#N/A</v>
      </c>
      <c r="Z5515" t="e">
        <v>#N/A</v>
      </c>
      <c r="AA5515" t="e">
        <v>#N/A</v>
      </c>
      <c r="AB5515" t="e">
        <v>#N/A</v>
      </c>
      <c r="AC5515" t="e">
        <v>#N/A</v>
      </c>
      <c r="AD5515" t="e">
        <v>#N/A</v>
      </c>
    </row>
    <row r="5516" spans="2:30" x14ac:dyDescent="0.25">
      <c r="B5516" t="s">
        <v>133</v>
      </c>
      <c r="C5516" t="s">
        <v>10598</v>
      </c>
      <c r="D5516" t="s">
        <v>5012</v>
      </c>
      <c r="E5516" t="s">
        <v>5013</v>
      </c>
      <c r="F5516" t="s">
        <v>10957</v>
      </c>
      <c r="G5516" t="s">
        <v>3890</v>
      </c>
      <c r="H5516" t="s">
        <v>4669</v>
      </c>
      <c r="I5516" t="s">
        <v>4263</v>
      </c>
      <c r="J5516">
        <v>2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</row>
    <row r="5517" spans="2:30" x14ac:dyDescent="0.25">
      <c r="B5517" t="s">
        <v>133</v>
      </c>
      <c r="C5517" t="s">
        <v>10598</v>
      </c>
      <c r="D5517" t="s">
        <v>5015</v>
      </c>
      <c r="E5517" t="s">
        <v>5016</v>
      </c>
      <c r="F5517" t="s">
        <v>10958</v>
      </c>
      <c r="G5517" t="s">
        <v>3890</v>
      </c>
      <c r="H5517" t="s">
        <v>4673</v>
      </c>
      <c r="I5517" t="s">
        <v>4263</v>
      </c>
      <c r="J5517">
        <v>2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</row>
    <row r="5518" spans="2:30" x14ac:dyDescent="0.25">
      <c r="B5518" t="s">
        <v>133</v>
      </c>
      <c r="C5518" t="s">
        <v>10598</v>
      </c>
      <c r="D5518" t="s">
        <v>5018</v>
      </c>
      <c r="E5518" t="s">
        <v>5019</v>
      </c>
      <c r="F5518" t="s">
        <v>10959</v>
      </c>
      <c r="G5518" t="s">
        <v>3890</v>
      </c>
      <c r="H5518" t="s">
        <v>5021</v>
      </c>
      <c r="I5518" t="s">
        <v>4263</v>
      </c>
      <c r="J5518">
        <v>2</v>
      </c>
      <c r="K5518">
        <v>6.4000000000000001E-2</v>
      </c>
      <c r="L5518">
        <v>6.2E-2</v>
      </c>
      <c r="M5518">
        <v>5.1999999999999998E-2</v>
      </c>
      <c r="N5518">
        <v>4.9000000000000002E-2</v>
      </c>
      <c r="O5518">
        <v>5.0999999999999997E-2</v>
      </c>
      <c r="P5518">
        <v>5.2999999999999999E-2</v>
      </c>
      <c r="Q5518">
        <v>5.2999999999999999E-2</v>
      </c>
      <c r="R5518">
        <v>5.3999999999999999E-2</v>
      </c>
      <c r="S5518">
        <v>5.5E-2</v>
      </c>
      <c r="T5518">
        <v>5.6000000000000001E-2</v>
      </c>
      <c r="U5518">
        <v>5.7000000000000002E-2</v>
      </c>
      <c r="V5518">
        <v>5.7000000000000002E-2</v>
      </c>
      <c r="W5518">
        <v>5.8999999999999997E-2</v>
      </c>
      <c r="X5518">
        <v>5.8999999999999997E-2</v>
      </c>
      <c r="Y5518">
        <v>5.8000000000000003E-2</v>
      </c>
      <c r="Z5518">
        <v>5.8999999999999997E-2</v>
      </c>
      <c r="AA5518">
        <v>5.6000000000000001E-2</v>
      </c>
      <c r="AB5518">
        <v>5.8999999999999997E-2</v>
      </c>
      <c r="AC5518">
        <v>5.3999999999999999E-2</v>
      </c>
      <c r="AD5518">
        <v>5.0999999999999997E-2</v>
      </c>
    </row>
    <row r="5519" spans="2:30" x14ac:dyDescent="0.25">
      <c r="B5519" t="s">
        <v>133</v>
      </c>
      <c r="C5519" t="s">
        <v>10598</v>
      </c>
      <c r="D5519" t="s">
        <v>5022</v>
      </c>
      <c r="E5519" t="s">
        <v>5023</v>
      </c>
      <c r="F5519" t="s">
        <v>10960</v>
      </c>
      <c r="G5519" t="s">
        <v>3890</v>
      </c>
      <c r="H5519" t="s">
        <v>5025</v>
      </c>
      <c r="I5519" t="s">
        <v>4263</v>
      </c>
      <c r="J5519">
        <v>2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  <c r="W5519" t="e">
        <v>#N/A</v>
      </c>
      <c r="X5519" t="e">
        <v>#N/A</v>
      </c>
      <c r="Y5519" t="e">
        <v>#N/A</v>
      </c>
      <c r="Z5519" t="e">
        <v>#N/A</v>
      </c>
      <c r="AA5519" t="e">
        <v>#N/A</v>
      </c>
      <c r="AB5519" t="e">
        <v>#N/A</v>
      </c>
      <c r="AC5519" t="e">
        <v>#N/A</v>
      </c>
      <c r="AD5519" t="e">
        <v>#N/A</v>
      </c>
    </row>
    <row r="5520" spans="2:30" x14ac:dyDescent="0.25">
      <c r="B5520" t="s">
        <v>133</v>
      </c>
      <c r="C5520" t="s">
        <v>10598</v>
      </c>
      <c r="D5520" t="s">
        <v>5026</v>
      </c>
      <c r="E5520" t="s">
        <v>4433</v>
      </c>
      <c r="F5520" t="s">
        <v>10780</v>
      </c>
      <c r="G5520" t="s">
        <v>3890</v>
      </c>
      <c r="H5520" t="s">
        <v>4832</v>
      </c>
      <c r="I5520" t="s">
        <v>4263</v>
      </c>
      <c r="J5520">
        <v>1</v>
      </c>
      <c r="K5520">
        <v>0</v>
      </c>
      <c r="L5520">
        <v>0</v>
      </c>
      <c r="M5520">
        <v>-5.5E-2</v>
      </c>
      <c r="N5520">
        <v>-5.5E-2</v>
      </c>
      <c r="O5520">
        <v>-5.5E-2</v>
      </c>
      <c r="P5520">
        <v>-5.5E-2</v>
      </c>
      <c r="Q5520">
        <v>-5.5E-2</v>
      </c>
      <c r="R5520">
        <v>-5.5E-2</v>
      </c>
      <c r="S5520">
        <v>-5.5E-2</v>
      </c>
      <c r="T5520">
        <v>-5.5E-2</v>
      </c>
      <c r="U5520">
        <v>-5.5E-2</v>
      </c>
      <c r="V5520">
        <v>-5.5E-2</v>
      </c>
      <c r="W5520">
        <v>-5.5E-2</v>
      </c>
      <c r="X5520">
        <v>-5.5E-2</v>
      </c>
      <c r="Y5520">
        <v>-5.5E-2</v>
      </c>
      <c r="Z5520">
        <v>-5.5E-2</v>
      </c>
      <c r="AA5520">
        <v>-5.5E-2</v>
      </c>
      <c r="AB5520">
        <v>-5.5E-2</v>
      </c>
      <c r="AC5520">
        <v>-5.5E-2</v>
      </c>
      <c r="AD5520">
        <v>-5.5E-2</v>
      </c>
    </row>
    <row r="5521" spans="2:30" x14ac:dyDescent="0.25">
      <c r="B5521" t="s">
        <v>133</v>
      </c>
      <c r="C5521" t="s">
        <v>10598</v>
      </c>
      <c r="D5521" t="s">
        <v>5027</v>
      </c>
      <c r="E5521" t="s">
        <v>5028</v>
      </c>
      <c r="F5521" t="s">
        <v>10961</v>
      </c>
      <c r="G5521" t="s">
        <v>3890</v>
      </c>
      <c r="H5521" t="s">
        <v>4686</v>
      </c>
      <c r="I5521" t="s">
        <v>4687</v>
      </c>
      <c r="J5521">
        <v>1</v>
      </c>
      <c r="K5521" t="e">
        <v>#DIV/0!</v>
      </c>
      <c r="L5521" t="e">
        <v>#DIV/0!</v>
      </c>
      <c r="M5521" t="e">
        <v>#DIV/0!</v>
      </c>
      <c r="N5521" t="e">
        <v>#DIV/0!</v>
      </c>
      <c r="O5521" t="e">
        <v>#DIV/0!</v>
      </c>
      <c r="P5521" t="e">
        <v>#DIV/0!</v>
      </c>
      <c r="Q5521" t="e">
        <v>#DIV/0!</v>
      </c>
      <c r="R5521" t="e">
        <v>#DIV/0!</v>
      </c>
      <c r="S5521" t="e">
        <v>#DIV/0!</v>
      </c>
      <c r="T5521" t="e">
        <v>#DIV/0!</v>
      </c>
      <c r="U5521" t="e">
        <v>#DIV/0!</v>
      </c>
      <c r="V5521" t="e">
        <v>#DIV/0!</v>
      </c>
      <c r="W5521" t="e">
        <v>#DIV/0!</v>
      </c>
      <c r="X5521" t="e">
        <v>#DIV/0!</v>
      </c>
      <c r="Y5521" t="e">
        <v>#DIV/0!</v>
      </c>
      <c r="Z5521" t="e">
        <v>#DIV/0!</v>
      </c>
      <c r="AA5521" t="e">
        <v>#DIV/0!</v>
      </c>
      <c r="AB5521" t="e">
        <v>#DIV/0!</v>
      </c>
      <c r="AC5521" t="e">
        <v>#DIV/0!</v>
      </c>
      <c r="AD5521" t="e">
        <v>#DIV/0!</v>
      </c>
    </row>
    <row r="5522" spans="2:30" x14ac:dyDescent="0.25">
      <c r="B5522" t="s">
        <v>133</v>
      </c>
      <c r="C5522" t="s">
        <v>10598</v>
      </c>
      <c r="D5522" t="s">
        <v>5030</v>
      </c>
      <c r="E5522" t="s">
        <v>5031</v>
      </c>
      <c r="F5522" t="s">
        <v>10962</v>
      </c>
      <c r="G5522" t="s">
        <v>3890</v>
      </c>
      <c r="H5522" t="s">
        <v>5033</v>
      </c>
      <c r="I5522" t="s">
        <v>4263</v>
      </c>
      <c r="J5522">
        <v>2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  <c r="W5522" t="e">
        <v>#N/A</v>
      </c>
      <c r="X5522" t="e">
        <v>#N/A</v>
      </c>
      <c r="Y5522" t="e">
        <v>#N/A</v>
      </c>
      <c r="Z5522" t="e">
        <v>#N/A</v>
      </c>
      <c r="AA5522" t="e">
        <v>#N/A</v>
      </c>
      <c r="AB5522" t="e">
        <v>#N/A</v>
      </c>
      <c r="AC5522" t="e">
        <v>#N/A</v>
      </c>
      <c r="AD5522" t="e">
        <v>#N/A</v>
      </c>
    </row>
    <row r="5523" spans="2:30" x14ac:dyDescent="0.25">
      <c r="B5523" t="s">
        <v>133</v>
      </c>
      <c r="C5523" t="s">
        <v>10598</v>
      </c>
      <c r="D5523" t="s">
        <v>5034</v>
      </c>
      <c r="E5523" t="s">
        <v>5035</v>
      </c>
      <c r="F5523" t="s">
        <v>10963</v>
      </c>
      <c r="G5523" t="s">
        <v>3890</v>
      </c>
      <c r="H5523" t="s">
        <v>4695</v>
      </c>
      <c r="I5523" t="s">
        <v>4687</v>
      </c>
      <c r="J5523">
        <v>2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</row>
    <row r="5524" spans="2:30" x14ac:dyDescent="0.25">
      <c r="B5524" t="s">
        <v>133</v>
      </c>
      <c r="C5524" t="s">
        <v>10598</v>
      </c>
      <c r="D5524" t="s">
        <v>5037</v>
      </c>
      <c r="E5524" t="s">
        <v>5038</v>
      </c>
      <c r="F5524" t="s">
        <v>10964</v>
      </c>
      <c r="G5524" t="s">
        <v>3890</v>
      </c>
      <c r="H5524" t="s">
        <v>4645</v>
      </c>
      <c r="I5524" t="s">
        <v>4263</v>
      </c>
      <c r="J5524">
        <v>2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  <c r="W5524" t="e">
        <v>#N/A</v>
      </c>
      <c r="X5524" t="e">
        <v>#N/A</v>
      </c>
      <c r="Y5524" t="e">
        <v>#N/A</v>
      </c>
      <c r="Z5524" t="e">
        <v>#N/A</v>
      </c>
      <c r="AA5524" t="e">
        <v>#N/A</v>
      </c>
      <c r="AB5524" t="e">
        <v>#N/A</v>
      </c>
      <c r="AC5524" t="e">
        <v>#N/A</v>
      </c>
      <c r="AD5524" t="e">
        <v>#N/A</v>
      </c>
    </row>
    <row r="5525" spans="2:30" x14ac:dyDescent="0.25">
      <c r="B5525" t="s">
        <v>133</v>
      </c>
      <c r="C5525" t="s">
        <v>10598</v>
      </c>
      <c r="D5525" t="s">
        <v>5040</v>
      </c>
      <c r="E5525" t="s">
        <v>4396</v>
      </c>
      <c r="F5525" t="s">
        <v>10768</v>
      </c>
      <c r="G5525" t="s">
        <v>3890</v>
      </c>
      <c r="H5525" t="s">
        <v>4394</v>
      </c>
      <c r="I5525" t="s">
        <v>4263</v>
      </c>
      <c r="J5525">
        <v>2</v>
      </c>
      <c r="K5525">
        <v>5.8999999999999997E-2</v>
      </c>
      <c r="L5525">
        <v>5.0999999999999997E-2</v>
      </c>
      <c r="M5525">
        <v>0.10100000000000001</v>
      </c>
      <c r="N5525">
        <v>9.8000000000000004E-2</v>
      </c>
      <c r="O5525">
        <v>0.1</v>
      </c>
      <c r="P5525">
        <v>0.10100000000000001</v>
      </c>
      <c r="Q5525">
        <v>0.10100000000000001</v>
      </c>
      <c r="R5525">
        <v>0.10100000000000001</v>
      </c>
      <c r="S5525">
        <v>0.10100000000000001</v>
      </c>
      <c r="T5525">
        <v>0.1</v>
      </c>
      <c r="U5525">
        <v>0.1</v>
      </c>
      <c r="V5525">
        <v>0.1</v>
      </c>
      <c r="W5525">
        <v>0.1</v>
      </c>
      <c r="X5525">
        <v>0.1</v>
      </c>
      <c r="Y5525">
        <v>9.9000000000000005E-2</v>
      </c>
      <c r="Z5525">
        <v>9.9000000000000005E-2</v>
      </c>
      <c r="AA5525">
        <v>9.9000000000000005E-2</v>
      </c>
      <c r="AB5525">
        <v>9.8000000000000004E-2</v>
      </c>
      <c r="AC5525">
        <v>9.8000000000000004E-2</v>
      </c>
      <c r="AD5525">
        <v>9.8000000000000004E-2</v>
      </c>
    </row>
    <row r="5526" spans="2:30" x14ac:dyDescent="0.25">
      <c r="B5526" t="s">
        <v>133</v>
      </c>
      <c r="C5526" t="s">
        <v>10598</v>
      </c>
      <c r="D5526" t="s">
        <v>5041</v>
      </c>
      <c r="E5526" t="s">
        <v>5042</v>
      </c>
      <c r="F5526" t="s">
        <v>10965</v>
      </c>
      <c r="G5526" t="s">
        <v>3890</v>
      </c>
      <c r="H5526" t="s">
        <v>4653</v>
      </c>
      <c r="I5526" t="s">
        <v>4263</v>
      </c>
      <c r="J5526">
        <v>2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  <c r="W5526" t="e">
        <v>#N/A</v>
      </c>
      <c r="X5526" t="e">
        <v>#N/A</v>
      </c>
      <c r="Y5526" t="e">
        <v>#N/A</v>
      </c>
      <c r="Z5526" t="e">
        <v>#N/A</v>
      </c>
      <c r="AA5526" t="e">
        <v>#N/A</v>
      </c>
      <c r="AB5526" t="e">
        <v>#N/A</v>
      </c>
      <c r="AC5526" t="e">
        <v>#N/A</v>
      </c>
      <c r="AD5526" t="e">
        <v>#N/A</v>
      </c>
    </row>
    <row r="5527" spans="2:30" x14ac:dyDescent="0.25">
      <c r="B5527" t="s">
        <v>133</v>
      </c>
      <c r="C5527" t="s">
        <v>10598</v>
      </c>
      <c r="D5527" t="s">
        <v>5044</v>
      </c>
      <c r="E5527" t="s">
        <v>5045</v>
      </c>
      <c r="F5527" t="s">
        <v>10966</v>
      </c>
      <c r="G5527" t="s">
        <v>3890</v>
      </c>
      <c r="H5527" t="s">
        <v>4669</v>
      </c>
      <c r="I5527" t="s">
        <v>4263</v>
      </c>
      <c r="J5527">
        <v>2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</row>
    <row r="5528" spans="2:30" x14ac:dyDescent="0.25">
      <c r="B5528" t="s">
        <v>133</v>
      </c>
      <c r="C5528" t="s">
        <v>10598</v>
      </c>
      <c r="D5528" t="s">
        <v>5047</v>
      </c>
      <c r="E5528" t="s">
        <v>5048</v>
      </c>
      <c r="F5528" t="s">
        <v>10967</v>
      </c>
      <c r="G5528" t="s">
        <v>3890</v>
      </c>
      <c r="H5528" t="s">
        <v>4673</v>
      </c>
      <c r="I5528" t="s">
        <v>4263</v>
      </c>
      <c r="J5528">
        <v>2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  <c r="W5528" t="e">
        <v>#N/A</v>
      </c>
      <c r="X5528" t="e">
        <v>#N/A</v>
      </c>
      <c r="Y5528" t="e">
        <v>#N/A</v>
      </c>
      <c r="Z5528" t="e">
        <v>#N/A</v>
      </c>
      <c r="AA5528" t="e">
        <v>#N/A</v>
      </c>
      <c r="AB5528" t="e">
        <v>#N/A</v>
      </c>
      <c r="AC5528" t="e">
        <v>#N/A</v>
      </c>
      <c r="AD5528" t="e">
        <v>#N/A</v>
      </c>
    </row>
    <row r="5529" spans="2:30" x14ac:dyDescent="0.25">
      <c r="B5529" t="s">
        <v>133</v>
      </c>
      <c r="C5529" t="s">
        <v>10598</v>
      </c>
      <c r="D5529" t="s">
        <v>5050</v>
      </c>
      <c r="E5529" t="s">
        <v>5051</v>
      </c>
      <c r="F5529" t="s">
        <v>10968</v>
      </c>
      <c r="G5529" t="s">
        <v>3890</v>
      </c>
      <c r="H5529" t="s">
        <v>5021</v>
      </c>
      <c r="I5529" t="s">
        <v>4263</v>
      </c>
      <c r="J5529">
        <v>2</v>
      </c>
      <c r="K5529">
        <v>6.0999999999999999E-2</v>
      </c>
      <c r="L5529">
        <v>5.1999999999999998E-2</v>
      </c>
      <c r="M5529">
        <v>4.5999999999999999E-2</v>
      </c>
      <c r="N5529">
        <v>4.2999999999999997E-2</v>
      </c>
      <c r="O5529">
        <v>4.4999999999999998E-2</v>
      </c>
      <c r="P5529">
        <v>4.5999999999999999E-2</v>
      </c>
      <c r="Q5529">
        <v>4.7E-2</v>
      </c>
      <c r="R5529">
        <v>4.8000000000000001E-2</v>
      </c>
      <c r="S5529">
        <v>4.9000000000000002E-2</v>
      </c>
      <c r="T5529">
        <v>4.9000000000000002E-2</v>
      </c>
      <c r="U5529">
        <v>5.0999999999999997E-2</v>
      </c>
      <c r="V5529">
        <v>5.0999999999999997E-2</v>
      </c>
      <c r="W5529">
        <v>5.2999999999999999E-2</v>
      </c>
      <c r="X5529">
        <v>5.2999999999999999E-2</v>
      </c>
      <c r="Y5529">
        <v>5.1999999999999998E-2</v>
      </c>
      <c r="Z5529">
        <v>5.2999999999999999E-2</v>
      </c>
      <c r="AA5529">
        <v>0.05</v>
      </c>
      <c r="AB5529">
        <v>5.2999999999999999E-2</v>
      </c>
      <c r="AC5529">
        <v>4.8000000000000001E-2</v>
      </c>
      <c r="AD5529">
        <v>4.3999999999999997E-2</v>
      </c>
    </row>
    <row r="5530" spans="2:30" x14ac:dyDescent="0.25">
      <c r="B5530" t="s">
        <v>133</v>
      </c>
      <c r="C5530" t="s">
        <v>10598</v>
      </c>
      <c r="D5530" t="s">
        <v>5053</v>
      </c>
      <c r="E5530" t="s">
        <v>5054</v>
      </c>
      <c r="F5530" t="s">
        <v>10969</v>
      </c>
      <c r="G5530" t="s">
        <v>3890</v>
      </c>
      <c r="H5530" t="s">
        <v>5025</v>
      </c>
      <c r="I5530" t="s">
        <v>4263</v>
      </c>
      <c r="J5530">
        <v>2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  <c r="W5530" t="e">
        <v>#N/A</v>
      </c>
      <c r="X5530" t="e">
        <v>#N/A</v>
      </c>
      <c r="Y5530" t="e">
        <v>#N/A</v>
      </c>
      <c r="Z5530" t="e">
        <v>#N/A</v>
      </c>
      <c r="AA5530" t="e">
        <v>#N/A</v>
      </c>
      <c r="AB5530" t="e">
        <v>#N/A</v>
      </c>
      <c r="AC5530" t="e">
        <v>#N/A</v>
      </c>
      <c r="AD5530" t="e">
        <v>#N/A</v>
      </c>
    </row>
    <row r="5531" spans="2:30" x14ac:dyDescent="0.25">
      <c r="B5531" t="s">
        <v>133</v>
      </c>
      <c r="C5531" t="s">
        <v>10598</v>
      </c>
      <c r="D5531" t="s">
        <v>5056</v>
      </c>
      <c r="E5531" t="s">
        <v>4437</v>
      </c>
      <c r="F5531" t="s">
        <v>10781</v>
      </c>
      <c r="G5531" t="s">
        <v>3890</v>
      </c>
      <c r="H5531" t="s">
        <v>4865</v>
      </c>
      <c r="I5531" t="s">
        <v>4263</v>
      </c>
      <c r="J5531">
        <v>1</v>
      </c>
      <c r="K5531">
        <v>2E-3</v>
      </c>
      <c r="L5531">
        <v>1E-3</v>
      </c>
      <c r="M5531">
        <v>-5.5E-2</v>
      </c>
      <c r="N5531">
        <v>-5.5E-2</v>
      </c>
      <c r="O5531">
        <v>-5.5E-2</v>
      </c>
      <c r="P5531">
        <v>-5.5E-2</v>
      </c>
      <c r="Q5531">
        <v>-5.5E-2</v>
      </c>
      <c r="R5531">
        <v>-5.5E-2</v>
      </c>
      <c r="S5531">
        <v>-5.5E-2</v>
      </c>
      <c r="T5531">
        <v>-5.5E-2</v>
      </c>
      <c r="U5531">
        <v>-5.5E-2</v>
      </c>
      <c r="V5531">
        <v>-5.5E-2</v>
      </c>
      <c r="W5531">
        <v>-5.5E-2</v>
      </c>
      <c r="X5531">
        <v>-5.5E-2</v>
      </c>
      <c r="Y5531">
        <v>-5.5E-2</v>
      </c>
      <c r="Z5531">
        <v>-5.5E-2</v>
      </c>
      <c r="AA5531">
        <v>-5.5E-2</v>
      </c>
      <c r="AB5531">
        <v>-5.5E-2</v>
      </c>
      <c r="AC5531">
        <v>-5.5E-2</v>
      </c>
      <c r="AD5531">
        <v>-5.5E-2</v>
      </c>
    </row>
    <row r="5532" spans="2:30" x14ac:dyDescent="0.25">
      <c r="B5532" t="s">
        <v>133</v>
      </c>
      <c r="C5532" t="s">
        <v>10598</v>
      </c>
      <c r="D5532" t="s">
        <v>5057</v>
      </c>
      <c r="E5532" t="s">
        <v>5058</v>
      </c>
      <c r="F5532" t="s">
        <v>10970</v>
      </c>
      <c r="G5532" t="s">
        <v>3890</v>
      </c>
      <c r="H5532" t="s">
        <v>4686</v>
      </c>
      <c r="I5532" t="s">
        <v>4687</v>
      </c>
      <c r="J5532">
        <v>1</v>
      </c>
      <c r="K5532" t="e">
        <v>#DIV/0!</v>
      </c>
      <c r="L5532" t="e">
        <v>#DIV/0!</v>
      </c>
      <c r="M5532" t="e">
        <v>#DIV/0!</v>
      </c>
      <c r="N5532" t="e">
        <v>#DIV/0!</v>
      </c>
      <c r="O5532" t="e">
        <v>#DIV/0!</v>
      </c>
      <c r="P5532" t="e">
        <v>#DIV/0!</v>
      </c>
      <c r="Q5532" t="e">
        <v>#DIV/0!</v>
      </c>
      <c r="R5532" t="e">
        <v>#DIV/0!</v>
      </c>
      <c r="S5532" t="e">
        <v>#DIV/0!</v>
      </c>
      <c r="T5532" t="e">
        <v>#DIV/0!</v>
      </c>
      <c r="U5532" t="e">
        <v>#DIV/0!</v>
      </c>
      <c r="V5532" t="e">
        <v>#DIV/0!</v>
      </c>
      <c r="W5532" t="e">
        <v>#DIV/0!</v>
      </c>
      <c r="X5532" t="e">
        <v>#DIV/0!</v>
      </c>
      <c r="Y5532" t="e">
        <v>#DIV/0!</v>
      </c>
      <c r="Z5532" t="e">
        <v>#DIV/0!</v>
      </c>
      <c r="AA5532" t="e">
        <v>#DIV/0!</v>
      </c>
      <c r="AB5532" t="e">
        <v>#DIV/0!</v>
      </c>
      <c r="AC5532" t="e">
        <v>#DIV/0!</v>
      </c>
      <c r="AD5532" t="e">
        <v>#DIV/0!</v>
      </c>
    </row>
    <row r="5533" spans="2:30" x14ac:dyDescent="0.25">
      <c r="B5533" t="s">
        <v>133</v>
      </c>
      <c r="C5533" t="s">
        <v>10598</v>
      </c>
      <c r="D5533" t="s">
        <v>5060</v>
      </c>
      <c r="E5533" t="s">
        <v>5061</v>
      </c>
      <c r="F5533" t="s">
        <v>10971</v>
      </c>
      <c r="G5533" t="s">
        <v>3890</v>
      </c>
      <c r="H5533" t="s">
        <v>5033</v>
      </c>
      <c r="I5533" t="s">
        <v>4263</v>
      </c>
      <c r="J5533">
        <v>2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  <c r="W5533" t="e">
        <v>#N/A</v>
      </c>
      <c r="X5533" t="e">
        <v>#N/A</v>
      </c>
      <c r="Y5533" t="e">
        <v>#N/A</v>
      </c>
      <c r="Z5533" t="e">
        <v>#N/A</v>
      </c>
      <c r="AA5533" t="e">
        <v>#N/A</v>
      </c>
      <c r="AB5533" t="e">
        <v>#N/A</v>
      </c>
      <c r="AC5533" t="e">
        <v>#N/A</v>
      </c>
      <c r="AD5533" t="e">
        <v>#N/A</v>
      </c>
    </row>
    <row r="5534" spans="2:30" x14ac:dyDescent="0.25">
      <c r="B5534" t="s">
        <v>133</v>
      </c>
      <c r="C5534" t="s">
        <v>10598</v>
      </c>
      <c r="D5534" t="s">
        <v>5063</v>
      </c>
      <c r="E5534" t="s">
        <v>5064</v>
      </c>
      <c r="F5534" t="s">
        <v>10972</v>
      </c>
      <c r="G5534" t="s">
        <v>3890</v>
      </c>
      <c r="H5534" t="s">
        <v>4695</v>
      </c>
      <c r="I5534" t="s">
        <v>4687</v>
      </c>
      <c r="J5534">
        <v>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</row>
    <row r="5535" spans="2:30" x14ac:dyDescent="0.25">
      <c r="B5535" t="s">
        <v>133</v>
      </c>
      <c r="C5535" t="s">
        <v>10598</v>
      </c>
      <c r="D5535" t="s">
        <v>5066</v>
      </c>
      <c r="E5535" t="s">
        <v>5067</v>
      </c>
      <c r="F5535" t="s">
        <v>10973</v>
      </c>
      <c r="G5535" t="s">
        <v>3890</v>
      </c>
      <c r="H5535" t="s">
        <v>4695</v>
      </c>
      <c r="I5535" t="s">
        <v>4687</v>
      </c>
      <c r="J5535">
        <v>1</v>
      </c>
      <c r="K5535">
        <v>2.6909999999999998</v>
      </c>
      <c r="L5535">
        <v>2.8210000000000002</v>
      </c>
      <c r="M5535">
        <v>3.3180000000000001</v>
      </c>
      <c r="N5535">
        <v>3.53</v>
      </c>
      <c r="O5535">
        <v>3.6869999999999998</v>
      </c>
      <c r="P5535">
        <v>3.7810000000000001</v>
      </c>
      <c r="Q5535">
        <v>3.8290000000000002</v>
      </c>
      <c r="R5535">
        <v>3.87</v>
      </c>
      <c r="S5535">
        <v>3.9060000000000001</v>
      </c>
      <c r="T5535">
        <v>3.93</v>
      </c>
      <c r="U5535">
        <v>3.9470000000000001</v>
      </c>
      <c r="V5535">
        <v>3.9569999999999999</v>
      </c>
      <c r="W5535">
        <v>3.964</v>
      </c>
      <c r="X5535">
        <v>3.9660000000000002</v>
      </c>
      <c r="Y5535">
        <v>3.9649999999999999</v>
      </c>
      <c r="Z5535">
        <v>3.96</v>
      </c>
      <c r="AA5535">
        <v>3.9510000000000001</v>
      </c>
      <c r="AB5535">
        <v>3.9359999999999999</v>
      </c>
      <c r="AC5535">
        <v>3.9159999999999999</v>
      </c>
      <c r="AD5535">
        <v>3.9020000000000001</v>
      </c>
    </row>
    <row r="5536" spans="2:30" x14ac:dyDescent="0.25">
      <c r="B5536" t="s">
        <v>133</v>
      </c>
      <c r="C5536" t="s">
        <v>10598</v>
      </c>
      <c r="D5536" t="s">
        <v>5069</v>
      </c>
      <c r="E5536" t="s">
        <v>5070</v>
      </c>
      <c r="F5536" t="s">
        <v>10974</v>
      </c>
      <c r="G5536" t="s">
        <v>3890</v>
      </c>
      <c r="H5536" t="s">
        <v>4695</v>
      </c>
      <c r="I5536" t="s">
        <v>4687</v>
      </c>
      <c r="J5536">
        <v>2</v>
      </c>
      <c r="K5536">
        <v>2.6909999999999998</v>
      </c>
      <c r="L5536">
        <v>2.8210000000000002</v>
      </c>
      <c r="M5536">
        <v>3.3180000000000001</v>
      </c>
      <c r="N5536">
        <v>3.53</v>
      </c>
      <c r="O5536">
        <v>3.6869999999999998</v>
      </c>
      <c r="P5536">
        <v>3.7719999999999998</v>
      </c>
      <c r="Q5536">
        <v>3.7360000000000002</v>
      </c>
      <c r="R5536">
        <v>3.8140000000000001</v>
      </c>
      <c r="S5536">
        <v>3.867</v>
      </c>
      <c r="T5536">
        <v>3.9350000000000001</v>
      </c>
      <c r="U5536">
        <v>3.9689999999999999</v>
      </c>
      <c r="V5536">
        <v>4.0289999999999999</v>
      </c>
      <c r="W5536">
        <v>4.056</v>
      </c>
      <c r="X5536">
        <v>4.1130000000000004</v>
      </c>
      <c r="Y5536">
        <v>4.1109999999999998</v>
      </c>
      <c r="Z5536">
        <v>4.0999999999999996</v>
      </c>
      <c r="AA5536">
        <v>4.1139999999999999</v>
      </c>
      <c r="AB5536">
        <v>4.0549999999999997</v>
      </c>
      <c r="AC5536">
        <v>4.1189999999999998</v>
      </c>
      <c r="AD5536">
        <v>4.0030000000000001</v>
      </c>
    </row>
    <row r="5537" spans="2:30" x14ac:dyDescent="0.25">
      <c r="B5537" t="s">
        <v>133</v>
      </c>
      <c r="C5537" t="s">
        <v>10598</v>
      </c>
      <c r="D5537" t="s">
        <v>5072</v>
      </c>
      <c r="E5537" t="s">
        <v>5073</v>
      </c>
      <c r="F5537" t="s">
        <v>10975</v>
      </c>
      <c r="G5537" t="s">
        <v>3890</v>
      </c>
      <c r="H5537" t="s">
        <v>5075</v>
      </c>
      <c r="I5537" t="s">
        <v>4687</v>
      </c>
      <c r="J5537">
        <v>2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  <c r="W5537" t="e">
        <v>#N/A</v>
      </c>
      <c r="X5537" t="e">
        <v>#N/A</v>
      </c>
      <c r="Y5537" t="e">
        <v>#N/A</v>
      </c>
      <c r="Z5537" t="e">
        <v>#N/A</v>
      </c>
      <c r="AA5537" t="e">
        <v>#N/A</v>
      </c>
      <c r="AB5537" t="e">
        <v>#N/A</v>
      </c>
      <c r="AC5537" t="e">
        <v>#N/A</v>
      </c>
      <c r="AD5537" t="e">
        <v>#N/A</v>
      </c>
    </row>
    <row r="5538" spans="2:30" x14ac:dyDescent="0.25">
      <c r="B5538" t="s">
        <v>133</v>
      </c>
      <c r="C5538" t="s">
        <v>10598</v>
      </c>
      <c r="D5538" t="s">
        <v>5076</v>
      </c>
      <c r="E5538" t="s">
        <v>5077</v>
      </c>
      <c r="F5538" t="s">
        <v>10976</v>
      </c>
      <c r="G5538" t="s">
        <v>3890</v>
      </c>
      <c r="H5538" t="s">
        <v>5075</v>
      </c>
      <c r="I5538" t="s">
        <v>4687</v>
      </c>
      <c r="J5538">
        <v>2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  <c r="W5538" t="e">
        <v>#N/A</v>
      </c>
      <c r="X5538" t="e">
        <v>#N/A</v>
      </c>
      <c r="Y5538" t="e">
        <v>#N/A</v>
      </c>
      <c r="Z5538" t="e">
        <v>#N/A</v>
      </c>
      <c r="AA5538" t="e">
        <v>#N/A</v>
      </c>
      <c r="AB5538" t="e">
        <v>#N/A</v>
      </c>
      <c r="AC5538" t="e">
        <v>#N/A</v>
      </c>
      <c r="AD5538" t="e">
        <v>#N/A</v>
      </c>
    </row>
    <row r="5539" spans="2:30" x14ac:dyDescent="0.25">
      <c r="B5539" t="s">
        <v>133</v>
      </c>
      <c r="C5539" t="s">
        <v>10598</v>
      </c>
      <c r="D5539" t="s">
        <v>5079</v>
      </c>
      <c r="E5539" t="s">
        <v>5080</v>
      </c>
      <c r="F5539" t="s">
        <v>10977</v>
      </c>
      <c r="G5539" t="s">
        <v>3890</v>
      </c>
      <c r="H5539" t="s">
        <v>5075</v>
      </c>
      <c r="I5539" t="s">
        <v>4687</v>
      </c>
      <c r="J5539">
        <v>2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  <c r="W5539" t="e">
        <v>#N/A</v>
      </c>
      <c r="X5539" t="e">
        <v>#N/A</v>
      </c>
      <c r="Y5539" t="e">
        <v>#N/A</v>
      </c>
      <c r="Z5539" t="e">
        <v>#N/A</v>
      </c>
      <c r="AA5539" t="e">
        <v>#N/A</v>
      </c>
      <c r="AB5539" t="e">
        <v>#N/A</v>
      </c>
      <c r="AC5539" t="e">
        <v>#N/A</v>
      </c>
      <c r="AD5539" t="e">
        <v>#N/A</v>
      </c>
    </row>
    <row r="5540" spans="2:30" x14ac:dyDescent="0.25">
      <c r="B5540" t="s">
        <v>133</v>
      </c>
      <c r="C5540" t="s">
        <v>10598</v>
      </c>
      <c r="D5540" t="s">
        <v>5082</v>
      </c>
      <c r="E5540" t="s">
        <v>5083</v>
      </c>
      <c r="F5540" t="s">
        <v>10978</v>
      </c>
      <c r="G5540" t="s">
        <v>3890</v>
      </c>
      <c r="H5540" t="s">
        <v>5075</v>
      </c>
      <c r="I5540" t="s">
        <v>4687</v>
      </c>
      <c r="J5540">
        <v>2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  <c r="W5540" t="e">
        <v>#N/A</v>
      </c>
      <c r="X5540" t="e">
        <v>#N/A</v>
      </c>
      <c r="Y5540" t="e">
        <v>#N/A</v>
      </c>
      <c r="Z5540" t="e">
        <v>#N/A</v>
      </c>
      <c r="AA5540" t="e">
        <v>#N/A</v>
      </c>
      <c r="AB5540" t="e">
        <v>#N/A</v>
      </c>
      <c r="AC5540" t="e">
        <v>#N/A</v>
      </c>
      <c r="AD5540" t="e">
        <v>#N/A</v>
      </c>
    </row>
    <row r="5541" spans="2:30" x14ac:dyDescent="0.25">
      <c r="B5541" t="s">
        <v>133</v>
      </c>
      <c r="C5541" t="s">
        <v>10598</v>
      </c>
      <c r="D5541" t="s">
        <v>5085</v>
      </c>
      <c r="E5541" t="s">
        <v>5086</v>
      </c>
      <c r="F5541" t="s">
        <v>10979</v>
      </c>
      <c r="G5541" t="s">
        <v>3890</v>
      </c>
      <c r="H5541" t="s">
        <v>5075</v>
      </c>
      <c r="I5541" t="s">
        <v>4687</v>
      </c>
      <c r="J5541">
        <v>2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</row>
    <row r="5542" spans="2:30" x14ac:dyDescent="0.25">
      <c r="B5542" t="s">
        <v>133</v>
      </c>
      <c r="C5542" t="s">
        <v>10598</v>
      </c>
      <c r="D5542" t="s">
        <v>5088</v>
      </c>
      <c r="E5542" t="s">
        <v>5089</v>
      </c>
      <c r="F5542" t="s">
        <v>10980</v>
      </c>
      <c r="G5542" t="s">
        <v>3890</v>
      </c>
      <c r="H5542" t="s">
        <v>5075</v>
      </c>
      <c r="I5542" t="s">
        <v>4687</v>
      </c>
      <c r="J5542">
        <v>2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</row>
    <row r="5543" spans="2:30" x14ac:dyDescent="0.25">
      <c r="B5543" t="s">
        <v>133</v>
      </c>
      <c r="C5543" t="s">
        <v>10598</v>
      </c>
      <c r="D5543" t="s">
        <v>5091</v>
      </c>
      <c r="E5543" t="s">
        <v>5092</v>
      </c>
      <c r="F5543" t="s">
        <v>10981</v>
      </c>
      <c r="G5543" t="s">
        <v>3890</v>
      </c>
      <c r="H5543" t="s">
        <v>5075</v>
      </c>
      <c r="I5543" t="s">
        <v>4687</v>
      </c>
      <c r="J5543">
        <v>2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  <c r="W5543" t="e">
        <v>#N/A</v>
      </c>
      <c r="X5543" t="e">
        <v>#N/A</v>
      </c>
      <c r="Y5543" t="e">
        <v>#N/A</v>
      </c>
      <c r="Z5543" t="e">
        <v>#N/A</v>
      </c>
      <c r="AA5543" t="e">
        <v>#N/A</v>
      </c>
      <c r="AB5543" t="e">
        <v>#N/A</v>
      </c>
      <c r="AC5543" t="e">
        <v>#N/A</v>
      </c>
      <c r="AD5543" t="e">
        <v>#N/A</v>
      </c>
    </row>
    <row r="5544" spans="2:30" x14ac:dyDescent="0.25">
      <c r="B5544" t="s">
        <v>133</v>
      </c>
      <c r="C5544" t="s">
        <v>10598</v>
      </c>
      <c r="D5544" t="s">
        <v>5094</v>
      </c>
      <c r="E5544" t="s">
        <v>5095</v>
      </c>
      <c r="F5544" t="s">
        <v>10982</v>
      </c>
      <c r="G5544" t="s">
        <v>3890</v>
      </c>
      <c r="H5544" t="s">
        <v>5075</v>
      </c>
      <c r="I5544" t="s">
        <v>4687</v>
      </c>
      <c r="J5544">
        <v>2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  <c r="W5544" t="e">
        <v>#N/A</v>
      </c>
      <c r="X5544" t="e">
        <v>#N/A</v>
      </c>
      <c r="Y5544" t="e">
        <v>#N/A</v>
      </c>
      <c r="Z5544" t="e">
        <v>#N/A</v>
      </c>
      <c r="AA5544" t="e">
        <v>#N/A</v>
      </c>
      <c r="AB5544" t="e">
        <v>#N/A</v>
      </c>
      <c r="AC5544" t="e">
        <v>#N/A</v>
      </c>
      <c r="AD5544" t="e">
        <v>#N/A</v>
      </c>
    </row>
    <row r="5545" spans="2:30" x14ac:dyDescent="0.25">
      <c r="B5545" t="s">
        <v>133</v>
      </c>
      <c r="C5545" t="s">
        <v>10598</v>
      </c>
      <c r="D5545" t="s">
        <v>5097</v>
      </c>
      <c r="E5545" t="s">
        <v>5098</v>
      </c>
      <c r="F5545" t="s">
        <v>10983</v>
      </c>
      <c r="G5545" t="s">
        <v>3890</v>
      </c>
      <c r="H5545" t="s">
        <v>5075</v>
      </c>
      <c r="I5545" t="s">
        <v>4687</v>
      </c>
      <c r="J5545">
        <v>2</v>
      </c>
      <c r="K5545">
        <v>6.9362124947994486E-3</v>
      </c>
      <c r="L5545">
        <v>7.0524224225198707E-3</v>
      </c>
      <c r="M5545">
        <v>7.214095363709574E-3</v>
      </c>
      <c r="N5545">
        <v>7.2931578491826398E-3</v>
      </c>
      <c r="O5545">
        <v>7.4010002329120963E-3</v>
      </c>
      <c r="P5545">
        <v>7.5062539116635364E-3</v>
      </c>
      <c r="Q5545">
        <v>7.6105741030658633E-3</v>
      </c>
      <c r="R5545">
        <v>7.704314127803937E-3</v>
      </c>
      <c r="S5545">
        <v>7.7923989615759576E-3</v>
      </c>
      <c r="T5545">
        <v>7.876707443835106E-3</v>
      </c>
      <c r="U5545">
        <v>7.9589709936222757E-3</v>
      </c>
      <c r="V5545">
        <v>8.0392314899999651E-3</v>
      </c>
      <c r="W5545">
        <v>8.1181141578542063E-3</v>
      </c>
      <c r="X5545">
        <v>8.1951350828466663E-3</v>
      </c>
      <c r="Y5545">
        <v>8.2705554608703581E-3</v>
      </c>
      <c r="Z5545">
        <v>8.3441734348840592E-3</v>
      </c>
      <c r="AA5545">
        <v>8.3441734348840592E-3</v>
      </c>
      <c r="AB5545">
        <v>8.3441734348840575E-3</v>
      </c>
      <c r="AC5545">
        <v>8.3441734348840575E-3</v>
      </c>
      <c r="AD5545">
        <v>8.3441734348840592E-3</v>
      </c>
    </row>
    <row r="5546" spans="2:30" x14ac:dyDescent="0.25">
      <c r="B5546" t="s">
        <v>133</v>
      </c>
      <c r="C5546" t="s">
        <v>10598</v>
      </c>
      <c r="D5546" t="s">
        <v>5100</v>
      </c>
      <c r="E5546" t="s">
        <v>5101</v>
      </c>
      <c r="F5546" t="s">
        <v>10984</v>
      </c>
      <c r="G5546" t="s">
        <v>3890</v>
      </c>
      <c r="H5546" t="s">
        <v>5075</v>
      </c>
      <c r="I5546" t="s">
        <v>4687</v>
      </c>
      <c r="J5546">
        <v>2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  <c r="W5546" t="e">
        <v>#N/A</v>
      </c>
      <c r="X5546" t="e">
        <v>#N/A</v>
      </c>
      <c r="Y5546" t="e">
        <v>#N/A</v>
      </c>
      <c r="Z5546" t="e">
        <v>#N/A</v>
      </c>
      <c r="AA5546" t="e">
        <v>#N/A</v>
      </c>
      <c r="AB5546" t="e">
        <v>#N/A</v>
      </c>
      <c r="AC5546" t="e">
        <v>#N/A</v>
      </c>
      <c r="AD5546" t="e">
        <v>#N/A</v>
      </c>
    </row>
    <row r="5547" spans="2:30" x14ac:dyDescent="0.25">
      <c r="B5547" t="s">
        <v>133</v>
      </c>
      <c r="C5547" t="s">
        <v>10598</v>
      </c>
      <c r="D5547" t="s">
        <v>5103</v>
      </c>
      <c r="E5547" t="s">
        <v>5104</v>
      </c>
      <c r="F5547" t="s">
        <v>10985</v>
      </c>
      <c r="G5547" t="s">
        <v>3890</v>
      </c>
      <c r="H5547" t="s">
        <v>5075</v>
      </c>
      <c r="I5547" t="s">
        <v>4687</v>
      </c>
      <c r="J5547">
        <v>1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  <c r="W5547" t="e">
        <v>#N/A</v>
      </c>
      <c r="X5547" t="e">
        <v>#N/A</v>
      </c>
      <c r="Y5547" t="e">
        <v>#N/A</v>
      </c>
      <c r="Z5547" t="e">
        <v>#N/A</v>
      </c>
      <c r="AA5547" t="e">
        <v>#N/A</v>
      </c>
      <c r="AB5547" t="e">
        <v>#N/A</v>
      </c>
      <c r="AC5547" t="e">
        <v>#N/A</v>
      </c>
      <c r="AD5547" t="e">
        <v>#N/A</v>
      </c>
    </row>
    <row r="5548" spans="2:30" x14ac:dyDescent="0.25">
      <c r="B5548" t="s">
        <v>133</v>
      </c>
      <c r="C5548" t="s">
        <v>10598</v>
      </c>
      <c r="D5548" t="s">
        <v>5103</v>
      </c>
      <c r="E5548" t="s">
        <v>5106</v>
      </c>
      <c r="F5548" t="s">
        <v>10986</v>
      </c>
      <c r="G5548" t="s">
        <v>3890</v>
      </c>
      <c r="H5548" t="s">
        <v>5075</v>
      </c>
      <c r="I5548" t="s">
        <v>4687</v>
      </c>
      <c r="J5548">
        <v>2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  <c r="W5548" t="e">
        <v>#N/A</v>
      </c>
      <c r="X5548" t="e">
        <v>#N/A</v>
      </c>
      <c r="Y5548" t="e">
        <v>#N/A</v>
      </c>
      <c r="Z5548" t="e">
        <v>#N/A</v>
      </c>
      <c r="AA5548" t="e">
        <v>#N/A</v>
      </c>
      <c r="AB5548" t="e">
        <v>#N/A</v>
      </c>
      <c r="AC5548" t="e">
        <v>#N/A</v>
      </c>
      <c r="AD5548" t="e">
        <v>#N/A</v>
      </c>
    </row>
    <row r="5549" spans="2:30" x14ac:dyDescent="0.25">
      <c r="B5549" t="s">
        <v>133</v>
      </c>
      <c r="C5549" t="s">
        <v>10598</v>
      </c>
      <c r="D5549" t="s">
        <v>5108</v>
      </c>
      <c r="E5549" t="s">
        <v>5109</v>
      </c>
      <c r="F5549" t="s">
        <v>10987</v>
      </c>
      <c r="G5549" t="s">
        <v>3890</v>
      </c>
      <c r="H5549" t="s">
        <v>5111</v>
      </c>
      <c r="I5549" t="s">
        <v>4687</v>
      </c>
      <c r="J5549">
        <v>1</v>
      </c>
      <c r="K5549">
        <v>54.801765375148797</v>
      </c>
      <c r="L5549">
        <v>56.99383599015475</v>
      </c>
      <c r="M5549">
        <v>59.273589429760939</v>
      </c>
      <c r="N5549">
        <v>61.644533006951377</v>
      </c>
      <c r="O5549">
        <v>64.110314327229432</v>
      </c>
      <c r="P5549">
        <v>66.674726900318618</v>
      </c>
      <c r="Q5549">
        <v>69.341715976331358</v>
      </c>
      <c r="R5549">
        <v>72.115384615384613</v>
      </c>
      <c r="S5549">
        <v>75</v>
      </c>
      <c r="T5549">
        <v>78</v>
      </c>
      <c r="U5549">
        <v>81.12</v>
      </c>
      <c r="V5549">
        <v>84.364800000000002</v>
      </c>
      <c r="W5549">
        <v>87.739392000000009</v>
      </c>
      <c r="X5549">
        <v>91.248967680000007</v>
      </c>
      <c r="Y5549">
        <v>94.898926387200007</v>
      </c>
      <c r="Z5549">
        <v>98.69488344268801</v>
      </c>
      <c r="AA5549">
        <v>102.64267878039553</v>
      </c>
      <c r="AB5549">
        <v>106.74838593161135</v>
      </c>
      <c r="AC5549">
        <v>111.01832136887582</v>
      </c>
      <c r="AD5549">
        <v>115.45905422363086</v>
      </c>
    </row>
    <row r="5550" spans="2:30" x14ac:dyDescent="0.25">
      <c r="B5550" t="s">
        <v>133</v>
      </c>
      <c r="C5550" t="s">
        <v>10598</v>
      </c>
      <c r="D5550" t="s">
        <v>5112</v>
      </c>
      <c r="E5550" t="s">
        <v>5113</v>
      </c>
      <c r="F5550" t="s">
        <v>10988</v>
      </c>
      <c r="G5550" t="s">
        <v>3890</v>
      </c>
      <c r="H5550" t="s">
        <v>109</v>
      </c>
      <c r="I5550" t="s">
        <v>108</v>
      </c>
      <c r="J5550">
        <v>1</v>
      </c>
      <c r="K5550">
        <v>84652.787400000001</v>
      </c>
      <c r="L5550">
        <v>82602.623208007033</v>
      </c>
      <c r="M5550">
        <v>93073.75013487415</v>
      </c>
      <c r="N5550">
        <v>97658.461833781199</v>
      </c>
      <c r="O5550">
        <v>99875.299811596895</v>
      </c>
      <c r="P5550">
        <v>102716.35252508939</v>
      </c>
      <c r="Q5550">
        <v>106863.67112483038</v>
      </c>
      <c r="R5550">
        <v>111399.79558773835</v>
      </c>
      <c r="S5550">
        <v>116199.08774661244</v>
      </c>
      <c r="T5550">
        <v>121504.19084233101</v>
      </c>
      <c r="U5550">
        <v>127151.17774497565</v>
      </c>
      <c r="V5550">
        <v>133218.09636635549</v>
      </c>
      <c r="W5550">
        <v>139690.15268743064</v>
      </c>
      <c r="X5550">
        <v>146624.32303577827</v>
      </c>
      <c r="Y5550">
        <v>154026.6094063994</v>
      </c>
      <c r="Z5550">
        <v>161987.94060971701</v>
      </c>
      <c r="AA5550">
        <v>170568.73267465527</v>
      </c>
      <c r="AB5550">
        <v>179854.75481182736</v>
      </c>
      <c r="AC5550">
        <v>189930.57558095537</v>
      </c>
      <c r="AD5550">
        <v>200449.89011050217</v>
      </c>
    </row>
    <row r="5551" spans="2:30" x14ac:dyDescent="0.25">
      <c r="B5551" t="s">
        <v>133</v>
      </c>
      <c r="C5551" t="s">
        <v>10598</v>
      </c>
      <c r="D5551" t="s">
        <v>5115</v>
      </c>
      <c r="E5551" t="s">
        <v>5116</v>
      </c>
      <c r="F5551" t="s">
        <v>10989</v>
      </c>
      <c r="G5551" t="s">
        <v>3890</v>
      </c>
      <c r="H5551" t="s">
        <v>109</v>
      </c>
      <c r="I5551" t="s">
        <v>108</v>
      </c>
      <c r="J5551">
        <v>1</v>
      </c>
      <c r="K5551">
        <v>1651.0930000000001</v>
      </c>
      <c r="L5551">
        <v>1545.134</v>
      </c>
      <c r="M5551">
        <v>1836.8230000000001</v>
      </c>
      <c r="N5551">
        <v>1975.171</v>
      </c>
      <c r="O5551">
        <v>2006.8579999999999</v>
      </c>
      <c r="P5551">
        <v>2038.454</v>
      </c>
      <c r="Q5551">
        <v>2090.7600000000002</v>
      </c>
      <c r="R5551">
        <v>2141.0300000000002</v>
      </c>
      <c r="S5551">
        <v>2188.41</v>
      </c>
      <c r="T5551">
        <v>2235.8040000000001</v>
      </c>
      <c r="U5551">
        <v>2278.1129999999998</v>
      </c>
      <c r="V5551">
        <v>2320.529</v>
      </c>
      <c r="W5551">
        <v>2363.0390000000002</v>
      </c>
      <c r="X5551">
        <v>2405.6320000000001</v>
      </c>
      <c r="Y5551">
        <v>2448.2950000000001</v>
      </c>
      <c r="Z5551">
        <v>2491.0169999999998</v>
      </c>
      <c r="AA5551">
        <v>2533.7860000000001</v>
      </c>
      <c r="AB5551">
        <v>2576.5909999999999</v>
      </c>
      <c r="AC5551">
        <v>2619.4189999999999</v>
      </c>
      <c r="AD5551">
        <v>2662.26</v>
      </c>
    </row>
    <row r="5552" spans="2:30" x14ac:dyDescent="0.25">
      <c r="B5552" t="s">
        <v>133</v>
      </c>
      <c r="C5552" t="s">
        <v>10598</v>
      </c>
      <c r="D5552" t="s">
        <v>5118</v>
      </c>
      <c r="E5552" t="s">
        <v>5119</v>
      </c>
      <c r="F5552" t="s">
        <v>10990</v>
      </c>
      <c r="G5552" t="s">
        <v>3890</v>
      </c>
      <c r="H5552" t="s">
        <v>109</v>
      </c>
      <c r="I5552" t="s">
        <v>108</v>
      </c>
      <c r="J5552">
        <v>1</v>
      </c>
      <c r="K5552">
        <v>42937.004999999997</v>
      </c>
      <c r="L5552">
        <v>39972.089</v>
      </c>
      <c r="M5552">
        <v>47160.224000000002</v>
      </c>
      <c r="N5552">
        <v>48233.159</v>
      </c>
      <c r="O5552">
        <v>47662.413</v>
      </c>
      <c r="P5552">
        <v>47791.322</v>
      </c>
      <c r="Q5552">
        <v>49278.682000000001</v>
      </c>
      <c r="R5552">
        <v>50899.313000000002</v>
      </c>
      <c r="S5552">
        <v>52357.773000000001</v>
      </c>
      <c r="T5552">
        <v>53867.593000000001</v>
      </c>
      <c r="U5552">
        <v>55466.71</v>
      </c>
      <c r="V5552">
        <v>57238.966</v>
      </c>
      <c r="W5552">
        <v>59179.911999999997</v>
      </c>
      <c r="X5552">
        <v>61338.946000000004</v>
      </c>
      <c r="Y5552">
        <v>63721.597999999998</v>
      </c>
      <c r="Z5552">
        <v>66384.604000000007</v>
      </c>
      <c r="AA5552">
        <v>69370.457999999999</v>
      </c>
      <c r="AB5552">
        <v>72742.524000000005</v>
      </c>
      <c r="AC5552">
        <v>76574.815000000002</v>
      </c>
      <c r="AD5552">
        <v>80432.479999999996</v>
      </c>
    </row>
    <row r="5553" spans="2:30" x14ac:dyDescent="0.25">
      <c r="B5553" t="s">
        <v>133</v>
      </c>
      <c r="C5553" t="s">
        <v>10598</v>
      </c>
      <c r="D5553" t="s">
        <v>5121</v>
      </c>
      <c r="E5553" t="s">
        <v>5122</v>
      </c>
      <c r="F5553" t="s">
        <v>10991</v>
      </c>
      <c r="G5553" t="s">
        <v>3890</v>
      </c>
      <c r="H5553" t="s">
        <v>109</v>
      </c>
      <c r="I5553" t="s">
        <v>108</v>
      </c>
      <c r="J5553">
        <v>1</v>
      </c>
      <c r="K5553">
        <v>7688.0550000000003</v>
      </c>
      <c r="L5553">
        <v>7378.8829999999998</v>
      </c>
      <c r="M5553">
        <v>7817.37</v>
      </c>
      <c r="N5553">
        <v>9960.232</v>
      </c>
      <c r="O5553">
        <v>9985.7199999999993</v>
      </c>
      <c r="P5553">
        <v>10027.691000000001</v>
      </c>
      <c r="Q5553">
        <v>10091.909</v>
      </c>
      <c r="R5553">
        <v>10158.418</v>
      </c>
      <c r="S5553">
        <v>10221.422</v>
      </c>
      <c r="T5553">
        <v>10290.624</v>
      </c>
      <c r="U5553">
        <v>10367.221</v>
      </c>
      <c r="V5553">
        <v>10451.206</v>
      </c>
      <c r="W5553">
        <v>10543.242</v>
      </c>
      <c r="X5553">
        <v>10643.495000000001</v>
      </c>
      <c r="Y5553">
        <v>10752.409</v>
      </c>
      <c r="Z5553">
        <v>10870.213</v>
      </c>
      <c r="AA5553">
        <v>10997.34</v>
      </c>
      <c r="AB5553">
        <v>11134.334000000001</v>
      </c>
      <c r="AC5553">
        <v>11281.462</v>
      </c>
      <c r="AD5553">
        <v>11439.184999999999</v>
      </c>
    </row>
    <row r="5554" spans="2:30" x14ac:dyDescent="0.25">
      <c r="B5554" t="s">
        <v>133</v>
      </c>
      <c r="C5554" t="s">
        <v>10598</v>
      </c>
      <c r="D5554" t="s">
        <v>5124</v>
      </c>
      <c r="E5554" t="s">
        <v>5125</v>
      </c>
      <c r="F5554" t="s">
        <v>10992</v>
      </c>
      <c r="G5554" t="s">
        <v>3890</v>
      </c>
      <c r="H5554" t="s">
        <v>109</v>
      </c>
      <c r="I5554" t="s">
        <v>108</v>
      </c>
      <c r="J5554">
        <v>1</v>
      </c>
      <c r="K5554">
        <v>7404.3140000000003</v>
      </c>
      <c r="L5554">
        <v>7147.93</v>
      </c>
      <c r="M5554">
        <v>7001.1750000000002</v>
      </c>
      <c r="N5554">
        <v>6753.6639999999998</v>
      </c>
      <c r="O5554">
        <v>6886.5370000000003</v>
      </c>
      <c r="P5554">
        <v>7548.8450000000003</v>
      </c>
      <c r="Q5554">
        <v>8264.5689999999995</v>
      </c>
      <c r="R5554">
        <v>9039.0759999999991</v>
      </c>
      <c r="S5554">
        <v>9962.8960000000006</v>
      </c>
      <c r="T5554">
        <v>11054.998</v>
      </c>
      <c r="U5554">
        <v>12234.905000000001</v>
      </c>
      <c r="V5554">
        <v>13496.28</v>
      </c>
      <c r="W5554">
        <v>14832.477999999999</v>
      </c>
      <c r="X5554">
        <v>16236.264999999999</v>
      </c>
      <c r="Y5554">
        <v>17698.236000000001</v>
      </c>
      <c r="Z5554">
        <v>19231.580999999998</v>
      </c>
      <c r="AA5554">
        <v>20833.865000000002</v>
      </c>
      <c r="AB5554">
        <v>22502.576000000001</v>
      </c>
      <c r="AC5554">
        <v>24236.007000000001</v>
      </c>
      <c r="AD5554">
        <v>26000.738000000001</v>
      </c>
    </row>
    <row r="5555" spans="2:30" x14ac:dyDescent="0.25">
      <c r="B5555" t="s">
        <v>133</v>
      </c>
      <c r="C5555" t="s">
        <v>10598</v>
      </c>
      <c r="D5555" t="s">
        <v>5127</v>
      </c>
      <c r="E5555" t="s">
        <v>5128</v>
      </c>
      <c r="F5555" t="s">
        <v>10993</v>
      </c>
      <c r="G5555" t="s">
        <v>3890</v>
      </c>
      <c r="H5555" t="s">
        <v>109</v>
      </c>
      <c r="I5555" t="s">
        <v>108</v>
      </c>
      <c r="J5555">
        <v>1</v>
      </c>
      <c r="K5555">
        <v>15214.834999999999</v>
      </c>
      <c r="L5555">
        <v>16168.272999999999</v>
      </c>
      <c r="M5555">
        <v>17468.254000000001</v>
      </c>
      <c r="N5555">
        <v>17210.601999999999</v>
      </c>
      <c r="O5555">
        <v>17931.196</v>
      </c>
      <c r="P5555">
        <v>19045.128000000001</v>
      </c>
      <c r="Q5555">
        <v>20275.215</v>
      </c>
      <c r="R5555">
        <v>21586.026999999998</v>
      </c>
      <c r="S5555">
        <v>23101.032999999999</v>
      </c>
      <c r="T5555">
        <v>24867.491999999998</v>
      </c>
      <c r="U5555">
        <v>26778.222000000002</v>
      </c>
      <c r="V5555">
        <v>28823.22</v>
      </c>
      <c r="W5555">
        <v>30976.742999999999</v>
      </c>
      <c r="X5555">
        <v>33242.675999999999</v>
      </c>
      <c r="Y5555">
        <v>35613.025999999998</v>
      </c>
      <c r="Z5555">
        <v>38098.741000000002</v>
      </c>
      <c r="AA5555">
        <v>40699.917000000001</v>
      </c>
      <c r="AB5555">
        <v>43420.819000000003</v>
      </c>
      <c r="AC5555">
        <v>46267.131999999998</v>
      </c>
      <c r="AD5555">
        <v>49230.773999999998</v>
      </c>
    </row>
    <row r="5556" spans="2:30" x14ac:dyDescent="0.25">
      <c r="B5556" t="s">
        <v>133</v>
      </c>
      <c r="C5556" t="s">
        <v>10598</v>
      </c>
      <c r="D5556" t="s">
        <v>5130</v>
      </c>
      <c r="E5556" t="s">
        <v>5131</v>
      </c>
      <c r="F5556" t="s">
        <v>10994</v>
      </c>
      <c r="G5556" t="s">
        <v>3890</v>
      </c>
      <c r="H5556" t="s">
        <v>109</v>
      </c>
      <c r="I5556" t="s">
        <v>108</v>
      </c>
      <c r="J5556">
        <v>1</v>
      </c>
      <c r="K5556">
        <v>5389.2640000000001</v>
      </c>
      <c r="L5556">
        <v>6059.357</v>
      </c>
      <c r="M5556">
        <v>7304.8469999999998</v>
      </c>
      <c r="N5556">
        <v>7485.0290000000005</v>
      </c>
      <c r="O5556">
        <v>7660.826</v>
      </c>
      <c r="P5556">
        <v>7867.7740000000003</v>
      </c>
      <c r="Q5556">
        <v>8112.866</v>
      </c>
      <c r="R5556">
        <v>8347.6450000000004</v>
      </c>
      <c r="S5556">
        <v>8567.366</v>
      </c>
      <c r="T5556">
        <v>8788.9699999999993</v>
      </c>
      <c r="U5556">
        <v>9013.2360000000008</v>
      </c>
      <c r="V5556">
        <v>9240.1190000000006</v>
      </c>
      <c r="W5556">
        <v>9469.5740000000005</v>
      </c>
      <c r="X5556">
        <v>9701.5529999999999</v>
      </c>
      <c r="Y5556">
        <v>9936.0069999999996</v>
      </c>
      <c r="Z5556">
        <v>10172.888000000001</v>
      </c>
      <c r="AA5556">
        <v>10412.143</v>
      </c>
      <c r="AB5556">
        <v>10653.721</v>
      </c>
      <c r="AC5556">
        <v>10897.566999999999</v>
      </c>
      <c r="AD5556">
        <v>11143.626</v>
      </c>
    </row>
    <row r="5557" spans="2:30" x14ac:dyDescent="0.25">
      <c r="B5557" t="s">
        <v>133</v>
      </c>
      <c r="C5557" t="s">
        <v>10598</v>
      </c>
      <c r="D5557" t="s">
        <v>5133</v>
      </c>
      <c r="E5557" t="s">
        <v>5134</v>
      </c>
      <c r="F5557" t="s">
        <v>10995</v>
      </c>
      <c r="G5557" t="s">
        <v>3890</v>
      </c>
      <c r="H5557" t="s">
        <v>109</v>
      </c>
      <c r="I5557" t="s">
        <v>108</v>
      </c>
      <c r="J5557">
        <v>1</v>
      </c>
      <c r="K5557">
        <v>659.322</v>
      </c>
      <c r="L5557">
        <v>771.90700000000004</v>
      </c>
      <c r="M5557">
        <v>857.73800000000006</v>
      </c>
      <c r="N5557">
        <v>889.11699999999996</v>
      </c>
      <c r="O5557">
        <v>920.298</v>
      </c>
      <c r="P5557">
        <v>957.94299999999998</v>
      </c>
      <c r="Q5557">
        <v>1003.823</v>
      </c>
      <c r="R5557">
        <v>1048.83</v>
      </c>
      <c r="S5557">
        <v>1091.8589999999999</v>
      </c>
      <c r="T5557">
        <v>1136.079</v>
      </c>
      <c r="U5557">
        <v>1181.4929999999999</v>
      </c>
      <c r="V5557">
        <v>1228.1030000000001</v>
      </c>
      <c r="W5557">
        <v>1275.9059999999999</v>
      </c>
      <c r="X5557">
        <v>1324.8989999999999</v>
      </c>
      <c r="Y5557">
        <v>1375.079</v>
      </c>
      <c r="Z5557">
        <v>1426.4359999999999</v>
      </c>
      <c r="AA5557">
        <v>1478.963</v>
      </c>
      <c r="AB5557">
        <v>1532.6469999999999</v>
      </c>
      <c r="AC5557">
        <v>1587.4749999999999</v>
      </c>
      <c r="AD5557">
        <v>1643.43</v>
      </c>
    </row>
    <row r="5558" spans="2:30" x14ac:dyDescent="0.25">
      <c r="B5558" t="s">
        <v>133</v>
      </c>
      <c r="C5558" t="s">
        <v>10598</v>
      </c>
      <c r="D5558" t="s">
        <v>5136</v>
      </c>
      <c r="E5558" t="s">
        <v>5137</v>
      </c>
      <c r="F5558" t="s">
        <v>10996</v>
      </c>
      <c r="G5558" t="s">
        <v>3890</v>
      </c>
      <c r="H5558" t="s">
        <v>109</v>
      </c>
      <c r="I5558" t="s">
        <v>108</v>
      </c>
      <c r="J5558">
        <v>1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</row>
    <row r="5559" spans="2:30" x14ac:dyDescent="0.25">
      <c r="B5559" t="s">
        <v>133</v>
      </c>
      <c r="C5559" t="s">
        <v>10598</v>
      </c>
      <c r="D5559" t="s">
        <v>5139</v>
      </c>
      <c r="E5559" t="s">
        <v>5140</v>
      </c>
      <c r="F5559" t="s">
        <v>10997</v>
      </c>
      <c r="G5559" t="s">
        <v>3890</v>
      </c>
      <c r="H5559" t="s">
        <v>109</v>
      </c>
      <c r="I5559" t="s">
        <v>108</v>
      </c>
      <c r="J5559">
        <v>1</v>
      </c>
      <c r="K5559">
        <v>2179.63</v>
      </c>
      <c r="L5559">
        <v>2352.3209999999999</v>
      </c>
      <c r="M5559">
        <v>2313.9140000000002</v>
      </c>
      <c r="N5559">
        <v>3842.66</v>
      </c>
      <c r="O5559">
        <v>5517.1859999999997</v>
      </c>
      <c r="P5559">
        <v>6139.4759999999997</v>
      </c>
      <c r="Q5559">
        <v>6450.6589999999997</v>
      </c>
      <c r="R5559">
        <v>6888.7790000000005</v>
      </c>
      <c r="S5559">
        <v>7422.152</v>
      </c>
      <c r="T5559">
        <v>7980.9359999999997</v>
      </c>
      <c r="U5559">
        <v>8554.0490000000009</v>
      </c>
      <c r="V5559">
        <v>9146.8970000000008</v>
      </c>
      <c r="W5559">
        <v>9780.9179999999997</v>
      </c>
      <c r="X5559">
        <v>10466.936</v>
      </c>
      <c r="Y5559">
        <v>11222.444</v>
      </c>
      <c r="Z5559">
        <v>12057.334000000001</v>
      </c>
      <c r="AA5559">
        <v>12991.509</v>
      </c>
      <c r="AB5559">
        <v>14045.151</v>
      </c>
      <c r="AC5559">
        <v>15224.648999999999</v>
      </c>
      <c r="AD5559">
        <v>16659.678</v>
      </c>
    </row>
    <row r="5560" spans="2:30" x14ac:dyDescent="0.25">
      <c r="B5560" t="s">
        <v>133</v>
      </c>
      <c r="C5560" t="s">
        <v>10598</v>
      </c>
      <c r="D5560" t="s">
        <v>5142</v>
      </c>
      <c r="E5560" t="s">
        <v>5143</v>
      </c>
      <c r="F5560" t="s">
        <v>10998</v>
      </c>
      <c r="G5560" t="s">
        <v>3890</v>
      </c>
      <c r="H5560" t="s">
        <v>109</v>
      </c>
      <c r="I5560" t="s">
        <v>108</v>
      </c>
      <c r="J5560">
        <v>1</v>
      </c>
      <c r="K5560">
        <v>1529.27</v>
      </c>
      <c r="L5560">
        <v>1206.73</v>
      </c>
      <c r="M5560">
        <v>1313.405</v>
      </c>
      <c r="N5560">
        <v>1308.827</v>
      </c>
      <c r="O5560">
        <v>1304.2660000000001</v>
      </c>
      <c r="P5560">
        <v>1299.72</v>
      </c>
      <c r="Q5560">
        <v>1295.19</v>
      </c>
      <c r="R5560">
        <v>1290.6759999999999</v>
      </c>
      <c r="S5560">
        <v>1286.1780000000001</v>
      </c>
      <c r="T5560">
        <v>1281.6949999999999</v>
      </c>
      <c r="U5560">
        <v>1277.2280000000001</v>
      </c>
      <c r="V5560">
        <v>1272.777</v>
      </c>
      <c r="W5560">
        <v>1268.3409999999999</v>
      </c>
      <c r="X5560">
        <v>1263.921</v>
      </c>
      <c r="Y5560">
        <v>1259.5160000000001</v>
      </c>
      <c r="Z5560">
        <v>1255.126</v>
      </c>
      <c r="AA5560">
        <v>1250.752</v>
      </c>
      <c r="AB5560">
        <v>1246.393</v>
      </c>
      <c r="AC5560">
        <v>1242.049</v>
      </c>
      <c r="AD5560">
        <v>1237.72</v>
      </c>
    </row>
    <row r="5561" spans="2:30" x14ac:dyDescent="0.25">
      <c r="B5561" t="s">
        <v>133</v>
      </c>
      <c r="C5561" t="s">
        <v>10598</v>
      </c>
      <c r="D5561" t="s">
        <v>5145</v>
      </c>
      <c r="E5561" t="s">
        <v>5146</v>
      </c>
      <c r="F5561" t="s">
        <v>10999</v>
      </c>
      <c r="G5561" t="s">
        <v>3890</v>
      </c>
      <c r="H5561" t="s">
        <v>109</v>
      </c>
      <c r="I5561" t="s">
        <v>108</v>
      </c>
      <c r="J5561">
        <v>2</v>
      </c>
      <c r="K5561">
        <v>84652.786999999997</v>
      </c>
      <c r="L5561">
        <v>82602.623000000007</v>
      </c>
      <c r="M5561">
        <v>93073.75</v>
      </c>
      <c r="N5561">
        <v>97658.462</v>
      </c>
      <c r="O5561">
        <v>99875.3</v>
      </c>
      <c r="P5561">
        <v>102690.04700000001</v>
      </c>
      <c r="Q5561">
        <v>106554.682</v>
      </c>
      <c r="R5561">
        <v>110609.818</v>
      </c>
      <c r="S5561">
        <v>115009.06200000001</v>
      </c>
      <c r="T5561">
        <v>119657.626</v>
      </c>
      <c r="U5561">
        <v>124944.003</v>
      </c>
      <c r="V5561">
        <v>130175.838</v>
      </c>
      <c r="W5561">
        <v>136343.15100000001</v>
      </c>
      <c r="X5561">
        <v>142291.614</v>
      </c>
      <c r="Y5561">
        <v>149443.29199999999</v>
      </c>
      <c r="Z5561">
        <v>157491.109</v>
      </c>
      <c r="AA5561">
        <v>165247.038</v>
      </c>
      <c r="AB5561">
        <v>175873.25200000001</v>
      </c>
      <c r="AC5561">
        <v>183302.274</v>
      </c>
      <c r="AD5561">
        <v>197203.63099999999</v>
      </c>
    </row>
    <row r="5562" spans="2:30" x14ac:dyDescent="0.25">
      <c r="B5562" t="s">
        <v>133</v>
      </c>
      <c r="C5562" t="s">
        <v>10598</v>
      </c>
      <c r="D5562" t="s">
        <v>5148</v>
      </c>
      <c r="E5562" t="s">
        <v>5149</v>
      </c>
      <c r="F5562" t="s">
        <v>11000</v>
      </c>
      <c r="G5562" t="s">
        <v>3890</v>
      </c>
      <c r="H5562" t="s">
        <v>109</v>
      </c>
      <c r="I5562" t="s">
        <v>108</v>
      </c>
      <c r="J5562">
        <v>2</v>
      </c>
      <c r="K5562">
        <v>1651.0930000000001</v>
      </c>
      <c r="L5562">
        <v>1545.134</v>
      </c>
      <c r="M5562">
        <v>1836.8230000000001</v>
      </c>
      <c r="N5562">
        <v>1975.171</v>
      </c>
      <c r="O5562">
        <v>2006.8579999999999</v>
      </c>
      <c r="P5562">
        <v>2026.4079999999999</v>
      </c>
      <c r="Q5562">
        <v>1955.184</v>
      </c>
      <c r="R5562">
        <v>2023.6469999999999</v>
      </c>
      <c r="S5562">
        <v>2073.5839999999998</v>
      </c>
      <c r="T5562">
        <v>2144.1669999999999</v>
      </c>
      <c r="U5562">
        <v>2197.6529999999998</v>
      </c>
      <c r="V5562">
        <v>2266.8580000000002</v>
      </c>
      <c r="W5562">
        <v>2331.96</v>
      </c>
      <c r="X5562">
        <v>2405.3009999999999</v>
      </c>
      <c r="Y5562">
        <v>2448.1590000000001</v>
      </c>
      <c r="Z5562">
        <v>2491.4079999999999</v>
      </c>
      <c r="AA5562">
        <v>2535.3310000000001</v>
      </c>
      <c r="AB5562">
        <v>2579.741</v>
      </c>
      <c r="AC5562">
        <v>2625.2350000000001</v>
      </c>
      <c r="AD5562">
        <v>2671.0479999999998</v>
      </c>
    </row>
    <row r="5563" spans="2:30" x14ac:dyDescent="0.25">
      <c r="B5563" t="s">
        <v>133</v>
      </c>
      <c r="C5563" t="s">
        <v>10598</v>
      </c>
      <c r="D5563" t="s">
        <v>5151</v>
      </c>
      <c r="E5563" t="s">
        <v>5152</v>
      </c>
      <c r="F5563" t="s">
        <v>11001</v>
      </c>
      <c r="G5563" t="s">
        <v>3890</v>
      </c>
      <c r="H5563" t="s">
        <v>109</v>
      </c>
      <c r="I5563" t="s">
        <v>108</v>
      </c>
      <c r="J5563">
        <v>2</v>
      </c>
      <c r="K5563">
        <v>42937.004999999997</v>
      </c>
      <c r="L5563">
        <v>39972.089</v>
      </c>
      <c r="M5563">
        <v>47160.224000000002</v>
      </c>
      <c r="N5563">
        <v>48233.159</v>
      </c>
      <c r="O5563">
        <v>47662.413</v>
      </c>
      <c r="P5563">
        <v>47777.061999999998</v>
      </c>
      <c r="Q5563">
        <v>49101.828999999998</v>
      </c>
      <c r="R5563">
        <v>50144.32</v>
      </c>
      <c r="S5563">
        <v>51211.275000000001</v>
      </c>
      <c r="T5563">
        <v>52027.493999999999</v>
      </c>
      <c r="U5563">
        <v>53310.243000000002</v>
      </c>
      <c r="V5563">
        <v>54181.968999999997</v>
      </c>
      <c r="W5563">
        <v>55858.025999999998</v>
      </c>
      <c r="X5563">
        <v>56904.837</v>
      </c>
      <c r="Y5563">
        <v>59078.654999999999</v>
      </c>
      <c r="Z5563">
        <v>61691.05</v>
      </c>
      <c r="AA5563">
        <v>63611.794999999998</v>
      </c>
      <c r="AB5563">
        <v>68281.623999999996</v>
      </c>
      <c r="AC5563">
        <v>68730.48</v>
      </c>
      <c r="AD5563">
        <v>76321.388999999996</v>
      </c>
    </row>
    <row r="5564" spans="2:30" x14ac:dyDescent="0.25">
      <c r="B5564" t="s">
        <v>133</v>
      </c>
      <c r="C5564" t="s">
        <v>10598</v>
      </c>
      <c r="D5564" t="s">
        <v>5154</v>
      </c>
      <c r="E5564" t="s">
        <v>5155</v>
      </c>
      <c r="F5564" t="s">
        <v>11002</v>
      </c>
      <c r="G5564" t="s">
        <v>3890</v>
      </c>
      <c r="H5564" t="s">
        <v>109</v>
      </c>
      <c r="I5564" t="s">
        <v>108</v>
      </c>
      <c r="J5564">
        <v>2</v>
      </c>
      <c r="K5564">
        <v>7688.0550000000003</v>
      </c>
      <c r="L5564">
        <v>7378.8829999999998</v>
      </c>
      <c r="M5564">
        <v>7817.37</v>
      </c>
      <c r="N5564">
        <v>9960.232</v>
      </c>
      <c r="O5564">
        <v>9985.7199999999993</v>
      </c>
      <c r="P5564">
        <v>10027.691000000001</v>
      </c>
      <c r="Q5564">
        <v>10091.271000000001</v>
      </c>
      <c r="R5564">
        <v>10150.694</v>
      </c>
      <c r="S5564">
        <v>10205.929</v>
      </c>
      <c r="T5564">
        <v>10270.347</v>
      </c>
      <c r="U5564">
        <v>10343.030000000001</v>
      </c>
      <c r="V5564">
        <v>10430.592000000001</v>
      </c>
      <c r="W5564">
        <v>10526.434999999999</v>
      </c>
      <c r="X5564">
        <v>10645.982</v>
      </c>
      <c r="Y5564">
        <v>10773.612999999999</v>
      </c>
      <c r="Z5564">
        <v>10919.74</v>
      </c>
      <c r="AA5564">
        <v>11094.76</v>
      </c>
      <c r="AB5564">
        <v>11256.894</v>
      </c>
      <c r="AC5564">
        <v>11490.505999999999</v>
      </c>
      <c r="AD5564">
        <v>11658.891</v>
      </c>
    </row>
    <row r="5565" spans="2:30" x14ac:dyDescent="0.25">
      <c r="B5565" t="s">
        <v>133</v>
      </c>
      <c r="C5565" t="s">
        <v>10598</v>
      </c>
      <c r="D5565" t="s">
        <v>5157</v>
      </c>
      <c r="E5565" t="s">
        <v>5158</v>
      </c>
      <c r="F5565" t="s">
        <v>11003</v>
      </c>
      <c r="G5565" t="s">
        <v>3890</v>
      </c>
      <c r="H5565" t="s">
        <v>109</v>
      </c>
      <c r="I5565" t="s">
        <v>108</v>
      </c>
      <c r="J5565">
        <v>2</v>
      </c>
      <c r="K5565">
        <v>7404.3140000000003</v>
      </c>
      <c r="L5565">
        <v>7147.93</v>
      </c>
      <c r="M5565">
        <v>7001.1750000000002</v>
      </c>
      <c r="N5565">
        <v>6753.6639999999998</v>
      </c>
      <c r="O5565">
        <v>6886.5370000000003</v>
      </c>
      <c r="P5565">
        <v>7548.8450000000003</v>
      </c>
      <c r="Q5565">
        <v>8264.5689999999995</v>
      </c>
      <c r="R5565">
        <v>9039.0769999999993</v>
      </c>
      <c r="S5565">
        <v>9962.9480000000003</v>
      </c>
      <c r="T5565">
        <v>11055.25</v>
      </c>
      <c r="U5565">
        <v>12235.745999999999</v>
      </c>
      <c r="V5565">
        <v>13498.297</v>
      </c>
      <c r="W5565">
        <v>14836.707</v>
      </c>
      <c r="X5565">
        <v>16243.789000000001</v>
      </c>
      <c r="Y5565">
        <v>17710.778999999999</v>
      </c>
      <c r="Z5565">
        <v>19250.39</v>
      </c>
      <c r="AA5565">
        <v>20859.677</v>
      </c>
      <c r="AB5565">
        <v>22536.897000000001</v>
      </c>
      <c r="AC5565">
        <v>24278.116000000002</v>
      </c>
      <c r="AD5565">
        <v>26053.379000000001</v>
      </c>
    </row>
    <row r="5566" spans="2:30" x14ac:dyDescent="0.25">
      <c r="B5566" t="s">
        <v>133</v>
      </c>
      <c r="C5566" t="s">
        <v>10598</v>
      </c>
      <c r="D5566" t="s">
        <v>5160</v>
      </c>
      <c r="E5566" t="s">
        <v>5161</v>
      </c>
      <c r="F5566" t="s">
        <v>11004</v>
      </c>
      <c r="G5566" t="s">
        <v>3890</v>
      </c>
      <c r="H5566" t="s">
        <v>109</v>
      </c>
      <c r="I5566" t="s">
        <v>108</v>
      </c>
      <c r="J5566">
        <v>2</v>
      </c>
      <c r="K5566">
        <v>15214.834999999999</v>
      </c>
      <c r="L5566">
        <v>16168.272999999999</v>
      </c>
      <c r="M5566">
        <v>17468.254000000001</v>
      </c>
      <c r="N5566">
        <v>17210.601999999999</v>
      </c>
      <c r="O5566">
        <v>17931.196</v>
      </c>
      <c r="P5566">
        <v>19045.128000000001</v>
      </c>
      <c r="Q5566">
        <v>20275.215</v>
      </c>
      <c r="R5566">
        <v>21586.156999999999</v>
      </c>
      <c r="S5566">
        <v>23101.177</v>
      </c>
      <c r="T5566">
        <v>24867.7</v>
      </c>
      <c r="U5566">
        <v>26778.668000000001</v>
      </c>
      <c r="V5566">
        <v>28824.977999999999</v>
      </c>
      <c r="W5566">
        <v>30982.481</v>
      </c>
      <c r="X5566">
        <v>33255.902999999998</v>
      </c>
      <c r="Y5566">
        <v>35638.803</v>
      </c>
      <c r="Z5566">
        <v>38142.021999999997</v>
      </c>
      <c r="AA5566">
        <v>40765.275000000001</v>
      </c>
      <c r="AB5566">
        <v>43513.741000000002</v>
      </c>
      <c r="AC5566">
        <v>46390.072999999997</v>
      </c>
      <c r="AD5566">
        <v>49391.978999999999</v>
      </c>
    </row>
    <row r="5567" spans="2:30" x14ac:dyDescent="0.25">
      <c r="B5567" t="s">
        <v>133</v>
      </c>
      <c r="C5567" t="s">
        <v>10598</v>
      </c>
      <c r="D5567" t="s">
        <v>5163</v>
      </c>
      <c r="E5567" t="s">
        <v>5164</v>
      </c>
      <c r="F5567" t="s">
        <v>11005</v>
      </c>
      <c r="G5567" t="s">
        <v>3890</v>
      </c>
      <c r="H5567" t="s">
        <v>109</v>
      </c>
      <c r="I5567" t="s">
        <v>108</v>
      </c>
      <c r="J5567">
        <v>2</v>
      </c>
      <c r="K5567">
        <v>5389.2640000000001</v>
      </c>
      <c r="L5567">
        <v>6059.357</v>
      </c>
      <c r="M5567">
        <v>7304.8469999999998</v>
      </c>
      <c r="N5567">
        <v>7485.0290000000005</v>
      </c>
      <c r="O5567">
        <v>7660.826</v>
      </c>
      <c r="P5567">
        <v>7867.7740000000003</v>
      </c>
      <c r="Q5567">
        <v>8112.8670000000002</v>
      </c>
      <c r="R5567">
        <v>8347.8140000000003</v>
      </c>
      <c r="S5567">
        <v>8567.5049999999992</v>
      </c>
      <c r="T5567">
        <v>8788.9480000000003</v>
      </c>
      <c r="U5567">
        <v>9012.5969999999998</v>
      </c>
      <c r="V5567">
        <v>9238.8379999999997</v>
      </c>
      <c r="W5567">
        <v>9467.6440000000002</v>
      </c>
      <c r="X5567">
        <v>9699.8359999999993</v>
      </c>
      <c r="Y5567">
        <v>9935.2950000000001</v>
      </c>
      <c r="Z5567">
        <v>10174.947</v>
      </c>
      <c r="AA5567">
        <v>10420.349</v>
      </c>
      <c r="AB5567">
        <v>10670.584999999999</v>
      </c>
      <c r="AC5567">
        <v>10928.946</v>
      </c>
      <c r="AD5567">
        <v>11191.406999999999</v>
      </c>
    </row>
    <row r="5568" spans="2:30" x14ac:dyDescent="0.25">
      <c r="B5568" t="s">
        <v>133</v>
      </c>
      <c r="C5568" t="s">
        <v>10598</v>
      </c>
      <c r="D5568" t="s">
        <v>5166</v>
      </c>
      <c r="E5568" t="s">
        <v>5167</v>
      </c>
      <c r="F5568" t="s">
        <v>11006</v>
      </c>
      <c r="G5568" t="s">
        <v>3890</v>
      </c>
      <c r="H5568" t="s">
        <v>109</v>
      </c>
      <c r="I5568" t="s">
        <v>108</v>
      </c>
      <c r="J5568">
        <v>2</v>
      </c>
      <c r="K5568">
        <v>659.322</v>
      </c>
      <c r="L5568">
        <v>771.90700000000004</v>
      </c>
      <c r="M5568">
        <v>857.73800000000006</v>
      </c>
      <c r="N5568">
        <v>889.11699999999996</v>
      </c>
      <c r="O5568">
        <v>920.298</v>
      </c>
      <c r="P5568">
        <v>957.94299999999998</v>
      </c>
      <c r="Q5568">
        <v>1003.823</v>
      </c>
      <c r="R5568">
        <v>1048.864</v>
      </c>
      <c r="S5568">
        <v>1091.8879999999999</v>
      </c>
      <c r="T5568">
        <v>1136.0740000000001</v>
      </c>
      <c r="U5568">
        <v>1181.357</v>
      </c>
      <c r="V5568">
        <v>1227.8240000000001</v>
      </c>
      <c r="W5568">
        <v>1275.48</v>
      </c>
      <c r="X5568">
        <v>1324.5129999999999</v>
      </c>
      <c r="Y5568">
        <v>1374.914</v>
      </c>
      <c r="Z5568">
        <v>1426.905</v>
      </c>
      <c r="AA5568">
        <v>1480.867</v>
      </c>
      <c r="AB5568">
        <v>1536.623</v>
      </c>
      <c r="AC5568">
        <v>1594.97</v>
      </c>
      <c r="AD5568">
        <v>1655.0029999999999</v>
      </c>
    </row>
    <row r="5569" spans="2:30" x14ac:dyDescent="0.25">
      <c r="B5569" t="s">
        <v>133</v>
      </c>
      <c r="C5569" t="s">
        <v>10598</v>
      </c>
      <c r="D5569" t="s">
        <v>5169</v>
      </c>
      <c r="E5569" t="s">
        <v>5170</v>
      </c>
      <c r="F5569" t="s">
        <v>11007</v>
      </c>
      <c r="G5569" t="s">
        <v>3890</v>
      </c>
      <c r="H5569" t="s">
        <v>109</v>
      </c>
      <c r="I5569" t="s">
        <v>108</v>
      </c>
      <c r="J5569">
        <v>2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</row>
    <row r="5570" spans="2:30" x14ac:dyDescent="0.25">
      <c r="B5570" t="s">
        <v>133</v>
      </c>
      <c r="C5570" t="s">
        <v>10598</v>
      </c>
      <c r="D5570" t="s">
        <v>5172</v>
      </c>
      <c r="E5570" t="s">
        <v>5173</v>
      </c>
      <c r="F5570" t="s">
        <v>11008</v>
      </c>
      <c r="G5570" t="s">
        <v>3890</v>
      </c>
      <c r="H5570" t="s">
        <v>109</v>
      </c>
      <c r="I5570" t="s">
        <v>108</v>
      </c>
      <c r="J5570">
        <v>2</v>
      </c>
      <c r="K5570">
        <v>2179.63</v>
      </c>
      <c r="L5570">
        <v>2352.3209999999999</v>
      </c>
      <c r="M5570">
        <v>2313.9140000000002</v>
      </c>
      <c r="N5570">
        <v>3842.66</v>
      </c>
      <c r="O5570">
        <v>5517.1859999999997</v>
      </c>
      <c r="P5570">
        <v>6139.4759999999997</v>
      </c>
      <c r="Q5570">
        <v>6454.7340000000004</v>
      </c>
      <c r="R5570">
        <v>6978.5690000000004</v>
      </c>
      <c r="S5570">
        <v>7508.5780000000004</v>
      </c>
      <c r="T5570">
        <v>8085.951</v>
      </c>
      <c r="U5570">
        <v>8607.4809999999998</v>
      </c>
      <c r="V5570">
        <v>9233.7049999999999</v>
      </c>
      <c r="W5570">
        <v>9796.0769999999993</v>
      </c>
      <c r="X5570">
        <v>10547.531999999999</v>
      </c>
      <c r="Y5570">
        <v>11223.558000000001</v>
      </c>
      <c r="Z5570">
        <v>12139.521000000001</v>
      </c>
      <c r="AA5570">
        <v>13228.232</v>
      </c>
      <c r="AB5570">
        <v>14250.754000000001</v>
      </c>
      <c r="AC5570">
        <v>16021.898999999999</v>
      </c>
      <c r="AD5570">
        <v>17022.814999999999</v>
      </c>
    </row>
    <row r="5571" spans="2:30" x14ac:dyDescent="0.25">
      <c r="B5571" t="s">
        <v>133</v>
      </c>
      <c r="C5571" t="s">
        <v>10598</v>
      </c>
      <c r="D5571" t="s">
        <v>5175</v>
      </c>
      <c r="E5571" t="s">
        <v>5176</v>
      </c>
      <c r="F5571" t="s">
        <v>11009</v>
      </c>
      <c r="G5571" t="s">
        <v>3890</v>
      </c>
      <c r="H5571" t="s">
        <v>109</v>
      </c>
      <c r="I5571" t="s">
        <v>108</v>
      </c>
      <c r="J5571">
        <v>2</v>
      </c>
      <c r="K5571">
        <v>1529.27</v>
      </c>
      <c r="L5571">
        <v>1206.73</v>
      </c>
      <c r="M5571">
        <v>1313.405</v>
      </c>
      <c r="N5571">
        <v>1308.827</v>
      </c>
      <c r="O5571">
        <v>1304.2660000000001</v>
      </c>
      <c r="P5571">
        <v>1299.72</v>
      </c>
      <c r="Q5571">
        <v>1295.19</v>
      </c>
      <c r="R5571">
        <v>1290.6759999999999</v>
      </c>
      <c r="S5571">
        <v>1286.1780000000001</v>
      </c>
      <c r="T5571">
        <v>1281.6949999999999</v>
      </c>
      <c r="U5571">
        <v>1277.2280000000001</v>
      </c>
      <c r="V5571">
        <v>1272.777</v>
      </c>
      <c r="W5571">
        <v>1268.3409999999999</v>
      </c>
      <c r="X5571">
        <v>1263.921</v>
      </c>
      <c r="Y5571">
        <v>1259.5160000000001</v>
      </c>
      <c r="Z5571">
        <v>1255.126</v>
      </c>
      <c r="AA5571">
        <v>1250.752</v>
      </c>
      <c r="AB5571">
        <v>1246.393</v>
      </c>
      <c r="AC5571">
        <v>1242.049</v>
      </c>
      <c r="AD5571">
        <v>1237.72</v>
      </c>
    </row>
    <row r="5572" spans="2:30" x14ac:dyDescent="0.25">
      <c r="B5572" t="s">
        <v>133</v>
      </c>
      <c r="C5572" t="s">
        <v>10598</v>
      </c>
      <c r="D5572" t="s">
        <v>5178</v>
      </c>
      <c r="E5572" t="s">
        <v>5116</v>
      </c>
      <c r="F5572" t="s">
        <v>10989</v>
      </c>
      <c r="G5572" t="s">
        <v>3890</v>
      </c>
      <c r="H5572" t="s">
        <v>109</v>
      </c>
      <c r="I5572" t="s">
        <v>108</v>
      </c>
      <c r="J5572">
        <v>1</v>
      </c>
      <c r="K5572">
        <v>1651.0930000000001</v>
      </c>
      <c r="L5572">
        <v>1545.134</v>
      </c>
      <c r="M5572">
        <v>1836.8230000000001</v>
      </c>
      <c r="N5572">
        <v>1975.171</v>
      </c>
      <c r="O5572">
        <v>2006.8579999999999</v>
      </c>
      <c r="P5572">
        <v>2038.454</v>
      </c>
      <c r="Q5572">
        <v>2090.7600000000002</v>
      </c>
      <c r="R5572">
        <v>2141.0300000000002</v>
      </c>
      <c r="S5572">
        <v>2188.41</v>
      </c>
      <c r="T5572">
        <v>2235.8040000000001</v>
      </c>
      <c r="U5572">
        <v>2278.1129999999998</v>
      </c>
      <c r="V5572">
        <v>2320.529</v>
      </c>
      <c r="W5572">
        <v>2363.0390000000002</v>
      </c>
      <c r="X5572">
        <v>2405.6320000000001</v>
      </c>
      <c r="Y5572">
        <v>2448.2950000000001</v>
      </c>
      <c r="Z5572">
        <v>2491.0169999999998</v>
      </c>
      <c r="AA5572">
        <v>2533.7860000000001</v>
      </c>
      <c r="AB5572">
        <v>2576.5909999999999</v>
      </c>
      <c r="AC5572">
        <v>2619.4189999999999</v>
      </c>
      <c r="AD5572">
        <v>2662.26</v>
      </c>
    </row>
    <row r="5573" spans="2:30" x14ac:dyDescent="0.25">
      <c r="B5573" t="s">
        <v>133</v>
      </c>
      <c r="C5573" t="s">
        <v>10598</v>
      </c>
      <c r="D5573" t="s">
        <v>5179</v>
      </c>
      <c r="E5573" t="s">
        <v>5180</v>
      </c>
      <c r="F5573" t="s">
        <v>11010</v>
      </c>
      <c r="G5573" t="s">
        <v>3890</v>
      </c>
      <c r="H5573" t="s">
        <v>109</v>
      </c>
      <c r="I5573" t="s">
        <v>108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</row>
    <row r="5574" spans="2:30" x14ac:dyDescent="0.25">
      <c r="B5574" t="s">
        <v>133</v>
      </c>
      <c r="C5574" t="s">
        <v>10598</v>
      </c>
      <c r="D5574" t="s">
        <v>5182</v>
      </c>
      <c r="E5574" t="s">
        <v>5183</v>
      </c>
      <c r="F5574" t="s">
        <v>11011</v>
      </c>
      <c r="G5574" t="s">
        <v>3890</v>
      </c>
      <c r="H5574" t="s">
        <v>109</v>
      </c>
      <c r="I5574" t="s">
        <v>108</v>
      </c>
      <c r="J5574">
        <v>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</row>
    <row r="5575" spans="2:30" x14ac:dyDescent="0.25">
      <c r="B5575" t="s">
        <v>133</v>
      </c>
      <c r="C5575" t="s">
        <v>10598</v>
      </c>
      <c r="D5575" t="s">
        <v>5185</v>
      </c>
      <c r="E5575" t="s">
        <v>5186</v>
      </c>
      <c r="F5575" t="s">
        <v>11012</v>
      </c>
      <c r="G5575" t="s">
        <v>3890</v>
      </c>
      <c r="H5575" t="s">
        <v>109</v>
      </c>
      <c r="I5575" t="s">
        <v>108</v>
      </c>
      <c r="J5575">
        <v>1</v>
      </c>
      <c r="K5575">
        <v>1.6379999999999999</v>
      </c>
      <c r="L5575">
        <v>1.6379999999999999</v>
      </c>
      <c r="M5575">
        <v>1.8740000000000001</v>
      </c>
      <c r="N5575">
        <v>1.978</v>
      </c>
      <c r="O5575">
        <v>1.994</v>
      </c>
      <c r="P5575">
        <v>2.008</v>
      </c>
      <c r="Q5575">
        <v>2.0369999999999999</v>
      </c>
      <c r="R5575">
        <v>2.0640000000000001</v>
      </c>
      <c r="S5575">
        <v>2.09</v>
      </c>
      <c r="T5575">
        <v>2.1150000000000002</v>
      </c>
      <c r="U5575">
        <v>2.1360000000000001</v>
      </c>
      <c r="V5575">
        <v>2.157</v>
      </c>
      <c r="W5575">
        <v>2.177</v>
      </c>
      <c r="X5575">
        <v>2.198</v>
      </c>
      <c r="Y5575">
        <v>2.218</v>
      </c>
      <c r="Z5575">
        <v>2.238</v>
      </c>
      <c r="AA5575">
        <v>2.258</v>
      </c>
      <c r="AB5575">
        <v>2.2770000000000001</v>
      </c>
      <c r="AC5575">
        <v>2.2970000000000002</v>
      </c>
      <c r="AD5575">
        <v>2.3159999999999998</v>
      </c>
    </row>
    <row r="5576" spans="2:30" x14ac:dyDescent="0.25">
      <c r="B5576" t="s">
        <v>133</v>
      </c>
      <c r="C5576" t="s">
        <v>10598</v>
      </c>
      <c r="D5576" t="s">
        <v>5188</v>
      </c>
      <c r="E5576" t="s">
        <v>5189</v>
      </c>
      <c r="F5576" t="s">
        <v>11013</v>
      </c>
      <c r="G5576" t="s">
        <v>3890</v>
      </c>
      <c r="H5576" t="s">
        <v>109</v>
      </c>
      <c r="I5576" t="s">
        <v>108</v>
      </c>
      <c r="J5576">
        <v>1</v>
      </c>
      <c r="K5576">
        <v>1649.4549999999999</v>
      </c>
      <c r="L5576">
        <v>1543.4960000000001</v>
      </c>
      <c r="M5576">
        <v>1834.9490000000001</v>
      </c>
      <c r="N5576">
        <v>1973.192</v>
      </c>
      <c r="O5576">
        <v>2004.864</v>
      </c>
      <c r="P5576">
        <v>2036.4459999999999</v>
      </c>
      <c r="Q5576">
        <v>2088.723</v>
      </c>
      <c r="R5576">
        <v>2138.9659999999999</v>
      </c>
      <c r="S5576">
        <v>2186.3200000000002</v>
      </c>
      <c r="T5576">
        <v>2233.6889999999999</v>
      </c>
      <c r="U5576">
        <v>2275.9769999999999</v>
      </c>
      <c r="V5576">
        <v>2318.3719999999998</v>
      </c>
      <c r="W5576">
        <v>2360.8620000000001</v>
      </c>
      <c r="X5576">
        <v>2403.4340000000002</v>
      </c>
      <c r="Y5576">
        <v>2446.0770000000002</v>
      </c>
      <c r="Z5576">
        <v>2488.779</v>
      </c>
      <c r="AA5576">
        <v>2531.529</v>
      </c>
      <c r="AB5576">
        <v>2574.3130000000001</v>
      </c>
      <c r="AC5576">
        <v>2617.1219999999998</v>
      </c>
      <c r="AD5576">
        <v>2659.944</v>
      </c>
    </row>
    <row r="5577" spans="2:30" x14ac:dyDescent="0.25">
      <c r="B5577" t="s">
        <v>133</v>
      </c>
      <c r="C5577" t="s">
        <v>10598</v>
      </c>
      <c r="D5577" t="s">
        <v>5191</v>
      </c>
      <c r="E5577" t="s">
        <v>5192</v>
      </c>
      <c r="F5577" t="s">
        <v>11014</v>
      </c>
      <c r="G5577" t="s">
        <v>3890</v>
      </c>
      <c r="H5577" t="s">
        <v>109</v>
      </c>
      <c r="I5577" t="s">
        <v>108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</row>
    <row r="5578" spans="2:30" x14ac:dyDescent="0.25">
      <c r="B5578" t="s">
        <v>133</v>
      </c>
      <c r="C5578" t="s">
        <v>10598</v>
      </c>
      <c r="D5578" t="s">
        <v>5194</v>
      </c>
      <c r="E5578" t="s">
        <v>5119</v>
      </c>
      <c r="F5578" t="s">
        <v>10990</v>
      </c>
      <c r="G5578" t="s">
        <v>3890</v>
      </c>
      <c r="H5578" t="s">
        <v>109</v>
      </c>
      <c r="I5578" t="s">
        <v>108</v>
      </c>
      <c r="J5578">
        <v>1</v>
      </c>
      <c r="K5578">
        <v>42937.004999999997</v>
      </c>
      <c r="L5578">
        <v>39972.089</v>
      </c>
      <c r="M5578">
        <v>47160.224000000002</v>
      </c>
      <c r="N5578">
        <v>48233.159</v>
      </c>
      <c r="O5578">
        <v>47662.413</v>
      </c>
      <c r="P5578">
        <v>47791.322</v>
      </c>
      <c r="Q5578">
        <v>49278.682000000001</v>
      </c>
      <c r="R5578">
        <v>50899.313000000002</v>
      </c>
      <c r="S5578">
        <v>52357.773000000001</v>
      </c>
      <c r="T5578">
        <v>53867.593000000001</v>
      </c>
      <c r="U5578">
        <v>55466.71</v>
      </c>
      <c r="V5578">
        <v>57238.966</v>
      </c>
      <c r="W5578">
        <v>59179.911999999997</v>
      </c>
      <c r="X5578">
        <v>61338.946000000004</v>
      </c>
      <c r="Y5578">
        <v>63721.597999999998</v>
      </c>
      <c r="Z5578">
        <v>66384.604000000007</v>
      </c>
      <c r="AA5578">
        <v>69370.457999999999</v>
      </c>
      <c r="AB5578">
        <v>72742.524000000005</v>
      </c>
      <c r="AC5578">
        <v>76574.815000000002</v>
      </c>
      <c r="AD5578">
        <v>80432.479999999996</v>
      </c>
    </row>
    <row r="5579" spans="2:30" x14ac:dyDescent="0.25">
      <c r="B5579" t="s">
        <v>133</v>
      </c>
      <c r="C5579" t="s">
        <v>10598</v>
      </c>
      <c r="D5579" t="s">
        <v>5195</v>
      </c>
      <c r="E5579" t="s">
        <v>5196</v>
      </c>
      <c r="F5579" t="s">
        <v>11015</v>
      </c>
      <c r="G5579" t="s">
        <v>3890</v>
      </c>
      <c r="H5579" t="s">
        <v>109</v>
      </c>
      <c r="I5579" t="s">
        <v>108</v>
      </c>
      <c r="J5579">
        <v>1</v>
      </c>
      <c r="K5579">
        <v>29443.696</v>
      </c>
      <c r="L5579">
        <v>28005.066999999999</v>
      </c>
      <c r="M5579">
        <v>33518.292000000001</v>
      </c>
      <c r="N5579">
        <v>34175.911</v>
      </c>
      <c r="O5579">
        <v>33169.455999999998</v>
      </c>
      <c r="P5579">
        <v>32743.57</v>
      </c>
      <c r="Q5579">
        <v>33568.620000000003</v>
      </c>
      <c r="R5579">
        <v>34541.167000000001</v>
      </c>
      <c r="S5579">
        <v>35373.313000000002</v>
      </c>
      <c r="T5579">
        <v>36233.796999999999</v>
      </c>
      <c r="U5579">
        <v>37163.767</v>
      </c>
      <c r="V5579">
        <v>38247.43</v>
      </c>
      <c r="W5579">
        <v>39480.813999999998</v>
      </c>
      <c r="X5579">
        <v>40913.796999999999</v>
      </c>
      <c r="Y5579">
        <v>42552.561999999998</v>
      </c>
      <c r="Z5579">
        <v>44452.915000000001</v>
      </c>
      <c r="AA5579">
        <v>46657.525999999998</v>
      </c>
      <c r="AB5579">
        <v>49229.945</v>
      </c>
      <c r="AC5579">
        <v>52244.328999999998</v>
      </c>
      <c r="AD5579">
        <v>55268.156000000003</v>
      </c>
    </row>
    <row r="5580" spans="2:30" x14ac:dyDescent="0.25">
      <c r="B5580" t="s">
        <v>133</v>
      </c>
      <c r="C5580" t="s">
        <v>10598</v>
      </c>
      <c r="D5580" t="s">
        <v>5198</v>
      </c>
      <c r="E5580" t="s">
        <v>5199</v>
      </c>
      <c r="F5580" t="s">
        <v>11016</v>
      </c>
      <c r="G5580" t="s">
        <v>3890</v>
      </c>
      <c r="H5580" t="s">
        <v>109</v>
      </c>
      <c r="I5580" t="s">
        <v>108</v>
      </c>
      <c r="J5580">
        <v>1</v>
      </c>
      <c r="K5580">
        <v>495.238</v>
      </c>
      <c r="L5580">
        <v>484.52</v>
      </c>
      <c r="M5580">
        <v>472.24900000000002</v>
      </c>
      <c r="N5580">
        <v>454.66399999999999</v>
      </c>
      <c r="O5580">
        <v>463.9</v>
      </c>
      <c r="P5580">
        <v>509.44099999999997</v>
      </c>
      <c r="Q5580">
        <v>559.21799999999996</v>
      </c>
      <c r="R5580">
        <v>613.43499999999995</v>
      </c>
      <c r="S5580">
        <v>678.10400000000004</v>
      </c>
      <c r="T5580">
        <v>754.60400000000004</v>
      </c>
      <c r="U5580">
        <v>837.58299999999997</v>
      </c>
      <c r="V5580">
        <v>926.67499999999995</v>
      </c>
      <c r="W5580">
        <v>1021.414</v>
      </c>
      <c r="X5580">
        <v>1121.3399999999999</v>
      </c>
      <c r="Y5580">
        <v>1225.8320000000001</v>
      </c>
      <c r="Z5580">
        <v>1335.8589999999999</v>
      </c>
      <c r="AA5580">
        <v>1451.3009999999999</v>
      </c>
      <c r="AB5580">
        <v>1572.0319999999999</v>
      </c>
      <c r="AC5580">
        <v>1697.9849999999999</v>
      </c>
      <c r="AD5580">
        <v>1826.915</v>
      </c>
    </row>
    <row r="5581" spans="2:30" x14ac:dyDescent="0.25">
      <c r="B5581" t="s">
        <v>133</v>
      </c>
      <c r="C5581" t="s">
        <v>10598</v>
      </c>
      <c r="D5581" t="s">
        <v>5201</v>
      </c>
      <c r="E5581" t="s">
        <v>5202</v>
      </c>
      <c r="F5581" t="s">
        <v>11017</v>
      </c>
      <c r="G5581" t="s">
        <v>3890</v>
      </c>
      <c r="H5581" t="s">
        <v>109</v>
      </c>
      <c r="I5581" t="s">
        <v>108</v>
      </c>
      <c r="J5581">
        <v>1</v>
      </c>
      <c r="K5581">
        <v>1921.182</v>
      </c>
      <c r="L5581">
        <v>1978.2729999999999</v>
      </c>
      <c r="M5581">
        <v>2706.33</v>
      </c>
      <c r="N5581">
        <v>2725.7469999999998</v>
      </c>
      <c r="O5581">
        <v>2743.748</v>
      </c>
      <c r="P5581">
        <v>2766.3090000000002</v>
      </c>
      <c r="Q5581">
        <v>2794.2820000000002</v>
      </c>
      <c r="R5581">
        <v>2819.5949999999998</v>
      </c>
      <c r="S5581">
        <v>2841.6509999999998</v>
      </c>
      <c r="T5581">
        <v>2863.2159999999999</v>
      </c>
      <c r="U5581">
        <v>2884.4180000000001</v>
      </c>
      <c r="V5581">
        <v>2905.2550000000001</v>
      </c>
      <c r="W5581">
        <v>2925.7260000000001</v>
      </c>
      <c r="X5581">
        <v>2945.8290000000002</v>
      </c>
      <c r="Y5581">
        <v>2965.5630000000001</v>
      </c>
      <c r="Z5581">
        <v>2984.9279999999999</v>
      </c>
      <c r="AA5581">
        <v>3003.922</v>
      </c>
      <c r="AB5581">
        <v>3022.5450000000001</v>
      </c>
      <c r="AC5581">
        <v>3040.7950000000001</v>
      </c>
      <c r="AD5581">
        <v>3058.674</v>
      </c>
    </row>
    <row r="5582" spans="2:30" x14ac:dyDescent="0.25">
      <c r="B5582" t="s">
        <v>133</v>
      </c>
      <c r="C5582" t="s">
        <v>10598</v>
      </c>
      <c r="D5582" t="s">
        <v>5204</v>
      </c>
      <c r="E5582" t="s">
        <v>5205</v>
      </c>
      <c r="F5582" t="s">
        <v>11018</v>
      </c>
      <c r="G5582" t="s">
        <v>3890</v>
      </c>
      <c r="H5582" t="s">
        <v>109</v>
      </c>
      <c r="I5582" t="s">
        <v>108</v>
      </c>
      <c r="J5582">
        <v>1</v>
      </c>
      <c r="K5582">
        <v>11076.89</v>
      </c>
      <c r="L5582">
        <v>9504.23</v>
      </c>
      <c r="M5582">
        <v>10463.352999999999</v>
      </c>
      <c r="N5582">
        <v>10876.838</v>
      </c>
      <c r="O5582">
        <v>11285.308000000001</v>
      </c>
      <c r="P5582">
        <v>11772.002</v>
      </c>
      <c r="Q5582">
        <v>12356.561</v>
      </c>
      <c r="R5582">
        <v>12925.117</v>
      </c>
      <c r="S5582">
        <v>13464.705</v>
      </c>
      <c r="T5582">
        <v>14015.976000000001</v>
      </c>
      <c r="U5582">
        <v>14580.942999999999</v>
      </c>
      <c r="V5582">
        <v>15159.606</v>
      </c>
      <c r="W5582">
        <v>15751.958000000001</v>
      </c>
      <c r="X5582">
        <v>16357.98</v>
      </c>
      <c r="Y5582">
        <v>16977.641</v>
      </c>
      <c r="Z5582">
        <v>17610.901000000002</v>
      </c>
      <c r="AA5582">
        <v>18257.708999999999</v>
      </c>
      <c r="AB5582">
        <v>18918.002</v>
      </c>
      <c r="AC5582">
        <v>19591.705999999998</v>
      </c>
      <c r="AD5582">
        <v>20278.735000000001</v>
      </c>
    </row>
    <row r="5583" spans="2:30" x14ac:dyDescent="0.25">
      <c r="B5583" t="s">
        <v>133</v>
      </c>
      <c r="C5583" t="s">
        <v>10598</v>
      </c>
      <c r="D5583" t="s">
        <v>5207</v>
      </c>
      <c r="E5583" t="s">
        <v>5208</v>
      </c>
      <c r="F5583" t="s">
        <v>11019</v>
      </c>
      <c r="G5583" t="s">
        <v>3890</v>
      </c>
      <c r="H5583" t="s">
        <v>109</v>
      </c>
      <c r="I5583" t="s">
        <v>108</v>
      </c>
      <c r="J5583">
        <v>1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</row>
    <row r="5584" spans="2:30" x14ac:dyDescent="0.25">
      <c r="B5584" t="s">
        <v>133</v>
      </c>
      <c r="C5584" t="s">
        <v>10598</v>
      </c>
      <c r="D5584" t="s">
        <v>5210</v>
      </c>
      <c r="E5584" t="s">
        <v>5125</v>
      </c>
      <c r="F5584" t="s">
        <v>10992</v>
      </c>
      <c r="G5584" t="s">
        <v>3890</v>
      </c>
      <c r="H5584" t="s">
        <v>109</v>
      </c>
      <c r="I5584" t="s">
        <v>108</v>
      </c>
      <c r="J5584">
        <v>1</v>
      </c>
      <c r="K5584">
        <v>7404.3140000000003</v>
      </c>
      <c r="L5584">
        <v>7147.93</v>
      </c>
      <c r="M5584">
        <v>7001.1750000000002</v>
      </c>
      <c r="N5584">
        <v>6753.6639999999998</v>
      </c>
      <c r="O5584">
        <v>6886.5370000000003</v>
      </c>
      <c r="P5584">
        <v>7548.8450000000003</v>
      </c>
      <c r="Q5584">
        <v>8264.5689999999995</v>
      </c>
      <c r="R5584">
        <v>9039.0759999999991</v>
      </c>
      <c r="S5584">
        <v>9962.8960000000006</v>
      </c>
      <c r="T5584">
        <v>11054.998</v>
      </c>
      <c r="U5584">
        <v>12234.905000000001</v>
      </c>
      <c r="V5584">
        <v>13496.28</v>
      </c>
      <c r="W5584">
        <v>14832.477999999999</v>
      </c>
      <c r="X5584">
        <v>16236.264999999999</v>
      </c>
      <c r="Y5584">
        <v>17698.236000000001</v>
      </c>
      <c r="Z5584">
        <v>19231.580999999998</v>
      </c>
      <c r="AA5584">
        <v>20833.865000000002</v>
      </c>
      <c r="AB5584">
        <v>22502.576000000001</v>
      </c>
      <c r="AC5584">
        <v>24236.007000000001</v>
      </c>
      <c r="AD5584">
        <v>26000.738000000001</v>
      </c>
    </row>
    <row r="5585" spans="2:30" x14ac:dyDescent="0.25">
      <c r="B5585" t="s">
        <v>133</v>
      </c>
      <c r="C5585" t="s">
        <v>10598</v>
      </c>
      <c r="D5585" t="s">
        <v>5211</v>
      </c>
      <c r="E5585" t="s">
        <v>5212</v>
      </c>
      <c r="F5585" t="s">
        <v>11020</v>
      </c>
      <c r="G5585" t="s">
        <v>3890</v>
      </c>
      <c r="H5585" t="s">
        <v>109</v>
      </c>
      <c r="I5585" t="s">
        <v>108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</row>
    <row r="5586" spans="2:30" x14ac:dyDescent="0.25">
      <c r="B5586" t="s">
        <v>133</v>
      </c>
      <c r="C5586" t="s">
        <v>10598</v>
      </c>
      <c r="D5586" t="s">
        <v>5214</v>
      </c>
      <c r="E5586" t="s">
        <v>5215</v>
      </c>
      <c r="F5586" t="s">
        <v>11021</v>
      </c>
      <c r="G5586" t="s">
        <v>3890</v>
      </c>
      <c r="H5586" t="s">
        <v>109</v>
      </c>
      <c r="I5586" t="s">
        <v>108</v>
      </c>
      <c r="J5586">
        <v>1</v>
      </c>
      <c r="K5586">
        <v>7404.3140000000003</v>
      </c>
      <c r="L5586">
        <v>7147.93</v>
      </c>
      <c r="M5586">
        <v>7001.1750000000002</v>
      </c>
      <c r="N5586">
        <v>6753.6639999999998</v>
      </c>
      <c r="O5586">
        <v>6886.5370000000003</v>
      </c>
      <c r="P5586">
        <v>7548.8450000000003</v>
      </c>
      <c r="Q5586">
        <v>8264.5689999999995</v>
      </c>
      <c r="R5586">
        <v>9039.0759999999991</v>
      </c>
      <c r="S5586">
        <v>9962.8960000000006</v>
      </c>
      <c r="T5586">
        <v>11054.998</v>
      </c>
      <c r="U5586">
        <v>12234.905000000001</v>
      </c>
      <c r="V5586">
        <v>13496.28</v>
      </c>
      <c r="W5586">
        <v>14832.477999999999</v>
      </c>
      <c r="X5586">
        <v>16236.264999999999</v>
      </c>
      <c r="Y5586">
        <v>17698.236000000001</v>
      </c>
      <c r="Z5586">
        <v>19231.580999999998</v>
      </c>
      <c r="AA5586">
        <v>20833.865000000002</v>
      </c>
      <c r="AB5586">
        <v>22502.576000000001</v>
      </c>
      <c r="AC5586">
        <v>24236.007000000001</v>
      </c>
      <c r="AD5586">
        <v>26000.738000000001</v>
      </c>
    </row>
    <row r="5587" spans="2:30" x14ac:dyDescent="0.25">
      <c r="B5587" t="s">
        <v>133</v>
      </c>
      <c r="C5587" t="s">
        <v>10598</v>
      </c>
      <c r="D5587" t="s">
        <v>5217</v>
      </c>
      <c r="E5587" t="s">
        <v>5218</v>
      </c>
      <c r="F5587" t="s">
        <v>11022</v>
      </c>
      <c r="G5587" t="s">
        <v>3890</v>
      </c>
      <c r="H5587" t="s">
        <v>109</v>
      </c>
      <c r="I5587" t="s">
        <v>108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</row>
    <row r="5588" spans="2:30" x14ac:dyDescent="0.25">
      <c r="B5588" t="s">
        <v>133</v>
      </c>
      <c r="C5588" t="s">
        <v>10598</v>
      </c>
      <c r="D5588" t="s">
        <v>5220</v>
      </c>
      <c r="E5588" t="s">
        <v>5221</v>
      </c>
      <c r="F5588" t="s">
        <v>11023</v>
      </c>
      <c r="G5588" t="s">
        <v>3890</v>
      </c>
      <c r="H5588" t="s">
        <v>109</v>
      </c>
      <c r="I5588" t="s">
        <v>108</v>
      </c>
      <c r="J5588">
        <v>1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</row>
    <row r="5589" spans="2:30" x14ac:dyDescent="0.25">
      <c r="B5589" t="s">
        <v>133</v>
      </c>
      <c r="C5589" t="s">
        <v>10598</v>
      </c>
      <c r="D5589" t="s">
        <v>5223</v>
      </c>
      <c r="E5589" t="s">
        <v>5224</v>
      </c>
      <c r="F5589" t="s">
        <v>11024</v>
      </c>
      <c r="G5589" t="s">
        <v>3890</v>
      </c>
      <c r="H5589" t="s">
        <v>109</v>
      </c>
      <c r="I5589" t="s">
        <v>108</v>
      </c>
      <c r="J5589">
        <v>1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</row>
    <row r="5590" spans="2:30" x14ac:dyDescent="0.25">
      <c r="B5590" t="s">
        <v>133</v>
      </c>
      <c r="C5590" t="s">
        <v>10598</v>
      </c>
      <c r="D5590" t="s">
        <v>5226</v>
      </c>
      <c r="E5590" t="s">
        <v>5128</v>
      </c>
      <c r="F5590" t="s">
        <v>10993</v>
      </c>
      <c r="G5590" t="s">
        <v>3890</v>
      </c>
      <c r="H5590" t="s">
        <v>109</v>
      </c>
      <c r="I5590" t="s">
        <v>108</v>
      </c>
      <c r="J5590">
        <v>1</v>
      </c>
      <c r="K5590">
        <v>15214.834999999999</v>
      </c>
      <c r="L5590">
        <v>16168.272999999999</v>
      </c>
      <c r="M5590">
        <v>17468.254000000001</v>
      </c>
      <c r="N5590">
        <v>17210.601999999999</v>
      </c>
      <c r="O5590">
        <v>17931.196</v>
      </c>
      <c r="P5590">
        <v>19045.128000000001</v>
      </c>
      <c r="Q5590">
        <v>20275.215</v>
      </c>
      <c r="R5590">
        <v>21586.026999999998</v>
      </c>
      <c r="S5590">
        <v>23101.032999999999</v>
      </c>
      <c r="T5590">
        <v>24867.491999999998</v>
      </c>
      <c r="U5590">
        <v>26778.222000000002</v>
      </c>
      <c r="V5590">
        <v>28823.22</v>
      </c>
      <c r="W5590">
        <v>30976.742999999999</v>
      </c>
      <c r="X5590">
        <v>33242.675999999999</v>
      </c>
      <c r="Y5590">
        <v>35613.025999999998</v>
      </c>
      <c r="Z5590">
        <v>38098.741000000002</v>
      </c>
      <c r="AA5590">
        <v>40699.917000000001</v>
      </c>
      <c r="AB5590">
        <v>43420.819000000003</v>
      </c>
      <c r="AC5590">
        <v>46267.131999999998</v>
      </c>
      <c r="AD5590">
        <v>49230.773999999998</v>
      </c>
    </row>
    <row r="5591" spans="2:30" x14ac:dyDescent="0.25">
      <c r="B5591" t="s">
        <v>133</v>
      </c>
      <c r="C5591" t="s">
        <v>10598</v>
      </c>
      <c r="D5591" t="s">
        <v>5227</v>
      </c>
      <c r="E5591" t="s">
        <v>5228</v>
      </c>
      <c r="F5591" t="s">
        <v>11025</v>
      </c>
      <c r="G5591" t="s">
        <v>3890</v>
      </c>
      <c r="H5591" t="s">
        <v>109</v>
      </c>
      <c r="I5591" t="s">
        <v>108</v>
      </c>
      <c r="J5591">
        <v>1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</row>
    <row r="5592" spans="2:30" x14ac:dyDescent="0.25">
      <c r="B5592" t="s">
        <v>133</v>
      </c>
      <c r="C5592" t="s">
        <v>10598</v>
      </c>
      <c r="D5592" t="s">
        <v>5230</v>
      </c>
      <c r="E5592" t="s">
        <v>5231</v>
      </c>
      <c r="F5592" t="s">
        <v>11026</v>
      </c>
      <c r="G5592" t="s">
        <v>3890</v>
      </c>
      <c r="H5592" t="s">
        <v>109</v>
      </c>
      <c r="I5592" t="s">
        <v>108</v>
      </c>
      <c r="J5592">
        <v>1</v>
      </c>
      <c r="K5592">
        <v>10010.589</v>
      </c>
      <c r="L5592">
        <v>9837.6170000000002</v>
      </c>
      <c r="M5592">
        <v>9543.0020000000004</v>
      </c>
      <c r="N5592">
        <v>9122.26</v>
      </c>
      <c r="O5592">
        <v>9684.2070000000003</v>
      </c>
      <c r="P5592">
        <v>10613.831</v>
      </c>
      <c r="Q5592">
        <v>11628.550999999999</v>
      </c>
      <c r="R5592">
        <v>12733.902</v>
      </c>
      <c r="S5592">
        <v>14057.06</v>
      </c>
      <c r="T5592">
        <v>15631.087</v>
      </c>
      <c r="U5592">
        <v>17348.157999999999</v>
      </c>
      <c r="V5592">
        <v>19198.316999999999</v>
      </c>
      <c r="W5592">
        <v>21155.867999999999</v>
      </c>
      <c r="X5592">
        <v>23224.74</v>
      </c>
      <c r="Y5592">
        <v>25396.985000000001</v>
      </c>
      <c r="Z5592">
        <v>27683.598000000002</v>
      </c>
      <c r="AA5592">
        <v>30084.718000000001</v>
      </c>
      <c r="AB5592">
        <v>32604.657999999999</v>
      </c>
      <c r="AC5592">
        <v>35249.146999999997</v>
      </c>
      <c r="AD5592">
        <v>38010.150999999998</v>
      </c>
    </row>
    <row r="5593" spans="2:30" x14ac:dyDescent="0.25">
      <c r="B5593" t="s">
        <v>133</v>
      </c>
      <c r="C5593" t="s">
        <v>10598</v>
      </c>
      <c r="D5593" t="s">
        <v>5233</v>
      </c>
      <c r="E5593" t="s">
        <v>5234</v>
      </c>
      <c r="F5593" t="s">
        <v>11027</v>
      </c>
      <c r="G5593" t="s">
        <v>3890</v>
      </c>
      <c r="H5593" t="s">
        <v>109</v>
      </c>
      <c r="I5593" t="s">
        <v>108</v>
      </c>
      <c r="J5593">
        <v>1</v>
      </c>
      <c r="K5593">
        <v>875.27200000000005</v>
      </c>
      <c r="L5593">
        <v>1064.7159999999999</v>
      </c>
      <c r="M5593">
        <v>1332.902</v>
      </c>
      <c r="N5593">
        <v>1360.3309999999999</v>
      </c>
      <c r="O5593">
        <v>1387.0129999999999</v>
      </c>
      <c r="P5593">
        <v>1418.011</v>
      </c>
      <c r="Q5593">
        <v>1454.232</v>
      </c>
      <c r="R5593">
        <v>1488.788</v>
      </c>
      <c r="S5593">
        <v>1521.0530000000001</v>
      </c>
      <c r="T5593">
        <v>1553.4179999999999</v>
      </c>
      <c r="U5593">
        <v>1585.9880000000001</v>
      </c>
      <c r="V5593">
        <v>1618.7570000000001</v>
      </c>
      <c r="W5593">
        <v>1651.7159999999999</v>
      </c>
      <c r="X5593">
        <v>1684.8589999999999</v>
      </c>
      <c r="Y5593">
        <v>1718.1769999999999</v>
      </c>
      <c r="Z5593">
        <v>1751.663</v>
      </c>
      <c r="AA5593">
        <v>1785.309</v>
      </c>
      <c r="AB5593">
        <v>1819.1079999999999</v>
      </c>
      <c r="AC5593">
        <v>1853.0509999999999</v>
      </c>
      <c r="AD5593">
        <v>1887.1320000000001</v>
      </c>
    </row>
    <row r="5594" spans="2:30" x14ac:dyDescent="0.25">
      <c r="B5594" t="s">
        <v>133</v>
      </c>
      <c r="C5594" t="s">
        <v>10598</v>
      </c>
      <c r="D5594" t="s">
        <v>5236</v>
      </c>
      <c r="E5594" t="s">
        <v>5237</v>
      </c>
      <c r="F5594" t="s">
        <v>11028</v>
      </c>
      <c r="G5594" t="s">
        <v>3890</v>
      </c>
      <c r="H5594" t="s">
        <v>109</v>
      </c>
      <c r="I5594" t="s">
        <v>108</v>
      </c>
      <c r="J5594">
        <v>1</v>
      </c>
      <c r="K5594">
        <v>4328.9740000000002</v>
      </c>
      <c r="L5594">
        <v>5265.94</v>
      </c>
      <c r="M5594">
        <v>6592.35</v>
      </c>
      <c r="N5594">
        <v>6728.01</v>
      </c>
      <c r="O5594">
        <v>6859.9750000000004</v>
      </c>
      <c r="P5594">
        <v>7013.2860000000001</v>
      </c>
      <c r="Q5594">
        <v>7192.4309999999996</v>
      </c>
      <c r="R5594">
        <v>7363.3370000000004</v>
      </c>
      <c r="S5594">
        <v>7522.9189999999999</v>
      </c>
      <c r="T5594">
        <v>7682.9880000000003</v>
      </c>
      <c r="U5594">
        <v>7844.076</v>
      </c>
      <c r="V5594">
        <v>8006.1459999999997</v>
      </c>
      <c r="W5594">
        <v>8169.1589999999997</v>
      </c>
      <c r="X5594">
        <v>8333.0769999999993</v>
      </c>
      <c r="Y5594">
        <v>8497.8639999999996</v>
      </c>
      <c r="Z5594">
        <v>8663.4809999999998</v>
      </c>
      <c r="AA5594">
        <v>8829.89</v>
      </c>
      <c r="AB5594">
        <v>8997.0540000000001</v>
      </c>
      <c r="AC5594">
        <v>9164.9339999999993</v>
      </c>
      <c r="AD5594">
        <v>9333.4920000000002</v>
      </c>
    </row>
    <row r="5595" spans="2:30" x14ac:dyDescent="0.25">
      <c r="B5595" t="s">
        <v>133</v>
      </c>
      <c r="C5595" t="s">
        <v>10598</v>
      </c>
      <c r="D5595" t="s">
        <v>5239</v>
      </c>
      <c r="E5595" t="s">
        <v>5240</v>
      </c>
      <c r="F5595" t="s">
        <v>11029</v>
      </c>
      <c r="G5595" t="s">
        <v>3890</v>
      </c>
      <c r="H5595" t="s">
        <v>109</v>
      </c>
      <c r="I5595" t="s">
        <v>108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</row>
    <row r="5596" spans="2:30" x14ac:dyDescent="0.25">
      <c r="B5596" t="s">
        <v>133</v>
      </c>
      <c r="C5596" t="s">
        <v>10598</v>
      </c>
      <c r="D5596" t="s">
        <v>5242</v>
      </c>
      <c r="E5596" t="s">
        <v>5131</v>
      </c>
      <c r="F5596" t="s">
        <v>10994</v>
      </c>
      <c r="G5596" t="s">
        <v>3890</v>
      </c>
      <c r="H5596" t="s">
        <v>109</v>
      </c>
      <c r="I5596" t="s">
        <v>108</v>
      </c>
      <c r="J5596">
        <v>1</v>
      </c>
      <c r="K5596">
        <v>5389.2640000000001</v>
      </c>
      <c r="L5596">
        <v>6059.357</v>
      </c>
      <c r="M5596">
        <v>7304.8469999999998</v>
      </c>
      <c r="N5596">
        <v>7485.0290000000005</v>
      </c>
      <c r="O5596">
        <v>7660.826</v>
      </c>
      <c r="P5596">
        <v>7867.7740000000003</v>
      </c>
      <c r="Q5596">
        <v>8112.866</v>
      </c>
      <c r="R5596">
        <v>8347.6450000000004</v>
      </c>
      <c r="S5596">
        <v>8567.366</v>
      </c>
      <c r="T5596">
        <v>8788.9699999999993</v>
      </c>
      <c r="U5596">
        <v>9013.2360000000008</v>
      </c>
      <c r="V5596">
        <v>9240.1190000000006</v>
      </c>
      <c r="W5596">
        <v>9469.5740000000005</v>
      </c>
      <c r="X5596">
        <v>9701.5529999999999</v>
      </c>
      <c r="Y5596">
        <v>9936.0069999999996</v>
      </c>
      <c r="Z5596">
        <v>10172.888000000001</v>
      </c>
      <c r="AA5596">
        <v>10412.143</v>
      </c>
      <c r="AB5596">
        <v>10653.721</v>
      </c>
      <c r="AC5596">
        <v>10897.566999999999</v>
      </c>
      <c r="AD5596">
        <v>11143.626</v>
      </c>
    </row>
    <row r="5597" spans="2:30" x14ac:dyDescent="0.25">
      <c r="B5597" t="s">
        <v>133</v>
      </c>
      <c r="C5597" t="s">
        <v>10598</v>
      </c>
      <c r="D5597" t="s">
        <v>5243</v>
      </c>
      <c r="E5597" t="s">
        <v>5244</v>
      </c>
      <c r="F5597" t="s">
        <v>11030</v>
      </c>
      <c r="G5597" t="s">
        <v>3890</v>
      </c>
      <c r="H5597" t="s">
        <v>109</v>
      </c>
      <c r="I5597" t="s">
        <v>108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</row>
    <row r="5598" spans="2:30" x14ac:dyDescent="0.25">
      <c r="B5598" t="s">
        <v>133</v>
      </c>
      <c r="C5598" t="s">
        <v>10598</v>
      </c>
      <c r="D5598" t="s">
        <v>5246</v>
      </c>
      <c r="E5598" t="s">
        <v>5247</v>
      </c>
      <c r="F5598" t="s">
        <v>11031</v>
      </c>
      <c r="G5598" t="s">
        <v>3890</v>
      </c>
      <c r="H5598" t="s">
        <v>109</v>
      </c>
      <c r="I5598" t="s">
        <v>108</v>
      </c>
      <c r="J5598">
        <v>1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</row>
    <row r="5599" spans="2:30" x14ac:dyDescent="0.25">
      <c r="B5599" t="s">
        <v>133</v>
      </c>
      <c r="C5599" t="s">
        <v>10598</v>
      </c>
      <c r="D5599" t="s">
        <v>5249</v>
      </c>
      <c r="E5599" t="s">
        <v>5250</v>
      </c>
      <c r="F5599" t="s">
        <v>11032</v>
      </c>
      <c r="G5599" t="s">
        <v>3890</v>
      </c>
      <c r="H5599" t="s">
        <v>109</v>
      </c>
      <c r="I5599" t="s">
        <v>108</v>
      </c>
      <c r="J5599">
        <v>1</v>
      </c>
      <c r="K5599">
        <v>3107.4549999999999</v>
      </c>
      <c r="L5599">
        <v>3427.6979999999999</v>
      </c>
      <c r="M5599">
        <v>4102.9210000000003</v>
      </c>
      <c r="N5599">
        <v>4179.0079999999998</v>
      </c>
      <c r="O5599">
        <v>4252.4840000000004</v>
      </c>
      <c r="P5599">
        <v>4338.8559999999998</v>
      </c>
      <c r="Q5599">
        <v>4440.8180000000002</v>
      </c>
      <c r="R5599">
        <v>4537.2790000000005</v>
      </c>
      <c r="S5599">
        <v>4626.3739999999998</v>
      </c>
      <c r="T5599">
        <v>4715.3950000000004</v>
      </c>
      <c r="U5599">
        <v>4804.6670000000004</v>
      </c>
      <c r="V5599">
        <v>4894.165</v>
      </c>
      <c r="W5599">
        <v>4983.8620000000001</v>
      </c>
      <c r="X5599">
        <v>5073.7340000000004</v>
      </c>
      <c r="Y5599">
        <v>5163.7550000000001</v>
      </c>
      <c r="Z5599">
        <v>5253.9</v>
      </c>
      <c r="AA5599">
        <v>5344.1450000000004</v>
      </c>
      <c r="AB5599">
        <v>5434.4660000000003</v>
      </c>
      <c r="AC5599">
        <v>5524.8370000000004</v>
      </c>
      <c r="AD5599">
        <v>5615.2340000000004</v>
      </c>
    </row>
    <row r="5600" spans="2:30" x14ac:dyDescent="0.25">
      <c r="B5600" t="s">
        <v>133</v>
      </c>
      <c r="C5600" t="s">
        <v>10598</v>
      </c>
      <c r="D5600" t="s">
        <v>5252</v>
      </c>
      <c r="E5600" t="s">
        <v>5253</v>
      </c>
      <c r="F5600" t="s">
        <v>11033</v>
      </c>
      <c r="G5600" t="s">
        <v>3890</v>
      </c>
      <c r="H5600" t="s">
        <v>109</v>
      </c>
      <c r="I5600" t="s">
        <v>108</v>
      </c>
      <c r="J5600">
        <v>1</v>
      </c>
      <c r="K5600">
        <v>2281.8090000000002</v>
      </c>
      <c r="L5600">
        <v>2631.6590000000001</v>
      </c>
      <c r="M5600">
        <v>3201.9259999999999</v>
      </c>
      <c r="N5600">
        <v>3306.0210000000002</v>
      </c>
      <c r="O5600">
        <v>3408.3420000000001</v>
      </c>
      <c r="P5600">
        <v>3528.9180000000001</v>
      </c>
      <c r="Q5600">
        <v>3672.0479999999998</v>
      </c>
      <c r="R5600">
        <v>3810.3670000000002</v>
      </c>
      <c r="S5600">
        <v>3940.9920000000002</v>
      </c>
      <c r="T5600">
        <v>4073.5749999999998</v>
      </c>
      <c r="U5600">
        <v>4208.5680000000002</v>
      </c>
      <c r="V5600">
        <v>4345.9539999999997</v>
      </c>
      <c r="W5600">
        <v>4485.7120000000004</v>
      </c>
      <c r="X5600">
        <v>4627.8190000000004</v>
      </c>
      <c r="Y5600">
        <v>4772.2529999999997</v>
      </c>
      <c r="Z5600">
        <v>4918.9880000000003</v>
      </c>
      <c r="AA5600">
        <v>5067.9979999999996</v>
      </c>
      <c r="AB5600">
        <v>5219.2550000000001</v>
      </c>
      <c r="AC5600">
        <v>5372.73</v>
      </c>
      <c r="AD5600">
        <v>5528.3919999999998</v>
      </c>
    </row>
    <row r="5601" spans="2:30" x14ac:dyDescent="0.25">
      <c r="B5601" t="s">
        <v>133</v>
      </c>
      <c r="C5601" t="s">
        <v>10598</v>
      </c>
      <c r="D5601" t="s">
        <v>5255</v>
      </c>
      <c r="E5601" t="s">
        <v>5256</v>
      </c>
      <c r="F5601" t="s">
        <v>11034</v>
      </c>
      <c r="G5601" t="s">
        <v>3890</v>
      </c>
      <c r="H5601" t="s">
        <v>109</v>
      </c>
      <c r="I5601" t="s">
        <v>108</v>
      </c>
      <c r="J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</row>
    <row r="5602" spans="2:30" x14ac:dyDescent="0.25">
      <c r="B5602" t="s">
        <v>133</v>
      </c>
      <c r="C5602" t="s">
        <v>10598</v>
      </c>
      <c r="D5602" t="s">
        <v>5258</v>
      </c>
      <c r="E5602" t="s">
        <v>5134</v>
      </c>
      <c r="F5602" t="s">
        <v>10995</v>
      </c>
      <c r="G5602" t="s">
        <v>3890</v>
      </c>
      <c r="H5602" t="s">
        <v>109</v>
      </c>
      <c r="I5602" t="s">
        <v>108</v>
      </c>
      <c r="J5602">
        <v>1</v>
      </c>
      <c r="K5602">
        <v>659.322</v>
      </c>
      <c r="L5602">
        <v>771.90700000000004</v>
      </c>
      <c r="M5602">
        <v>857.73800000000006</v>
      </c>
      <c r="N5602">
        <v>889.11699999999996</v>
      </c>
      <c r="O5602">
        <v>920.298</v>
      </c>
      <c r="P5602">
        <v>957.94299999999998</v>
      </c>
      <c r="Q5602">
        <v>1003.823</v>
      </c>
      <c r="R5602">
        <v>1048.83</v>
      </c>
      <c r="S5602">
        <v>1091.8589999999999</v>
      </c>
      <c r="T5602">
        <v>1136.079</v>
      </c>
      <c r="U5602">
        <v>1181.4929999999999</v>
      </c>
      <c r="V5602">
        <v>1228.1030000000001</v>
      </c>
      <c r="W5602">
        <v>1275.9059999999999</v>
      </c>
      <c r="X5602">
        <v>1324.8989999999999</v>
      </c>
      <c r="Y5602">
        <v>1375.079</v>
      </c>
      <c r="Z5602">
        <v>1426.4359999999999</v>
      </c>
      <c r="AA5602">
        <v>1478.963</v>
      </c>
      <c r="AB5602">
        <v>1532.6469999999999</v>
      </c>
      <c r="AC5602">
        <v>1587.4749999999999</v>
      </c>
      <c r="AD5602">
        <v>1643.43</v>
      </c>
    </row>
    <row r="5603" spans="2:30" x14ac:dyDescent="0.25">
      <c r="B5603" t="s">
        <v>133</v>
      </c>
      <c r="C5603" t="s">
        <v>10598</v>
      </c>
      <c r="D5603" t="s">
        <v>5259</v>
      </c>
      <c r="E5603" t="s">
        <v>5260</v>
      </c>
      <c r="F5603" t="s">
        <v>11035</v>
      </c>
      <c r="G5603" t="s">
        <v>3890</v>
      </c>
      <c r="H5603" t="s">
        <v>109</v>
      </c>
      <c r="I5603" t="s">
        <v>108</v>
      </c>
      <c r="J5603">
        <v>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</row>
    <row r="5604" spans="2:30" x14ac:dyDescent="0.25">
      <c r="B5604" t="s">
        <v>133</v>
      </c>
      <c r="C5604" t="s">
        <v>10598</v>
      </c>
      <c r="D5604" t="s">
        <v>5262</v>
      </c>
      <c r="E5604" t="s">
        <v>5263</v>
      </c>
      <c r="F5604" t="s">
        <v>11036</v>
      </c>
      <c r="G5604" t="s">
        <v>3890</v>
      </c>
      <c r="H5604" t="s">
        <v>109</v>
      </c>
      <c r="I5604" t="s">
        <v>108</v>
      </c>
      <c r="J5604">
        <v>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</row>
    <row r="5605" spans="2:30" x14ac:dyDescent="0.25">
      <c r="B5605" t="s">
        <v>133</v>
      </c>
      <c r="C5605" t="s">
        <v>10598</v>
      </c>
      <c r="D5605" t="s">
        <v>5265</v>
      </c>
      <c r="E5605" t="s">
        <v>5266</v>
      </c>
      <c r="F5605" t="s">
        <v>11037</v>
      </c>
      <c r="G5605" t="s">
        <v>3890</v>
      </c>
      <c r="H5605" t="s">
        <v>109</v>
      </c>
      <c r="I5605" t="s">
        <v>108</v>
      </c>
      <c r="J5605">
        <v>1</v>
      </c>
      <c r="K5605">
        <v>3</v>
      </c>
      <c r="L5605">
        <v>3.181</v>
      </c>
      <c r="M5605">
        <v>3.6320000000000001</v>
      </c>
      <c r="N5605">
        <v>3.7050000000000001</v>
      </c>
      <c r="O5605">
        <v>3.7759999999999998</v>
      </c>
      <c r="P5605">
        <v>3.859</v>
      </c>
      <c r="Q5605">
        <v>3.9569999999999999</v>
      </c>
      <c r="R5605">
        <v>4.0510000000000002</v>
      </c>
      <c r="S5605">
        <v>4.1369999999999996</v>
      </c>
      <c r="T5605">
        <v>4.2240000000000002</v>
      </c>
      <c r="U5605">
        <v>4.3120000000000003</v>
      </c>
      <c r="V5605">
        <v>4.399</v>
      </c>
      <c r="W5605">
        <v>4.4880000000000004</v>
      </c>
      <c r="X5605">
        <v>4.5759999999999996</v>
      </c>
      <c r="Y5605">
        <v>4.665</v>
      </c>
      <c r="Z5605">
        <v>4.7549999999999999</v>
      </c>
      <c r="AA5605">
        <v>4.8449999999999998</v>
      </c>
      <c r="AB5605">
        <v>4.9349999999999996</v>
      </c>
      <c r="AC5605">
        <v>5.0259999999999998</v>
      </c>
      <c r="AD5605">
        <v>5.117</v>
      </c>
    </row>
    <row r="5606" spans="2:30" x14ac:dyDescent="0.25">
      <c r="B5606" t="s">
        <v>133</v>
      </c>
      <c r="C5606" t="s">
        <v>10598</v>
      </c>
      <c r="D5606" t="s">
        <v>5268</v>
      </c>
      <c r="E5606" t="s">
        <v>5269</v>
      </c>
      <c r="F5606" t="s">
        <v>11038</v>
      </c>
      <c r="G5606" t="s">
        <v>3890</v>
      </c>
      <c r="H5606" t="s">
        <v>109</v>
      </c>
      <c r="I5606" t="s">
        <v>108</v>
      </c>
      <c r="J5606">
        <v>1</v>
      </c>
      <c r="K5606">
        <v>4</v>
      </c>
      <c r="L5606">
        <v>4.3959999999999999</v>
      </c>
      <c r="M5606">
        <v>5.07</v>
      </c>
      <c r="N5606">
        <v>5.234</v>
      </c>
      <c r="O5606">
        <v>5.3959999999999999</v>
      </c>
      <c r="P5606">
        <v>5.5869999999999997</v>
      </c>
      <c r="Q5606">
        <v>5.8140000000000001</v>
      </c>
      <c r="R5606">
        <v>6.0330000000000004</v>
      </c>
      <c r="S5606">
        <v>6.24</v>
      </c>
      <c r="T5606">
        <v>6.45</v>
      </c>
      <c r="U5606">
        <v>6.6630000000000003</v>
      </c>
      <c r="V5606">
        <v>6.8810000000000002</v>
      </c>
      <c r="W5606">
        <v>7.1020000000000003</v>
      </c>
      <c r="X5606">
        <v>7.327</v>
      </c>
      <c r="Y5606">
        <v>7.556</v>
      </c>
      <c r="Z5606">
        <v>7.7880000000000003</v>
      </c>
      <c r="AA5606">
        <v>8.0239999999999991</v>
      </c>
      <c r="AB5606">
        <v>8.2629999999999999</v>
      </c>
      <c r="AC5606">
        <v>8.5060000000000002</v>
      </c>
      <c r="AD5606">
        <v>8.7530000000000001</v>
      </c>
    </row>
    <row r="5607" spans="2:30" x14ac:dyDescent="0.25">
      <c r="B5607" t="s">
        <v>133</v>
      </c>
      <c r="C5607" t="s">
        <v>10598</v>
      </c>
      <c r="D5607" t="s">
        <v>5271</v>
      </c>
      <c r="E5607" t="s">
        <v>5272</v>
      </c>
      <c r="F5607" t="s">
        <v>11039</v>
      </c>
      <c r="G5607" t="s">
        <v>3890</v>
      </c>
      <c r="H5607" t="s">
        <v>109</v>
      </c>
      <c r="I5607" t="s">
        <v>108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</row>
    <row r="5608" spans="2:30" x14ac:dyDescent="0.25">
      <c r="B5608" t="s">
        <v>133</v>
      </c>
      <c r="C5608" t="s">
        <v>10598</v>
      </c>
      <c r="D5608" t="s">
        <v>5274</v>
      </c>
      <c r="E5608" t="s">
        <v>5122</v>
      </c>
      <c r="F5608" t="s">
        <v>10991</v>
      </c>
      <c r="G5608" t="s">
        <v>3890</v>
      </c>
      <c r="H5608" t="s">
        <v>109</v>
      </c>
      <c r="I5608" t="s">
        <v>108</v>
      </c>
      <c r="J5608">
        <v>1</v>
      </c>
      <c r="K5608">
        <v>7688.0550000000003</v>
      </c>
      <c r="L5608">
        <v>7378.8829999999998</v>
      </c>
      <c r="M5608">
        <v>7817.37</v>
      </c>
      <c r="N5608">
        <v>9960.232</v>
      </c>
      <c r="O5608">
        <v>9985.7199999999993</v>
      </c>
      <c r="P5608">
        <v>10027.691000000001</v>
      </c>
      <c r="Q5608">
        <v>10091.909</v>
      </c>
      <c r="R5608">
        <v>10158.418</v>
      </c>
      <c r="S5608">
        <v>10221.422</v>
      </c>
      <c r="T5608">
        <v>10290.624</v>
      </c>
      <c r="U5608">
        <v>10367.221</v>
      </c>
      <c r="V5608">
        <v>10451.206</v>
      </c>
      <c r="W5608">
        <v>10543.242</v>
      </c>
      <c r="X5608">
        <v>10643.495000000001</v>
      </c>
      <c r="Y5608">
        <v>10752.409</v>
      </c>
      <c r="Z5608">
        <v>10870.213</v>
      </c>
      <c r="AA5608">
        <v>10997.34</v>
      </c>
      <c r="AB5608">
        <v>11134.334000000001</v>
      </c>
      <c r="AC5608">
        <v>11281.462</v>
      </c>
      <c r="AD5608">
        <v>11439.184999999999</v>
      </c>
    </row>
    <row r="5609" spans="2:30" x14ac:dyDescent="0.25">
      <c r="B5609" t="s">
        <v>133</v>
      </c>
      <c r="C5609" t="s">
        <v>10598</v>
      </c>
      <c r="D5609" t="s">
        <v>5275</v>
      </c>
      <c r="E5609" t="s">
        <v>5276</v>
      </c>
      <c r="F5609" t="s">
        <v>11040</v>
      </c>
      <c r="G5609" t="s">
        <v>3890</v>
      </c>
      <c r="H5609" t="s">
        <v>109</v>
      </c>
      <c r="I5609" t="s">
        <v>108</v>
      </c>
      <c r="J5609">
        <v>1</v>
      </c>
      <c r="K5609">
        <v>4691.6719999999996</v>
      </c>
      <c r="L5609">
        <v>4563.5690000000004</v>
      </c>
      <c r="M5609">
        <v>4433.1809999999996</v>
      </c>
      <c r="N5609">
        <v>5360.8990000000003</v>
      </c>
      <c r="O5609">
        <v>5250.1549999999997</v>
      </c>
      <c r="P5609">
        <v>5131.3339999999998</v>
      </c>
      <c r="Q5609">
        <v>5004.4269999999997</v>
      </c>
      <c r="R5609">
        <v>4886.4279999999999</v>
      </c>
      <c r="S5609">
        <v>4775.4219999999996</v>
      </c>
      <c r="T5609">
        <v>4668.0879999999997</v>
      </c>
      <c r="U5609">
        <v>4565.0140000000001</v>
      </c>
      <c r="V5609">
        <v>4466.22</v>
      </c>
      <c r="W5609">
        <v>4372.3999999999996</v>
      </c>
      <c r="X5609">
        <v>4283.7539999999999</v>
      </c>
      <c r="Y5609">
        <v>4200.7560000000003</v>
      </c>
      <c r="Z5609">
        <v>4123.674</v>
      </c>
      <c r="AA5609">
        <v>4052.9780000000001</v>
      </c>
      <c r="AB5609">
        <v>3989.2510000000002</v>
      </c>
      <c r="AC5609">
        <v>3932.8040000000001</v>
      </c>
      <c r="AD5609">
        <v>3884.1390000000001</v>
      </c>
    </row>
    <row r="5610" spans="2:30" x14ac:dyDescent="0.25">
      <c r="B5610" t="s">
        <v>133</v>
      </c>
      <c r="C5610" t="s">
        <v>10598</v>
      </c>
      <c r="D5610" t="s">
        <v>5278</v>
      </c>
      <c r="E5610" t="s">
        <v>5279</v>
      </c>
      <c r="F5610" t="s">
        <v>11041</v>
      </c>
      <c r="G5610" t="s">
        <v>3890</v>
      </c>
      <c r="H5610" t="s">
        <v>109</v>
      </c>
      <c r="I5610" t="s">
        <v>108</v>
      </c>
      <c r="J5610">
        <v>1</v>
      </c>
      <c r="K5610">
        <v>271.34100000000001</v>
      </c>
      <c r="L5610">
        <v>251.108</v>
      </c>
      <c r="M5610">
        <v>298.85899999999998</v>
      </c>
      <c r="N5610">
        <v>395.57299999999998</v>
      </c>
      <c r="O5610">
        <v>406.19900000000001</v>
      </c>
      <c r="P5610">
        <v>418.90199999999999</v>
      </c>
      <c r="Q5610">
        <v>434.16399999999999</v>
      </c>
      <c r="R5610">
        <v>448.73200000000003</v>
      </c>
      <c r="S5610">
        <v>462.27499999999998</v>
      </c>
      <c r="T5610">
        <v>475.93200000000002</v>
      </c>
      <c r="U5610">
        <v>489.75400000000002</v>
      </c>
      <c r="V5610">
        <v>503.73700000000002</v>
      </c>
      <c r="W5610">
        <v>517.875</v>
      </c>
      <c r="X5610">
        <v>532.16300000000001</v>
      </c>
      <c r="Y5610">
        <v>546.59500000000003</v>
      </c>
      <c r="Z5610">
        <v>561.16800000000001</v>
      </c>
      <c r="AA5610">
        <v>575.875</v>
      </c>
      <c r="AB5610">
        <v>590.71100000000001</v>
      </c>
      <c r="AC5610">
        <v>605.66999999999996</v>
      </c>
      <c r="AD5610">
        <v>620.74699999999996</v>
      </c>
    </row>
    <row r="5611" spans="2:30" x14ac:dyDescent="0.25">
      <c r="B5611" t="s">
        <v>133</v>
      </c>
      <c r="C5611" t="s">
        <v>10598</v>
      </c>
      <c r="D5611" t="s">
        <v>5281</v>
      </c>
      <c r="E5611" t="s">
        <v>5282</v>
      </c>
      <c r="F5611" t="s">
        <v>11042</v>
      </c>
      <c r="G5611" t="s">
        <v>3890</v>
      </c>
      <c r="H5611" t="s">
        <v>109</v>
      </c>
      <c r="I5611" t="s">
        <v>108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</row>
    <row r="5612" spans="2:30" x14ac:dyDescent="0.25">
      <c r="B5612" t="s">
        <v>133</v>
      </c>
      <c r="C5612" t="s">
        <v>10598</v>
      </c>
      <c r="D5612" t="s">
        <v>5284</v>
      </c>
      <c r="E5612" t="s">
        <v>5285</v>
      </c>
      <c r="F5612" t="s">
        <v>11043</v>
      </c>
      <c r="G5612" t="s">
        <v>3890</v>
      </c>
      <c r="H5612" t="s">
        <v>109</v>
      </c>
      <c r="I5612" t="s">
        <v>108</v>
      </c>
      <c r="J5612">
        <v>1</v>
      </c>
      <c r="K5612">
        <v>2631.7759999999998</v>
      </c>
      <c r="L5612">
        <v>2478.98</v>
      </c>
      <c r="M5612">
        <v>2984.6860000000001</v>
      </c>
      <c r="N5612">
        <v>4071.1979999999999</v>
      </c>
      <c r="O5612">
        <v>4197.2</v>
      </c>
      <c r="P5612">
        <v>4345.6840000000002</v>
      </c>
      <c r="Q5612">
        <v>4521.9409999999998</v>
      </c>
      <c r="R5612">
        <v>4692.2730000000001</v>
      </c>
      <c r="S5612">
        <v>4853.1319999999996</v>
      </c>
      <c r="T5612">
        <v>5016.4009999999998</v>
      </c>
      <c r="U5612">
        <v>5182.6390000000001</v>
      </c>
      <c r="V5612">
        <v>5351.8220000000001</v>
      </c>
      <c r="W5612">
        <v>5523.9269999999997</v>
      </c>
      <c r="X5612">
        <v>5698.9250000000002</v>
      </c>
      <c r="Y5612">
        <v>5876.7870000000003</v>
      </c>
      <c r="Z5612">
        <v>6057.4840000000004</v>
      </c>
      <c r="AA5612">
        <v>6240.982</v>
      </c>
      <c r="AB5612">
        <v>6427.2479999999996</v>
      </c>
      <c r="AC5612">
        <v>6616.2449999999999</v>
      </c>
      <c r="AD5612">
        <v>6807.9340000000002</v>
      </c>
    </row>
    <row r="5613" spans="2:30" x14ac:dyDescent="0.25">
      <c r="B5613" t="s">
        <v>133</v>
      </c>
      <c r="C5613" t="s">
        <v>10598</v>
      </c>
      <c r="D5613" t="s">
        <v>5287</v>
      </c>
      <c r="E5613" t="s">
        <v>5288</v>
      </c>
      <c r="F5613" t="s">
        <v>11044</v>
      </c>
      <c r="G5613" t="s">
        <v>3890</v>
      </c>
      <c r="H5613" t="s">
        <v>109</v>
      </c>
      <c r="I5613" t="s">
        <v>108</v>
      </c>
      <c r="J5613">
        <v>1</v>
      </c>
      <c r="K5613">
        <v>93.265000000000001</v>
      </c>
      <c r="L5613">
        <v>85.225999999999999</v>
      </c>
      <c r="M5613">
        <v>100.645</v>
      </c>
      <c r="N5613">
        <v>132.56200000000001</v>
      </c>
      <c r="O5613">
        <v>132.166</v>
      </c>
      <c r="P5613">
        <v>131.77099999999999</v>
      </c>
      <c r="Q5613">
        <v>131.37799999999999</v>
      </c>
      <c r="R5613">
        <v>130.98500000000001</v>
      </c>
      <c r="S5613">
        <v>130.59399999999999</v>
      </c>
      <c r="T5613">
        <v>130.203</v>
      </c>
      <c r="U5613">
        <v>129.81399999999999</v>
      </c>
      <c r="V5613">
        <v>129.42599999999999</v>
      </c>
      <c r="W5613">
        <v>129.04</v>
      </c>
      <c r="X5613">
        <v>128.654</v>
      </c>
      <c r="Y5613">
        <v>128.27000000000001</v>
      </c>
      <c r="Z5613">
        <v>127.886</v>
      </c>
      <c r="AA5613">
        <v>127.504</v>
      </c>
      <c r="AB5613">
        <v>127.123</v>
      </c>
      <c r="AC5613">
        <v>126.74299999999999</v>
      </c>
      <c r="AD5613">
        <v>126.36499999999999</v>
      </c>
    </row>
    <row r="5614" spans="2:30" x14ac:dyDescent="0.25">
      <c r="B5614" t="s">
        <v>133</v>
      </c>
      <c r="C5614" t="s">
        <v>10598</v>
      </c>
      <c r="D5614" t="s">
        <v>5290</v>
      </c>
      <c r="E5614" t="s">
        <v>5291</v>
      </c>
      <c r="F5614" t="s">
        <v>11045</v>
      </c>
      <c r="G5614" t="s">
        <v>3890</v>
      </c>
      <c r="H5614" t="s">
        <v>109</v>
      </c>
      <c r="I5614" t="s">
        <v>108</v>
      </c>
      <c r="J5614">
        <v>1</v>
      </c>
      <c r="K5614">
        <v>80943.887000000002</v>
      </c>
      <c r="L5614">
        <v>79043.572</v>
      </c>
      <c r="M5614">
        <v>89446.432000000001</v>
      </c>
      <c r="N5614">
        <v>92506.974000000002</v>
      </c>
      <c r="O5614">
        <v>93053.847999999998</v>
      </c>
      <c r="P5614">
        <v>95277.157000000007</v>
      </c>
      <c r="Q5614">
        <v>99117.822</v>
      </c>
      <c r="R5614">
        <v>103220.34</v>
      </c>
      <c r="S5614">
        <v>107490.758</v>
      </c>
      <c r="T5614">
        <v>112241.56</v>
      </c>
      <c r="U5614">
        <v>117319.901</v>
      </c>
      <c r="V5614">
        <v>122798.42200000001</v>
      </c>
      <c r="W5614">
        <v>128640.893</v>
      </c>
      <c r="X5614">
        <v>134893.46599999999</v>
      </c>
      <c r="Y5614">
        <v>141544.65</v>
      </c>
      <c r="Z5614">
        <v>148675.48000000001</v>
      </c>
      <c r="AA5614">
        <v>156326.47200000001</v>
      </c>
      <c r="AB5614">
        <v>164563.21100000001</v>
      </c>
      <c r="AC5614">
        <v>173463.878</v>
      </c>
      <c r="AD5614">
        <v>182552.492</v>
      </c>
    </row>
    <row r="5615" spans="2:30" x14ac:dyDescent="0.25">
      <c r="B5615" t="s">
        <v>133</v>
      </c>
      <c r="C5615" t="s">
        <v>10598</v>
      </c>
      <c r="D5615" t="s">
        <v>5293</v>
      </c>
      <c r="E5615" t="s">
        <v>5143</v>
      </c>
      <c r="F5615" t="s">
        <v>10998</v>
      </c>
      <c r="G5615" t="s">
        <v>3890</v>
      </c>
      <c r="H5615" t="s">
        <v>109</v>
      </c>
      <c r="I5615" t="s">
        <v>108</v>
      </c>
      <c r="J5615">
        <v>1</v>
      </c>
      <c r="K5615">
        <v>1529.27</v>
      </c>
      <c r="L5615">
        <v>1206.73</v>
      </c>
      <c r="M5615">
        <v>1313.405</v>
      </c>
      <c r="N5615">
        <v>1308.827</v>
      </c>
      <c r="O5615">
        <v>1304.2660000000001</v>
      </c>
      <c r="P5615">
        <v>1299.72</v>
      </c>
      <c r="Q5615">
        <v>1295.19</v>
      </c>
      <c r="R5615">
        <v>1290.6759999999999</v>
      </c>
      <c r="S5615">
        <v>1286.1780000000001</v>
      </c>
      <c r="T5615">
        <v>1281.6949999999999</v>
      </c>
      <c r="U5615">
        <v>1277.2280000000001</v>
      </c>
      <c r="V5615">
        <v>1272.777</v>
      </c>
      <c r="W5615">
        <v>1268.3409999999999</v>
      </c>
      <c r="X5615">
        <v>1263.921</v>
      </c>
      <c r="Y5615">
        <v>1259.5160000000001</v>
      </c>
      <c r="Z5615">
        <v>1255.126</v>
      </c>
      <c r="AA5615">
        <v>1250.752</v>
      </c>
      <c r="AB5615">
        <v>1246.393</v>
      </c>
      <c r="AC5615">
        <v>1242.049</v>
      </c>
      <c r="AD5615">
        <v>1237.72</v>
      </c>
    </row>
    <row r="5616" spans="2:30" x14ac:dyDescent="0.25">
      <c r="B5616" t="s">
        <v>133</v>
      </c>
      <c r="C5616" t="s">
        <v>10598</v>
      </c>
      <c r="D5616" t="s">
        <v>5294</v>
      </c>
      <c r="E5616" t="s">
        <v>5295</v>
      </c>
      <c r="F5616" t="s">
        <v>11046</v>
      </c>
      <c r="G5616" t="s">
        <v>3890</v>
      </c>
      <c r="H5616" t="s">
        <v>109</v>
      </c>
      <c r="I5616" t="s">
        <v>108</v>
      </c>
      <c r="J5616">
        <v>1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</row>
    <row r="5617" spans="2:30" x14ac:dyDescent="0.25">
      <c r="B5617" t="s">
        <v>133</v>
      </c>
      <c r="C5617" t="s">
        <v>10598</v>
      </c>
      <c r="D5617" t="s">
        <v>5297</v>
      </c>
      <c r="E5617" t="s">
        <v>5298</v>
      </c>
      <c r="F5617" t="s">
        <v>11047</v>
      </c>
      <c r="G5617" t="s">
        <v>3890</v>
      </c>
      <c r="H5617" t="s">
        <v>109</v>
      </c>
      <c r="I5617" t="s">
        <v>108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</row>
    <row r="5618" spans="2:30" x14ac:dyDescent="0.25">
      <c r="B5618" t="s">
        <v>133</v>
      </c>
      <c r="C5618" t="s">
        <v>10598</v>
      </c>
      <c r="D5618" t="s">
        <v>5300</v>
      </c>
      <c r="E5618" t="s">
        <v>5301</v>
      </c>
      <c r="F5618" t="s">
        <v>11048</v>
      </c>
      <c r="G5618" t="s">
        <v>3890</v>
      </c>
      <c r="H5618" t="s">
        <v>109</v>
      </c>
      <c r="I5618" t="s">
        <v>108</v>
      </c>
      <c r="J5618">
        <v>1</v>
      </c>
      <c r="K5618">
        <v>1529.27</v>
      </c>
      <c r="L5618">
        <v>1206.73</v>
      </c>
      <c r="M5618">
        <v>1313.405</v>
      </c>
      <c r="N5618">
        <v>1308.827</v>
      </c>
      <c r="O5618">
        <v>1304.2660000000001</v>
      </c>
      <c r="P5618">
        <v>1299.72</v>
      </c>
      <c r="Q5618">
        <v>1295.19</v>
      </c>
      <c r="R5618">
        <v>1290.6759999999999</v>
      </c>
      <c r="S5618">
        <v>1286.1780000000001</v>
      </c>
      <c r="T5618">
        <v>1281.6949999999999</v>
      </c>
      <c r="U5618">
        <v>1277.2280000000001</v>
      </c>
      <c r="V5618">
        <v>1272.777</v>
      </c>
      <c r="W5618">
        <v>1268.3409999999999</v>
      </c>
      <c r="X5618">
        <v>1263.921</v>
      </c>
      <c r="Y5618">
        <v>1259.5160000000001</v>
      </c>
      <c r="Z5618">
        <v>1255.126</v>
      </c>
      <c r="AA5618">
        <v>1250.752</v>
      </c>
      <c r="AB5618">
        <v>1246.393</v>
      </c>
      <c r="AC5618">
        <v>1242.049</v>
      </c>
      <c r="AD5618">
        <v>1237.72</v>
      </c>
    </row>
    <row r="5619" spans="2:30" x14ac:dyDescent="0.25">
      <c r="B5619" t="s">
        <v>133</v>
      </c>
      <c r="C5619" t="s">
        <v>10598</v>
      </c>
      <c r="D5619" t="s">
        <v>5303</v>
      </c>
      <c r="E5619" t="s">
        <v>5304</v>
      </c>
      <c r="F5619" t="s">
        <v>11049</v>
      </c>
      <c r="G5619" t="s">
        <v>3890</v>
      </c>
      <c r="H5619" t="s">
        <v>109</v>
      </c>
      <c r="I5619" t="s">
        <v>108</v>
      </c>
      <c r="J5619">
        <v>1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</row>
    <row r="5620" spans="2:30" x14ac:dyDescent="0.25">
      <c r="B5620" t="s">
        <v>133</v>
      </c>
      <c r="C5620" t="s">
        <v>10598</v>
      </c>
      <c r="D5620" t="s">
        <v>5306</v>
      </c>
      <c r="E5620" t="s">
        <v>5307</v>
      </c>
      <c r="F5620" t="s">
        <v>11050</v>
      </c>
      <c r="G5620" t="s">
        <v>3890</v>
      </c>
      <c r="H5620" t="s">
        <v>109</v>
      </c>
      <c r="I5620" t="s">
        <v>108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</row>
    <row r="5621" spans="2:30" x14ac:dyDescent="0.25">
      <c r="B5621" t="s">
        <v>133</v>
      </c>
      <c r="C5621" t="s">
        <v>10598</v>
      </c>
      <c r="D5621" t="s">
        <v>5309</v>
      </c>
      <c r="E5621" t="s">
        <v>5113</v>
      </c>
      <c r="F5621" t="s">
        <v>10988</v>
      </c>
      <c r="G5621" t="s">
        <v>3890</v>
      </c>
      <c r="H5621" t="s">
        <v>109</v>
      </c>
      <c r="I5621" t="s">
        <v>108</v>
      </c>
      <c r="J5621">
        <v>1</v>
      </c>
      <c r="K5621">
        <v>84652.786999999997</v>
      </c>
      <c r="L5621">
        <v>82602.623000000007</v>
      </c>
      <c r="M5621">
        <v>93073.75</v>
      </c>
      <c r="N5621">
        <v>97658.462</v>
      </c>
      <c r="O5621">
        <v>99875.3</v>
      </c>
      <c r="P5621">
        <v>102716.353</v>
      </c>
      <c r="Q5621">
        <v>106863.671</v>
      </c>
      <c r="R5621">
        <v>111399.796</v>
      </c>
      <c r="S5621">
        <v>116199.088</v>
      </c>
      <c r="T5621">
        <v>121504.19100000001</v>
      </c>
      <c r="U5621">
        <v>127151.178</v>
      </c>
      <c r="V5621">
        <v>133218.09599999999</v>
      </c>
      <c r="W5621">
        <v>139690.15299999999</v>
      </c>
      <c r="X5621">
        <v>146624.323</v>
      </c>
      <c r="Y5621">
        <v>154026.609</v>
      </c>
      <c r="Z5621">
        <v>161987.94099999999</v>
      </c>
      <c r="AA5621">
        <v>170568.73300000001</v>
      </c>
      <c r="AB5621">
        <v>179854.755</v>
      </c>
      <c r="AC5621">
        <v>189930.576</v>
      </c>
      <c r="AD5621">
        <v>200449.89</v>
      </c>
    </row>
    <row r="5622" spans="2:30" x14ac:dyDescent="0.25">
      <c r="B5622" t="s">
        <v>133</v>
      </c>
      <c r="C5622" t="s">
        <v>10598</v>
      </c>
      <c r="D5622" t="s">
        <v>5310</v>
      </c>
      <c r="E5622" t="s">
        <v>5116</v>
      </c>
      <c r="F5622" t="s">
        <v>10989</v>
      </c>
      <c r="G5622" t="s">
        <v>3890</v>
      </c>
      <c r="H5622" t="s">
        <v>109</v>
      </c>
      <c r="I5622" t="s">
        <v>108</v>
      </c>
      <c r="J5622">
        <v>1</v>
      </c>
      <c r="K5622">
        <v>1651.0930000000001</v>
      </c>
      <c r="L5622">
        <v>1545.134</v>
      </c>
      <c r="M5622">
        <v>1836.8230000000001</v>
      </c>
      <c r="N5622">
        <v>1975.171</v>
      </c>
      <c r="O5622">
        <v>2006.8579999999999</v>
      </c>
      <c r="P5622">
        <v>2038.454</v>
      </c>
      <c r="Q5622">
        <v>2090.7600000000002</v>
      </c>
      <c r="R5622">
        <v>2141.0300000000002</v>
      </c>
      <c r="S5622">
        <v>2188.41</v>
      </c>
      <c r="T5622">
        <v>2235.8040000000001</v>
      </c>
      <c r="U5622">
        <v>2278.1129999999998</v>
      </c>
      <c r="V5622">
        <v>2320.529</v>
      </c>
      <c r="W5622">
        <v>2363.0390000000002</v>
      </c>
      <c r="X5622">
        <v>2405.6320000000001</v>
      </c>
      <c r="Y5622">
        <v>2448.2950000000001</v>
      </c>
      <c r="Z5622">
        <v>2491.0169999999998</v>
      </c>
      <c r="AA5622">
        <v>2533.7860000000001</v>
      </c>
      <c r="AB5622">
        <v>2576.5909999999999</v>
      </c>
      <c r="AC5622">
        <v>2619.4189999999999</v>
      </c>
      <c r="AD5622">
        <v>2662.26</v>
      </c>
    </row>
    <row r="5623" spans="2:30" x14ac:dyDescent="0.25">
      <c r="B5623" t="s">
        <v>133</v>
      </c>
      <c r="C5623" t="s">
        <v>10598</v>
      </c>
      <c r="D5623" t="s">
        <v>5311</v>
      </c>
      <c r="E5623" t="s">
        <v>5119</v>
      </c>
      <c r="F5623" t="s">
        <v>10990</v>
      </c>
      <c r="G5623" t="s">
        <v>3890</v>
      </c>
      <c r="H5623" t="s">
        <v>109</v>
      </c>
      <c r="I5623" t="s">
        <v>108</v>
      </c>
      <c r="J5623">
        <v>1</v>
      </c>
      <c r="K5623">
        <v>42937.004999999997</v>
      </c>
      <c r="L5623">
        <v>39972.089</v>
      </c>
      <c r="M5623">
        <v>47160.224000000002</v>
      </c>
      <c r="N5623">
        <v>48233.159</v>
      </c>
      <c r="O5623">
        <v>47662.413</v>
      </c>
      <c r="P5623">
        <v>47791.322</v>
      </c>
      <c r="Q5623">
        <v>49278.682000000001</v>
      </c>
      <c r="R5623">
        <v>50899.313000000002</v>
      </c>
      <c r="S5623">
        <v>52357.773000000001</v>
      </c>
      <c r="T5623">
        <v>53867.593000000001</v>
      </c>
      <c r="U5623">
        <v>55466.71</v>
      </c>
      <c r="V5623">
        <v>57238.966</v>
      </c>
      <c r="W5623">
        <v>59179.911999999997</v>
      </c>
      <c r="X5623">
        <v>61338.946000000004</v>
      </c>
      <c r="Y5623">
        <v>63721.597999999998</v>
      </c>
      <c r="Z5623">
        <v>66384.604000000007</v>
      </c>
      <c r="AA5623">
        <v>69370.457999999999</v>
      </c>
      <c r="AB5623">
        <v>72742.524000000005</v>
      </c>
      <c r="AC5623">
        <v>76574.815000000002</v>
      </c>
      <c r="AD5623">
        <v>80432.479999999996</v>
      </c>
    </row>
    <row r="5624" spans="2:30" x14ac:dyDescent="0.25">
      <c r="B5624" t="s">
        <v>133</v>
      </c>
      <c r="C5624" t="s">
        <v>10598</v>
      </c>
      <c r="D5624" t="s">
        <v>5312</v>
      </c>
      <c r="E5624" t="s">
        <v>5122</v>
      </c>
      <c r="F5624" t="s">
        <v>10991</v>
      </c>
      <c r="G5624" t="s">
        <v>3890</v>
      </c>
      <c r="H5624" t="s">
        <v>109</v>
      </c>
      <c r="I5624" t="s">
        <v>108</v>
      </c>
      <c r="J5624">
        <v>1</v>
      </c>
      <c r="K5624">
        <v>7688.0550000000003</v>
      </c>
      <c r="L5624">
        <v>7378.8829999999998</v>
      </c>
      <c r="M5624">
        <v>7817.37</v>
      </c>
      <c r="N5624">
        <v>9960.232</v>
      </c>
      <c r="O5624">
        <v>9985.7199999999993</v>
      </c>
      <c r="P5624">
        <v>10027.691000000001</v>
      </c>
      <c r="Q5624">
        <v>10091.909</v>
      </c>
      <c r="R5624">
        <v>10158.418</v>
      </c>
      <c r="S5624">
        <v>10221.422</v>
      </c>
      <c r="T5624">
        <v>10290.624</v>
      </c>
      <c r="U5624">
        <v>10367.221</v>
      </c>
      <c r="V5624">
        <v>10451.206</v>
      </c>
      <c r="W5624">
        <v>10543.242</v>
      </c>
      <c r="X5624">
        <v>10643.495000000001</v>
      </c>
      <c r="Y5624">
        <v>10752.409</v>
      </c>
      <c r="Z5624">
        <v>10870.213</v>
      </c>
      <c r="AA5624">
        <v>10997.34</v>
      </c>
      <c r="AB5624">
        <v>11134.334000000001</v>
      </c>
      <c r="AC5624">
        <v>11281.462</v>
      </c>
      <c r="AD5624">
        <v>11439.184999999999</v>
      </c>
    </row>
    <row r="5625" spans="2:30" x14ac:dyDescent="0.25">
      <c r="B5625" t="s">
        <v>133</v>
      </c>
      <c r="C5625" t="s">
        <v>10598</v>
      </c>
      <c r="D5625" t="s">
        <v>5313</v>
      </c>
      <c r="E5625" t="s">
        <v>5125</v>
      </c>
      <c r="F5625" t="s">
        <v>10992</v>
      </c>
      <c r="G5625" t="s">
        <v>3890</v>
      </c>
      <c r="H5625" t="s">
        <v>109</v>
      </c>
      <c r="I5625" t="s">
        <v>108</v>
      </c>
      <c r="J5625">
        <v>1</v>
      </c>
      <c r="K5625">
        <v>7404.3140000000003</v>
      </c>
      <c r="L5625">
        <v>7147.93</v>
      </c>
      <c r="M5625">
        <v>7001.1750000000002</v>
      </c>
      <c r="N5625">
        <v>6753.6639999999998</v>
      </c>
      <c r="O5625">
        <v>6886.5370000000003</v>
      </c>
      <c r="P5625">
        <v>7548.8450000000003</v>
      </c>
      <c r="Q5625">
        <v>8264.5689999999995</v>
      </c>
      <c r="R5625">
        <v>9039.0759999999991</v>
      </c>
      <c r="S5625">
        <v>9962.8960000000006</v>
      </c>
      <c r="T5625">
        <v>11054.998</v>
      </c>
      <c r="U5625">
        <v>12234.905000000001</v>
      </c>
      <c r="V5625">
        <v>13496.28</v>
      </c>
      <c r="W5625">
        <v>14832.477999999999</v>
      </c>
      <c r="X5625">
        <v>16236.264999999999</v>
      </c>
      <c r="Y5625">
        <v>17698.236000000001</v>
      </c>
      <c r="Z5625">
        <v>19231.580999999998</v>
      </c>
      <c r="AA5625">
        <v>20833.865000000002</v>
      </c>
      <c r="AB5625">
        <v>22502.576000000001</v>
      </c>
      <c r="AC5625">
        <v>24236.007000000001</v>
      </c>
      <c r="AD5625">
        <v>26000.738000000001</v>
      </c>
    </row>
    <row r="5626" spans="2:30" x14ac:dyDescent="0.25">
      <c r="B5626" t="s">
        <v>133</v>
      </c>
      <c r="C5626" t="s">
        <v>10598</v>
      </c>
      <c r="D5626" t="s">
        <v>5314</v>
      </c>
      <c r="E5626" t="s">
        <v>5128</v>
      </c>
      <c r="F5626" t="s">
        <v>10993</v>
      </c>
      <c r="G5626" t="s">
        <v>3890</v>
      </c>
      <c r="H5626" t="s">
        <v>109</v>
      </c>
      <c r="I5626" t="s">
        <v>108</v>
      </c>
      <c r="J5626">
        <v>1</v>
      </c>
      <c r="K5626">
        <v>15214.834999999999</v>
      </c>
      <c r="L5626">
        <v>16168.272999999999</v>
      </c>
      <c r="M5626">
        <v>17468.254000000001</v>
      </c>
      <c r="N5626">
        <v>17210.601999999999</v>
      </c>
      <c r="O5626">
        <v>17931.196</v>
      </c>
      <c r="P5626">
        <v>19045.128000000001</v>
      </c>
      <c r="Q5626">
        <v>20275.215</v>
      </c>
      <c r="R5626">
        <v>21586.026999999998</v>
      </c>
      <c r="S5626">
        <v>23101.032999999999</v>
      </c>
      <c r="T5626">
        <v>24867.491999999998</v>
      </c>
      <c r="U5626">
        <v>26778.222000000002</v>
      </c>
      <c r="V5626">
        <v>28823.22</v>
      </c>
      <c r="W5626">
        <v>30976.742999999999</v>
      </c>
      <c r="X5626">
        <v>33242.675999999999</v>
      </c>
      <c r="Y5626">
        <v>35613.025999999998</v>
      </c>
      <c r="Z5626">
        <v>38098.741000000002</v>
      </c>
      <c r="AA5626">
        <v>40699.917000000001</v>
      </c>
      <c r="AB5626">
        <v>43420.819000000003</v>
      </c>
      <c r="AC5626">
        <v>46267.131999999998</v>
      </c>
      <c r="AD5626">
        <v>49230.773999999998</v>
      </c>
    </row>
    <row r="5627" spans="2:30" x14ac:dyDescent="0.25">
      <c r="B5627" t="s">
        <v>133</v>
      </c>
      <c r="C5627" t="s">
        <v>10598</v>
      </c>
      <c r="D5627" t="s">
        <v>5315</v>
      </c>
      <c r="E5627" t="s">
        <v>5131</v>
      </c>
      <c r="F5627" t="s">
        <v>10994</v>
      </c>
      <c r="G5627" t="s">
        <v>3890</v>
      </c>
      <c r="H5627" t="s">
        <v>109</v>
      </c>
      <c r="I5627" t="s">
        <v>108</v>
      </c>
      <c r="J5627">
        <v>1</v>
      </c>
      <c r="K5627">
        <v>5389.2640000000001</v>
      </c>
      <c r="L5627">
        <v>6059.357</v>
      </c>
      <c r="M5627">
        <v>7304.8469999999998</v>
      </c>
      <c r="N5627">
        <v>7485.0290000000005</v>
      </c>
      <c r="O5627">
        <v>7660.826</v>
      </c>
      <c r="P5627">
        <v>7867.7740000000003</v>
      </c>
      <c r="Q5627">
        <v>8112.866</v>
      </c>
      <c r="R5627">
        <v>8347.6450000000004</v>
      </c>
      <c r="S5627">
        <v>8567.366</v>
      </c>
      <c r="T5627">
        <v>8788.9699999999993</v>
      </c>
      <c r="U5627">
        <v>9013.2360000000008</v>
      </c>
      <c r="V5627">
        <v>9240.1190000000006</v>
      </c>
      <c r="W5627">
        <v>9469.5740000000005</v>
      </c>
      <c r="X5627">
        <v>9701.5529999999999</v>
      </c>
      <c r="Y5627">
        <v>9936.0069999999996</v>
      </c>
      <c r="Z5627">
        <v>10172.888000000001</v>
      </c>
      <c r="AA5627">
        <v>10412.143</v>
      </c>
      <c r="AB5627">
        <v>10653.721</v>
      </c>
      <c r="AC5627">
        <v>10897.566999999999</v>
      </c>
      <c r="AD5627">
        <v>11143.626</v>
      </c>
    </row>
    <row r="5628" spans="2:30" x14ac:dyDescent="0.25">
      <c r="B5628" t="s">
        <v>133</v>
      </c>
      <c r="C5628" t="s">
        <v>10598</v>
      </c>
      <c r="D5628" t="s">
        <v>5316</v>
      </c>
      <c r="E5628" t="s">
        <v>5134</v>
      </c>
      <c r="F5628" t="s">
        <v>10995</v>
      </c>
      <c r="G5628" t="s">
        <v>3890</v>
      </c>
      <c r="H5628" t="s">
        <v>109</v>
      </c>
      <c r="I5628" t="s">
        <v>108</v>
      </c>
      <c r="J5628">
        <v>1</v>
      </c>
      <c r="K5628">
        <v>659.322</v>
      </c>
      <c r="L5628">
        <v>771.90700000000004</v>
      </c>
      <c r="M5628">
        <v>857.73800000000006</v>
      </c>
      <c r="N5628">
        <v>889.11699999999996</v>
      </c>
      <c r="O5628">
        <v>920.298</v>
      </c>
      <c r="P5628">
        <v>957.94299999999998</v>
      </c>
      <c r="Q5628">
        <v>1003.823</v>
      </c>
      <c r="R5628">
        <v>1048.83</v>
      </c>
      <c r="S5628">
        <v>1091.8589999999999</v>
      </c>
      <c r="T5628">
        <v>1136.079</v>
      </c>
      <c r="U5628">
        <v>1181.4929999999999</v>
      </c>
      <c r="V5628">
        <v>1228.1030000000001</v>
      </c>
      <c r="W5628">
        <v>1275.9059999999999</v>
      </c>
      <c r="X5628">
        <v>1324.8989999999999</v>
      </c>
      <c r="Y5628">
        <v>1375.079</v>
      </c>
      <c r="Z5628">
        <v>1426.4359999999999</v>
      </c>
      <c r="AA5628">
        <v>1478.963</v>
      </c>
      <c r="AB5628">
        <v>1532.6469999999999</v>
      </c>
      <c r="AC5628">
        <v>1587.4749999999999</v>
      </c>
      <c r="AD5628">
        <v>1643.43</v>
      </c>
    </row>
    <row r="5629" spans="2:30" x14ac:dyDescent="0.25">
      <c r="B5629" t="s">
        <v>133</v>
      </c>
      <c r="C5629" t="s">
        <v>10598</v>
      </c>
      <c r="D5629" t="s">
        <v>5317</v>
      </c>
      <c r="E5629" t="s">
        <v>5143</v>
      </c>
      <c r="F5629" t="s">
        <v>10998</v>
      </c>
      <c r="G5629" t="s">
        <v>3890</v>
      </c>
      <c r="H5629" t="s">
        <v>109</v>
      </c>
      <c r="I5629" t="s">
        <v>108</v>
      </c>
      <c r="J5629">
        <v>1</v>
      </c>
      <c r="K5629">
        <v>1529.27</v>
      </c>
      <c r="L5629">
        <v>1206.73</v>
      </c>
      <c r="M5629">
        <v>1313.405</v>
      </c>
      <c r="N5629">
        <v>1308.827</v>
      </c>
      <c r="O5629">
        <v>1304.2660000000001</v>
      </c>
      <c r="P5629">
        <v>1299.72</v>
      </c>
      <c r="Q5629">
        <v>1295.19</v>
      </c>
      <c r="R5629">
        <v>1290.6759999999999</v>
      </c>
      <c r="S5629">
        <v>1286.1780000000001</v>
      </c>
      <c r="T5629">
        <v>1281.6949999999999</v>
      </c>
      <c r="U5629">
        <v>1277.2280000000001</v>
      </c>
      <c r="V5629">
        <v>1272.777</v>
      </c>
      <c r="W5629">
        <v>1268.3409999999999</v>
      </c>
      <c r="X5629">
        <v>1263.921</v>
      </c>
      <c r="Y5629">
        <v>1259.5160000000001</v>
      </c>
      <c r="Z5629">
        <v>1255.126</v>
      </c>
      <c r="AA5629">
        <v>1250.752</v>
      </c>
      <c r="AB5629">
        <v>1246.393</v>
      </c>
      <c r="AC5629">
        <v>1242.049</v>
      </c>
      <c r="AD5629">
        <v>1237.72</v>
      </c>
    </row>
    <row r="5630" spans="2:30" x14ac:dyDescent="0.25">
      <c r="B5630" t="s">
        <v>133</v>
      </c>
      <c r="C5630" t="s">
        <v>10598</v>
      </c>
      <c r="D5630" t="s">
        <v>5318</v>
      </c>
      <c r="E5630" t="s">
        <v>5319</v>
      </c>
      <c r="F5630" t="s">
        <v>11051</v>
      </c>
      <c r="G5630" t="s">
        <v>3890</v>
      </c>
      <c r="H5630" t="s">
        <v>109</v>
      </c>
      <c r="I5630" t="s">
        <v>108</v>
      </c>
      <c r="J5630">
        <v>1</v>
      </c>
      <c r="K5630">
        <v>2179.63</v>
      </c>
      <c r="L5630">
        <v>2352.3209999999999</v>
      </c>
      <c r="M5630">
        <v>2313.9140000000002</v>
      </c>
      <c r="N5630">
        <v>3842.66</v>
      </c>
      <c r="O5630">
        <v>5517.1859999999997</v>
      </c>
      <c r="P5630">
        <v>6139.4759999999997</v>
      </c>
      <c r="Q5630">
        <v>6450.6589999999997</v>
      </c>
      <c r="R5630">
        <v>6888.7790000000005</v>
      </c>
      <c r="S5630">
        <v>7422.152</v>
      </c>
      <c r="T5630">
        <v>7980.9359999999997</v>
      </c>
      <c r="U5630">
        <v>8554.0490000000009</v>
      </c>
      <c r="V5630">
        <v>9146.8970000000008</v>
      </c>
      <c r="W5630">
        <v>9780.9179999999997</v>
      </c>
      <c r="X5630">
        <v>10466.936</v>
      </c>
      <c r="Y5630">
        <v>11222.444</v>
      </c>
      <c r="Z5630">
        <v>12057.334000000001</v>
      </c>
      <c r="AA5630">
        <v>12991.509</v>
      </c>
      <c r="AB5630">
        <v>14045.151</v>
      </c>
      <c r="AC5630">
        <v>15224.648999999999</v>
      </c>
      <c r="AD5630">
        <v>16659.678</v>
      </c>
    </row>
    <row r="5631" spans="2:30" x14ac:dyDescent="0.25">
      <c r="B5631" t="s">
        <v>133</v>
      </c>
      <c r="C5631" t="s">
        <v>10598</v>
      </c>
      <c r="D5631" t="s">
        <v>5321</v>
      </c>
      <c r="E5631" t="s">
        <v>5149</v>
      </c>
      <c r="F5631" t="s">
        <v>11000</v>
      </c>
      <c r="G5631" t="s">
        <v>3890</v>
      </c>
      <c r="H5631" t="s">
        <v>109</v>
      </c>
      <c r="I5631" t="s">
        <v>108</v>
      </c>
      <c r="J5631">
        <v>1</v>
      </c>
      <c r="K5631">
        <v>1651.0930000000001</v>
      </c>
      <c r="L5631">
        <v>1545.134</v>
      </c>
      <c r="M5631">
        <v>1836.8230000000001</v>
      </c>
      <c r="N5631">
        <v>1975.171</v>
      </c>
      <c r="O5631">
        <v>2006.8579999999999</v>
      </c>
      <c r="P5631">
        <v>2026.4079999999999</v>
      </c>
      <c r="Q5631">
        <v>1955.184</v>
      </c>
      <c r="R5631">
        <v>2023.6469999999999</v>
      </c>
      <c r="S5631">
        <v>2073.5839999999998</v>
      </c>
      <c r="T5631">
        <v>2144.1669999999999</v>
      </c>
      <c r="U5631">
        <v>2197.6529999999998</v>
      </c>
      <c r="V5631">
        <v>2266.8580000000002</v>
      </c>
      <c r="W5631">
        <v>2331.96</v>
      </c>
      <c r="X5631">
        <v>2405.3009999999999</v>
      </c>
      <c r="Y5631">
        <v>2448.1590000000001</v>
      </c>
      <c r="Z5631">
        <v>2491.4079999999999</v>
      </c>
      <c r="AA5631">
        <v>2535.3310000000001</v>
      </c>
      <c r="AB5631">
        <v>2579.741</v>
      </c>
      <c r="AC5631">
        <v>2625.2350000000001</v>
      </c>
      <c r="AD5631">
        <v>2671.0479999999998</v>
      </c>
    </row>
    <row r="5632" spans="2:30" x14ac:dyDescent="0.25">
      <c r="B5632" t="s">
        <v>133</v>
      </c>
      <c r="C5632" t="s">
        <v>10598</v>
      </c>
      <c r="D5632" t="s">
        <v>5322</v>
      </c>
      <c r="E5632" t="s">
        <v>5323</v>
      </c>
      <c r="F5632" t="s">
        <v>11052</v>
      </c>
      <c r="G5632" t="s">
        <v>3890</v>
      </c>
      <c r="H5632" t="s">
        <v>109</v>
      </c>
      <c r="I5632" t="s">
        <v>108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</row>
    <row r="5633" spans="2:30" x14ac:dyDescent="0.25">
      <c r="B5633" t="s">
        <v>133</v>
      </c>
      <c r="C5633" t="s">
        <v>10598</v>
      </c>
      <c r="D5633" t="s">
        <v>5325</v>
      </c>
      <c r="E5633" t="s">
        <v>5326</v>
      </c>
      <c r="F5633" t="s">
        <v>11053</v>
      </c>
      <c r="G5633" t="s">
        <v>3890</v>
      </c>
      <c r="H5633" t="s">
        <v>109</v>
      </c>
      <c r="I5633" t="s">
        <v>108</v>
      </c>
      <c r="J5633">
        <v>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</row>
    <row r="5634" spans="2:30" x14ac:dyDescent="0.25">
      <c r="B5634" t="s">
        <v>133</v>
      </c>
      <c r="C5634" t="s">
        <v>10598</v>
      </c>
      <c r="D5634" t="s">
        <v>5328</v>
      </c>
      <c r="E5634" t="s">
        <v>5329</v>
      </c>
      <c r="F5634" t="s">
        <v>11054</v>
      </c>
      <c r="G5634" t="s">
        <v>3890</v>
      </c>
      <c r="H5634" t="s">
        <v>109</v>
      </c>
      <c r="I5634" t="s">
        <v>108</v>
      </c>
      <c r="J5634">
        <v>1</v>
      </c>
      <c r="K5634">
        <v>1.6379999999999999</v>
      </c>
      <c r="L5634">
        <v>1.6379999999999999</v>
      </c>
      <c r="M5634">
        <v>1.8740000000000001</v>
      </c>
      <c r="N5634">
        <v>1.978</v>
      </c>
      <c r="O5634">
        <v>1.994</v>
      </c>
      <c r="P5634">
        <v>2.008</v>
      </c>
      <c r="Q5634">
        <v>2.0369999999999999</v>
      </c>
      <c r="R5634">
        <v>2.0640000000000001</v>
      </c>
      <c r="S5634">
        <v>2.09</v>
      </c>
      <c r="T5634">
        <v>2.1150000000000002</v>
      </c>
      <c r="U5634">
        <v>2.1360000000000001</v>
      </c>
      <c r="V5634">
        <v>2.157</v>
      </c>
      <c r="W5634">
        <v>2.177</v>
      </c>
      <c r="X5634">
        <v>2.1970000000000001</v>
      </c>
      <c r="Y5634">
        <v>2.218</v>
      </c>
      <c r="Z5634">
        <v>2.238</v>
      </c>
      <c r="AA5634">
        <v>2.2589999999999999</v>
      </c>
      <c r="AB5634">
        <v>2.2789999999999999</v>
      </c>
      <c r="AC5634">
        <v>2.2999999999999998</v>
      </c>
      <c r="AD5634">
        <v>2.3210000000000002</v>
      </c>
    </row>
    <row r="5635" spans="2:30" x14ac:dyDescent="0.25">
      <c r="B5635" t="s">
        <v>133</v>
      </c>
      <c r="C5635" t="s">
        <v>10598</v>
      </c>
      <c r="D5635" t="s">
        <v>5331</v>
      </c>
      <c r="E5635" t="s">
        <v>5332</v>
      </c>
      <c r="F5635" t="s">
        <v>11055</v>
      </c>
      <c r="G5635" t="s">
        <v>3890</v>
      </c>
      <c r="H5635" t="s">
        <v>109</v>
      </c>
      <c r="I5635" t="s">
        <v>108</v>
      </c>
      <c r="J5635">
        <v>2</v>
      </c>
      <c r="K5635">
        <v>1649.4549999999999</v>
      </c>
      <c r="L5635">
        <v>1543.4960000000001</v>
      </c>
      <c r="M5635">
        <v>1834.9490000000001</v>
      </c>
      <c r="N5635">
        <v>1973.192</v>
      </c>
      <c r="O5635">
        <v>2004.864</v>
      </c>
      <c r="P5635">
        <v>2024.4</v>
      </c>
      <c r="Q5635">
        <v>1953.1469999999999</v>
      </c>
      <c r="R5635">
        <v>2021.5830000000001</v>
      </c>
      <c r="S5635">
        <v>2071.4940000000001</v>
      </c>
      <c r="T5635">
        <v>2142.0520000000001</v>
      </c>
      <c r="U5635">
        <v>2195.5169999999998</v>
      </c>
      <c r="V5635">
        <v>2264.7020000000002</v>
      </c>
      <c r="W5635">
        <v>2329.7829999999999</v>
      </c>
      <c r="X5635">
        <v>2403.1030000000001</v>
      </c>
      <c r="Y5635">
        <v>2445.9409999999998</v>
      </c>
      <c r="Z5635">
        <v>2489.17</v>
      </c>
      <c r="AA5635">
        <v>2533.0729999999999</v>
      </c>
      <c r="AB5635">
        <v>2577.462</v>
      </c>
      <c r="AC5635">
        <v>2622.9360000000001</v>
      </c>
      <c r="AD5635">
        <v>2668.7269999999999</v>
      </c>
    </row>
    <row r="5636" spans="2:30" x14ac:dyDescent="0.25">
      <c r="B5636" t="s">
        <v>133</v>
      </c>
      <c r="C5636" t="s">
        <v>10598</v>
      </c>
      <c r="D5636" t="s">
        <v>5334</v>
      </c>
      <c r="E5636" t="s">
        <v>5335</v>
      </c>
      <c r="F5636" t="s">
        <v>11056</v>
      </c>
      <c r="G5636" t="s">
        <v>3890</v>
      </c>
      <c r="H5636" t="s">
        <v>109</v>
      </c>
      <c r="I5636" t="s">
        <v>108</v>
      </c>
      <c r="J5636">
        <v>2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</row>
    <row r="5637" spans="2:30" x14ac:dyDescent="0.25">
      <c r="B5637" t="s">
        <v>133</v>
      </c>
      <c r="C5637" t="s">
        <v>10598</v>
      </c>
      <c r="D5637" t="s">
        <v>5337</v>
      </c>
      <c r="E5637" t="s">
        <v>5152</v>
      </c>
      <c r="F5637" t="s">
        <v>11001</v>
      </c>
      <c r="G5637" t="s">
        <v>3890</v>
      </c>
      <c r="H5637" t="s">
        <v>109</v>
      </c>
      <c r="I5637" t="s">
        <v>108</v>
      </c>
      <c r="J5637">
        <v>2</v>
      </c>
      <c r="K5637">
        <v>42937.004999999997</v>
      </c>
      <c r="L5637">
        <v>39972.089</v>
      </c>
      <c r="M5637">
        <v>47160.224000000002</v>
      </c>
      <c r="N5637">
        <v>48233.159</v>
      </c>
      <c r="O5637">
        <v>47662.413</v>
      </c>
      <c r="P5637">
        <v>47777.061999999998</v>
      </c>
      <c r="Q5637">
        <v>49101.828999999998</v>
      </c>
      <c r="R5637">
        <v>50144.32</v>
      </c>
      <c r="S5637">
        <v>51211.275000000001</v>
      </c>
      <c r="T5637">
        <v>52027.493999999999</v>
      </c>
      <c r="U5637">
        <v>53310.243000000002</v>
      </c>
      <c r="V5637">
        <v>54181.968999999997</v>
      </c>
      <c r="W5637">
        <v>55858.025999999998</v>
      </c>
      <c r="X5637">
        <v>56904.837</v>
      </c>
      <c r="Y5637">
        <v>59078.654999999999</v>
      </c>
      <c r="Z5637">
        <v>61691.05</v>
      </c>
      <c r="AA5637">
        <v>63611.794999999998</v>
      </c>
      <c r="AB5637">
        <v>68281.623999999996</v>
      </c>
      <c r="AC5637">
        <v>68730.48</v>
      </c>
      <c r="AD5637">
        <v>76321.388999999996</v>
      </c>
    </row>
    <row r="5638" spans="2:30" x14ac:dyDescent="0.25">
      <c r="B5638" t="s">
        <v>133</v>
      </c>
      <c r="C5638" t="s">
        <v>10598</v>
      </c>
      <c r="D5638" t="s">
        <v>5338</v>
      </c>
      <c r="E5638" t="s">
        <v>5339</v>
      </c>
      <c r="F5638" t="s">
        <v>11057</v>
      </c>
      <c r="G5638" t="s">
        <v>3890</v>
      </c>
      <c r="H5638" t="s">
        <v>109</v>
      </c>
      <c r="I5638" t="s">
        <v>108</v>
      </c>
      <c r="J5638">
        <v>2</v>
      </c>
      <c r="K5638">
        <v>29443.696</v>
      </c>
      <c r="L5638">
        <v>28005.066999999999</v>
      </c>
      <c r="M5638">
        <v>33518.292000000001</v>
      </c>
      <c r="N5638">
        <v>34175.911</v>
      </c>
      <c r="O5638">
        <v>33169.455999999998</v>
      </c>
      <c r="P5638">
        <v>32743.57</v>
      </c>
      <c r="Q5638">
        <v>33560.625</v>
      </c>
      <c r="R5638">
        <v>33933.82</v>
      </c>
      <c r="S5638">
        <v>34373.330999999998</v>
      </c>
      <c r="T5638">
        <v>34511.955999999998</v>
      </c>
      <c r="U5638">
        <v>35114.434000000001</v>
      </c>
      <c r="V5638">
        <v>35264.879000000001</v>
      </c>
      <c r="W5638">
        <v>36205.402000000002</v>
      </c>
      <c r="X5638">
        <v>36483.946000000004</v>
      </c>
      <c r="Y5638">
        <v>37910.767999999996</v>
      </c>
      <c r="Z5638">
        <v>39752.267</v>
      </c>
      <c r="AA5638">
        <v>40873.697</v>
      </c>
      <c r="AB5638">
        <v>44718.127999999997</v>
      </c>
      <c r="AC5638">
        <v>44305.824999999997</v>
      </c>
      <c r="AD5638">
        <v>51013.141000000003</v>
      </c>
    </row>
    <row r="5639" spans="2:30" x14ac:dyDescent="0.25">
      <c r="B5639" t="s">
        <v>133</v>
      </c>
      <c r="C5639" t="s">
        <v>10598</v>
      </c>
      <c r="D5639" t="s">
        <v>5341</v>
      </c>
      <c r="E5639" t="s">
        <v>5342</v>
      </c>
      <c r="F5639" t="s">
        <v>11058</v>
      </c>
      <c r="G5639" t="s">
        <v>3890</v>
      </c>
      <c r="H5639" t="s">
        <v>109</v>
      </c>
      <c r="I5639" t="s">
        <v>108</v>
      </c>
      <c r="J5639">
        <v>2</v>
      </c>
      <c r="K5639">
        <v>495.238</v>
      </c>
      <c r="L5639">
        <v>484.52</v>
      </c>
      <c r="M5639">
        <v>472.24900000000002</v>
      </c>
      <c r="N5639">
        <v>454.66399999999999</v>
      </c>
      <c r="O5639">
        <v>463.9</v>
      </c>
      <c r="P5639">
        <v>509.44099999999997</v>
      </c>
      <c r="Q5639">
        <v>559.21799999999996</v>
      </c>
      <c r="R5639">
        <v>613.42899999999997</v>
      </c>
      <c r="S5639">
        <v>678.09699999999998</v>
      </c>
      <c r="T5639">
        <v>754.60299999999995</v>
      </c>
      <c r="U5639">
        <v>837.61900000000003</v>
      </c>
      <c r="V5639">
        <v>926.78399999999999</v>
      </c>
      <c r="W5639">
        <v>1021.675</v>
      </c>
      <c r="X5639">
        <v>1121.827</v>
      </c>
      <c r="Y5639">
        <v>1226.672</v>
      </c>
      <c r="Z5639">
        <v>1337.145</v>
      </c>
      <c r="AA5639">
        <v>1453.0889999999999</v>
      </c>
      <c r="AB5639">
        <v>1574.4269999999999</v>
      </c>
      <c r="AC5639">
        <v>1700.9690000000001</v>
      </c>
      <c r="AD5639">
        <v>1830.63</v>
      </c>
    </row>
    <row r="5640" spans="2:30" x14ac:dyDescent="0.25">
      <c r="B5640" t="s">
        <v>133</v>
      </c>
      <c r="C5640" t="s">
        <v>10598</v>
      </c>
      <c r="D5640" t="s">
        <v>5344</v>
      </c>
      <c r="E5640" t="s">
        <v>5345</v>
      </c>
      <c r="F5640" t="s">
        <v>11059</v>
      </c>
      <c r="G5640" t="s">
        <v>3890</v>
      </c>
      <c r="H5640" t="s">
        <v>109</v>
      </c>
      <c r="I5640" t="s">
        <v>108</v>
      </c>
      <c r="J5640">
        <v>2</v>
      </c>
      <c r="K5640">
        <v>1921.182</v>
      </c>
      <c r="L5640">
        <v>1978.2729999999999</v>
      </c>
      <c r="M5640">
        <v>2706.33</v>
      </c>
      <c r="N5640">
        <v>2725.7469999999998</v>
      </c>
      <c r="O5640">
        <v>2743.748</v>
      </c>
      <c r="P5640">
        <v>2766.3090000000002</v>
      </c>
      <c r="Q5640">
        <v>2794.2820000000002</v>
      </c>
      <c r="R5640">
        <v>2819.6219999999998</v>
      </c>
      <c r="S5640">
        <v>2841.6729999999998</v>
      </c>
      <c r="T5640">
        <v>2863.2130000000002</v>
      </c>
      <c r="U5640">
        <v>2884.3220000000001</v>
      </c>
      <c r="V5640">
        <v>2905.0659999999998</v>
      </c>
      <c r="W5640">
        <v>2925.4470000000001</v>
      </c>
      <c r="X5640">
        <v>2945.5859999999998</v>
      </c>
      <c r="Y5640">
        <v>2965.4639999999999</v>
      </c>
      <c r="Z5640">
        <v>2985.2089999999998</v>
      </c>
      <c r="AA5640">
        <v>3005.0210000000002</v>
      </c>
      <c r="AB5640">
        <v>3024.7620000000002</v>
      </c>
      <c r="AC5640">
        <v>3044.846</v>
      </c>
      <c r="AD5640">
        <v>3064.73</v>
      </c>
    </row>
    <row r="5641" spans="2:30" x14ac:dyDescent="0.25">
      <c r="B5641" t="s">
        <v>133</v>
      </c>
      <c r="C5641" t="s">
        <v>10598</v>
      </c>
      <c r="D5641" t="s">
        <v>5347</v>
      </c>
      <c r="E5641" t="s">
        <v>5348</v>
      </c>
      <c r="F5641" t="s">
        <v>11060</v>
      </c>
      <c r="G5641" t="s">
        <v>3890</v>
      </c>
      <c r="H5641" t="s">
        <v>109</v>
      </c>
      <c r="I5641" t="s">
        <v>108</v>
      </c>
      <c r="J5641">
        <v>2</v>
      </c>
      <c r="K5641">
        <v>11076.89</v>
      </c>
      <c r="L5641">
        <v>9504.23</v>
      </c>
      <c r="M5641">
        <v>10463.352999999999</v>
      </c>
      <c r="N5641">
        <v>10876.838</v>
      </c>
      <c r="O5641">
        <v>11285.308000000001</v>
      </c>
      <c r="P5641">
        <v>11757.742</v>
      </c>
      <c r="Q5641">
        <v>12187.703</v>
      </c>
      <c r="R5641">
        <v>12777.449000000001</v>
      </c>
      <c r="S5641">
        <v>13318.174000000001</v>
      </c>
      <c r="T5641">
        <v>13897.723</v>
      </c>
      <c r="U5641">
        <v>14473.868</v>
      </c>
      <c r="V5641">
        <v>15085.239</v>
      </c>
      <c r="W5641">
        <v>15705.502</v>
      </c>
      <c r="X5641">
        <v>16353.478999999999</v>
      </c>
      <c r="Y5641">
        <v>16975.751</v>
      </c>
      <c r="Z5641">
        <v>17616.428</v>
      </c>
      <c r="AA5641">
        <v>18279.987000000001</v>
      </c>
      <c r="AB5641">
        <v>18964.307000000001</v>
      </c>
      <c r="AC5641">
        <v>19678.839</v>
      </c>
      <c r="AD5641">
        <v>20412.886999999999</v>
      </c>
    </row>
    <row r="5642" spans="2:30" x14ac:dyDescent="0.25">
      <c r="B5642" t="s">
        <v>133</v>
      </c>
      <c r="C5642" t="s">
        <v>10598</v>
      </c>
      <c r="D5642" t="s">
        <v>5350</v>
      </c>
      <c r="E5642" t="s">
        <v>5351</v>
      </c>
      <c r="F5642" t="s">
        <v>11061</v>
      </c>
      <c r="G5642" t="s">
        <v>3890</v>
      </c>
      <c r="H5642" t="s">
        <v>109</v>
      </c>
      <c r="I5642" t="s">
        <v>108</v>
      </c>
      <c r="J5642">
        <v>2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</row>
    <row r="5643" spans="2:30" x14ac:dyDescent="0.25">
      <c r="B5643" t="s">
        <v>133</v>
      </c>
      <c r="C5643" t="s">
        <v>10598</v>
      </c>
      <c r="D5643" t="s">
        <v>5353</v>
      </c>
      <c r="E5643" t="s">
        <v>5158</v>
      </c>
      <c r="F5643" t="s">
        <v>11003</v>
      </c>
      <c r="G5643" t="s">
        <v>3890</v>
      </c>
      <c r="H5643" t="s">
        <v>109</v>
      </c>
      <c r="I5643" t="s">
        <v>108</v>
      </c>
      <c r="J5643">
        <v>2</v>
      </c>
      <c r="K5643">
        <v>7404.3140000000003</v>
      </c>
      <c r="L5643">
        <v>7147.93</v>
      </c>
      <c r="M5643">
        <v>7001.1750000000002</v>
      </c>
      <c r="N5643">
        <v>6753.6639999999998</v>
      </c>
      <c r="O5643">
        <v>6886.5370000000003</v>
      </c>
      <c r="P5643">
        <v>7548.8450000000003</v>
      </c>
      <c r="Q5643">
        <v>8264.5689999999995</v>
      </c>
      <c r="R5643">
        <v>9039.0769999999993</v>
      </c>
      <c r="S5643">
        <v>9962.9480000000003</v>
      </c>
      <c r="T5643">
        <v>11055.25</v>
      </c>
      <c r="U5643">
        <v>12235.745999999999</v>
      </c>
      <c r="V5643">
        <v>13498.297</v>
      </c>
      <c r="W5643">
        <v>14836.707</v>
      </c>
      <c r="X5643">
        <v>16243.789000000001</v>
      </c>
      <c r="Y5643">
        <v>17710.778999999999</v>
      </c>
      <c r="Z5643">
        <v>19250.39</v>
      </c>
      <c r="AA5643">
        <v>20859.677</v>
      </c>
      <c r="AB5643">
        <v>22536.897000000001</v>
      </c>
      <c r="AC5643">
        <v>24278.116000000002</v>
      </c>
      <c r="AD5643">
        <v>26053.379000000001</v>
      </c>
    </row>
    <row r="5644" spans="2:30" x14ac:dyDescent="0.25">
      <c r="B5644" t="s">
        <v>133</v>
      </c>
      <c r="C5644" t="s">
        <v>10598</v>
      </c>
      <c r="D5644" t="s">
        <v>5354</v>
      </c>
      <c r="E5644" t="s">
        <v>5355</v>
      </c>
      <c r="F5644" t="s">
        <v>11062</v>
      </c>
      <c r="G5644" t="s">
        <v>3890</v>
      </c>
      <c r="H5644" t="s">
        <v>109</v>
      </c>
      <c r="I5644" t="s">
        <v>108</v>
      </c>
      <c r="J5644">
        <v>2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</row>
    <row r="5645" spans="2:30" x14ac:dyDescent="0.25">
      <c r="B5645" t="s">
        <v>133</v>
      </c>
      <c r="C5645" t="s">
        <v>10598</v>
      </c>
      <c r="D5645" t="s">
        <v>5357</v>
      </c>
      <c r="E5645" t="s">
        <v>5358</v>
      </c>
      <c r="F5645" t="s">
        <v>11063</v>
      </c>
      <c r="G5645" t="s">
        <v>3890</v>
      </c>
      <c r="H5645" t="s">
        <v>109</v>
      </c>
      <c r="I5645" t="s">
        <v>108</v>
      </c>
      <c r="J5645">
        <v>2</v>
      </c>
      <c r="K5645">
        <v>7404.3140000000003</v>
      </c>
      <c r="L5645">
        <v>7147.93</v>
      </c>
      <c r="M5645">
        <v>7001.1750000000002</v>
      </c>
      <c r="N5645">
        <v>6753.6639999999998</v>
      </c>
      <c r="O5645">
        <v>6886.5370000000003</v>
      </c>
      <c r="P5645">
        <v>7548.8450000000003</v>
      </c>
      <c r="Q5645">
        <v>8264.5689999999995</v>
      </c>
      <c r="R5645">
        <v>9039.0769999999993</v>
      </c>
      <c r="S5645">
        <v>9962.9480000000003</v>
      </c>
      <c r="T5645">
        <v>11055.25</v>
      </c>
      <c r="U5645">
        <v>12235.745999999999</v>
      </c>
      <c r="V5645">
        <v>13498.297</v>
      </c>
      <c r="W5645">
        <v>14836.707</v>
      </c>
      <c r="X5645">
        <v>16243.789000000001</v>
      </c>
      <c r="Y5645">
        <v>17710.778999999999</v>
      </c>
      <c r="Z5645">
        <v>19250.39</v>
      </c>
      <c r="AA5645">
        <v>20859.677</v>
      </c>
      <c r="AB5645">
        <v>22536.897000000001</v>
      </c>
      <c r="AC5645">
        <v>24278.116000000002</v>
      </c>
      <c r="AD5645">
        <v>26053.379000000001</v>
      </c>
    </row>
    <row r="5646" spans="2:30" x14ac:dyDescent="0.25">
      <c r="B5646" t="s">
        <v>133</v>
      </c>
      <c r="C5646" t="s">
        <v>10598</v>
      </c>
      <c r="D5646" t="s">
        <v>5360</v>
      </c>
      <c r="E5646" t="s">
        <v>5361</v>
      </c>
      <c r="F5646" t="s">
        <v>11064</v>
      </c>
      <c r="G5646" t="s">
        <v>3890</v>
      </c>
      <c r="H5646" t="s">
        <v>109</v>
      </c>
      <c r="I5646" t="s">
        <v>108</v>
      </c>
      <c r="J5646">
        <v>2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</row>
    <row r="5647" spans="2:30" x14ac:dyDescent="0.25">
      <c r="B5647" t="s">
        <v>133</v>
      </c>
      <c r="C5647" t="s">
        <v>10598</v>
      </c>
      <c r="D5647" t="s">
        <v>5363</v>
      </c>
      <c r="E5647" t="s">
        <v>5364</v>
      </c>
      <c r="F5647" t="s">
        <v>11065</v>
      </c>
      <c r="G5647" t="s">
        <v>3890</v>
      </c>
      <c r="H5647" t="s">
        <v>109</v>
      </c>
      <c r="I5647" t="s">
        <v>108</v>
      </c>
      <c r="J5647">
        <v>2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</row>
    <row r="5648" spans="2:30" x14ac:dyDescent="0.25">
      <c r="B5648" t="s">
        <v>133</v>
      </c>
      <c r="C5648" t="s">
        <v>10598</v>
      </c>
      <c r="D5648" t="s">
        <v>5366</v>
      </c>
      <c r="E5648" t="s">
        <v>5367</v>
      </c>
      <c r="F5648" t="s">
        <v>11066</v>
      </c>
      <c r="G5648" t="s">
        <v>3890</v>
      </c>
      <c r="H5648" t="s">
        <v>109</v>
      </c>
      <c r="I5648" t="s">
        <v>108</v>
      </c>
      <c r="J5648">
        <v>2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</row>
    <row r="5649" spans="2:30" x14ac:dyDescent="0.25">
      <c r="B5649" t="s">
        <v>133</v>
      </c>
      <c r="C5649" t="s">
        <v>10598</v>
      </c>
      <c r="D5649" t="s">
        <v>5369</v>
      </c>
      <c r="E5649" t="s">
        <v>5161</v>
      </c>
      <c r="F5649" t="s">
        <v>11004</v>
      </c>
      <c r="G5649" t="s">
        <v>3890</v>
      </c>
      <c r="H5649" t="s">
        <v>109</v>
      </c>
      <c r="I5649" t="s">
        <v>108</v>
      </c>
      <c r="J5649">
        <v>2</v>
      </c>
      <c r="K5649">
        <v>15214.834999999999</v>
      </c>
      <c r="L5649">
        <v>16168.272999999999</v>
      </c>
      <c r="M5649">
        <v>17468.254000000001</v>
      </c>
      <c r="N5649">
        <v>17210.601999999999</v>
      </c>
      <c r="O5649">
        <v>17931.196</v>
      </c>
      <c r="P5649">
        <v>19045.128000000001</v>
      </c>
      <c r="Q5649">
        <v>20275.215</v>
      </c>
      <c r="R5649">
        <v>21586.156999999999</v>
      </c>
      <c r="S5649">
        <v>23101.177</v>
      </c>
      <c r="T5649">
        <v>24867.7</v>
      </c>
      <c r="U5649">
        <v>26778.668000000001</v>
      </c>
      <c r="V5649">
        <v>28824.977999999999</v>
      </c>
      <c r="W5649">
        <v>30982.481</v>
      </c>
      <c r="X5649">
        <v>33255.902999999998</v>
      </c>
      <c r="Y5649">
        <v>35638.803</v>
      </c>
      <c r="Z5649">
        <v>38142.021999999997</v>
      </c>
      <c r="AA5649">
        <v>40765.275000000001</v>
      </c>
      <c r="AB5649">
        <v>43513.741000000002</v>
      </c>
      <c r="AC5649">
        <v>46390.072999999997</v>
      </c>
      <c r="AD5649">
        <v>49391.978999999999</v>
      </c>
    </row>
    <row r="5650" spans="2:30" x14ac:dyDescent="0.25">
      <c r="B5650" t="s">
        <v>133</v>
      </c>
      <c r="C5650" t="s">
        <v>10598</v>
      </c>
      <c r="D5650" t="s">
        <v>5370</v>
      </c>
      <c r="E5650" t="s">
        <v>5371</v>
      </c>
      <c r="F5650" t="s">
        <v>11067</v>
      </c>
      <c r="G5650" t="s">
        <v>3890</v>
      </c>
      <c r="H5650" t="s">
        <v>109</v>
      </c>
      <c r="I5650" t="s">
        <v>108</v>
      </c>
      <c r="J5650">
        <v>2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</row>
    <row r="5651" spans="2:30" x14ac:dyDescent="0.25">
      <c r="B5651" t="s">
        <v>133</v>
      </c>
      <c r="C5651" t="s">
        <v>10598</v>
      </c>
      <c r="D5651" t="s">
        <v>5373</v>
      </c>
      <c r="E5651" t="s">
        <v>5374</v>
      </c>
      <c r="F5651" t="s">
        <v>11068</v>
      </c>
      <c r="G5651" t="s">
        <v>3890</v>
      </c>
      <c r="H5651" t="s">
        <v>109</v>
      </c>
      <c r="I5651" t="s">
        <v>108</v>
      </c>
      <c r="J5651">
        <v>2</v>
      </c>
      <c r="K5651">
        <v>10010.589</v>
      </c>
      <c r="L5651">
        <v>9837.6170000000002</v>
      </c>
      <c r="M5651">
        <v>9543.0020000000004</v>
      </c>
      <c r="N5651">
        <v>9122.26</v>
      </c>
      <c r="O5651">
        <v>9684.2070000000003</v>
      </c>
      <c r="P5651">
        <v>10613.831</v>
      </c>
      <c r="Q5651">
        <v>11628.550999999999</v>
      </c>
      <c r="R5651">
        <v>12733.892</v>
      </c>
      <c r="S5651">
        <v>14057.09</v>
      </c>
      <c r="T5651">
        <v>15631.313</v>
      </c>
      <c r="U5651">
        <v>17349.126</v>
      </c>
      <c r="V5651">
        <v>19201.116999999998</v>
      </c>
      <c r="W5651">
        <v>21163.165000000001</v>
      </c>
      <c r="X5651">
        <v>23239.345000000001</v>
      </c>
      <c r="Y5651">
        <v>25423.330999999998</v>
      </c>
      <c r="Z5651">
        <v>27725.243999999999</v>
      </c>
      <c r="AA5651">
        <v>30143.601999999999</v>
      </c>
      <c r="AB5651">
        <v>32684.35</v>
      </c>
      <c r="AC5651">
        <v>35347.614000000001</v>
      </c>
      <c r="AD5651">
        <v>38134.302000000003</v>
      </c>
    </row>
    <row r="5652" spans="2:30" x14ac:dyDescent="0.25">
      <c r="B5652" t="s">
        <v>133</v>
      </c>
      <c r="C5652" t="s">
        <v>10598</v>
      </c>
      <c r="D5652" t="s">
        <v>5376</v>
      </c>
      <c r="E5652" t="s">
        <v>5377</v>
      </c>
      <c r="F5652" t="s">
        <v>11069</v>
      </c>
      <c r="G5652" t="s">
        <v>3890</v>
      </c>
      <c r="H5652" t="s">
        <v>109</v>
      </c>
      <c r="I5652" t="s">
        <v>108</v>
      </c>
      <c r="J5652">
        <v>2</v>
      </c>
      <c r="K5652">
        <v>875.27200000000005</v>
      </c>
      <c r="L5652">
        <v>1064.7159999999999</v>
      </c>
      <c r="M5652">
        <v>1332.902</v>
      </c>
      <c r="N5652">
        <v>1360.3309999999999</v>
      </c>
      <c r="O5652">
        <v>1387.0129999999999</v>
      </c>
      <c r="P5652">
        <v>1418.011</v>
      </c>
      <c r="Q5652">
        <v>1454.232</v>
      </c>
      <c r="R5652">
        <v>1488.8109999999999</v>
      </c>
      <c r="S5652">
        <v>1521.0730000000001</v>
      </c>
      <c r="T5652">
        <v>1553.415</v>
      </c>
      <c r="U5652">
        <v>1585.9</v>
      </c>
      <c r="V5652">
        <v>1618.5820000000001</v>
      </c>
      <c r="W5652">
        <v>1651.454</v>
      </c>
      <c r="X5652">
        <v>1684.627</v>
      </c>
      <c r="Y5652">
        <v>1718.0809999999999</v>
      </c>
      <c r="Z5652">
        <v>1751.9380000000001</v>
      </c>
      <c r="AA5652">
        <v>1786.3979999999999</v>
      </c>
      <c r="AB5652">
        <v>1821.3330000000001</v>
      </c>
      <c r="AC5652">
        <v>1857.1669999999999</v>
      </c>
      <c r="AD5652">
        <v>1893.364</v>
      </c>
    </row>
    <row r="5653" spans="2:30" x14ac:dyDescent="0.25">
      <c r="B5653" t="s">
        <v>133</v>
      </c>
      <c r="C5653" t="s">
        <v>10598</v>
      </c>
      <c r="D5653" t="s">
        <v>5379</v>
      </c>
      <c r="E5653" t="s">
        <v>5380</v>
      </c>
      <c r="F5653" t="s">
        <v>11070</v>
      </c>
      <c r="G5653" t="s">
        <v>3890</v>
      </c>
      <c r="H5653" t="s">
        <v>109</v>
      </c>
      <c r="I5653" t="s">
        <v>108</v>
      </c>
      <c r="J5653">
        <v>2</v>
      </c>
      <c r="K5653">
        <v>4328.9740000000002</v>
      </c>
      <c r="L5653">
        <v>5265.94</v>
      </c>
      <c r="M5653">
        <v>6592.35</v>
      </c>
      <c r="N5653">
        <v>6728.01</v>
      </c>
      <c r="O5653">
        <v>6859.9750000000004</v>
      </c>
      <c r="P5653">
        <v>7013.2860000000001</v>
      </c>
      <c r="Q5653">
        <v>7192.4319999999998</v>
      </c>
      <c r="R5653">
        <v>7363.4539999999997</v>
      </c>
      <c r="S5653">
        <v>7523.0150000000003</v>
      </c>
      <c r="T5653">
        <v>7682.973</v>
      </c>
      <c r="U5653">
        <v>7843.6419999999998</v>
      </c>
      <c r="V5653">
        <v>8005.28</v>
      </c>
      <c r="W5653">
        <v>8167.8620000000001</v>
      </c>
      <c r="X5653">
        <v>8331.9310000000005</v>
      </c>
      <c r="Y5653">
        <v>8497.3909999999996</v>
      </c>
      <c r="Z5653">
        <v>8664.84</v>
      </c>
      <c r="AA5653">
        <v>8835.2749999999996</v>
      </c>
      <c r="AB5653">
        <v>9008.0580000000009</v>
      </c>
      <c r="AC5653">
        <v>9185.2909999999993</v>
      </c>
      <c r="AD5653">
        <v>9364.3130000000001</v>
      </c>
    </row>
    <row r="5654" spans="2:30" x14ac:dyDescent="0.25">
      <c r="B5654" t="s">
        <v>133</v>
      </c>
      <c r="C5654" t="s">
        <v>10598</v>
      </c>
      <c r="D5654" t="s">
        <v>5382</v>
      </c>
      <c r="E5654" t="s">
        <v>5383</v>
      </c>
      <c r="F5654" t="s">
        <v>11071</v>
      </c>
      <c r="G5654" t="s">
        <v>3890</v>
      </c>
      <c r="H5654" t="s">
        <v>109</v>
      </c>
      <c r="I5654" t="s">
        <v>108</v>
      </c>
      <c r="J5654">
        <v>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</row>
    <row r="5655" spans="2:30" x14ac:dyDescent="0.25">
      <c r="B5655" t="s">
        <v>133</v>
      </c>
      <c r="C5655" t="s">
        <v>10598</v>
      </c>
      <c r="D5655" t="s">
        <v>5385</v>
      </c>
      <c r="E5655" t="s">
        <v>5164</v>
      </c>
      <c r="F5655" t="s">
        <v>11005</v>
      </c>
      <c r="G5655" t="s">
        <v>3890</v>
      </c>
      <c r="H5655" t="s">
        <v>109</v>
      </c>
      <c r="I5655" t="s">
        <v>108</v>
      </c>
      <c r="J5655">
        <v>2</v>
      </c>
      <c r="K5655">
        <v>5389.2640000000001</v>
      </c>
      <c r="L5655">
        <v>6059.357</v>
      </c>
      <c r="M5655">
        <v>7304.8469999999998</v>
      </c>
      <c r="N5655">
        <v>7485.0290000000005</v>
      </c>
      <c r="O5655">
        <v>7660.826</v>
      </c>
      <c r="P5655">
        <v>7867.7740000000003</v>
      </c>
      <c r="Q5655">
        <v>8112.8670000000002</v>
      </c>
      <c r="R5655">
        <v>8347.8140000000003</v>
      </c>
      <c r="S5655">
        <v>8567.5049999999992</v>
      </c>
      <c r="T5655">
        <v>8788.9480000000003</v>
      </c>
      <c r="U5655">
        <v>9012.5969999999998</v>
      </c>
      <c r="V5655">
        <v>9238.8379999999997</v>
      </c>
      <c r="W5655">
        <v>9467.6440000000002</v>
      </c>
      <c r="X5655">
        <v>9699.8359999999993</v>
      </c>
      <c r="Y5655">
        <v>9935.2950000000001</v>
      </c>
      <c r="Z5655">
        <v>10174.947</v>
      </c>
      <c r="AA5655">
        <v>10420.349</v>
      </c>
      <c r="AB5655">
        <v>10670.584999999999</v>
      </c>
      <c r="AC5655">
        <v>10928.946</v>
      </c>
      <c r="AD5655">
        <v>11191.406999999999</v>
      </c>
    </row>
    <row r="5656" spans="2:30" x14ac:dyDescent="0.25">
      <c r="B5656" t="s">
        <v>133</v>
      </c>
      <c r="C5656" t="s">
        <v>10598</v>
      </c>
      <c r="D5656" t="s">
        <v>5386</v>
      </c>
      <c r="E5656" t="s">
        <v>5387</v>
      </c>
      <c r="F5656" t="s">
        <v>11072</v>
      </c>
      <c r="G5656" t="s">
        <v>3890</v>
      </c>
      <c r="H5656" t="s">
        <v>109</v>
      </c>
      <c r="I5656" t="s">
        <v>108</v>
      </c>
      <c r="J5656">
        <v>2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</row>
    <row r="5657" spans="2:30" x14ac:dyDescent="0.25">
      <c r="B5657" t="s">
        <v>133</v>
      </c>
      <c r="C5657" t="s">
        <v>10598</v>
      </c>
      <c r="D5657" t="s">
        <v>5389</v>
      </c>
      <c r="E5657" t="s">
        <v>5390</v>
      </c>
      <c r="F5657" t="s">
        <v>11073</v>
      </c>
      <c r="G5657" t="s">
        <v>3890</v>
      </c>
      <c r="H5657" t="s">
        <v>109</v>
      </c>
      <c r="I5657" t="s">
        <v>108</v>
      </c>
      <c r="J5657">
        <v>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</row>
    <row r="5658" spans="2:30" x14ac:dyDescent="0.25">
      <c r="B5658" t="s">
        <v>133</v>
      </c>
      <c r="C5658" t="s">
        <v>10598</v>
      </c>
      <c r="D5658" t="s">
        <v>5392</v>
      </c>
      <c r="E5658" t="s">
        <v>5393</v>
      </c>
      <c r="F5658" t="s">
        <v>11074</v>
      </c>
      <c r="G5658" t="s">
        <v>3890</v>
      </c>
      <c r="H5658" t="s">
        <v>109</v>
      </c>
      <c r="I5658" t="s">
        <v>108</v>
      </c>
      <c r="J5658">
        <v>2</v>
      </c>
      <c r="K5658">
        <v>3107.4549999999999</v>
      </c>
      <c r="L5658">
        <v>3427.6979999999999</v>
      </c>
      <c r="M5658">
        <v>4102.9210000000003</v>
      </c>
      <c r="N5658">
        <v>4179.0079999999998</v>
      </c>
      <c r="O5658">
        <v>4252.4840000000004</v>
      </c>
      <c r="P5658">
        <v>4338.8559999999998</v>
      </c>
      <c r="Q5658">
        <v>4440.8180000000002</v>
      </c>
      <c r="R5658">
        <v>4537.3509999999997</v>
      </c>
      <c r="S5658">
        <v>4626.433</v>
      </c>
      <c r="T5658">
        <v>4715.3860000000004</v>
      </c>
      <c r="U5658">
        <v>4804.4009999999998</v>
      </c>
      <c r="V5658">
        <v>4893.6350000000002</v>
      </c>
      <c r="W5658">
        <v>4983.0709999999999</v>
      </c>
      <c r="X5658">
        <v>5073.0360000000001</v>
      </c>
      <c r="Y5658">
        <v>5163.4669999999996</v>
      </c>
      <c r="Z5658">
        <v>5254.7250000000004</v>
      </c>
      <c r="AA5658">
        <v>5347.4049999999997</v>
      </c>
      <c r="AB5658">
        <v>5441.1130000000003</v>
      </c>
      <c r="AC5658">
        <v>5537.1090000000004</v>
      </c>
      <c r="AD5658">
        <v>5633.777</v>
      </c>
    </row>
    <row r="5659" spans="2:30" x14ac:dyDescent="0.25">
      <c r="B5659" t="s">
        <v>133</v>
      </c>
      <c r="C5659" t="s">
        <v>10598</v>
      </c>
      <c r="D5659" t="s">
        <v>5395</v>
      </c>
      <c r="E5659" t="s">
        <v>5396</v>
      </c>
      <c r="F5659" t="s">
        <v>11075</v>
      </c>
      <c r="G5659" t="s">
        <v>3890</v>
      </c>
      <c r="H5659" t="s">
        <v>109</v>
      </c>
      <c r="I5659" t="s">
        <v>108</v>
      </c>
      <c r="J5659">
        <v>2</v>
      </c>
      <c r="K5659">
        <v>2281.8090000000002</v>
      </c>
      <c r="L5659">
        <v>2631.6590000000001</v>
      </c>
      <c r="M5659">
        <v>3201.9259999999999</v>
      </c>
      <c r="N5659">
        <v>3306.0210000000002</v>
      </c>
      <c r="O5659">
        <v>3408.3420000000001</v>
      </c>
      <c r="P5659">
        <v>3528.9180000000001</v>
      </c>
      <c r="Q5659">
        <v>3672.049</v>
      </c>
      <c r="R5659">
        <v>3810.4630000000002</v>
      </c>
      <c r="S5659">
        <v>3941.0720000000001</v>
      </c>
      <c r="T5659">
        <v>4073.5619999999999</v>
      </c>
      <c r="U5659">
        <v>4208.1959999999999</v>
      </c>
      <c r="V5659">
        <v>4345.2020000000002</v>
      </c>
      <c r="W5659">
        <v>4484.5730000000003</v>
      </c>
      <c r="X5659">
        <v>4626.8010000000004</v>
      </c>
      <c r="Y5659">
        <v>4771.8280000000004</v>
      </c>
      <c r="Z5659">
        <v>4920.223</v>
      </c>
      <c r="AA5659">
        <v>5072.9440000000004</v>
      </c>
      <c r="AB5659">
        <v>5229.473</v>
      </c>
      <c r="AC5659">
        <v>5391.8379999999997</v>
      </c>
      <c r="AD5659">
        <v>5557.6310000000003</v>
      </c>
    </row>
    <row r="5660" spans="2:30" x14ac:dyDescent="0.25">
      <c r="B5660" t="s">
        <v>133</v>
      </c>
      <c r="C5660" t="s">
        <v>10598</v>
      </c>
      <c r="D5660" t="s">
        <v>5398</v>
      </c>
      <c r="E5660" t="s">
        <v>5399</v>
      </c>
      <c r="F5660" t="s">
        <v>11076</v>
      </c>
      <c r="G5660" t="s">
        <v>3890</v>
      </c>
      <c r="H5660" t="s">
        <v>109</v>
      </c>
      <c r="I5660" t="s">
        <v>108</v>
      </c>
      <c r="J5660">
        <v>2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</row>
    <row r="5661" spans="2:30" x14ac:dyDescent="0.25">
      <c r="B5661" t="s">
        <v>133</v>
      </c>
      <c r="C5661" t="s">
        <v>10598</v>
      </c>
      <c r="D5661" t="s">
        <v>5401</v>
      </c>
      <c r="E5661" t="s">
        <v>5167</v>
      </c>
      <c r="F5661" t="s">
        <v>11006</v>
      </c>
      <c r="G5661" t="s">
        <v>3890</v>
      </c>
      <c r="H5661" t="s">
        <v>109</v>
      </c>
      <c r="I5661" t="s">
        <v>108</v>
      </c>
      <c r="J5661">
        <v>2</v>
      </c>
      <c r="K5661">
        <v>659.322</v>
      </c>
      <c r="L5661">
        <v>771.90700000000004</v>
      </c>
      <c r="M5661">
        <v>857.73800000000006</v>
      </c>
      <c r="N5661">
        <v>889.11699999999996</v>
      </c>
      <c r="O5661">
        <v>920.298</v>
      </c>
      <c r="P5661">
        <v>957.94299999999998</v>
      </c>
      <c r="Q5661">
        <v>1003.823</v>
      </c>
      <c r="R5661">
        <v>1048.864</v>
      </c>
      <c r="S5661">
        <v>1091.8879999999999</v>
      </c>
      <c r="T5661">
        <v>1136.0740000000001</v>
      </c>
      <c r="U5661">
        <v>1181.357</v>
      </c>
      <c r="V5661">
        <v>1227.8240000000001</v>
      </c>
      <c r="W5661">
        <v>1275.48</v>
      </c>
      <c r="X5661">
        <v>1324.5129999999999</v>
      </c>
      <c r="Y5661">
        <v>1374.914</v>
      </c>
      <c r="Z5661">
        <v>1426.905</v>
      </c>
      <c r="AA5661">
        <v>1480.867</v>
      </c>
      <c r="AB5661">
        <v>1536.623</v>
      </c>
      <c r="AC5661">
        <v>1594.97</v>
      </c>
      <c r="AD5661">
        <v>1655.0029999999999</v>
      </c>
    </row>
    <row r="5662" spans="2:30" x14ac:dyDescent="0.25">
      <c r="B5662" t="s">
        <v>133</v>
      </c>
      <c r="C5662" t="s">
        <v>10598</v>
      </c>
      <c r="D5662" t="s">
        <v>5402</v>
      </c>
      <c r="E5662" t="s">
        <v>5403</v>
      </c>
      <c r="F5662" t="s">
        <v>11077</v>
      </c>
      <c r="G5662" t="s">
        <v>3890</v>
      </c>
      <c r="H5662" t="s">
        <v>109</v>
      </c>
      <c r="I5662" t="s">
        <v>108</v>
      </c>
      <c r="J5662">
        <v>2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</row>
    <row r="5663" spans="2:30" x14ac:dyDescent="0.25">
      <c r="B5663" t="s">
        <v>133</v>
      </c>
      <c r="C5663" t="s">
        <v>10598</v>
      </c>
      <c r="D5663" t="s">
        <v>5405</v>
      </c>
      <c r="E5663" t="s">
        <v>5406</v>
      </c>
      <c r="F5663" t="s">
        <v>11078</v>
      </c>
      <c r="G5663" t="s">
        <v>3890</v>
      </c>
      <c r="H5663" t="s">
        <v>109</v>
      </c>
      <c r="I5663" t="s">
        <v>108</v>
      </c>
      <c r="J5663">
        <v>2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</row>
    <row r="5664" spans="2:30" x14ac:dyDescent="0.25">
      <c r="B5664" t="s">
        <v>133</v>
      </c>
      <c r="C5664" t="s">
        <v>10598</v>
      </c>
      <c r="D5664" t="s">
        <v>5408</v>
      </c>
      <c r="E5664" t="s">
        <v>5409</v>
      </c>
      <c r="F5664" t="s">
        <v>11079</v>
      </c>
      <c r="G5664" t="s">
        <v>3890</v>
      </c>
      <c r="H5664" t="s">
        <v>109</v>
      </c>
      <c r="I5664" t="s">
        <v>108</v>
      </c>
      <c r="J5664">
        <v>2</v>
      </c>
      <c r="K5664">
        <v>3</v>
      </c>
      <c r="L5664">
        <v>3.181</v>
      </c>
      <c r="M5664">
        <v>3.6320000000000001</v>
      </c>
      <c r="N5664">
        <v>3.7050000000000001</v>
      </c>
      <c r="O5664">
        <v>3.7759999999999998</v>
      </c>
      <c r="P5664">
        <v>3.859</v>
      </c>
      <c r="Q5664">
        <v>3.9569999999999999</v>
      </c>
      <c r="R5664">
        <v>4.0510000000000002</v>
      </c>
      <c r="S5664">
        <v>4.1369999999999996</v>
      </c>
      <c r="T5664">
        <v>4.2240000000000002</v>
      </c>
      <c r="U5664">
        <v>4.3109999999999999</v>
      </c>
      <c r="V5664">
        <v>4.399</v>
      </c>
      <c r="W5664">
        <v>4.4870000000000001</v>
      </c>
      <c r="X5664">
        <v>4.5759999999999996</v>
      </c>
      <c r="Y5664">
        <v>4.665</v>
      </c>
      <c r="Z5664">
        <v>4.7560000000000002</v>
      </c>
      <c r="AA5664">
        <v>4.8479999999999999</v>
      </c>
      <c r="AB5664">
        <v>4.9420000000000002</v>
      </c>
      <c r="AC5664">
        <v>5.0380000000000003</v>
      </c>
      <c r="AD5664">
        <v>5.1349999999999998</v>
      </c>
    </row>
    <row r="5665" spans="2:30" x14ac:dyDescent="0.25">
      <c r="B5665" t="s">
        <v>133</v>
      </c>
      <c r="C5665" t="s">
        <v>10598</v>
      </c>
      <c r="D5665" t="s">
        <v>5411</v>
      </c>
      <c r="E5665" t="s">
        <v>5412</v>
      </c>
      <c r="F5665" t="s">
        <v>11080</v>
      </c>
      <c r="G5665" t="s">
        <v>3890</v>
      </c>
      <c r="H5665" t="s">
        <v>109</v>
      </c>
      <c r="I5665" t="s">
        <v>108</v>
      </c>
      <c r="J5665">
        <v>2</v>
      </c>
      <c r="K5665">
        <v>4</v>
      </c>
      <c r="L5665">
        <v>4.3959999999999999</v>
      </c>
      <c r="M5665">
        <v>5.07</v>
      </c>
      <c r="N5665">
        <v>5.234</v>
      </c>
      <c r="O5665">
        <v>5.3959999999999999</v>
      </c>
      <c r="P5665">
        <v>5.5869999999999997</v>
      </c>
      <c r="Q5665">
        <v>5.8140000000000001</v>
      </c>
      <c r="R5665">
        <v>6.0330000000000004</v>
      </c>
      <c r="S5665">
        <v>6.24</v>
      </c>
      <c r="T5665">
        <v>6.45</v>
      </c>
      <c r="U5665">
        <v>6.6630000000000003</v>
      </c>
      <c r="V5665">
        <v>6.88</v>
      </c>
      <c r="W5665">
        <v>7.1</v>
      </c>
      <c r="X5665">
        <v>7.3250000000000002</v>
      </c>
      <c r="Y5665">
        <v>7.5549999999999997</v>
      </c>
      <c r="Z5665">
        <v>7.79</v>
      </c>
      <c r="AA5665">
        <v>8.032</v>
      </c>
      <c r="AB5665">
        <v>8.2799999999999994</v>
      </c>
      <c r="AC5665">
        <v>8.5370000000000008</v>
      </c>
      <c r="AD5665">
        <v>8.7989999999999995</v>
      </c>
    </row>
    <row r="5666" spans="2:30" x14ac:dyDescent="0.25">
      <c r="B5666" t="s">
        <v>133</v>
      </c>
      <c r="C5666" t="s">
        <v>10598</v>
      </c>
      <c r="D5666" t="s">
        <v>5414</v>
      </c>
      <c r="E5666" t="s">
        <v>5415</v>
      </c>
      <c r="F5666" t="s">
        <v>11081</v>
      </c>
      <c r="G5666" t="s">
        <v>3890</v>
      </c>
      <c r="H5666" t="s">
        <v>109</v>
      </c>
      <c r="I5666" t="s">
        <v>108</v>
      </c>
      <c r="J5666">
        <v>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</row>
    <row r="5667" spans="2:30" x14ac:dyDescent="0.25">
      <c r="B5667" t="s">
        <v>133</v>
      </c>
      <c r="C5667" t="s">
        <v>10598</v>
      </c>
      <c r="D5667" t="s">
        <v>5417</v>
      </c>
      <c r="E5667" t="s">
        <v>5155</v>
      </c>
      <c r="F5667" t="s">
        <v>11002</v>
      </c>
      <c r="G5667" t="s">
        <v>3890</v>
      </c>
      <c r="H5667" t="s">
        <v>109</v>
      </c>
      <c r="I5667" t="s">
        <v>108</v>
      </c>
      <c r="J5667">
        <v>2</v>
      </c>
      <c r="K5667">
        <v>7688.0550000000003</v>
      </c>
      <c r="L5667">
        <v>7378.8829999999998</v>
      </c>
      <c r="M5667">
        <v>7817.37</v>
      </c>
      <c r="N5667">
        <v>9960.232</v>
      </c>
      <c r="O5667">
        <v>9985.7199999999993</v>
      </c>
      <c r="P5667">
        <v>10027.691000000001</v>
      </c>
      <c r="Q5667">
        <v>10091.271000000001</v>
      </c>
      <c r="R5667">
        <v>10150.694</v>
      </c>
      <c r="S5667">
        <v>10205.929</v>
      </c>
      <c r="T5667">
        <v>10270.347</v>
      </c>
      <c r="U5667">
        <v>10343.030000000001</v>
      </c>
      <c r="V5667">
        <v>10430.592000000001</v>
      </c>
      <c r="W5667">
        <v>10526.434999999999</v>
      </c>
      <c r="X5667">
        <v>10645.982</v>
      </c>
      <c r="Y5667">
        <v>10773.612999999999</v>
      </c>
      <c r="Z5667">
        <v>10919.74</v>
      </c>
      <c r="AA5667">
        <v>11094.76</v>
      </c>
      <c r="AB5667">
        <v>11256.894</v>
      </c>
      <c r="AC5667">
        <v>11490.505999999999</v>
      </c>
      <c r="AD5667">
        <v>11658.891</v>
      </c>
    </row>
    <row r="5668" spans="2:30" x14ac:dyDescent="0.25">
      <c r="B5668" t="s">
        <v>133</v>
      </c>
      <c r="C5668" t="s">
        <v>10598</v>
      </c>
      <c r="D5668" t="s">
        <v>5418</v>
      </c>
      <c r="E5668" t="s">
        <v>5419</v>
      </c>
      <c r="F5668" t="s">
        <v>11082</v>
      </c>
      <c r="G5668" t="s">
        <v>3890</v>
      </c>
      <c r="H5668" t="s">
        <v>109</v>
      </c>
      <c r="I5668" t="s">
        <v>108</v>
      </c>
      <c r="J5668">
        <v>2</v>
      </c>
      <c r="K5668">
        <v>4691.6719999999996</v>
      </c>
      <c r="L5668">
        <v>4563.5690000000004</v>
      </c>
      <c r="M5668">
        <v>4433.1809999999996</v>
      </c>
      <c r="N5668">
        <v>5360.8990000000003</v>
      </c>
      <c r="O5668">
        <v>5250.1549999999997</v>
      </c>
      <c r="P5668">
        <v>5131.3339999999998</v>
      </c>
      <c r="Q5668">
        <v>5003.7879999999996</v>
      </c>
      <c r="R5668">
        <v>4878.5730000000003</v>
      </c>
      <c r="S5668">
        <v>4759.8209999999999</v>
      </c>
      <c r="T5668">
        <v>4647.8280000000004</v>
      </c>
      <c r="U5668">
        <v>4541.326</v>
      </c>
      <c r="V5668">
        <v>4446.62</v>
      </c>
      <c r="W5668">
        <v>4357.1289999999999</v>
      </c>
      <c r="X5668">
        <v>4287.6130000000003</v>
      </c>
      <c r="Y5668">
        <v>4222.5330000000004</v>
      </c>
      <c r="Z5668">
        <v>4171.54</v>
      </c>
      <c r="AA5668">
        <v>4143.7449999999999</v>
      </c>
      <c r="AB5668">
        <v>4098.0730000000003</v>
      </c>
      <c r="AC5668">
        <v>4116.1629999999996</v>
      </c>
      <c r="AD5668">
        <v>4064.556</v>
      </c>
    </row>
    <row r="5669" spans="2:30" x14ac:dyDescent="0.25">
      <c r="B5669" t="s">
        <v>133</v>
      </c>
      <c r="C5669" t="s">
        <v>10598</v>
      </c>
      <c r="D5669" t="s">
        <v>5421</v>
      </c>
      <c r="E5669" t="s">
        <v>5422</v>
      </c>
      <c r="F5669" t="s">
        <v>11083</v>
      </c>
      <c r="G5669" t="s">
        <v>3890</v>
      </c>
      <c r="H5669" t="s">
        <v>109</v>
      </c>
      <c r="I5669" t="s">
        <v>108</v>
      </c>
      <c r="J5669">
        <v>2</v>
      </c>
      <c r="K5669">
        <v>271.34100000000001</v>
      </c>
      <c r="L5669">
        <v>251.108</v>
      </c>
      <c r="M5669">
        <v>298.85899999999998</v>
      </c>
      <c r="N5669">
        <v>395.57299999999998</v>
      </c>
      <c r="O5669">
        <v>406.19900000000001</v>
      </c>
      <c r="P5669">
        <v>418.90199999999999</v>
      </c>
      <c r="Q5669">
        <v>434.16399999999999</v>
      </c>
      <c r="R5669">
        <v>448.74299999999999</v>
      </c>
      <c r="S5669">
        <v>462.28399999999999</v>
      </c>
      <c r="T5669">
        <v>475.93</v>
      </c>
      <c r="U5669">
        <v>489.71100000000001</v>
      </c>
      <c r="V5669">
        <v>503.65</v>
      </c>
      <c r="W5669">
        <v>517.74300000000005</v>
      </c>
      <c r="X5669">
        <v>532.04499999999996</v>
      </c>
      <c r="Y5669">
        <v>546.54700000000003</v>
      </c>
      <c r="Z5669">
        <v>561.30899999999997</v>
      </c>
      <c r="AA5669">
        <v>576.43700000000001</v>
      </c>
      <c r="AB5669">
        <v>591.86800000000005</v>
      </c>
      <c r="AC5669">
        <v>607.82399999999996</v>
      </c>
      <c r="AD5669">
        <v>624.03</v>
      </c>
    </row>
    <row r="5670" spans="2:30" x14ac:dyDescent="0.25">
      <c r="B5670" t="s">
        <v>133</v>
      </c>
      <c r="C5670" t="s">
        <v>10598</v>
      </c>
      <c r="D5670" t="s">
        <v>5424</v>
      </c>
      <c r="E5670" t="s">
        <v>5425</v>
      </c>
      <c r="F5670" t="s">
        <v>11084</v>
      </c>
      <c r="G5670" t="s">
        <v>3890</v>
      </c>
      <c r="H5670" t="s">
        <v>109</v>
      </c>
      <c r="I5670" t="s">
        <v>108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</row>
    <row r="5671" spans="2:30" x14ac:dyDescent="0.25">
      <c r="B5671" t="s">
        <v>133</v>
      </c>
      <c r="C5671" t="s">
        <v>10598</v>
      </c>
      <c r="D5671" t="s">
        <v>5427</v>
      </c>
      <c r="E5671" t="s">
        <v>5428</v>
      </c>
      <c r="F5671" t="s">
        <v>11085</v>
      </c>
      <c r="G5671" t="s">
        <v>3890</v>
      </c>
      <c r="H5671" t="s">
        <v>109</v>
      </c>
      <c r="I5671" t="s">
        <v>108</v>
      </c>
      <c r="J5671">
        <v>2</v>
      </c>
      <c r="K5671">
        <v>2631.7759999999998</v>
      </c>
      <c r="L5671">
        <v>2478.98</v>
      </c>
      <c r="M5671">
        <v>2984.6860000000001</v>
      </c>
      <c r="N5671">
        <v>4071.1979999999999</v>
      </c>
      <c r="O5671">
        <v>4197.2</v>
      </c>
      <c r="P5671">
        <v>4345.6840000000002</v>
      </c>
      <c r="Q5671">
        <v>4521.942</v>
      </c>
      <c r="R5671">
        <v>4692.393</v>
      </c>
      <c r="S5671">
        <v>4853.2309999999998</v>
      </c>
      <c r="T5671">
        <v>5016.3850000000002</v>
      </c>
      <c r="U5671">
        <v>5182.1790000000001</v>
      </c>
      <c r="V5671">
        <v>5350.8959999999997</v>
      </c>
      <c r="W5671">
        <v>5522.5240000000003</v>
      </c>
      <c r="X5671">
        <v>5697.67</v>
      </c>
      <c r="Y5671">
        <v>5876.2640000000001</v>
      </c>
      <c r="Z5671">
        <v>6059.0050000000001</v>
      </c>
      <c r="AA5671">
        <v>6247.0739999999996</v>
      </c>
      <c r="AB5671">
        <v>6439.83</v>
      </c>
      <c r="AC5671">
        <v>6639.7749999999996</v>
      </c>
      <c r="AD5671">
        <v>6843.94</v>
      </c>
    </row>
    <row r="5672" spans="2:30" x14ac:dyDescent="0.25">
      <c r="B5672" t="s">
        <v>133</v>
      </c>
      <c r="C5672" t="s">
        <v>10598</v>
      </c>
      <c r="D5672" t="s">
        <v>5430</v>
      </c>
      <c r="E5672" t="s">
        <v>5431</v>
      </c>
      <c r="F5672" t="s">
        <v>11086</v>
      </c>
      <c r="G5672" t="s">
        <v>3890</v>
      </c>
      <c r="H5672" t="s">
        <v>109</v>
      </c>
      <c r="I5672" t="s">
        <v>108</v>
      </c>
      <c r="J5672">
        <v>2</v>
      </c>
      <c r="K5672">
        <v>93.265000000000001</v>
      </c>
      <c r="L5672">
        <v>85.225999999999999</v>
      </c>
      <c r="M5672">
        <v>100.645</v>
      </c>
      <c r="N5672">
        <v>132.56200000000001</v>
      </c>
      <c r="O5672">
        <v>132.166</v>
      </c>
      <c r="P5672">
        <v>131.77099999999999</v>
      </c>
      <c r="Q5672">
        <v>131.37799999999999</v>
      </c>
      <c r="R5672">
        <v>130.98500000000001</v>
      </c>
      <c r="S5672">
        <v>130.59399999999999</v>
      </c>
      <c r="T5672">
        <v>130.203</v>
      </c>
      <c r="U5672">
        <v>129.81399999999999</v>
      </c>
      <c r="V5672">
        <v>129.42599999999999</v>
      </c>
      <c r="W5672">
        <v>129.04</v>
      </c>
      <c r="X5672">
        <v>128.654</v>
      </c>
      <c r="Y5672">
        <v>128.27000000000001</v>
      </c>
      <c r="Z5672">
        <v>127.886</v>
      </c>
      <c r="AA5672">
        <v>127.504</v>
      </c>
      <c r="AB5672">
        <v>127.123</v>
      </c>
      <c r="AC5672">
        <v>126.74299999999999</v>
      </c>
      <c r="AD5672">
        <v>126.36499999999999</v>
      </c>
    </row>
    <row r="5673" spans="2:30" x14ac:dyDescent="0.25">
      <c r="B5673" t="s">
        <v>133</v>
      </c>
      <c r="C5673" t="s">
        <v>10598</v>
      </c>
      <c r="D5673" t="s">
        <v>5433</v>
      </c>
      <c r="E5673" t="s">
        <v>5434</v>
      </c>
      <c r="F5673" t="s">
        <v>11087</v>
      </c>
      <c r="G5673" t="s">
        <v>3890</v>
      </c>
      <c r="H5673" t="s">
        <v>109</v>
      </c>
      <c r="I5673" t="s">
        <v>108</v>
      </c>
      <c r="J5673">
        <v>2</v>
      </c>
      <c r="K5673">
        <v>80943.887000000002</v>
      </c>
      <c r="L5673">
        <v>79043.572</v>
      </c>
      <c r="M5673">
        <v>89446.432000000001</v>
      </c>
      <c r="N5673">
        <v>92506.974000000002</v>
      </c>
      <c r="O5673">
        <v>93053.847999999998</v>
      </c>
      <c r="P5673">
        <v>95250.850999999995</v>
      </c>
      <c r="Q5673">
        <v>98804.756999999998</v>
      </c>
      <c r="R5673">
        <v>102340.572</v>
      </c>
      <c r="S5673">
        <v>106214.306</v>
      </c>
      <c r="T5673">
        <v>110289.98</v>
      </c>
      <c r="U5673">
        <v>115059.29399999999</v>
      </c>
      <c r="V5673">
        <v>119669.356</v>
      </c>
      <c r="W5673">
        <v>125278.732</v>
      </c>
      <c r="X5673">
        <v>130480.16099999999</v>
      </c>
      <c r="Y5673">
        <v>136960.21799999999</v>
      </c>
      <c r="Z5673">
        <v>144096.462</v>
      </c>
      <c r="AA5673">
        <v>150768.05499999999</v>
      </c>
      <c r="AB5673">
        <v>160376.10500000001</v>
      </c>
      <c r="AC5673">
        <v>166038.326</v>
      </c>
      <c r="AD5673">
        <v>178943.09599999999</v>
      </c>
    </row>
    <row r="5674" spans="2:30" x14ac:dyDescent="0.25">
      <c r="B5674" t="s">
        <v>133</v>
      </c>
      <c r="C5674" t="s">
        <v>10598</v>
      </c>
      <c r="D5674" t="s">
        <v>5436</v>
      </c>
      <c r="E5674" t="s">
        <v>5176</v>
      </c>
      <c r="F5674" t="s">
        <v>11009</v>
      </c>
      <c r="G5674" t="s">
        <v>3890</v>
      </c>
      <c r="H5674" t="s">
        <v>109</v>
      </c>
      <c r="I5674" t="s">
        <v>108</v>
      </c>
      <c r="J5674">
        <v>2</v>
      </c>
      <c r="K5674">
        <v>1529.27</v>
      </c>
      <c r="L5674">
        <v>1206.73</v>
      </c>
      <c r="M5674">
        <v>1313.405</v>
      </c>
      <c r="N5674">
        <v>1308.827</v>
      </c>
      <c r="O5674">
        <v>1304.2660000000001</v>
      </c>
      <c r="P5674">
        <v>1299.72</v>
      </c>
      <c r="Q5674">
        <v>1295.19</v>
      </c>
      <c r="R5674">
        <v>1290.6759999999999</v>
      </c>
      <c r="S5674">
        <v>1286.1780000000001</v>
      </c>
      <c r="T5674">
        <v>1281.6949999999999</v>
      </c>
      <c r="U5674">
        <v>1277.2280000000001</v>
      </c>
      <c r="V5674">
        <v>1272.777</v>
      </c>
      <c r="W5674">
        <v>1268.3409999999999</v>
      </c>
      <c r="X5674">
        <v>1263.921</v>
      </c>
      <c r="Y5674">
        <v>1259.5160000000001</v>
      </c>
      <c r="Z5674">
        <v>1255.126</v>
      </c>
      <c r="AA5674">
        <v>1250.752</v>
      </c>
      <c r="AB5674">
        <v>1246.393</v>
      </c>
      <c r="AC5674">
        <v>1242.049</v>
      </c>
      <c r="AD5674">
        <v>1237.72</v>
      </c>
    </row>
    <row r="5675" spans="2:30" x14ac:dyDescent="0.25">
      <c r="B5675" t="s">
        <v>133</v>
      </c>
      <c r="C5675" t="s">
        <v>10598</v>
      </c>
      <c r="D5675" t="s">
        <v>5437</v>
      </c>
      <c r="E5675" t="s">
        <v>5438</v>
      </c>
      <c r="F5675" t="s">
        <v>11088</v>
      </c>
      <c r="G5675" t="s">
        <v>3890</v>
      </c>
      <c r="H5675" t="s">
        <v>109</v>
      </c>
      <c r="I5675" t="s">
        <v>108</v>
      </c>
      <c r="J5675">
        <v>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</row>
    <row r="5676" spans="2:30" x14ac:dyDescent="0.25">
      <c r="B5676" t="s">
        <v>133</v>
      </c>
      <c r="C5676" t="s">
        <v>10598</v>
      </c>
      <c r="D5676" t="s">
        <v>5440</v>
      </c>
      <c r="E5676" t="s">
        <v>5441</v>
      </c>
      <c r="F5676" t="s">
        <v>11089</v>
      </c>
      <c r="G5676" t="s">
        <v>3890</v>
      </c>
      <c r="H5676" t="s">
        <v>109</v>
      </c>
      <c r="I5676" t="s">
        <v>108</v>
      </c>
      <c r="J5676">
        <v>2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</row>
    <row r="5677" spans="2:30" x14ac:dyDescent="0.25">
      <c r="B5677" t="s">
        <v>133</v>
      </c>
      <c r="C5677" t="s">
        <v>10598</v>
      </c>
      <c r="D5677" t="s">
        <v>5443</v>
      </c>
      <c r="E5677" t="s">
        <v>5444</v>
      </c>
      <c r="F5677" t="s">
        <v>11090</v>
      </c>
      <c r="G5677" t="s">
        <v>3890</v>
      </c>
      <c r="H5677" t="s">
        <v>109</v>
      </c>
      <c r="I5677" t="s">
        <v>108</v>
      </c>
      <c r="J5677">
        <v>2</v>
      </c>
      <c r="K5677">
        <v>1529.27</v>
      </c>
      <c r="L5677">
        <v>1206.73</v>
      </c>
      <c r="M5677">
        <v>1313.405</v>
      </c>
      <c r="N5677">
        <v>1308.827</v>
      </c>
      <c r="O5677">
        <v>1304.2660000000001</v>
      </c>
      <c r="P5677">
        <v>1299.72</v>
      </c>
      <c r="Q5677">
        <v>1295.19</v>
      </c>
      <c r="R5677">
        <v>1290.6759999999999</v>
      </c>
      <c r="S5677">
        <v>1286.1780000000001</v>
      </c>
      <c r="T5677">
        <v>1281.6949999999999</v>
      </c>
      <c r="U5677">
        <v>1277.2280000000001</v>
      </c>
      <c r="V5677">
        <v>1272.777</v>
      </c>
      <c r="W5677">
        <v>1268.3409999999999</v>
      </c>
      <c r="X5677">
        <v>1263.921</v>
      </c>
      <c r="Y5677">
        <v>1259.5160000000001</v>
      </c>
      <c r="Z5677">
        <v>1255.126</v>
      </c>
      <c r="AA5677">
        <v>1250.752</v>
      </c>
      <c r="AB5677">
        <v>1246.393</v>
      </c>
      <c r="AC5677">
        <v>1242.049</v>
      </c>
      <c r="AD5677">
        <v>1237.72</v>
      </c>
    </row>
    <row r="5678" spans="2:30" x14ac:dyDescent="0.25">
      <c r="B5678" t="s">
        <v>133</v>
      </c>
      <c r="C5678" t="s">
        <v>10598</v>
      </c>
      <c r="D5678" t="s">
        <v>5446</v>
      </c>
      <c r="E5678" t="s">
        <v>5447</v>
      </c>
      <c r="F5678" t="s">
        <v>11091</v>
      </c>
      <c r="G5678" t="s">
        <v>3890</v>
      </c>
      <c r="H5678" t="s">
        <v>109</v>
      </c>
      <c r="I5678" t="s">
        <v>108</v>
      </c>
      <c r="J5678">
        <v>2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</row>
    <row r="5679" spans="2:30" x14ac:dyDescent="0.25">
      <c r="B5679" t="s">
        <v>133</v>
      </c>
      <c r="C5679" t="s">
        <v>10598</v>
      </c>
      <c r="D5679" t="s">
        <v>5449</v>
      </c>
      <c r="E5679" t="s">
        <v>5450</v>
      </c>
      <c r="F5679" t="s">
        <v>11092</v>
      </c>
      <c r="G5679" t="s">
        <v>3890</v>
      </c>
      <c r="H5679" t="s">
        <v>109</v>
      </c>
      <c r="I5679" t="s">
        <v>108</v>
      </c>
      <c r="J5679">
        <v>2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</row>
    <row r="5680" spans="2:30" x14ac:dyDescent="0.25">
      <c r="B5680" t="s">
        <v>133</v>
      </c>
      <c r="C5680" t="s">
        <v>10598</v>
      </c>
      <c r="D5680" t="s">
        <v>5452</v>
      </c>
      <c r="E5680" t="s">
        <v>5146</v>
      </c>
      <c r="F5680" t="s">
        <v>10999</v>
      </c>
      <c r="G5680" t="s">
        <v>3890</v>
      </c>
      <c r="H5680" t="s">
        <v>109</v>
      </c>
      <c r="I5680" t="s">
        <v>108</v>
      </c>
      <c r="J5680">
        <v>2</v>
      </c>
      <c r="K5680">
        <v>84652.786999999997</v>
      </c>
      <c r="L5680">
        <v>82602.623000000007</v>
      </c>
      <c r="M5680">
        <v>93073.75</v>
      </c>
      <c r="N5680">
        <v>97658.462</v>
      </c>
      <c r="O5680">
        <v>99875.3</v>
      </c>
      <c r="P5680">
        <v>102690.04700000001</v>
      </c>
      <c r="Q5680">
        <v>106554.682</v>
      </c>
      <c r="R5680">
        <v>110609.818</v>
      </c>
      <c r="S5680">
        <v>115009.06200000001</v>
      </c>
      <c r="T5680">
        <v>119657.626</v>
      </c>
      <c r="U5680">
        <v>124944.003</v>
      </c>
      <c r="V5680">
        <v>130175.838</v>
      </c>
      <c r="W5680">
        <v>136343.15100000001</v>
      </c>
      <c r="X5680">
        <v>142291.614</v>
      </c>
      <c r="Y5680">
        <v>149443.29199999999</v>
      </c>
      <c r="Z5680">
        <v>157491.109</v>
      </c>
      <c r="AA5680">
        <v>165247.038</v>
      </c>
      <c r="AB5680">
        <v>175873.25200000001</v>
      </c>
      <c r="AC5680">
        <v>183302.274</v>
      </c>
      <c r="AD5680">
        <v>197203.63099999999</v>
      </c>
    </row>
    <row r="5681" spans="2:30" x14ac:dyDescent="0.25">
      <c r="B5681" t="s">
        <v>133</v>
      </c>
      <c r="C5681" t="s">
        <v>10598</v>
      </c>
      <c r="D5681" t="s">
        <v>5453</v>
      </c>
      <c r="E5681" t="s">
        <v>5149</v>
      </c>
      <c r="F5681" t="s">
        <v>11000</v>
      </c>
      <c r="G5681" t="s">
        <v>3890</v>
      </c>
      <c r="H5681" t="s">
        <v>109</v>
      </c>
      <c r="I5681" t="s">
        <v>108</v>
      </c>
      <c r="J5681">
        <v>2</v>
      </c>
      <c r="K5681">
        <v>1651.0930000000001</v>
      </c>
      <c r="L5681">
        <v>1545.134</v>
      </c>
      <c r="M5681">
        <v>1836.8230000000001</v>
      </c>
      <c r="N5681">
        <v>1975.171</v>
      </c>
      <c r="O5681">
        <v>2006.8579999999999</v>
      </c>
      <c r="P5681">
        <v>2026.4079999999999</v>
      </c>
      <c r="Q5681">
        <v>1955.184</v>
      </c>
      <c r="R5681">
        <v>2023.6469999999999</v>
      </c>
      <c r="S5681">
        <v>2073.5839999999998</v>
      </c>
      <c r="T5681">
        <v>2144.1669999999999</v>
      </c>
      <c r="U5681">
        <v>2197.6529999999998</v>
      </c>
      <c r="V5681">
        <v>2266.8580000000002</v>
      </c>
      <c r="W5681">
        <v>2331.96</v>
      </c>
      <c r="X5681">
        <v>2405.3009999999999</v>
      </c>
      <c r="Y5681">
        <v>2448.1590000000001</v>
      </c>
      <c r="Z5681">
        <v>2491.4079999999999</v>
      </c>
      <c r="AA5681">
        <v>2535.3310000000001</v>
      </c>
      <c r="AB5681">
        <v>2579.741</v>
      </c>
      <c r="AC5681">
        <v>2625.2350000000001</v>
      </c>
      <c r="AD5681">
        <v>2671.0479999999998</v>
      </c>
    </row>
    <row r="5682" spans="2:30" x14ac:dyDescent="0.25">
      <c r="B5682" t="s">
        <v>133</v>
      </c>
      <c r="C5682" t="s">
        <v>10598</v>
      </c>
      <c r="D5682" t="s">
        <v>5454</v>
      </c>
      <c r="E5682" t="s">
        <v>5152</v>
      </c>
      <c r="F5682" t="s">
        <v>11001</v>
      </c>
      <c r="G5682" t="s">
        <v>3890</v>
      </c>
      <c r="H5682" t="s">
        <v>109</v>
      </c>
      <c r="I5682" t="s">
        <v>108</v>
      </c>
      <c r="J5682">
        <v>2</v>
      </c>
      <c r="K5682">
        <v>42937.004999999997</v>
      </c>
      <c r="L5682">
        <v>39972.089</v>
      </c>
      <c r="M5682">
        <v>47160.224000000002</v>
      </c>
      <c r="N5682">
        <v>48233.159</v>
      </c>
      <c r="O5682">
        <v>47662.413</v>
      </c>
      <c r="P5682">
        <v>47777.061999999998</v>
      </c>
      <c r="Q5682">
        <v>49101.828999999998</v>
      </c>
      <c r="R5682">
        <v>50144.32</v>
      </c>
      <c r="S5682">
        <v>51211.275000000001</v>
      </c>
      <c r="T5682">
        <v>52027.493999999999</v>
      </c>
      <c r="U5682">
        <v>53310.243000000002</v>
      </c>
      <c r="V5682">
        <v>54181.968999999997</v>
      </c>
      <c r="W5682">
        <v>55858.025999999998</v>
      </c>
      <c r="X5682">
        <v>56904.837</v>
      </c>
      <c r="Y5682">
        <v>59078.654999999999</v>
      </c>
      <c r="Z5682">
        <v>61691.05</v>
      </c>
      <c r="AA5682">
        <v>63611.794999999998</v>
      </c>
      <c r="AB5682">
        <v>68281.623999999996</v>
      </c>
      <c r="AC5682">
        <v>68730.48</v>
      </c>
      <c r="AD5682">
        <v>76321.388999999996</v>
      </c>
    </row>
    <row r="5683" spans="2:30" x14ac:dyDescent="0.25">
      <c r="B5683" t="s">
        <v>133</v>
      </c>
      <c r="C5683" t="s">
        <v>10598</v>
      </c>
      <c r="D5683" t="s">
        <v>5455</v>
      </c>
      <c r="E5683" t="s">
        <v>5155</v>
      </c>
      <c r="F5683" t="s">
        <v>11002</v>
      </c>
      <c r="G5683" t="s">
        <v>3890</v>
      </c>
      <c r="H5683" t="s">
        <v>109</v>
      </c>
      <c r="I5683" t="s">
        <v>108</v>
      </c>
      <c r="J5683">
        <v>2</v>
      </c>
      <c r="K5683">
        <v>7688.0550000000003</v>
      </c>
      <c r="L5683">
        <v>7378.8829999999998</v>
      </c>
      <c r="M5683">
        <v>7817.37</v>
      </c>
      <c r="N5683">
        <v>9960.232</v>
      </c>
      <c r="O5683">
        <v>9985.7199999999993</v>
      </c>
      <c r="P5683">
        <v>10027.691000000001</v>
      </c>
      <c r="Q5683">
        <v>10091.271000000001</v>
      </c>
      <c r="R5683">
        <v>10150.694</v>
      </c>
      <c r="S5683">
        <v>10205.929</v>
      </c>
      <c r="T5683">
        <v>10270.347</v>
      </c>
      <c r="U5683">
        <v>10343.030000000001</v>
      </c>
      <c r="V5683">
        <v>10430.592000000001</v>
      </c>
      <c r="W5683">
        <v>10526.434999999999</v>
      </c>
      <c r="X5683">
        <v>10645.982</v>
      </c>
      <c r="Y5683">
        <v>10773.612999999999</v>
      </c>
      <c r="Z5683">
        <v>10919.74</v>
      </c>
      <c r="AA5683">
        <v>11094.76</v>
      </c>
      <c r="AB5683">
        <v>11256.894</v>
      </c>
      <c r="AC5683">
        <v>11490.505999999999</v>
      </c>
      <c r="AD5683">
        <v>11658.891</v>
      </c>
    </row>
    <row r="5684" spans="2:30" x14ac:dyDescent="0.25">
      <c r="B5684" t="s">
        <v>133</v>
      </c>
      <c r="C5684" t="s">
        <v>10598</v>
      </c>
      <c r="D5684" t="s">
        <v>5456</v>
      </c>
      <c r="E5684" t="s">
        <v>5158</v>
      </c>
      <c r="F5684" t="s">
        <v>11003</v>
      </c>
      <c r="G5684" t="s">
        <v>3890</v>
      </c>
      <c r="H5684" t="s">
        <v>109</v>
      </c>
      <c r="I5684" t="s">
        <v>108</v>
      </c>
      <c r="J5684">
        <v>2</v>
      </c>
      <c r="K5684">
        <v>7404.3140000000003</v>
      </c>
      <c r="L5684">
        <v>7147.93</v>
      </c>
      <c r="M5684">
        <v>7001.1750000000002</v>
      </c>
      <c r="N5684">
        <v>6753.6639999999998</v>
      </c>
      <c r="O5684">
        <v>6886.5370000000003</v>
      </c>
      <c r="P5684">
        <v>7548.8450000000003</v>
      </c>
      <c r="Q5684">
        <v>8264.5689999999995</v>
      </c>
      <c r="R5684">
        <v>9039.0769999999993</v>
      </c>
      <c r="S5684">
        <v>9962.9480000000003</v>
      </c>
      <c r="T5684">
        <v>11055.25</v>
      </c>
      <c r="U5684">
        <v>12235.745999999999</v>
      </c>
      <c r="V5684">
        <v>13498.297</v>
      </c>
      <c r="W5684">
        <v>14836.707</v>
      </c>
      <c r="X5684">
        <v>16243.789000000001</v>
      </c>
      <c r="Y5684">
        <v>17710.778999999999</v>
      </c>
      <c r="Z5684">
        <v>19250.39</v>
      </c>
      <c r="AA5684">
        <v>20859.677</v>
      </c>
      <c r="AB5684">
        <v>22536.897000000001</v>
      </c>
      <c r="AC5684">
        <v>24278.116000000002</v>
      </c>
      <c r="AD5684">
        <v>26053.379000000001</v>
      </c>
    </row>
    <row r="5685" spans="2:30" x14ac:dyDescent="0.25">
      <c r="B5685" t="s">
        <v>133</v>
      </c>
      <c r="C5685" t="s">
        <v>10598</v>
      </c>
      <c r="D5685" t="s">
        <v>5457</v>
      </c>
      <c r="E5685" t="s">
        <v>5161</v>
      </c>
      <c r="F5685" t="s">
        <v>11004</v>
      </c>
      <c r="G5685" t="s">
        <v>3890</v>
      </c>
      <c r="H5685" t="s">
        <v>109</v>
      </c>
      <c r="I5685" t="s">
        <v>108</v>
      </c>
      <c r="J5685">
        <v>2</v>
      </c>
      <c r="K5685">
        <v>15214.834999999999</v>
      </c>
      <c r="L5685">
        <v>16168.272999999999</v>
      </c>
      <c r="M5685">
        <v>17468.254000000001</v>
      </c>
      <c r="N5685">
        <v>17210.601999999999</v>
      </c>
      <c r="O5685">
        <v>17931.196</v>
      </c>
      <c r="P5685">
        <v>19045.128000000001</v>
      </c>
      <c r="Q5685">
        <v>20275.215</v>
      </c>
      <c r="R5685">
        <v>21586.156999999999</v>
      </c>
      <c r="S5685">
        <v>23101.177</v>
      </c>
      <c r="T5685">
        <v>24867.7</v>
      </c>
      <c r="U5685">
        <v>26778.668000000001</v>
      </c>
      <c r="V5685">
        <v>28824.977999999999</v>
      </c>
      <c r="W5685">
        <v>30982.481</v>
      </c>
      <c r="X5685">
        <v>33255.902999999998</v>
      </c>
      <c r="Y5685">
        <v>35638.803</v>
      </c>
      <c r="Z5685">
        <v>38142.021999999997</v>
      </c>
      <c r="AA5685">
        <v>40765.275000000001</v>
      </c>
      <c r="AB5685">
        <v>43513.741000000002</v>
      </c>
      <c r="AC5685">
        <v>46390.072999999997</v>
      </c>
      <c r="AD5685">
        <v>49391.978999999999</v>
      </c>
    </row>
    <row r="5686" spans="2:30" x14ac:dyDescent="0.25">
      <c r="B5686" t="s">
        <v>133</v>
      </c>
      <c r="C5686" t="s">
        <v>10598</v>
      </c>
      <c r="D5686" t="s">
        <v>5458</v>
      </c>
      <c r="E5686" t="s">
        <v>5164</v>
      </c>
      <c r="F5686" t="s">
        <v>11005</v>
      </c>
      <c r="G5686" t="s">
        <v>3890</v>
      </c>
      <c r="H5686" t="s">
        <v>109</v>
      </c>
      <c r="I5686" t="s">
        <v>108</v>
      </c>
      <c r="J5686">
        <v>2</v>
      </c>
      <c r="K5686">
        <v>5389.2640000000001</v>
      </c>
      <c r="L5686">
        <v>6059.357</v>
      </c>
      <c r="M5686">
        <v>7304.8469999999998</v>
      </c>
      <c r="N5686">
        <v>7485.0290000000005</v>
      </c>
      <c r="O5686">
        <v>7660.826</v>
      </c>
      <c r="P5686">
        <v>7867.7740000000003</v>
      </c>
      <c r="Q5686">
        <v>8112.8670000000002</v>
      </c>
      <c r="R5686">
        <v>8347.8140000000003</v>
      </c>
      <c r="S5686">
        <v>8567.5049999999992</v>
      </c>
      <c r="T5686">
        <v>8788.9480000000003</v>
      </c>
      <c r="U5686">
        <v>9012.5969999999998</v>
      </c>
      <c r="V5686">
        <v>9238.8379999999997</v>
      </c>
      <c r="W5686">
        <v>9467.6440000000002</v>
      </c>
      <c r="X5686">
        <v>9699.8359999999993</v>
      </c>
      <c r="Y5686">
        <v>9935.2950000000001</v>
      </c>
      <c r="Z5686">
        <v>10174.947</v>
      </c>
      <c r="AA5686">
        <v>10420.349</v>
      </c>
      <c r="AB5686">
        <v>10670.584999999999</v>
      </c>
      <c r="AC5686">
        <v>10928.946</v>
      </c>
      <c r="AD5686">
        <v>11191.406999999999</v>
      </c>
    </row>
    <row r="5687" spans="2:30" x14ac:dyDescent="0.25">
      <c r="B5687" t="s">
        <v>133</v>
      </c>
      <c r="C5687" t="s">
        <v>10598</v>
      </c>
      <c r="D5687" t="s">
        <v>5459</v>
      </c>
      <c r="E5687" t="s">
        <v>5167</v>
      </c>
      <c r="F5687" t="s">
        <v>11006</v>
      </c>
      <c r="G5687" t="s">
        <v>3890</v>
      </c>
      <c r="H5687" t="s">
        <v>109</v>
      </c>
      <c r="I5687" t="s">
        <v>108</v>
      </c>
      <c r="J5687">
        <v>2</v>
      </c>
      <c r="K5687">
        <v>659.322</v>
      </c>
      <c r="L5687">
        <v>771.90700000000004</v>
      </c>
      <c r="M5687">
        <v>857.73800000000006</v>
      </c>
      <c r="N5687">
        <v>889.11699999999996</v>
      </c>
      <c r="O5687">
        <v>920.298</v>
      </c>
      <c r="P5687">
        <v>957.94299999999998</v>
      </c>
      <c r="Q5687">
        <v>1003.823</v>
      </c>
      <c r="R5687">
        <v>1048.864</v>
      </c>
      <c r="S5687">
        <v>1091.8879999999999</v>
      </c>
      <c r="T5687">
        <v>1136.0740000000001</v>
      </c>
      <c r="U5687">
        <v>1181.357</v>
      </c>
      <c r="V5687">
        <v>1227.8240000000001</v>
      </c>
      <c r="W5687">
        <v>1275.48</v>
      </c>
      <c r="X5687">
        <v>1324.5129999999999</v>
      </c>
      <c r="Y5687">
        <v>1374.914</v>
      </c>
      <c r="Z5687">
        <v>1426.905</v>
      </c>
      <c r="AA5687">
        <v>1480.867</v>
      </c>
      <c r="AB5687">
        <v>1536.623</v>
      </c>
      <c r="AC5687">
        <v>1594.97</v>
      </c>
      <c r="AD5687">
        <v>1655.0029999999999</v>
      </c>
    </row>
    <row r="5688" spans="2:30" x14ac:dyDescent="0.25">
      <c r="B5688" t="s">
        <v>133</v>
      </c>
      <c r="C5688" t="s">
        <v>10598</v>
      </c>
      <c r="D5688" t="s">
        <v>5460</v>
      </c>
      <c r="E5688" t="s">
        <v>5176</v>
      </c>
      <c r="F5688" t="s">
        <v>11009</v>
      </c>
      <c r="G5688" t="s">
        <v>3890</v>
      </c>
      <c r="H5688" t="s">
        <v>109</v>
      </c>
      <c r="I5688" t="s">
        <v>108</v>
      </c>
      <c r="J5688">
        <v>2</v>
      </c>
      <c r="K5688">
        <v>1529.27</v>
      </c>
      <c r="L5688">
        <v>1206.73</v>
      </c>
      <c r="M5688">
        <v>1313.405</v>
      </c>
      <c r="N5688">
        <v>1308.827</v>
      </c>
      <c r="O5688">
        <v>1304.2660000000001</v>
      </c>
      <c r="P5688">
        <v>1299.72</v>
      </c>
      <c r="Q5688">
        <v>1295.19</v>
      </c>
      <c r="R5688">
        <v>1290.6759999999999</v>
      </c>
      <c r="S5688">
        <v>1286.1780000000001</v>
      </c>
      <c r="T5688">
        <v>1281.6949999999999</v>
      </c>
      <c r="U5688">
        <v>1277.2280000000001</v>
      </c>
      <c r="V5688">
        <v>1272.777</v>
      </c>
      <c r="W5688">
        <v>1268.3409999999999</v>
      </c>
      <c r="X5688">
        <v>1263.921</v>
      </c>
      <c r="Y5688">
        <v>1259.5160000000001</v>
      </c>
      <c r="Z5688">
        <v>1255.126</v>
      </c>
      <c r="AA5688">
        <v>1250.752</v>
      </c>
      <c r="AB5688">
        <v>1246.393</v>
      </c>
      <c r="AC5688">
        <v>1242.049</v>
      </c>
      <c r="AD5688">
        <v>1237.72</v>
      </c>
    </row>
    <row r="5689" spans="2:30" x14ac:dyDescent="0.25">
      <c r="B5689" t="s">
        <v>133</v>
      </c>
      <c r="C5689" t="s">
        <v>10598</v>
      </c>
      <c r="D5689" t="s">
        <v>5461</v>
      </c>
      <c r="E5689" t="s">
        <v>5462</v>
      </c>
      <c r="F5689" t="s">
        <v>11093</v>
      </c>
      <c r="G5689" t="s">
        <v>3890</v>
      </c>
      <c r="H5689" t="s">
        <v>109</v>
      </c>
      <c r="I5689" t="s">
        <v>108</v>
      </c>
      <c r="J5689">
        <v>2</v>
      </c>
      <c r="K5689">
        <v>2179.63</v>
      </c>
      <c r="L5689">
        <v>2352.3209999999999</v>
      </c>
      <c r="M5689">
        <v>2313.9140000000002</v>
      </c>
      <c r="N5689">
        <v>3842.66</v>
      </c>
      <c r="O5689">
        <v>5517.1859999999997</v>
      </c>
      <c r="P5689">
        <v>6139.4759999999997</v>
      </c>
      <c r="Q5689">
        <v>6454.7340000000004</v>
      </c>
      <c r="R5689">
        <v>6978.5690000000004</v>
      </c>
      <c r="S5689">
        <v>7508.5780000000004</v>
      </c>
      <c r="T5689">
        <v>8085.951</v>
      </c>
      <c r="U5689">
        <v>8607.4809999999998</v>
      </c>
      <c r="V5689">
        <v>9233.7049999999999</v>
      </c>
      <c r="W5689">
        <v>9796.0769999999993</v>
      </c>
      <c r="X5689">
        <v>10547.531999999999</v>
      </c>
      <c r="Y5689">
        <v>11223.558000000001</v>
      </c>
      <c r="Z5689">
        <v>12139.521000000001</v>
      </c>
      <c r="AA5689">
        <v>13228.232</v>
      </c>
      <c r="AB5689">
        <v>14250.754000000001</v>
      </c>
      <c r="AC5689">
        <v>16021.898999999999</v>
      </c>
      <c r="AD5689">
        <v>17022.814999999999</v>
      </c>
    </row>
    <row r="5690" spans="2:30" x14ac:dyDescent="0.25">
      <c r="B5690" t="s">
        <v>133</v>
      </c>
      <c r="C5690" t="s">
        <v>10598</v>
      </c>
      <c r="D5690" t="s">
        <v>5464</v>
      </c>
      <c r="E5690" t="s">
        <v>5465</v>
      </c>
      <c r="F5690" t="s">
        <v>11094</v>
      </c>
      <c r="G5690" t="s">
        <v>3890</v>
      </c>
      <c r="H5690" t="s">
        <v>5467</v>
      </c>
      <c r="I5690" t="s">
        <v>5468</v>
      </c>
      <c r="J5690">
        <v>1</v>
      </c>
      <c r="K5690">
        <v>208.74</v>
      </c>
      <c r="L5690">
        <v>202.17599999999999</v>
      </c>
      <c r="M5690">
        <v>232.196</v>
      </c>
      <c r="N5690">
        <v>257.23</v>
      </c>
      <c r="O5690">
        <v>270.62599999999998</v>
      </c>
      <c r="P5690">
        <v>275.01499999999999</v>
      </c>
      <c r="Q5690">
        <v>282.78199999999998</v>
      </c>
      <c r="R5690">
        <v>292.887</v>
      </c>
      <c r="S5690">
        <v>303.33800000000002</v>
      </c>
      <c r="T5690">
        <v>314.25799999999998</v>
      </c>
      <c r="U5690">
        <v>325.75200000000001</v>
      </c>
      <c r="V5690">
        <v>338.35399999999998</v>
      </c>
      <c r="W5690">
        <v>352.29599999999999</v>
      </c>
      <c r="X5690">
        <v>367.983</v>
      </c>
      <c r="Y5690">
        <v>385.65600000000001</v>
      </c>
      <c r="Z5690">
        <v>405.74400000000003</v>
      </c>
      <c r="AA5690">
        <v>428.72</v>
      </c>
      <c r="AB5690">
        <v>455.17899999999997</v>
      </c>
      <c r="AC5690">
        <v>485.61099999999999</v>
      </c>
      <c r="AD5690">
        <v>519.09900000000005</v>
      </c>
    </row>
    <row r="5691" spans="2:30" x14ac:dyDescent="0.25">
      <c r="B5691" t="s">
        <v>133</v>
      </c>
      <c r="C5691" t="s">
        <v>10598</v>
      </c>
      <c r="D5691" t="s">
        <v>5469</v>
      </c>
      <c r="E5691" t="s">
        <v>5470</v>
      </c>
      <c r="F5691" t="s">
        <v>11095</v>
      </c>
      <c r="G5691" t="s">
        <v>3890</v>
      </c>
      <c r="H5691" t="s">
        <v>5467</v>
      </c>
      <c r="I5691" t="s">
        <v>5468</v>
      </c>
      <c r="J5691">
        <v>1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</row>
    <row r="5692" spans="2:30" x14ac:dyDescent="0.25">
      <c r="B5692" t="s">
        <v>133</v>
      </c>
      <c r="C5692" t="s">
        <v>10598</v>
      </c>
      <c r="D5692" t="s">
        <v>5472</v>
      </c>
      <c r="E5692" t="s">
        <v>5473</v>
      </c>
      <c r="F5692" t="s">
        <v>11096</v>
      </c>
      <c r="G5692" t="s">
        <v>3890</v>
      </c>
      <c r="H5692" t="s">
        <v>5467</v>
      </c>
      <c r="I5692" t="s">
        <v>5468</v>
      </c>
      <c r="J5692">
        <v>1</v>
      </c>
      <c r="K5692">
        <v>165.38399999999999</v>
      </c>
      <c r="L5692">
        <v>157.304</v>
      </c>
      <c r="M5692">
        <v>188.27099999999999</v>
      </c>
      <c r="N5692">
        <v>191.965</v>
      </c>
      <c r="O5692">
        <v>186.31200000000001</v>
      </c>
      <c r="P5692">
        <v>183.92</v>
      </c>
      <c r="Q5692">
        <v>188.554</v>
      </c>
      <c r="R5692">
        <v>194.017</v>
      </c>
      <c r="S5692">
        <v>198.691</v>
      </c>
      <c r="T5692">
        <v>203.524</v>
      </c>
      <c r="U5692">
        <v>208.74799999999999</v>
      </c>
      <c r="V5692">
        <v>214.83500000000001</v>
      </c>
      <c r="W5692">
        <v>221.76300000000001</v>
      </c>
      <c r="X5692">
        <v>229.81200000000001</v>
      </c>
      <c r="Y5692">
        <v>239.017</v>
      </c>
      <c r="Z5692">
        <v>249.691</v>
      </c>
      <c r="AA5692">
        <v>262.07400000000001</v>
      </c>
      <c r="AB5692">
        <v>276.52300000000002</v>
      </c>
      <c r="AC5692">
        <v>293.45499999999998</v>
      </c>
      <c r="AD5692">
        <v>310.44</v>
      </c>
    </row>
    <row r="5693" spans="2:30" x14ac:dyDescent="0.25">
      <c r="B5693" t="s">
        <v>133</v>
      </c>
      <c r="C5693" t="s">
        <v>10598</v>
      </c>
      <c r="D5693" t="s">
        <v>5475</v>
      </c>
      <c r="E5693" t="s">
        <v>5476</v>
      </c>
      <c r="F5693" t="s">
        <v>11097</v>
      </c>
      <c r="G5693" t="s">
        <v>3890</v>
      </c>
      <c r="H5693" t="s">
        <v>5467</v>
      </c>
      <c r="I5693" t="s">
        <v>5468</v>
      </c>
      <c r="J5693">
        <v>1</v>
      </c>
      <c r="K5693">
        <v>18.006</v>
      </c>
      <c r="L5693">
        <v>17.515000000000001</v>
      </c>
      <c r="M5693">
        <v>17.013999999999999</v>
      </c>
      <c r="N5693">
        <v>20.574999999999999</v>
      </c>
      <c r="O5693">
        <v>20.149999999999999</v>
      </c>
      <c r="P5693">
        <v>19.693999999999999</v>
      </c>
      <c r="Q5693">
        <v>19.206</v>
      </c>
      <c r="R5693">
        <v>18.754000000000001</v>
      </c>
      <c r="S5693">
        <v>18.327999999999999</v>
      </c>
      <c r="T5693">
        <v>17.916</v>
      </c>
      <c r="U5693">
        <v>17.52</v>
      </c>
      <c r="V5693">
        <v>17.140999999999998</v>
      </c>
      <c r="W5693">
        <v>16.780999999999999</v>
      </c>
      <c r="X5693">
        <v>16.440999999999999</v>
      </c>
      <c r="Y5693">
        <v>16.122</v>
      </c>
      <c r="Z5693">
        <v>15.826000000000001</v>
      </c>
      <c r="AA5693">
        <v>15.555</v>
      </c>
      <c r="AB5693">
        <v>15.31</v>
      </c>
      <c r="AC5693">
        <v>15.093999999999999</v>
      </c>
      <c r="AD5693">
        <v>14.907</v>
      </c>
    </row>
    <row r="5694" spans="2:30" x14ac:dyDescent="0.25">
      <c r="B5694" t="s">
        <v>133</v>
      </c>
      <c r="C5694" t="s">
        <v>10598</v>
      </c>
      <c r="D5694" t="s">
        <v>5478</v>
      </c>
      <c r="E5694" t="s">
        <v>5479</v>
      </c>
      <c r="F5694" t="s">
        <v>11098</v>
      </c>
      <c r="G5694" t="s">
        <v>3890</v>
      </c>
      <c r="H5694" t="s">
        <v>5467</v>
      </c>
      <c r="I5694" t="s">
        <v>5468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</row>
    <row r="5695" spans="2:30" x14ac:dyDescent="0.25">
      <c r="B5695" t="s">
        <v>133</v>
      </c>
      <c r="C5695" t="s">
        <v>10598</v>
      </c>
      <c r="D5695" t="s">
        <v>5481</v>
      </c>
      <c r="E5695" t="s">
        <v>5482</v>
      </c>
      <c r="F5695" t="s">
        <v>11099</v>
      </c>
      <c r="G5695" t="s">
        <v>3890</v>
      </c>
      <c r="H5695" t="s">
        <v>5467</v>
      </c>
      <c r="I5695" t="s">
        <v>5468</v>
      </c>
      <c r="J5695">
        <v>1</v>
      </c>
      <c r="K5695">
        <v>5.8109999999999999</v>
      </c>
      <c r="L5695">
        <v>7.2009999999999996</v>
      </c>
      <c r="M5695">
        <v>6.9610000000000003</v>
      </c>
      <c r="N5695">
        <v>10.776</v>
      </c>
      <c r="O5695">
        <v>14.987</v>
      </c>
      <c r="P5695">
        <v>19.532</v>
      </c>
      <c r="Q5695">
        <v>21.751000000000001</v>
      </c>
      <c r="R5695">
        <v>24.719000000000001</v>
      </c>
      <c r="S5695">
        <v>28.161000000000001</v>
      </c>
      <c r="T5695">
        <v>31.591999999999999</v>
      </c>
      <c r="U5695">
        <v>35.063000000000002</v>
      </c>
      <c r="V5695">
        <v>38.604999999999997</v>
      </c>
      <c r="W5695">
        <v>42.351999999999997</v>
      </c>
      <c r="X5695">
        <v>46.356999999999999</v>
      </c>
      <c r="Y5695">
        <v>50.72</v>
      </c>
      <c r="Z5695">
        <v>55.493000000000002</v>
      </c>
      <c r="AA5695">
        <v>60.78</v>
      </c>
      <c r="AB5695">
        <v>66.694999999999993</v>
      </c>
      <c r="AC5695">
        <v>72.971999999999994</v>
      </c>
      <c r="AD5695">
        <v>79.569999999999993</v>
      </c>
    </row>
    <row r="5696" spans="2:30" x14ac:dyDescent="0.25">
      <c r="B5696" t="s">
        <v>133</v>
      </c>
      <c r="C5696" t="s">
        <v>10598</v>
      </c>
      <c r="D5696" t="s">
        <v>5484</v>
      </c>
      <c r="E5696" t="s">
        <v>5485</v>
      </c>
      <c r="F5696" t="s">
        <v>11100</v>
      </c>
      <c r="G5696" t="s">
        <v>3890</v>
      </c>
      <c r="H5696" t="s">
        <v>5467</v>
      </c>
      <c r="I5696" t="s">
        <v>5468</v>
      </c>
      <c r="J5696">
        <v>1</v>
      </c>
      <c r="K5696">
        <v>4.8929999999999998</v>
      </c>
      <c r="L5696">
        <v>5.1660000000000004</v>
      </c>
      <c r="M5696">
        <v>4.9589999999999996</v>
      </c>
      <c r="N5696">
        <v>8.8070000000000004</v>
      </c>
      <c r="O5696">
        <v>13.025</v>
      </c>
      <c r="P5696">
        <v>14.676</v>
      </c>
      <c r="Q5696">
        <v>15.471</v>
      </c>
      <c r="R5696">
        <v>16.832000000000001</v>
      </c>
      <c r="S5696">
        <v>18.715</v>
      </c>
      <c r="T5696">
        <v>20.888999999999999</v>
      </c>
      <c r="U5696">
        <v>23.152999999999999</v>
      </c>
      <c r="V5696">
        <v>25.533999999999999</v>
      </c>
      <c r="W5696">
        <v>28.125</v>
      </c>
      <c r="X5696">
        <v>30.984000000000002</v>
      </c>
      <c r="Y5696">
        <v>34.198</v>
      </c>
      <c r="Z5696">
        <v>37.817999999999998</v>
      </c>
      <c r="AA5696">
        <v>41.948999999999998</v>
      </c>
      <c r="AB5696">
        <v>46.689</v>
      </c>
      <c r="AC5696">
        <v>52.363</v>
      </c>
      <c r="AD5696">
        <v>59.298000000000002</v>
      </c>
    </row>
    <row r="5697" spans="2:30" x14ac:dyDescent="0.25">
      <c r="B5697" t="s">
        <v>133</v>
      </c>
      <c r="C5697" t="s">
        <v>10598</v>
      </c>
      <c r="D5697" t="s">
        <v>5487</v>
      </c>
      <c r="E5697" t="s">
        <v>5488</v>
      </c>
      <c r="F5697" t="s">
        <v>11101</v>
      </c>
      <c r="G5697" t="s">
        <v>3890</v>
      </c>
      <c r="H5697" t="s">
        <v>5467</v>
      </c>
      <c r="I5697" t="s">
        <v>5468</v>
      </c>
      <c r="J5697">
        <v>1</v>
      </c>
      <c r="K5697">
        <v>14.646000000000001</v>
      </c>
      <c r="L5697">
        <v>14.99</v>
      </c>
      <c r="M5697">
        <v>14.99</v>
      </c>
      <c r="N5697">
        <v>25.106999999999999</v>
      </c>
      <c r="O5697">
        <v>36.152999999999999</v>
      </c>
      <c r="P5697">
        <v>37.194000000000003</v>
      </c>
      <c r="Q5697">
        <v>37.798999999999999</v>
      </c>
      <c r="R5697">
        <v>38.566000000000003</v>
      </c>
      <c r="S5697">
        <v>39.444000000000003</v>
      </c>
      <c r="T5697">
        <v>40.337000000000003</v>
      </c>
      <c r="U5697">
        <v>41.267000000000003</v>
      </c>
      <c r="V5697">
        <v>42.238</v>
      </c>
      <c r="W5697">
        <v>43.276000000000003</v>
      </c>
      <c r="X5697">
        <v>44.389000000000003</v>
      </c>
      <c r="Y5697">
        <v>45.597999999999999</v>
      </c>
      <c r="Z5697">
        <v>46.915999999999997</v>
      </c>
      <c r="AA5697">
        <v>48.363</v>
      </c>
      <c r="AB5697">
        <v>49.960999999999999</v>
      </c>
      <c r="AC5697">
        <v>51.726999999999997</v>
      </c>
      <c r="AD5697">
        <v>54.884</v>
      </c>
    </row>
    <row r="5698" spans="2:30" x14ac:dyDescent="0.25">
      <c r="B5698" t="s">
        <v>133</v>
      </c>
      <c r="C5698" t="s">
        <v>10598</v>
      </c>
      <c r="D5698" t="s">
        <v>5490</v>
      </c>
      <c r="E5698" t="s">
        <v>5491</v>
      </c>
      <c r="F5698" t="s">
        <v>11102</v>
      </c>
      <c r="G5698" t="s">
        <v>3890</v>
      </c>
      <c r="H5698" t="s">
        <v>5467</v>
      </c>
      <c r="I5698" t="s">
        <v>5468</v>
      </c>
      <c r="J5698">
        <v>1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</row>
    <row r="5699" spans="2:30" x14ac:dyDescent="0.25">
      <c r="B5699" t="s">
        <v>133</v>
      </c>
      <c r="C5699" t="s">
        <v>10598</v>
      </c>
      <c r="D5699" t="s">
        <v>5493</v>
      </c>
      <c r="E5699" t="s">
        <v>5494</v>
      </c>
      <c r="F5699" t="s">
        <v>11103</v>
      </c>
      <c r="G5699" t="s">
        <v>3890</v>
      </c>
      <c r="H5699" t="s">
        <v>5467</v>
      </c>
      <c r="I5699" t="s">
        <v>5468</v>
      </c>
      <c r="J5699">
        <v>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</row>
    <row r="5700" spans="2:30" x14ac:dyDescent="0.25">
      <c r="B5700" t="s">
        <v>133</v>
      </c>
      <c r="C5700" t="s">
        <v>10598</v>
      </c>
      <c r="D5700" t="s">
        <v>5496</v>
      </c>
      <c r="E5700" t="s">
        <v>5497</v>
      </c>
      <c r="F5700" t="s">
        <v>11104</v>
      </c>
      <c r="G5700" t="s">
        <v>3890</v>
      </c>
      <c r="H5700" t="s">
        <v>5467</v>
      </c>
      <c r="I5700" t="s">
        <v>5468</v>
      </c>
      <c r="J5700">
        <v>1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</row>
    <row r="5701" spans="2:30" x14ac:dyDescent="0.25">
      <c r="B5701" t="s">
        <v>133</v>
      </c>
      <c r="C5701" t="s">
        <v>10598</v>
      </c>
      <c r="D5701" t="s">
        <v>5499</v>
      </c>
      <c r="E5701" t="s">
        <v>5500</v>
      </c>
      <c r="F5701" t="s">
        <v>11105</v>
      </c>
      <c r="G5701" t="s">
        <v>3890</v>
      </c>
      <c r="H5701" t="s">
        <v>5467</v>
      </c>
      <c r="I5701" t="s">
        <v>5468</v>
      </c>
      <c r="J5701">
        <v>2</v>
      </c>
      <c r="K5701">
        <v>208.74</v>
      </c>
      <c r="L5701">
        <v>202.17599999999999</v>
      </c>
      <c r="M5701">
        <v>232.196</v>
      </c>
      <c r="N5701">
        <v>257.23</v>
      </c>
      <c r="O5701">
        <v>270.62599999999998</v>
      </c>
      <c r="P5701">
        <v>275.01499999999999</v>
      </c>
      <c r="Q5701">
        <v>282.78199999999998</v>
      </c>
      <c r="R5701">
        <v>290.49</v>
      </c>
      <c r="S5701">
        <v>298.66699999999997</v>
      </c>
      <c r="T5701">
        <v>305.73</v>
      </c>
      <c r="U5701">
        <v>314.77100000000002</v>
      </c>
      <c r="V5701">
        <v>322.536</v>
      </c>
      <c r="W5701">
        <v>334.01499999999999</v>
      </c>
      <c r="X5701">
        <v>344.053</v>
      </c>
      <c r="Y5701">
        <v>359.67899999999997</v>
      </c>
      <c r="Z5701">
        <v>380.48</v>
      </c>
      <c r="AA5701">
        <v>399.334</v>
      </c>
      <c r="AB5701">
        <v>432.64499999999998</v>
      </c>
      <c r="AC5701">
        <v>450.99700000000001</v>
      </c>
      <c r="AD5701">
        <v>500.11399999999998</v>
      </c>
    </row>
    <row r="5702" spans="2:30" x14ac:dyDescent="0.25">
      <c r="B5702" t="s">
        <v>133</v>
      </c>
      <c r="C5702" t="s">
        <v>10598</v>
      </c>
      <c r="D5702" t="s">
        <v>5502</v>
      </c>
      <c r="E5702" t="s">
        <v>5503</v>
      </c>
      <c r="F5702" t="s">
        <v>11106</v>
      </c>
      <c r="G5702" t="s">
        <v>3890</v>
      </c>
      <c r="H5702" t="s">
        <v>5467</v>
      </c>
      <c r="I5702" t="s">
        <v>5468</v>
      </c>
      <c r="J5702">
        <v>2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</row>
    <row r="5703" spans="2:30" x14ac:dyDescent="0.25">
      <c r="B5703" t="s">
        <v>133</v>
      </c>
      <c r="C5703" t="s">
        <v>10598</v>
      </c>
      <c r="D5703" t="s">
        <v>5505</v>
      </c>
      <c r="E5703" t="s">
        <v>5506</v>
      </c>
      <c r="F5703" t="s">
        <v>11107</v>
      </c>
      <c r="G5703" t="s">
        <v>3890</v>
      </c>
      <c r="H5703" t="s">
        <v>5467</v>
      </c>
      <c r="I5703" t="s">
        <v>5468</v>
      </c>
      <c r="J5703">
        <v>2</v>
      </c>
      <c r="K5703">
        <v>165.38399999999999</v>
      </c>
      <c r="L5703">
        <v>157.304</v>
      </c>
      <c r="M5703">
        <v>188.27099999999999</v>
      </c>
      <c r="N5703">
        <v>191.965</v>
      </c>
      <c r="O5703">
        <v>186.31200000000001</v>
      </c>
      <c r="P5703">
        <v>183.92</v>
      </c>
      <c r="Q5703">
        <v>188.50899999999999</v>
      </c>
      <c r="R5703">
        <v>190.60499999999999</v>
      </c>
      <c r="S5703">
        <v>193.07400000000001</v>
      </c>
      <c r="T5703">
        <v>193.85300000000001</v>
      </c>
      <c r="U5703">
        <v>197.23699999999999</v>
      </c>
      <c r="V5703">
        <v>198.08199999999999</v>
      </c>
      <c r="W5703">
        <v>203.36500000000001</v>
      </c>
      <c r="X5703">
        <v>204.929</v>
      </c>
      <c r="Y5703">
        <v>212.94399999999999</v>
      </c>
      <c r="Z5703">
        <v>223.28700000000001</v>
      </c>
      <c r="AA5703">
        <v>229.58600000000001</v>
      </c>
      <c r="AB5703">
        <v>251.18100000000001</v>
      </c>
      <c r="AC5703">
        <v>248.86500000000001</v>
      </c>
      <c r="AD5703">
        <v>286.53899999999999</v>
      </c>
    </row>
    <row r="5704" spans="2:30" x14ac:dyDescent="0.25">
      <c r="B5704" t="s">
        <v>133</v>
      </c>
      <c r="C5704" t="s">
        <v>10598</v>
      </c>
      <c r="D5704" t="s">
        <v>5508</v>
      </c>
      <c r="E5704" t="s">
        <v>5509</v>
      </c>
      <c r="F5704" t="s">
        <v>11108</v>
      </c>
      <c r="G5704" t="s">
        <v>3890</v>
      </c>
      <c r="H5704" t="s">
        <v>5467</v>
      </c>
      <c r="I5704" t="s">
        <v>5468</v>
      </c>
      <c r="J5704">
        <v>2</v>
      </c>
      <c r="K5704">
        <v>18.006</v>
      </c>
      <c r="L5704">
        <v>17.515000000000001</v>
      </c>
      <c r="M5704">
        <v>17.013999999999999</v>
      </c>
      <c r="N5704">
        <v>20.574999999999999</v>
      </c>
      <c r="O5704">
        <v>20.149999999999999</v>
      </c>
      <c r="P5704">
        <v>19.693999999999999</v>
      </c>
      <c r="Q5704">
        <v>19.204000000000001</v>
      </c>
      <c r="R5704">
        <v>18.722999999999999</v>
      </c>
      <c r="S5704">
        <v>18.268000000000001</v>
      </c>
      <c r="T5704">
        <v>17.838000000000001</v>
      </c>
      <c r="U5704">
        <v>17.428999999999998</v>
      </c>
      <c r="V5704">
        <v>17.065999999999999</v>
      </c>
      <c r="W5704">
        <v>16.722000000000001</v>
      </c>
      <c r="X5704">
        <v>16.454999999999998</v>
      </c>
      <c r="Y5704">
        <v>16.206</v>
      </c>
      <c r="Z5704">
        <v>16.010000000000002</v>
      </c>
      <c r="AA5704">
        <v>15.903</v>
      </c>
      <c r="AB5704">
        <v>15.728</v>
      </c>
      <c r="AC5704">
        <v>15.797000000000001</v>
      </c>
      <c r="AD5704">
        <v>15.599</v>
      </c>
    </row>
    <row r="5705" spans="2:30" x14ac:dyDescent="0.25">
      <c r="B5705" t="s">
        <v>133</v>
      </c>
      <c r="C5705" t="s">
        <v>10598</v>
      </c>
      <c r="D5705" t="s">
        <v>5511</v>
      </c>
      <c r="E5705" t="s">
        <v>5512</v>
      </c>
      <c r="F5705" t="s">
        <v>11109</v>
      </c>
      <c r="G5705" t="s">
        <v>3890</v>
      </c>
      <c r="H5705" t="s">
        <v>5467</v>
      </c>
      <c r="I5705" t="s">
        <v>5468</v>
      </c>
      <c r="J5705">
        <v>2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</row>
    <row r="5706" spans="2:30" x14ac:dyDescent="0.25">
      <c r="B5706" t="s">
        <v>133</v>
      </c>
      <c r="C5706" t="s">
        <v>10598</v>
      </c>
      <c r="D5706" t="s">
        <v>5514</v>
      </c>
      <c r="E5706" t="s">
        <v>5515</v>
      </c>
      <c r="F5706" t="s">
        <v>11110</v>
      </c>
      <c r="G5706" t="s">
        <v>3890</v>
      </c>
      <c r="H5706" t="s">
        <v>5467</v>
      </c>
      <c r="I5706" t="s">
        <v>5468</v>
      </c>
      <c r="J5706">
        <v>2</v>
      </c>
      <c r="K5706">
        <v>5.8109999999999999</v>
      </c>
      <c r="L5706">
        <v>7.2009999999999996</v>
      </c>
      <c r="M5706">
        <v>6.9610000000000003</v>
      </c>
      <c r="N5706">
        <v>10.776</v>
      </c>
      <c r="O5706">
        <v>14.987</v>
      </c>
      <c r="P5706">
        <v>19.532</v>
      </c>
      <c r="Q5706">
        <v>21.780999999999999</v>
      </c>
      <c r="R5706">
        <v>25.33</v>
      </c>
      <c r="S5706">
        <v>28.724</v>
      </c>
      <c r="T5706">
        <v>32.213000000000001</v>
      </c>
      <c r="U5706">
        <v>35.29</v>
      </c>
      <c r="V5706">
        <v>38.911000000000001</v>
      </c>
      <c r="W5706">
        <v>42.088999999999999</v>
      </c>
      <c r="X5706">
        <v>46.276000000000003</v>
      </c>
      <c r="Y5706">
        <v>49.96</v>
      </c>
      <c r="Z5706">
        <v>54.982999999999997</v>
      </c>
      <c r="AA5706">
        <v>60.27</v>
      </c>
      <c r="AB5706">
        <v>65.796000000000006</v>
      </c>
      <c r="AC5706">
        <v>71.516000000000005</v>
      </c>
      <c r="AD5706">
        <v>76.744</v>
      </c>
    </row>
    <row r="5707" spans="2:30" x14ac:dyDescent="0.25">
      <c r="B5707" t="s">
        <v>133</v>
      </c>
      <c r="C5707" t="s">
        <v>10598</v>
      </c>
      <c r="D5707" t="s">
        <v>5517</v>
      </c>
      <c r="E5707" t="s">
        <v>5518</v>
      </c>
      <c r="F5707" t="s">
        <v>11111</v>
      </c>
      <c r="G5707" t="s">
        <v>3890</v>
      </c>
      <c r="H5707" t="s">
        <v>5467</v>
      </c>
      <c r="I5707" t="s">
        <v>5468</v>
      </c>
      <c r="J5707">
        <v>2</v>
      </c>
      <c r="K5707">
        <v>4.8929999999999998</v>
      </c>
      <c r="L5707">
        <v>5.1660000000000004</v>
      </c>
      <c r="M5707">
        <v>4.9589999999999996</v>
      </c>
      <c r="N5707">
        <v>8.8070000000000004</v>
      </c>
      <c r="O5707">
        <v>13.025</v>
      </c>
      <c r="P5707">
        <v>14.676</v>
      </c>
      <c r="Q5707">
        <v>15.484</v>
      </c>
      <c r="R5707">
        <v>17.146999999999998</v>
      </c>
      <c r="S5707">
        <v>19.018999999999998</v>
      </c>
      <c r="T5707">
        <v>21.274000000000001</v>
      </c>
      <c r="U5707">
        <v>23.324000000000002</v>
      </c>
      <c r="V5707">
        <v>25.853999999999999</v>
      </c>
      <c r="W5707">
        <v>28.132000000000001</v>
      </c>
      <c r="X5707">
        <v>31.273</v>
      </c>
      <c r="Y5707">
        <v>34.11</v>
      </c>
      <c r="Z5707">
        <v>38.067</v>
      </c>
      <c r="AA5707">
        <v>43.320999999999998</v>
      </c>
      <c r="AB5707">
        <v>47.859000000000002</v>
      </c>
      <c r="AC5707">
        <v>53.857999999999997</v>
      </c>
      <c r="AD5707">
        <v>58.542999999999999</v>
      </c>
    </row>
    <row r="5708" spans="2:30" x14ac:dyDescent="0.25">
      <c r="B5708" t="s">
        <v>133</v>
      </c>
      <c r="C5708" t="s">
        <v>10598</v>
      </c>
      <c r="D5708" t="s">
        <v>5520</v>
      </c>
      <c r="E5708" t="s">
        <v>5521</v>
      </c>
      <c r="F5708" t="s">
        <v>11112</v>
      </c>
      <c r="G5708" t="s">
        <v>3890</v>
      </c>
      <c r="H5708" t="s">
        <v>5467</v>
      </c>
      <c r="I5708" t="s">
        <v>5468</v>
      </c>
      <c r="J5708">
        <v>2</v>
      </c>
      <c r="K5708">
        <v>14.646000000000001</v>
      </c>
      <c r="L5708">
        <v>14.99</v>
      </c>
      <c r="M5708">
        <v>14.99</v>
      </c>
      <c r="N5708">
        <v>25.106999999999999</v>
      </c>
      <c r="O5708">
        <v>36.152999999999999</v>
      </c>
      <c r="P5708">
        <v>37.194000000000003</v>
      </c>
      <c r="Q5708">
        <v>37.804000000000002</v>
      </c>
      <c r="R5708">
        <v>38.683999999999997</v>
      </c>
      <c r="S5708">
        <v>39.582000000000001</v>
      </c>
      <c r="T5708">
        <v>40.552</v>
      </c>
      <c r="U5708">
        <v>41.491</v>
      </c>
      <c r="V5708">
        <v>42.622999999999998</v>
      </c>
      <c r="W5708">
        <v>43.707999999999998</v>
      </c>
      <c r="X5708">
        <v>45.118000000000002</v>
      </c>
      <c r="Y5708">
        <v>46.46</v>
      </c>
      <c r="Z5708">
        <v>48.133000000000003</v>
      </c>
      <c r="AA5708">
        <v>50.253999999999998</v>
      </c>
      <c r="AB5708">
        <v>52.08</v>
      </c>
      <c r="AC5708">
        <v>60.960999999999999</v>
      </c>
      <c r="AD5708">
        <v>62.689</v>
      </c>
    </row>
    <row r="5709" spans="2:30" x14ac:dyDescent="0.25">
      <c r="B5709" t="s">
        <v>133</v>
      </c>
      <c r="C5709" t="s">
        <v>10598</v>
      </c>
      <c r="D5709" t="s">
        <v>5523</v>
      </c>
      <c r="E5709" t="s">
        <v>5524</v>
      </c>
      <c r="F5709" t="s">
        <v>11113</v>
      </c>
      <c r="G5709" t="s">
        <v>3890</v>
      </c>
      <c r="H5709" t="s">
        <v>5467</v>
      </c>
      <c r="I5709" t="s">
        <v>5468</v>
      </c>
      <c r="J5709">
        <v>2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</row>
    <row r="5710" spans="2:30" x14ac:dyDescent="0.25">
      <c r="B5710" t="s">
        <v>133</v>
      </c>
      <c r="C5710" t="s">
        <v>10598</v>
      </c>
      <c r="D5710" t="s">
        <v>5526</v>
      </c>
      <c r="E5710" t="s">
        <v>5527</v>
      </c>
      <c r="F5710" t="s">
        <v>11114</v>
      </c>
      <c r="G5710" t="s">
        <v>3890</v>
      </c>
      <c r="H5710" t="s">
        <v>5467</v>
      </c>
      <c r="I5710" t="s">
        <v>5468</v>
      </c>
      <c r="J5710">
        <v>2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</row>
    <row r="5711" spans="2:30" x14ac:dyDescent="0.25">
      <c r="B5711" t="s">
        <v>133</v>
      </c>
      <c r="C5711" t="s">
        <v>10598</v>
      </c>
      <c r="D5711" t="s">
        <v>5529</v>
      </c>
      <c r="E5711" t="s">
        <v>5530</v>
      </c>
      <c r="F5711" t="s">
        <v>11115</v>
      </c>
      <c r="G5711" t="s">
        <v>3890</v>
      </c>
      <c r="H5711" t="s">
        <v>5467</v>
      </c>
      <c r="I5711" t="s">
        <v>5468</v>
      </c>
      <c r="J5711">
        <v>2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</row>
    <row r="5712" spans="2:30" x14ac:dyDescent="0.25">
      <c r="B5712" t="s">
        <v>133</v>
      </c>
      <c r="C5712" t="s">
        <v>10598</v>
      </c>
      <c r="D5712" t="s">
        <v>5532</v>
      </c>
      <c r="E5712" t="s">
        <v>5533</v>
      </c>
      <c r="F5712" t="s">
        <v>11116</v>
      </c>
      <c r="G5712" t="s">
        <v>3890</v>
      </c>
      <c r="H5712" t="s">
        <v>109</v>
      </c>
      <c r="I5712" t="s">
        <v>108</v>
      </c>
      <c r="J5712">
        <v>2</v>
      </c>
      <c r="K5712">
        <v>0.33900000000000002</v>
      </c>
      <c r="L5712">
        <v>0.32700000000000001</v>
      </c>
      <c r="M5712">
        <v>0.32</v>
      </c>
      <c r="N5712">
        <v>0.309</v>
      </c>
      <c r="O5712">
        <v>0.315</v>
      </c>
      <c r="P5712">
        <v>0.34499999999999997</v>
      </c>
      <c r="Q5712">
        <v>0.378</v>
      </c>
      <c r="R5712">
        <v>0.41399999999999998</v>
      </c>
      <c r="S5712">
        <v>0.45700000000000002</v>
      </c>
      <c r="T5712">
        <v>0.50700000000000001</v>
      </c>
      <c r="U5712">
        <v>0.56100000000000005</v>
      </c>
      <c r="V5712">
        <v>0.61899999999999999</v>
      </c>
      <c r="W5712">
        <v>0.68100000000000005</v>
      </c>
      <c r="X5712">
        <v>0.746</v>
      </c>
      <c r="Y5712">
        <v>0.81299999999999994</v>
      </c>
      <c r="Z5712">
        <v>0.88300000000000001</v>
      </c>
      <c r="AA5712">
        <v>0.95699999999999996</v>
      </c>
      <c r="AB5712">
        <v>1.0329999999999999</v>
      </c>
      <c r="AC5712">
        <v>1.113</v>
      </c>
      <c r="AD5712">
        <v>1.1930000000000001</v>
      </c>
    </row>
    <row r="5713" spans="2:30" x14ac:dyDescent="0.25">
      <c r="B5713" t="s">
        <v>133</v>
      </c>
      <c r="C5713" t="s">
        <v>10598</v>
      </c>
      <c r="D5713" t="s">
        <v>5535</v>
      </c>
      <c r="E5713" t="s">
        <v>5536</v>
      </c>
      <c r="F5713" t="s">
        <v>11117</v>
      </c>
      <c r="G5713" t="s">
        <v>3890</v>
      </c>
      <c r="H5713" t="s">
        <v>109</v>
      </c>
      <c r="I5713" t="s">
        <v>108</v>
      </c>
      <c r="J5713">
        <v>2</v>
      </c>
      <c r="K5713">
        <v>495.238</v>
      </c>
      <c r="L5713">
        <v>484.52</v>
      </c>
      <c r="M5713">
        <v>472.24900000000002</v>
      </c>
      <c r="N5713">
        <v>454.66399999999999</v>
      </c>
      <c r="O5713">
        <v>463.9</v>
      </c>
      <c r="P5713">
        <v>509.44099999999997</v>
      </c>
      <c r="Q5713">
        <v>559.21799999999996</v>
      </c>
      <c r="R5713">
        <v>613.42899999999997</v>
      </c>
      <c r="S5713">
        <v>678.09699999999998</v>
      </c>
      <c r="T5713">
        <v>754.60299999999995</v>
      </c>
      <c r="U5713">
        <v>837.61900000000003</v>
      </c>
      <c r="V5713">
        <v>926.78399999999999</v>
      </c>
      <c r="W5713">
        <v>1021.675</v>
      </c>
      <c r="X5713">
        <v>1121.827</v>
      </c>
      <c r="Y5713">
        <v>1226.672</v>
      </c>
      <c r="Z5713">
        <v>1337.145</v>
      </c>
      <c r="AA5713">
        <v>1453.0889999999999</v>
      </c>
      <c r="AB5713">
        <v>1574.4269999999999</v>
      </c>
      <c r="AC5713">
        <v>1700.9690000000001</v>
      </c>
      <c r="AD5713">
        <v>1830.63</v>
      </c>
    </row>
    <row r="5714" spans="2:30" x14ac:dyDescent="0.25">
      <c r="B5714" t="s">
        <v>133</v>
      </c>
      <c r="C5714" t="s">
        <v>10598</v>
      </c>
      <c r="D5714" t="s">
        <v>5538</v>
      </c>
      <c r="E5714">
        <v>0</v>
      </c>
      <c r="F5714" t="s">
        <v>11118</v>
      </c>
      <c r="G5714" t="s">
        <v>3890</v>
      </c>
      <c r="H5714" t="s">
        <v>109</v>
      </c>
      <c r="I5714" t="s">
        <v>108</v>
      </c>
      <c r="J5714">
        <v>2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</row>
    <row r="5715" spans="2:30" x14ac:dyDescent="0.25">
      <c r="B5715" t="s">
        <v>133</v>
      </c>
      <c r="C5715" t="s">
        <v>10598</v>
      </c>
      <c r="D5715" t="s">
        <v>5540</v>
      </c>
      <c r="E5715">
        <v>0</v>
      </c>
      <c r="F5715" t="s">
        <v>11118</v>
      </c>
      <c r="G5715" t="s">
        <v>3890</v>
      </c>
      <c r="H5715" t="s">
        <v>109</v>
      </c>
      <c r="I5715" t="s">
        <v>108</v>
      </c>
      <c r="J5715">
        <v>2</v>
      </c>
      <c r="K5715">
        <v>0.02</v>
      </c>
      <c r="L5715">
        <v>2.5000000000000001E-2</v>
      </c>
      <c r="M5715">
        <v>3.4000000000000002E-2</v>
      </c>
      <c r="N5715">
        <v>4.3999999999999997E-2</v>
      </c>
      <c r="O5715">
        <v>6.9000000000000006E-2</v>
      </c>
      <c r="P5715">
        <v>0.12</v>
      </c>
      <c r="Q5715">
        <v>0.221</v>
      </c>
      <c r="R5715">
        <v>0.41399999999999998</v>
      </c>
      <c r="S5715">
        <v>0.79500000000000004</v>
      </c>
      <c r="T5715">
        <v>1.4890000000000001</v>
      </c>
      <c r="U5715">
        <v>2.6789999999999998</v>
      </c>
      <c r="V5715">
        <v>4.5979999999999999</v>
      </c>
      <c r="W5715">
        <v>7.4649999999999999</v>
      </c>
      <c r="X5715">
        <v>11.497999999999999</v>
      </c>
      <c r="Y5715">
        <v>16.963000000000001</v>
      </c>
      <c r="Z5715">
        <v>24.213000000000001</v>
      </c>
      <c r="AA5715">
        <v>33.424999999999997</v>
      </c>
      <c r="AB5715">
        <v>45.631999999999998</v>
      </c>
      <c r="AC5715">
        <v>59.816000000000003</v>
      </c>
      <c r="AD5715">
        <v>77.950999999999993</v>
      </c>
    </row>
    <row r="5716" spans="2:30" x14ac:dyDescent="0.25">
      <c r="B5716" t="s">
        <v>133</v>
      </c>
      <c r="C5716" t="s">
        <v>10598</v>
      </c>
      <c r="D5716" t="s">
        <v>5541</v>
      </c>
      <c r="E5716" t="s">
        <v>5542</v>
      </c>
      <c r="F5716" t="s">
        <v>11119</v>
      </c>
      <c r="G5716" t="s">
        <v>3890</v>
      </c>
      <c r="H5716" t="s">
        <v>109</v>
      </c>
      <c r="I5716" t="s">
        <v>108</v>
      </c>
      <c r="J5716">
        <v>2</v>
      </c>
      <c r="K5716">
        <v>1.6890000000000001</v>
      </c>
      <c r="L5716">
        <v>2.1659999999999999</v>
      </c>
      <c r="M5716">
        <v>2.9460000000000002</v>
      </c>
      <c r="N5716">
        <v>3.7509999999999999</v>
      </c>
      <c r="O5716">
        <v>5.9260000000000002</v>
      </c>
      <c r="P5716">
        <v>10.311999999999999</v>
      </c>
      <c r="Q5716">
        <v>19.004999999999999</v>
      </c>
      <c r="R5716">
        <v>35.634999999999998</v>
      </c>
      <c r="S5716">
        <v>68.325000000000003</v>
      </c>
      <c r="T5716">
        <v>128.01</v>
      </c>
      <c r="U5716">
        <v>230.34100000000001</v>
      </c>
      <c r="V5716">
        <v>395.31599999999997</v>
      </c>
      <c r="W5716">
        <v>641.91200000000003</v>
      </c>
      <c r="X5716">
        <v>988.67200000000003</v>
      </c>
      <c r="Y5716">
        <v>1458.5329999999999</v>
      </c>
      <c r="Z5716">
        <v>2081.9389999999999</v>
      </c>
      <c r="AA5716">
        <v>2874.0160000000001</v>
      </c>
      <c r="AB5716">
        <v>3923.654</v>
      </c>
      <c r="AC5716">
        <v>5143.2439999999997</v>
      </c>
      <c r="AD5716">
        <v>6702.5659999999998</v>
      </c>
    </row>
    <row r="5717" spans="2:30" x14ac:dyDescent="0.25">
      <c r="B5717" t="s">
        <v>133</v>
      </c>
      <c r="C5717" t="s">
        <v>10598</v>
      </c>
      <c r="D5717" t="s">
        <v>5544</v>
      </c>
      <c r="E5717">
        <v>0</v>
      </c>
      <c r="F5717" t="s">
        <v>11118</v>
      </c>
      <c r="G5717" t="s">
        <v>3890</v>
      </c>
      <c r="H5717" t="s">
        <v>109</v>
      </c>
      <c r="I5717" t="s">
        <v>108</v>
      </c>
      <c r="J5717">
        <v>2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</row>
    <row r="5718" spans="2:30" x14ac:dyDescent="0.25">
      <c r="B5718" t="s">
        <v>133</v>
      </c>
      <c r="C5718" t="s">
        <v>10598</v>
      </c>
      <c r="D5718" t="s">
        <v>5545</v>
      </c>
      <c r="E5718" t="s">
        <v>5546</v>
      </c>
      <c r="F5718" t="s">
        <v>11120</v>
      </c>
      <c r="G5718" t="s">
        <v>3890</v>
      </c>
      <c r="H5718" t="s">
        <v>109</v>
      </c>
      <c r="I5718" t="s">
        <v>108</v>
      </c>
      <c r="J5718">
        <v>2</v>
      </c>
      <c r="K5718">
        <v>197.274</v>
      </c>
      <c r="L5718">
        <v>195.66</v>
      </c>
      <c r="M5718">
        <v>189.69</v>
      </c>
      <c r="N5718">
        <v>181.21199999999999</v>
      </c>
      <c r="O5718">
        <v>185.57499999999999</v>
      </c>
      <c r="P5718">
        <v>204.697</v>
      </c>
      <c r="Q5718">
        <v>225.94</v>
      </c>
      <c r="R5718">
        <v>249.608</v>
      </c>
      <c r="S5718">
        <v>278.584</v>
      </c>
      <c r="T5718">
        <v>314.03199999999998</v>
      </c>
      <c r="U5718">
        <v>354.57</v>
      </c>
      <c r="V5718">
        <v>400.90800000000002</v>
      </c>
      <c r="W5718">
        <v>454.06599999999997</v>
      </c>
      <c r="X5718">
        <v>514.91099999999994</v>
      </c>
      <c r="Y5718">
        <v>584.58799999999997</v>
      </c>
      <c r="Z5718">
        <v>665.38099999999997</v>
      </c>
      <c r="AA5718">
        <v>758.13599999999997</v>
      </c>
      <c r="AB5718">
        <v>868.78899999999999</v>
      </c>
      <c r="AC5718">
        <v>991.21400000000006</v>
      </c>
      <c r="AD5718">
        <v>1137.3050000000001</v>
      </c>
    </row>
    <row r="5719" spans="2:30" x14ac:dyDescent="0.25">
      <c r="B5719" t="s">
        <v>133</v>
      </c>
      <c r="C5719" t="s">
        <v>10598</v>
      </c>
      <c r="D5719" t="s">
        <v>5548</v>
      </c>
      <c r="E5719" t="s">
        <v>5549</v>
      </c>
      <c r="F5719" t="s">
        <v>11121</v>
      </c>
      <c r="G5719" t="s">
        <v>3890</v>
      </c>
      <c r="H5719" t="s">
        <v>109</v>
      </c>
      <c r="I5719" t="s">
        <v>108</v>
      </c>
      <c r="J5719">
        <v>2</v>
      </c>
      <c r="K5719">
        <v>11.728</v>
      </c>
      <c r="L5719">
        <v>11.728</v>
      </c>
      <c r="M5719">
        <v>11.37</v>
      </c>
      <c r="N5719">
        <v>10.861000000000001</v>
      </c>
      <c r="O5719">
        <v>11.95</v>
      </c>
      <c r="P5719">
        <v>13.175000000000001</v>
      </c>
      <c r="Q5719">
        <v>14.529</v>
      </c>
      <c r="R5719">
        <v>16.026</v>
      </c>
      <c r="S5719">
        <v>17.841999999999999</v>
      </c>
      <c r="T5719">
        <v>20.045000000000002</v>
      </c>
      <c r="U5719">
        <v>22.542999999999999</v>
      </c>
      <c r="V5719">
        <v>25.388999999999999</v>
      </c>
      <c r="W5719">
        <v>28.559000000000001</v>
      </c>
      <c r="X5719">
        <v>32.106999999999999</v>
      </c>
      <c r="Y5719">
        <v>36.087000000000003</v>
      </c>
      <c r="Z5719">
        <v>40.564999999999998</v>
      </c>
      <c r="AA5719">
        <v>45.573</v>
      </c>
      <c r="AB5719">
        <v>51.276000000000003</v>
      </c>
      <c r="AC5719">
        <v>57.569000000000003</v>
      </c>
      <c r="AD5719">
        <v>64.879000000000005</v>
      </c>
    </row>
    <row r="5720" spans="2:30" x14ac:dyDescent="0.25">
      <c r="B5720" t="s">
        <v>133</v>
      </c>
      <c r="C5720" t="s">
        <v>10598</v>
      </c>
      <c r="D5720" t="s">
        <v>5551</v>
      </c>
      <c r="E5720" t="s">
        <v>5552</v>
      </c>
      <c r="F5720" t="s">
        <v>11122</v>
      </c>
      <c r="G5720" t="s">
        <v>3890</v>
      </c>
      <c r="H5720" t="s">
        <v>109</v>
      </c>
      <c r="I5720" t="s">
        <v>108</v>
      </c>
      <c r="J5720">
        <v>2</v>
      </c>
      <c r="K5720">
        <v>6.758</v>
      </c>
      <c r="L5720">
        <v>7.0880000000000001</v>
      </c>
      <c r="M5720">
        <v>7.0940000000000003</v>
      </c>
      <c r="N5720">
        <v>7.0309999999999997</v>
      </c>
      <c r="O5720">
        <v>7.61</v>
      </c>
      <c r="P5720">
        <v>8.2579999999999991</v>
      </c>
      <c r="Q5720">
        <v>8.5350000000000001</v>
      </c>
      <c r="R5720">
        <v>8.6340000000000003</v>
      </c>
      <c r="S5720">
        <v>8.8480000000000008</v>
      </c>
      <c r="T5720">
        <v>9.1969999999999992</v>
      </c>
      <c r="U5720">
        <v>9.5779999999999994</v>
      </c>
      <c r="V5720">
        <v>9.9870000000000001</v>
      </c>
      <c r="W5720">
        <v>10.45</v>
      </c>
      <c r="X5720">
        <v>10.94</v>
      </c>
      <c r="Y5720">
        <v>11.528</v>
      </c>
      <c r="Z5720">
        <v>12.228</v>
      </c>
      <c r="AA5720">
        <v>12.957000000000001</v>
      </c>
      <c r="AB5720">
        <v>13.993</v>
      </c>
      <c r="AC5720">
        <v>14.8</v>
      </c>
      <c r="AD5720">
        <v>16.388999999999999</v>
      </c>
    </row>
    <row r="5721" spans="2:30" x14ac:dyDescent="0.25">
      <c r="B5721" t="s">
        <v>133</v>
      </c>
      <c r="C5721" t="s">
        <v>10598</v>
      </c>
      <c r="D5721" t="s">
        <v>5554</v>
      </c>
      <c r="E5721">
        <v>0</v>
      </c>
      <c r="F5721" t="s">
        <v>11118</v>
      </c>
      <c r="G5721" t="s">
        <v>3890</v>
      </c>
      <c r="H5721" t="s">
        <v>109</v>
      </c>
      <c r="I5721" t="s">
        <v>108</v>
      </c>
      <c r="J5721">
        <v>2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</row>
    <row r="5722" spans="2:30" x14ac:dyDescent="0.25">
      <c r="B5722" t="s">
        <v>133</v>
      </c>
      <c r="C5722" t="s">
        <v>10598</v>
      </c>
      <c r="D5722" t="s">
        <v>5555</v>
      </c>
      <c r="E5722">
        <v>0</v>
      </c>
      <c r="F5722" t="s">
        <v>11118</v>
      </c>
      <c r="G5722" t="s">
        <v>3890</v>
      </c>
      <c r="H5722" t="s">
        <v>109</v>
      </c>
      <c r="I5722" t="s">
        <v>108</v>
      </c>
      <c r="J5722">
        <v>2</v>
      </c>
      <c r="K5722">
        <v>12.917999999999999</v>
      </c>
      <c r="L5722">
        <v>13.292</v>
      </c>
      <c r="M5722">
        <v>13.16</v>
      </c>
      <c r="N5722">
        <v>13.037000000000001</v>
      </c>
      <c r="O5722">
        <v>13.037000000000001</v>
      </c>
      <c r="P5722">
        <v>13.096</v>
      </c>
      <c r="Q5722">
        <v>13.161</v>
      </c>
      <c r="R5722">
        <v>13.231</v>
      </c>
      <c r="S5722">
        <v>13.305999999999999</v>
      </c>
      <c r="T5722">
        <v>13.387</v>
      </c>
      <c r="U5722">
        <v>13.472</v>
      </c>
      <c r="V5722">
        <v>13.561999999999999</v>
      </c>
      <c r="W5722">
        <v>13.656000000000001</v>
      </c>
      <c r="X5722">
        <v>13.754</v>
      </c>
      <c r="Y5722">
        <v>13.856</v>
      </c>
      <c r="Z5722">
        <v>13.961</v>
      </c>
      <c r="AA5722">
        <v>14.07</v>
      </c>
      <c r="AB5722">
        <v>14.183</v>
      </c>
      <c r="AC5722">
        <v>14.298</v>
      </c>
      <c r="AD5722">
        <v>14.417</v>
      </c>
    </row>
    <row r="5723" spans="2:30" x14ac:dyDescent="0.25">
      <c r="B5723" t="s">
        <v>133</v>
      </c>
      <c r="C5723" t="s">
        <v>10598</v>
      </c>
      <c r="D5723" t="s">
        <v>5556</v>
      </c>
      <c r="E5723">
        <v>0</v>
      </c>
      <c r="F5723" t="s">
        <v>11118</v>
      </c>
      <c r="G5723" t="s">
        <v>3890</v>
      </c>
      <c r="H5723" t="s">
        <v>109</v>
      </c>
      <c r="I5723" t="s">
        <v>108</v>
      </c>
      <c r="J5723">
        <v>2</v>
      </c>
      <c r="K5723">
        <v>1.83</v>
      </c>
      <c r="L5723">
        <v>1.84</v>
      </c>
      <c r="M5723">
        <v>1.85</v>
      </c>
      <c r="N5723">
        <v>1.86</v>
      </c>
      <c r="O5723">
        <v>1.86</v>
      </c>
      <c r="P5723">
        <v>1.871</v>
      </c>
      <c r="Q5723">
        <v>1.883</v>
      </c>
      <c r="R5723">
        <v>1.8959999999999999</v>
      </c>
      <c r="S5723">
        <v>1.91</v>
      </c>
      <c r="T5723">
        <v>1.9239999999999999</v>
      </c>
      <c r="U5723">
        <v>1.9390000000000001</v>
      </c>
      <c r="V5723">
        <v>1.9550000000000001</v>
      </c>
      <c r="W5723">
        <v>1.9710000000000001</v>
      </c>
      <c r="X5723">
        <v>1.9870000000000001</v>
      </c>
      <c r="Y5723">
        <v>2.004</v>
      </c>
      <c r="Z5723">
        <v>2.0219999999999998</v>
      </c>
      <c r="AA5723">
        <v>2.0390000000000001</v>
      </c>
      <c r="AB5723">
        <v>2.0579999999999998</v>
      </c>
      <c r="AC5723">
        <v>2.077</v>
      </c>
      <c r="AD5723">
        <v>2.0960000000000001</v>
      </c>
    </row>
    <row r="5724" spans="2:30" x14ac:dyDescent="0.25">
      <c r="B5724" t="s">
        <v>133</v>
      </c>
      <c r="C5724" t="s">
        <v>10598</v>
      </c>
      <c r="D5724" t="s">
        <v>5557</v>
      </c>
      <c r="E5724" t="s">
        <v>5558</v>
      </c>
      <c r="F5724" t="s">
        <v>11123</v>
      </c>
      <c r="G5724" t="s">
        <v>3890</v>
      </c>
      <c r="H5724" t="s">
        <v>109</v>
      </c>
      <c r="I5724" t="s">
        <v>108</v>
      </c>
      <c r="J5724">
        <v>2</v>
      </c>
      <c r="K5724">
        <v>6.327</v>
      </c>
      <c r="L5724">
        <v>6.3979999999999997</v>
      </c>
      <c r="M5724">
        <v>6.3920000000000003</v>
      </c>
      <c r="N5724">
        <v>6.3879999999999999</v>
      </c>
      <c r="O5724">
        <v>6.1989999999999998</v>
      </c>
      <c r="P5724">
        <v>6.2309999999999999</v>
      </c>
      <c r="Q5724">
        <v>6.266</v>
      </c>
      <c r="R5724">
        <v>6.3019999999999996</v>
      </c>
      <c r="S5724">
        <v>6.3380000000000001</v>
      </c>
      <c r="T5724">
        <v>6.3730000000000002</v>
      </c>
      <c r="U5724">
        <v>6.407</v>
      </c>
      <c r="V5724">
        <v>6.44</v>
      </c>
      <c r="W5724">
        <v>6.4779999999999998</v>
      </c>
      <c r="X5724">
        <v>6.5149999999999997</v>
      </c>
      <c r="Y5724">
        <v>6.5519999999999996</v>
      </c>
      <c r="Z5724">
        <v>6.59</v>
      </c>
      <c r="AA5724">
        <v>6.6289999999999996</v>
      </c>
      <c r="AB5724">
        <v>6.6669999999999998</v>
      </c>
      <c r="AC5724">
        <v>6.7060000000000004</v>
      </c>
      <c r="AD5724">
        <v>6.7380000000000004</v>
      </c>
    </row>
    <row r="5725" spans="2:30" x14ac:dyDescent="0.25">
      <c r="B5725" t="s">
        <v>133</v>
      </c>
      <c r="C5725" t="s">
        <v>10598</v>
      </c>
      <c r="D5725" t="s">
        <v>5560</v>
      </c>
      <c r="E5725">
        <v>0</v>
      </c>
      <c r="F5725" t="s">
        <v>11118</v>
      </c>
      <c r="G5725" t="s">
        <v>3890</v>
      </c>
      <c r="H5725" t="s">
        <v>109</v>
      </c>
      <c r="I5725" t="s">
        <v>108</v>
      </c>
      <c r="J5725">
        <v>2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</row>
    <row r="5726" spans="2:30" x14ac:dyDescent="0.25">
      <c r="B5726" t="s">
        <v>133</v>
      </c>
      <c r="C5726" t="s">
        <v>10598</v>
      </c>
      <c r="D5726" t="s">
        <v>5561</v>
      </c>
      <c r="E5726">
        <v>0</v>
      </c>
      <c r="F5726" t="s">
        <v>11118</v>
      </c>
      <c r="G5726" t="s">
        <v>3890</v>
      </c>
      <c r="H5726" t="s">
        <v>109</v>
      </c>
      <c r="I5726" t="s">
        <v>108</v>
      </c>
      <c r="J5726">
        <v>2</v>
      </c>
      <c r="K5726">
        <v>11.183999999999999</v>
      </c>
      <c r="L5726">
        <v>11.509</v>
      </c>
      <c r="M5726">
        <v>11.387</v>
      </c>
      <c r="N5726">
        <v>11.282999999999999</v>
      </c>
      <c r="O5726">
        <v>11.282999999999999</v>
      </c>
      <c r="P5726">
        <v>11.334</v>
      </c>
      <c r="Q5726">
        <v>11.39</v>
      </c>
      <c r="R5726">
        <v>11.451000000000001</v>
      </c>
      <c r="S5726">
        <v>11.516</v>
      </c>
      <c r="T5726">
        <v>11.586</v>
      </c>
      <c r="U5726">
        <v>11.659000000000001</v>
      </c>
      <c r="V5726">
        <v>11.737</v>
      </c>
      <c r="W5726">
        <v>11.818</v>
      </c>
      <c r="X5726">
        <v>11.903</v>
      </c>
      <c r="Y5726">
        <v>11.991</v>
      </c>
      <c r="Z5726">
        <v>12.083</v>
      </c>
      <c r="AA5726">
        <v>12.177</v>
      </c>
      <c r="AB5726">
        <v>12.273999999999999</v>
      </c>
      <c r="AC5726">
        <v>12.374000000000001</v>
      </c>
      <c r="AD5726">
        <v>12.477</v>
      </c>
    </row>
    <row r="5727" spans="2:30" x14ac:dyDescent="0.25">
      <c r="B5727" t="s">
        <v>133</v>
      </c>
      <c r="C5727" t="s">
        <v>10598</v>
      </c>
      <c r="D5727" t="s">
        <v>5562</v>
      </c>
      <c r="E5727">
        <v>0</v>
      </c>
      <c r="F5727" t="s">
        <v>11118</v>
      </c>
      <c r="G5727" t="s">
        <v>3890</v>
      </c>
      <c r="H5727" t="s">
        <v>109</v>
      </c>
      <c r="I5727" t="s">
        <v>108</v>
      </c>
      <c r="J5727">
        <v>2</v>
      </c>
      <c r="K5727">
        <v>1.31</v>
      </c>
      <c r="L5727">
        <v>1.32</v>
      </c>
      <c r="M5727">
        <v>1.32</v>
      </c>
      <c r="N5727">
        <v>1.33</v>
      </c>
      <c r="O5727">
        <v>1.33</v>
      </c>
      <c r="P5727">
        <v>1.3380000000000001</v>
      </c>
      <c r="Q5727">
        <v>1.347</v>
      </c>
      <c r="R5727">
        <v>1.3560000000000001</v>
      </c>
      <c r="S5727">
        <v>1.3660000000000001</v>
      </c>
      <c r="T5727">
        <v>1.3759999999999999</v>
      </c>
      <c r="U5727">
        <v>1.387</v>
      </c>
      <c r="V5727">
        <v>1.3979999999999999</v>
      </c>
      <c r="W5727">
        <v>1.409</v>
      </c>
      <c r="X5727">
        <v>1.421</v>
      </c>
      <c r="Y5727">
        <v>1.4330000000000001</v>
      </c>
      <c r="Z5727">
        <v>1.446</v>
      </c>
      <c r="AA5727">
        <v>1.458</v>
      </c>
      <c r="AB5727">
        <v>1.4710000000000001</v>
      </c>
      <c r="AC5727">
        <v>1.4850000000000001</v>
      </c>
      <c r="AD5727">
        <v>1.498</v>
      </c>
    </row>
    <row r="5728" spans="2:30" x14ac:dyDescent="0.25">
      <c r="B5728" t="s">
        <v>133</v>
      </c>
      <c r="C5728" t="s">
        <v>10598</v>
      </c>
      <c r="D5728" t="s">
        <v>5563</v>
      </c>
      <c r="E5728" t="s">
        <v>5564</v>
      </c>
      <c r="F5728" t="s">
        <v>11124</v>
      </c>
      <c r="G5728" t="s">
        <v>3890</v>
      </c>
      <c r="H5728" t="s">
        <v>109</v>
      </c>
      <c r="I5728" t="s">
        <v>108</v>
      </c>
      <c r="J5728">
        <v>2</v>
      </c>
      <c r="K5728">
        <v>6.2469999999999999</v>
      </c>
      <c r="L5728">
        <v>6.415</v>
      </c>
      <c r="M5728">
        <v>6.3540000000000001</v>
      </c>
      <c r="N5728">
        <v>6.3070000000000004</v>
      </c>
      <c r="O5728">
        <v>6.3070000000000004</v>
      </c>
      <c r="P5728">
        <v>6.3360000000000003</v>
      </c>
      <c r="Q5728">
        <v>6.3680000000000003</v>
      </c>
      <c r="R5728">
        <v>6.4029999999999996</v>
      </c>
      <c r="S5728">
        <v>6.4409999999999998</v>
      </c>
      <c r="T5728">
        <v>6.4809999999999999</v>
      </c>
      <c r="U5728">
        <v>6.5229999999999997</v>
      </c>
      <c r="V5728">
        <v>6.5670000000000002</v>
      </c>
      <c r="W5728">
        <v>6.6139999999999999</v>
      </c>
      <c r="X5728">
        <v>6.6619999999999999</v>
      </c>
      <c r="Y5728">
        <v>6.7119999999999997</v>
      </c>
      <c r="Z5728">
        <v>6.7640000000000002</v>
      </c>
      <c r="AA5728">
        <v>6.8179999999999996</v>
      </c>
      <c r="AB5728">
        <v>6.8730000000000002</v>
      </c>
      <c r="AC5728">
        <v>6.93</v>
      </c>
      <c r="AD5728">
        <v>6.9880000000000004</v>
      </c>
    </row>
    <row r="5729" spans="2:30" x14ac:dyDescent="0.25">
      <c r="B5729" t="s">
        <v>133</v>
      </c>
      <c r="C5729" t="s">
        <v>10598</v>
      </c>
      <c r="D5729" t="s">
        <v>5566</v>
      </c>
      <c r="E5729">
        <v>0</v>
      </c>
      <c r="F5729" t="s">
        <v>11118</v>
      </c>
      <c r="G5729" t="s">
        <v>3890</v>
      </c>
      <c r="H5729" t="s">
        <v>109</v>
      </c>
      <c r="I5729" t="s">
        <v>108</v>
      </c>
      <c r="J5729">
        <v>2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</row>
    <row r="5730" spans="2:30" x14ac:dyDescent="0.25">
      <c r="B5730" t="s">
        <v>133</v>
      </c>
      <c r="C5730" t="s">
        <v>10598</v>
      </c>
      <c r="D5730" t="s">
        <v>5567</v>
      </c>
      <c r="E5730">
        <v>0</v>
      </c>
      <c r="F5730" t="s">
        <v>11118</v>
      </c>
      <c r="G5730" t="s">
        <v>3890</v>
      </c>
      <c r="H5730" t="s">
        <v>109</v>
      </c>
      <c r="I5730" t="s">
        <v>108</v>
      </c>
      <c r="J5730">
        <v>2</v>
      </c>
      <c r="K5730">
        <v>12.163</v>
      </c>
      <c r="L5730">
        <v>12.509</v>
      </c>
      <c r="M5730">
        <v>12.385999999999999</v>
      </c>
      <c r="N5730">
        <v>12.263</v>
      </c>
      <c r="O5730">
        <v>12.263</v>
      </c>
      <c r="P5730">
        <v>12.319000000000001</v>
      </c>
      <c r="Q5730">
        <v>12.379</v>
      </c>
      <c r="R5730">
        <v>12.445</v>
      </c>
      <c r="S5730">
        <v>12.516999999999999</v>
      </c>
      <c r="T5730">
        <v>12.592000000000001</v>
      </c>
      <c r="U5730">
        <v>12.672000000000001</v>
      </c>
      <c r="V5730">
        <v>12.757</v>
      </c>
      <c r="W5730">
        <v>12.845000000000001</v>
      </c>
      <c r="X5730">
        <v>12.936999999999999</v>
      </c>
      <c r="Y5730">
        <v>13.032999999999999</v>
      </c>
      <c r="Z5730">
        <v>13.132</v>
      </c>
      <c r="AA5730">
        <v>13.234999999999999</v>
      </c>
      <c r="AB5730">
        <v>13.340999999999999</v>
      </c>
      <c r="AC5730">
        <v>13.45</v>
      </c>
      <c r="AD5730">
        <v>13.561</v>
      </c>
    </row>
    <row r="5731" spans="2:30" x14ac:dyDescent="0.25">
      <c r="B5731" t="s">
        <v>133</v>
      </c>
      <c r="C5731" t="s">
        <v>10598</v>
      </c>
      <c r="D5731" t="s">
        <v>5568</v>
      </c>
      <c r="E5731">
        <v>0</v>
      </c>
      <c r="F5731" t="s">
        <v>11118</v>
      </c>
      <c r="G5731" t="s">
        <v>3890</v>
      </c>
      <c r="H5731" t="s">
        <v>109</v>
      </c>
      <c r="I5731" t="s">
        <v>108</v>
      </c>
      <c r="J5731">
        <v>2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</row>
    <row r="5732" spans="2:30" x14ac:dyDescent="0.25">
      <c r="B5732" t="s">
        <v>133</v>
      </c>
      <c r="C5732" t="s">
        <v>10598</v>
      </c>
      <c r="D5732" t="s">
        <v>5569</v>
      </c>
      <c r="E5732">
        <v>0</v>
      </c>
      <c r="F5732" t="s">
        <v>11118</v>
      </c>
      <c r="G5732" t="s">
        <v>3890</v>
      </c>
      <c r="H5732" t="s">
        <v>109</v>
      </c>
      <c r="I5732" t="s">
        <v>108</v>
      </c>
      <c r="J5732">
        <v>2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</row>
    <row r="5733" spans="2:30" x14ac:dyDescent="0.25">
      <c r="B5733" t="s">
        <v>133</v>
      </c>
      <c r="C5733" t="s">
        <v>10598</v>
      </c>
      <c r="D5733" t="s">
        <v>5570</v>
      </c>
      <c r="E5733">
        <v>0</v>
      </c>
      <c r="F5733" t="s">
        <v>11118</v>
      </c>
      <c r="G5733" t="s">
        <v>3890</v>
      </c>
      <c r="H5733" t="s">
        <v>109</v>
      </c>
      <c r="I5733" t="s">
        <v>108</v>
      </c>
      <c r="J5733">
        <v>2</v>
      </c>
      <c r="K5733">
        <v>17910.141</v>
      </c>
      <c r="L5733">
        <v>17964.946</v>
      </c>
      <c r="M5733">
        <v>21786.334999999999</v>
      </c>
      <c r="N5733">
        <v>22261.268</v>
      </c>
      <c r="O5733">
        <v>22719.177</v>
      </c>
      <c r="P5733">
        <v>23266.445</v>
      </c>
      <c r="Q5733">
        <v>23922.681</v>
      </c>
      <c r="R5733">
        <v>24543.361000000001</v>
      </c>
      <c r="S5733">
        <v>25113.833999999999</v>
      </c>
      <c r="T5733">
        <v>25684.644</v>
      </c>
      <c r="U5733">
        <v>26257.076000000001</v>
      </c>
      <c r="V5733">
        <v>26832.183000000001</v>
      </c>
      <c r="W5733">
        <v>27409.806</v>
      </c>
      <c r="X5733">
        <v>27992.236000000001</v>
      </c>
      <c r="Y5733">
        <v>28579.021000000001</v>
      </c>
      <c r="Z5733">
        <v>29172.705000000002</v>
      </c>
      <c r="AA5733">
        <v>29777.576000000001</v>
      </c>
      <c r="AB5733">
        <v>30390.843000000001</v>
      </c>
      <c r="AC5733">
        <v>31021.618999999999</v>
      </c>
      <c r="AD5733">
        <v>31658.324000000001</v>
      </c>
    </row>
    <row r="5734" spans="2:30" x14ac:dyDescent="0.25">
      <c r="B5734" t="s">
        <v>133</v>
      </c>
      <c r="C5734" t="s">
        <v>10598</v>
      </c>
      <c r="D5734" t="s">
        <v>5571</v>
      </c>
      <c r="E5734">
        <v>0</v>
      </c>
      <c r="F5734" t="s">
        <v>11118</v>
      </c>
      <c r="G5734" t="s">
        <v>3890</v>
      </c>
      <c r="H5734" t="s">
        <v>109</v>
      </c>
      <c r="I5734" t="s">
        <v>108</v>
      </c>
      <c r="J5734">
        <v>2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</row>
    <row r="5735" spans="2:30" x14ac:dyDescent="0.25">
      <c r="B5735" t="s">
        <v>133</v>
      </c>
      <c r="C5735" t="s">
        <v>10598</v>
      </c>
      <c r="D5735" t="s">
        <v>5572</v>
      </c>
      <c r="E5735" t="s">
        <v>38</v>
      </c>
      <c r="F5735" t="s">
        <v>11125</v>
      </c>
      <c r="G5735" t="s">
        <v>3890</v>
      </c>
      <c r="H5735" t="s">
        <v>109</v>
      </c>
      <c r="I5735" t="s">
        <v>108</v>
      </c>
      <c r="J5735">
        <v>2</v>
      </c>
      <c r="K5735">
        <v>2022</v>
      </c>
      <c r="L5735">
        <v>2023</v>
      </c>
      <c r="M5735">
        <v>2024</v>
      </c>
      <c r="N5735">
        <v>2025</v>
      </c>
      <c r="O5735">
        <v>2026</v>
      </c>
      <c r="P5735">
        <v>2027</v>
      </c>
      <c r="Q5735">
        <v>2028</v>
      </c>
      <c r="R5735">
        <v>2029</v>
      </c>
      <c r="S5735">
        <v>2030</v>
      </c>
      <c r="T5735">
        <v>2031</v>
      </c>
      <c r="U5735">
        <v>2032</v>
      </c>
      <c r="V5735">
        <v>2033</v>
      </c>
      <c r="W5735">
        <v>2034</v>
      </c>
      <c r="X5735">
        <v>2035</v>
      </c>
      <c r="Y5735">
        <v>2036</v>
      </c>
      <c r="Z5735">
        <v>2037</v>
      </c>
      <c r="AA5735">
        <v>2038</v>
      </c>
      <c r="AB5735">
        <v>2039</v>
      </c>
      <c r="AC5735">
        <v>2040</v>
      </c>
      <c r="AD5735">
        <v>2041</v>
      </c>
    </row>
    <row r="5736" spans="2:30" x14ac:dyDescent="0.25">
      <c r="B5736" t="s">
        <v>133</v>
      </c>
      <c r="C5736" t="s">
        <v>10598</v>
      </c>
      <c r="D5736" t="s">
        <v>5574</v>
      </c>
      <c r="E5736">
        <v>0</v>
      </c>
      <c r="F5736" t="s">
        <v>11118</v>
      </c>
      <c r="G5736" t="s">
        <v>3890</v>
      </c>
      <c r="H5736" t="s">
        <v>109</v>
      </c>
      <c r="I5736" t="s">
        <v>108</v>
      </c>
      <c r="J5736">
        <v>2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</row>
    <row r="5737" spans="2:30" x14ac:dyDescent="0.25">
      <c r="B5737" t="s">
        <v>133</v>
      </c>
      <c r="C5737" t="s">
        <v>10598</v>
      </c>
      <c r="D5737" t="s">
        <v>5575</v>
      </c>
      <c r="E5737" t="s">
        <v>5576</v>
      </c>
      <c r="F5737" t="s">
        <v>11126</v>
      </c>
      <c r="G5737" t="s">
        <v>3890</v>
      </c>
      <c r="H5737" t="s">
        <v>109</v>
      </c>
      <c r="I5737" t="s">
        <v>108</v>
      </c>
      <c r="J5737">
        <v>2</v>
      </c>
      <c r="K5737">
        <v>23.399000000000001</v>
      </c>
      <c r="L5737">
        <v>15.864000000000001</v>
      </c>
      <c r="M5737">
        <v>14.744</v>
      </c>
      <c r="N5737">
        <v>13.651999999999999</v>
      </c>
      <c r="O5737">
        <v>13.680999999999999</v>
      </c>
      <c r="P5737">
        <v>13.768000000000001</v>
      </c>
      <c r="Q5737">
        <v>13.727</v>
      </c>
      <c r="R5737">
        <v>13.683</v>
      </c>
      <c r="S5737">
        <v>13.635999999999999</v>
      </c>
      <c r="T5737">
        <v>13.59</v>
      </c>
      <c r="U5737">
        <v>13.59</v>
      </c>
      <c r="V5737">
        <v>13.59</v>
      </c>
      <c r="W5737">
        <v>13.59</v>
      </c>
      <c r="X5737">
        <v>13.59</v>
      </c>
      <c r="Y5737">
        <v>13.59</v>
      </c>
      <c r="Z5737">
        <v>13.59</v>
      </c>
      <c r="AA5737">
        <v>13.59</v>
      </c>
      <c r="AB5737">
        <v>13.59</v>
      </c>
      <c r="AC5737">
        <v>13.59</v>
      </c>
      <c r="AD5737">
        <v>13.59</v>
      </c>
    </row>
    <row r="5738" spans="2:30" x14ac:dyDescent="0.25">
      <c r="B5738" t="s">
        <v>133</v>
      </c>
      <c r="C5738" t="s">
        <v>10598</v>
      </c>
      <c r="D5738" t="s">
        <v>5578</v>
      </c>
      <c r="E5738" t="s">
        <v>5579</v>
      </c>
      <c r="F5738" t="s">
        <v>11127</v>
      </c>
      <c r="G5738" t="s">
        <v>3890</v>
      </c>
      <c r="H5738" t="s">
        <v>109</v>
      </c>
      <c r="I5738" t="s">
        <v>108</v>
      </c>
      <c r="J5738">
        <v>2</v>
      </c>
      <c r="K5738">
        <v>4.6340000000000003</v>
      </c>
      <c r="L5738">
        <v>3.2090000000000001</v>
      </c>
      <c r="M5738">
        <v>2.331</v>
      </c>
      <c r="N5738">
        <v>2.331</v>
      </c>
      <c r="O5738">
        <v>2.331</v>
      </c>
      <c r="P5738">
        <v>2.331</v>
      </c>
      <c r="Q5738">
        <v>2.331</v>
      </c>
      <c r="R5738">
        <v>2.331</v>
      </c>
      <c r="S5738">
        <v>2.331</v>
      </c>
      <c r="T5738">
        <v>2.331</v>
      </c>
      <c r="U5738">
        <v>2.331</v>
      </c>
      <c r="V5738">
        <v>2.331</v>
      </c>
      <c r="W5738">
        <v>2.331</v>
      </c>
      <c r="X5738">
        <v>2.331</v>
      </c>
      <c r="Y5738">
        <v>2.331</v>
      </c>
      <c r="Z5738">
        <v>2.331</v>
      </c>
      <c r="AA5738">
        <v>2.331</v>
      </c>
      <c r="AB5738">
        <v>2.331</v>
      </c>
      <c r="AC5738">
        <v>2.331</v>
      </c>
      <c r="AD5738">
        <v>2.331</v>
      </c>
    </row>
    <row r="5739" spans="2:30" x14ac:dyDescent="0.25">
      <c r="B5739" t="s">
        <v>133</v>
      </c>
      <c r="C5739" t="s">
        <v>10598</v>
      </c>
      <c r="D5739" t="s">
        <v>5581</v>
      </c>
      <c r="E5739" t="s">
        <v>5582</v>
      </c>
      <c r="F5739" t="s">
        <v>11128</v>
      </c>
      <c r="G5739" t="s">
        <v>3890</v>
      </c>
      <c r="H5739" t="s">
        <v>109</v>
      </c>
      <c r="I5739" t="s">
        <v>108</v>
      </c>
      <c r="J5739">
        <v>2</v>
      </c>
      <c r="K5739">
        <v>0.6</v>
      </c>
      <c r="L5739">
        <v>0.41099999999999998</v>
      </c>
      <c r="M5739">
        <v>0.33500000000000002</v>
      </c>
      <c r="N5739">
        <v>0.33500000000000002</v>
      </c>
      <c r="O5739">
        <v>0.33500000000000002</v>
      </c>
      <c r="P5739">
        <v>0.33500000000000002</v>
      </c>
      <c r="Q5739">
        <v>0.33500000000000002</v>
      </c>
      <c r="R5739">
        <v>0.33500000000000002</v>
      </c>
      <c r="S5739">
        <v>0.33500000000000002</v>
      </c>
      <c r="T5739">
        <v>0.33500000000000002</v>
      </c>
      <c r="U5739">
        <v>0.33500000000000002</v>
      </c>
      <c r="V5739">
        <v>0.33500000000000002</v>
      </c>
      <c r="W5739">
        <v>0.33500000000000002</v>
      </c>
      <c r="X5739">
        <v>0.33500000000000002</v>
      </c>
      <c r="Y5739">
        <v>0.33500000000000002</v>
      </c>
      <c r="Z5739">
        <v>0.33500000000000002</v>
      </c>
      <c r="AA5739">
        <v>0.33500000000000002</v>
      </c>
      <c r="AB5739">
        <v>0.33500000000000002</v>
      </c>
      <c r="AC5739">
        <v>0.33500000000000002</v>
      </c>
      <c r="AD5739">
        <v>0.33500000000000002</v>
      </c>
    </row>
    <row r="5740" spans="2:30" x14ac:dyDescent="0.25">
      <c r="B5740" t="s">
        <v>133</v>
      </c>
      <c r="C5740" t="s">
        <v>10598</v>
      </c>
      <c r="D5740" t="s">
        <v>5584</v>
      </c>
      <c r="E5740">
        <v>0</v>
      </c>
      <c r="F5740" t="s">
        <v>11118</v>
      </c>
      <c r="G5740" t="s">
        <v>3890</v>
      </c>
      <c r="H5740" t="s">
        <v>109</v>
      </c>
      <c r="I5740" t="s">
        <v>108</v>
      </c>
      <c r="J5740">
        <v>2</v>
      </c>
      <c r="K5740">
        <v>4.6340000000000003</v>
      </c>
      <c r="L5740">
        <v>3.2090000000000001</v>
      </c>
      <c r="M5740">
        <v>2.331</v>
      </c>
      <c r="N5740">
        <v>2.331</v>
      </c>
      <c r="O5740">
        <v>2.331</v>
      </c>
      <c r="P5740">
        <v>2.331</v>
      </c>
      <c r="Q5740">
        <v>2.331</v>
      </c>
      <c r="R5740">
        <v>2.331</v>
      </c>
      <c r="S5740">
        <v>2.331</v>
      </c>
      <c r="T5740">
        <v>2.331</v>
      </c>
      <c r="U5740">
        <v>2.331</v>
      </c>
      <c r="V5740">
        <v>2.331</v>
      </c>
      <c r="W5740">
        <v>2.331</v>
      </c>
      <c r="X5740">
        <v>2.331</v>
      </c>
      <c r="Y5740">
        <v>2.331</v>
      </c>
      <c r="Z5740">
        <v>2.331</v>
      </c>
      <c r="AA5740">
        <v>2.331</v>
      </c>
      <c r="AB5740">
        <v>2.331</v>
      </c>
      <c r="AC5740">
        <v>2.331</v>
      </c>
      <c r="AD5740">
        <v>2.331</v>
      </c>
    </row>
    <row r="5741" spans="2:30" x14ac:dyDescent="0.25">
      <c r="B5741" t="s">
        <v>133</v>
      </c>
      <c r="C5741" t="s">
        <v>10598</v>
      </c>
      <c r="D5741" t="s">
        <v>5585</v>
      </c>
      <c r="E5741">
        <v>0</v>
      </c>
      <c r="F5741" t="s">
        <v>11118</v>
      </c>
      <c r="G5741" t="s">
        <v>3890</v>
      </c>
      <c r="H5741" t="s">
        <v>109</v>
      </c>
      <c r="I5741" t="s">
        <v>108</v>
      </c>
      <c r="J5741">
        <v>2</v>
      </c>
      <c r="K5741">
        <v>0.6</v>
      </c>
      <c r="L5741">
        <v>0.41099999999999998</v>
      </c>
      <c r="M5741">
        <v>0.33500000000000002</v>
      </c>
      <c r="N5741">
        <v>0.33500000000000002</v>
      </c>
      <c r="O5741">
        <v>0.33500000000000002</v>
      </c>
      <c r="P5741">
        <v>0.33500000000000002</v>
      </c>
      <c r="Q5741">
        <v>0.33500000000000002</v>
      </c>
      <c r="R5741">
        <v>0.33500000000000002</v>
      </c>
      <c r="S5741">
        <v>0.33500000000000002</v>
      </c>
      <c r="T5741">
        <v>0.33500000000000002</v>
      </c>
      <c r="U5741">
        <v>0.33500000000000002</v>
      </c>
      <c r="V5741">
        <v>0.33500000000000002</v>
      </c>
      <c r="W5741">
        <v>0.33500000000000002</v>
      </c>
      <c r="X5741">
        <v>0.33500000000000002</v>
      </c>
      <c r="Y5741">
        <v>0.33500000000000002</v>
      </c>
      <c r="Z5741">
        <v>0.33500000000000002</v>
      </c>
      <c r="AA5741">
        <v>0.33500000000000002</v>
      </c>
      <c r="AB5741">
        <v>0.33500000000000002</v>
      </c>
      <c r="AC5741">
        <v>0.33500000000000002</v>
      </c>
      <c r="AD5741">
        <v>0.33500000000000002</v>
      </c>
    </row>
    <row r="5742" spans="2:30" x14ac:dyDescent="0.25">
      <c r="B5742" t="s">
        <v>133</v>
      </c>
      <c r="C5742" t="s">
        <v>10598</v>
      </c>
      <c r="D5742" t="s">
        <v>5586</v>
      </c>
      <c r="E5742">
        <v>0</v>
      </c>
      <c r="F5742" t="s">
        <v>11118</v>
      </c>
      <c r="G5742" t="s">
        <v>3890</v>
      </c>
      <c r="H5742" t="s">
        <v>109</v>
      </c>
      <c r="I5742" t="s">
        <v>108</v>
      </c>
      <c r="J5742">
        <v>2</v>
      </c>
      <c r="K5742">
        <v>0.41399999999999998</v>
      </c>
      <c r="L5742">
        <v>0.28100000000000003</v>
      </c>
      <c r="M5742">
        <v>0.249</v>
      </c>
      <c r="N5742">
        <v>0.249</v>
      </c>
      <c r="O5742">
        <v>0.249</v>
      </c>
      <c r="P5742">
        <v>0.249</v>
      </c>
      <c r="Q5742">
        <v>0.249</v>
      </c>
      <c r="R5742">
        <v>0.249</v>
      </c>
      <c r="S5742">
        <v>0.249</v>
      </c>
      <c r="T5742">
        <v>0.249</v>
      </c>
      <c r="U5742">
        <v>0.249</v>
      </c>
      <c r="V5742">
        <v>0.249</v>
      </c>
      <c r="W5742">
        <v>0.249</v>
      </c>
      <c r="X5742">
        <v>0.249</v>
      </c>
      <c r="Y5742">
        <v>0.249</v>
      </c>
      <c r="Z5742">
        <v>0.249</v>
      </c>
      <c r="AA5742">
        <v>0.249</v>
      </c>
      <c r="AB5742">
        <v>0.249</v>
      </c>
      <c r="AC5742">
        <v>0.249</v>
      </c>
      <c r="AD5742">
        <v>0.249</v>
      </c>
    </row>
    <row r="5743" spans="2:30" x14ac:dyDescent="0.25">
      <c r="B5743" t="s">
        <v>133</v>
      </c>
      <c r="C5743" t="s">
        <v>10598</v>
      </c>
      <c r="D5743" t="s">
        <v>5587</v>
      </c>
      <c r="E5743">
        <v>0</v>
      </c>
      <c r="F5743" t="s">
        <v>11118</v>
      </c>
      <c r="G5743" t="s">
        <v>3890</v>
      </c>
      <c r="H5743" t="s">
        <v>109</v>
      </c>
      <c r="I5743" t="s">
        <v>108</v>
      </c>
      <c r="J5743">
        <v>2</v>
      </c>
      <c r="K5743">
        <v>0.17499999999999999</v>
      </c>
      <c r="L5743">
        <v>0.10199999999999999</v>
      </c>
      <c r="M5743">
        <v>8.7999999999999995E-2</v>
      </c>
      <c r="N5743">
        <v>8.7999999999999995E-2</v>
      </c>
      <c r="O5743">
        <v>8.7999999999999995E-2</v>
      </c>
      <c r="P5743">
        <v>8.7999999999999995E-2</v>
      </c>
      <c r="Q5743">
        <v>8.7999999999999995E-2</v>
      </c>
      <c r="R5743">
        <v>8.7999999999999995E-2</v>
      </c>
      <c r="S5743">
        <v>8.7999999999999995E-2</v>
      </c>
      <c r="T5743">
        <v>8.7999999999999995E-2</v>
      </c>
      <c r="U5743">
        <v>8.7999999999999995E-2</v>
      </c>
      <c r="V5743">
        <v>8.7999999999999995E-2</v>
      </c>
      <c r="W5743">
        <v>8.7999999999999995E-2</v>
      </c>
      <c r="X5743">
        <v>8.7999999999999995E-2</v>
      </c>
      <c r="Y5743">
        <v>8.7999999999999995E-2</v>
      </c>
      <c r="Z5743">
        <v>8.7999999999999995E-2</v>
      </c>
      <c r="AA5743">
        <v>8.7999999999999995E-2</v>
      </c>
      <c r="AB5743">
        <v>8.7999999999999995E-2</v>
      </c>
      <c r="AC5743">
        <v>8.7999999999999995E-2</v>
      </c>
      <c r="AD5743">
        <v>8.7999999999999995E-2</v>
      </c>
    </row>
    <row r="5744" spans="2:30" x14ac:dyDescent="0.25">
      <c r="B5744" t="s">
        <v>133</v>
      </c>
      <c r="C5744" t="s">
        <v>10598</v>
      </c>
      <c r="D5744" t="s">
        <v>5588</v>
      </c>
      <c r="E5744">
        <v>0</v>
      </c>
      <c r="F5744" t="s">
        <v>11118</v>
      </c>
      <c r="G5744" t="s">
        <v>3890</v>
      </c>
      <c r="H5744" t="s">
        <v>109</v>
      </c>
      <c r="I5744" t="s">
        <v>108</v>
      </c>
      <c r="J5744">
        <v>2</v>
      </c>
      <c r="K5744">
        <v>0.41399999999999998</v>
      </c>
      <c r="L5744">
        <v>0.25900000000000001</v>
      </c>
      <c r="M5744">
        <v>0.24399999999999999</v>
      </c>
      <c r="N5744">
        <v>0.24399999999999999</v>
      </c>
      <c r="O5744">
        <v>0.24399999999999999</v>
      </c>
      <c r="P5744">
        <v>0.24399999999999999</v>
      </c>
      <c r="Q5744">
        <v>0.24399999999999999</v>
      </c>
      <c r="R5744">
        <v>0.24399999999999999</v>
      </c>
      <c r="S5744">
        <v>0.24399999999999999</v>
      </c>
      <c r="T5744">
        <v>0.24399999999999999</v>
      </c>
      <c r="U5744">
        <v>0.24399999999999999</v>
      </c>
      <c r="V5744">
        <v>0.24399999999999999</v>
      </c>
      <c r="W5744">
        <v>0.24399999999999999</v>
      </c>
      <c r="X5744">
        <v>0.24399999999999999</v>
      </c>
      <c r="Y5744">
        <v>0.24399999999999999</v>
      </c>
      <c r="Z5744">
        <v>0.24399999999999999</v>
      </c>
      <c r="AA5744">
        <v>0.24399999999999999</v>
      </c>
      <c r="AB5744">
        <v>0.24399999999999999</v>
      </c>
      <c r="AC5744">
        <v>0.24399999999999999</v>
      </c>
      <c r="AD5744">
        <v>0.24399999999999999</v>
      </c>
    </row>
    <row r="5745" spans="2:30" x14ac:dyDescent="0.25">
      <c r="B5745" t="s">
        <v>133</v>
      </c>
      <c r="C5745" t="s">
        <v>10598</v>
      </c>
      <c r="D5745" t="s">
        <v>5589</v>
      </c>
      <c r="E5745">
        <v>0</v>
      </c>
      <c r="F5745" t="s">
        <v>11118</v>
      </c>
      <c r="G5745" t="s">
        <v>3890</v>
      </c>
      <c r="H5745" t="s">
        <v>109</v>
      </c>
      <c r="I5745" t="s">
        <v>108</v>
      </c>
      <c r="J5745">
        <v>2</v>
      </c>
      <c r="K5745">
        <v>33.051000000000002</v>
      </c>
      <c r="L5745">
        <v>26.300999999999998</v>
      </c>
      <c r="M5745">
        <v>23.175999999999998</v>
      </c>
      <c r="N5745">
        <v>15</v>
      </c>
      <c r="O5745">
        <v>15</v>
      </c>
      <c r="P5745">
        <v>15</v>
      </c>
      <c r="Q5745">
        <v>15</v>
      </c>
      <c r="R5745">
        <v>15</v>
      </c>
      <c r="S5745">
        <v>15</v>
      </c>
      <c r="T5745">
        <v>15</v>
      </c>
      <c r="U5745">
        <v>15</v>
      </c>
      <c r="V5745">
        <v>15</v>
      </c>
      <c r="W5745">
        <v>15</v>
      </c>
      <c r="X5745">
        <v>15</v>
      </c>
      <c r="Y5745">
        <v>15</v>
      </c>
      <c r="Z5745">
        <v>15</v>
      </c>
      <c r="AA5745">
        <v>15</v>
      </c>
      <c r="AB5745">
        <v>15</v>
      </c>
      <c r="AC5745">
        <v>15</v>
      </c>
      <c r="AD5745">
        <v>15</v>
      </c>
    </row>
    <row r="5746" spans="2:30" x14ac:dyDescent="0.25">
      <c r="B5746" t="s">
        <v>133</v>
      </c>
      <c r="C5746" t="s">
        <v>10598</v>
      </c>
      <c r="D5746" t="s">
        <v>5590</v>
      </c>
      <c r="E5746">
        <v>0</v>
      </c>
      <c r="F5746" t="s">
        <v>11118</v>
      </c>
      <c r="G5746" t="s">
        <v>3890</v>
      </c>
      <c r="H5746" t="s">
        <v>109</v>
      </c>
      <c r="I5746" t="s">
        <v>108</v>
      </c>
      <c r="J5746">
        <v>2</v>
      </c>
      <c r="K5746">
        <v>14.471</v>
      </c>
      <c r="L5746">
        <v>14.471</v>
      </c>
      <c r="M5746">
        <v>14.476000000000001</v>
      </c>
      <c r="N5746">
        <v>14.476000000000001</v>
      </c>
      <c r="O5746">
        <v>14.476000000000001</v>
      </c>
      <c r="P5746">
        <v>14.476000000000001</v>
      </c>
      <c r="Q5746">
        <v>14.476000000000001</v>
      </c>
      <c r="R5746">
        <v>14.476000000000001</v>
      </c>
      <c r="S5746">
        <v>14.476000000000001</v>
      </c>
      <c r="T5746">
        <v>14.476000000000001</v>
      </c>
      <c r="U5746">
        <v>14.476000000000001</v>
      </c>
      <c r="V5746">
        <v>14.476000000000001</v>
      </c>
      <c r="W5746">
        <v>14.476000000000001</v>
      </c>
      <c r="X5746">
        <v>14.476000000000001</v>
      </c>
      <c r="Y5746">
        <v>14.476000000000001</v>
      </c>
      <c r="Z5746">
        <v>14.476000000000001</v>
      </c>
      <c r="AA5746">
        <v>14.476000000000001</v>
      </c>
      <c r="AB5746">
        <v>14.476000000000001</v>
      </c>
      <c r="AC5746">
        <v>14.476000000000001</v>
      </c>
      <c r="AD5746">
        <v>14.476000000000001</v>
      </c>
    </row>
    <row r="5747" spans="2:30" x14ac:dyDescent="0.25">
      <c r="B5747" t="s">
        <v>133</v>
      </c>
      <c r="C5747" t="s">
        <v>10598</v>
      </c>
      <c r="D5747" t="s">
        <v>5591</v>
      </c>
      <c r="E5747">
        <v>0</v>
      </c>
      <c r="F5747" t="s">
        <v>11118</v>
      </c>
      <c r="G5747" t="s">
        <v>3890</v>
      </c>
      <c r="H5747" t="s">
        <v>109</v>
      </c>
      <c r="I5747" t="s">
        <v>108</v>
      </c>
      <c r="J5747">
        <v>2</v>
      </c>
      <c r="K5747">
        <v>0.6</v>
      </c>
      <c r="L5747">
        <v>0.41099999999999998</v>
      </c>
      <c r="M5747">
        <v>0.33500000000000002</v>
      </c>
      <c r="N5747">
        <v>0.33500000000000002</v>
      </c>
      <c r="O5747">
        <v>0.33500000000000002</v>
      </c>
      <c r="P5747">
        <v>0.33500000000000002</v>
      </c>
      <c r="Q5747">
        <v>0.33500000000000002</v>
      </c>
      <c r="R5747">
        <v>0.33500000000000002</v>
      </c>
      <c r="S5747">
        <v>0.33500000000000002</v>
      </c>
      <c r="T5747">
        <v>0.33500000000000002</v>
      </c>
      <c r="U5747">
        <v>0.33500000000000002</v>
      </c>
      <c r="V5747">
        <v>0.33500000000000002</v>
      </c>
      <c r="W5747">
        <v>0.33500000000000002</v>
      </c>
      <c r="X5747">
        <v>0.33500000000000002</v>
      </c>
      <c r="Y5747">
        <v>0.33500000000000002</v>
      </c>
      <c r="Z5747">
        <v>0.33500000000000002</v>
      </c>
      <c r="AA5747">
        <v>0.33500000000000002</v>
      </c>
      <c r="AB5747">
        <v>0.33500000000000002</v>
      </c>
      <c r="AC5747">
        <v>0.33500000000000002</v>
      </c>
      <c r="AD5747">
        <v>0.33500000000000002</v>
      </c>
    </row>
    <row r="5748" spans="2:30" x14ac:dyDescent="0.25">
      <c r="B5748" t="s">
        <v>133</v>
      </c>
      <c r="C5748" t="s">
        <v>10598</v>
      </c>
      <c r="D5748" t="s">
        <v>5592</v>
      </c>
      <c r="E5748">
        <v>0</v>
      </c>
      <c r="F5748" t="s">
        <v>11118</v>
      </c>
      <c r="G5748" t="s">
        <v>3890</v>
      </c>
      <c r="H5748" t="s">
        <v>109</v>
      </c>
      <c r="I5748" t="s">
        <v>108</v>
      </c>
      <c r="J5748">
        <v>2</v>
      </c>
      <c r="K5748">
        <v>0.41399999999999998</v>
      </c>
      <c r="L5748">
        <v>0.28100000000000003</v>
      </c>
      <c r="M5748">
        <v>0.249</v>
      </c>
      <c r="N5748">
        <v>0.249</v>
      </c>
      <c r="O5748">
        <v>0.249</v>
      </c>
      <c r="P5748">
        <v>0.249</v>
      </c>
      <c r="Q5748">
        <v>0.249</v>
      </c>
      <c r="R5748">
        <v>0.249</v>
      </c>
      <c r="S5748">
        <v>0.249</v>
      </c>
      <c r="T5748">
        <v>0.249</v>
      </c>
      <c r="U5748">
        <v>0.249</v>
      </c>
      <c r="V5748">
        <v>0.249</v>
      </c>
      <c r="W5748">
        <v>0.249</v>
      </c>
      <c r="X5748">
        <v>0.249</v>
      </c>
      <c r="Y5748">
        <v>0.249</v>
      </c>
      <c r="Z5748">
        <v>0.249</v>
      </c>
      <c r="AA5748">
        <v>0.249</v>
      </c>
      <c r="AB5748">
        <v>0.249</v>
      </c>
      <c r="AC5748">
        <v>0.249</v>
      </c>
      <c r="AD5748">
        <v>0.249</v>
      </c>
    </row>
    <row r="5749" spans="2:30" x14ac:dyDescent="0.25">
      <c r="B5749" t="s">
        <v>133</v>
      </c>
      <c r="C5749" t="s">
        <v>10598</v>
      </c>
      <c r="D5749" t="s">
        <v>5593</v>
      </c>
      <c r="E5749">
        <v>0</v>
      </c>
      <c r="F5749" t="s">
        <v>11118</v>
      </c>
      <c r="G5749" t="s">
        <v>3890</v>
      </c>
      <c r="H5749" t="s">
        <v>109</v>
      </c>
      <c r="I5749" t="s">
        <v>108</v>
      </c>
      <c r="J5749">
        <v>2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</row>
    <row r="5750" spans="2:30" x14ac:dyDescent="0.25">
      <c r="B5750" t="s">
        <v>133</v>
      </c>
      <c r="C5750" t="s">
        <v>10598</v>
      </c>
      <c r="D5750" t="s">
        <v>5594</v>
      </c>
      <c r="E5750">
        <v>0</v>
      </c>
      <c r="F5750" t="s">
        <v>11118</v>
      </c>
      <c r="G5750" t="s">
        <v>3890</v>
      </c>
      <c r="H5750" t="s">
        <v>109</v>
      </c>
      <c r="I5750" t="s">
        <v>108</v>
      </c>
      <c r="J5750">
        <v>2</v>
      </c>
      <c r="K5750">
        <v>6562.2219999999998</v>
      </c>
      <c r="L5750">
        <v>6617.1670000000004</v>
      </c>
      <c r="M5750">
        <v>8127.7539999999999</v>
      </c>
      <c r="N5750">
        <v>8218.8449999999993</v>
      </c>
      <c r="O5750">
        <v>8305.8330000000005</v>
      </c>
      <c r="P5750">
        <v>8410.3019999999997</v>
      </c>
      <c r="Q5750">
        <v>8535.8169999999991</v>
      </c>
      <c r="R5750">
        <v>8653.2790000000005</v>
      </c>
      <c r="S5750">
        <v>8760.01</v>
      </c>
      <c r="T5750">
        <v>8866.1149999999998</v>
      </c>
      <c r="U5750">
        <v>8971.8629999999994</v>
      </c>
      <c r="V5750">
        <v>9077.4809999999998</v>
      </c>
      <c r="W5750">
        <v>9182.9519999999993</v>
      </c>
      <c r="X5750">
        <v>9288.7260000000006</v>
      </c>
      <c r="Y5750">
        <v>9394.723</v>
      </c>
      <c r="Z5750">
        <v>9501.4279999999999</v>
      </c>
      <c r="AA5750">
        <v>9609.6389999999992</v>
      </c>
      <c r="AB5750">
        <v>9718.8230000000003</v>
      </c>
      <c r="AC5750">
        <v>9830.6550000000007</v>
      </c>
      <c r="AD5750">
        <v>9942.9750000000004</v>
      </c>
    </row>
    <row r="5751" spans="2:30" x14ac:dyDescent="0.25">
      <c r="B5751" t="s">
        <v>133</v>
      </c>
      <c r="C5751" t="s">
        <v>10598</v>
      </c>
      <c r="D5751" t="s">
        <v>5595</v>
      </c>
      <c r="E5751" t="s">
        <v>5596</v>
      </c>
      <c r="F5751" t="s">
        <v>11129</v>
      </c>
      <c r="G5751" t="s">
        <v>3890</v>
      </c>
      <c r="H5751" t="s">
        <v>109</v>
      </c>
      <c r="I5751" t="s">
        <v>108</v>
      </c>
      <c r="J5751">
        <v>2</v>
      </c>
      <c r="K5751">
        <v>33.051000000000002</v>
      </c>
      <c r="L5751">
        <v>26.300999999999998</v>
      </c>
      <c r="M5751">
        <v>23.175999999999998</v>
      </c>
      <c r="N5751">
        <v>15</v>
      </c>
      <c r="O5751">
        <v>15</v>
      </c>
      <c r="P5751">
        <v>15</v>
      </c>
      <c r="Q5751">
        <v>15</v>
      </c>
      <c r="R5751">
        <v>15</v>
      </c>
      <c r="S5751">
        <v>15</v>
      </c>
      <c r="T5751">
        <v>15</v>
      </c>
      <c r="U5751">
        <v>15</v>
      </c>
      <c r="V5751">
        <v>15</v>
      </c>
      <c r="W5751">
        <v>15</v>
      </c>
      <c r="X5751">
        <v>15</v>
      </c>
      <c r="Y5751">
        <v>15</v>
      </c>
      <c r="Z5751">
        <v>15</v>
      </c>
      <c r="AA5751">
        <v>15</v>
      </c>
      <c r="AB5751">
        <v>15</v>
      </c>
      <c r="AC5751">
        <v>15</v>
      </c>
      <c r="AD5751">
        <v>15</v>
      </c>
    </row>
    <row r="5752" spans="2:30" x14ac:dyDescent="0.25">
      <c r="B5752" t="s">
        <v>133</v>
      </c>
      <c r="C5752" t="s">
        <v>10598</v>
      </c>
      <c r="D5752" t="s">
        <v>5598</v>
      </c>
      <c r="E5752" t="s">
        <v>5599</v>
      </c>
      <c r="F5752" t="s">
        <v>11130</v>
      </c>
      <c r="G5752" t="s">
        <v>3890</v>
      </c>
      <c r="H5752" t="s">
        <v>109</v>
      </c>
      <c r="I5752" t="s">
        <v>108</v>
      </c>
      <c r="J5752">
        <v>2</v>
      </c>
      <c r="K5752">
        <v>14.471</v>
      </c>
      <c r="L5752">
        <v>14.471</v>
      </c>
      <c r="M5752">
        <v>14.476000000000001</v>
      </c>
      <c r="N5752">
        <v>14.476000000000001</v>
      </c>
      <c r="O5752">
        <v>14.476000000000001</v>
      </c>
      <c r="P5752">
        <v>14.476000000000001</v>
      </c>
      <c r="Q5752">
        <v>14.476000000000001</v>
      </c>
      <c r="R5752">
        <v>14.476000000000001</v>
      </c>
      <c r="S5752">
        <v>14.476000000000001</v>
      </c>
      <c r="T5752">
        <v>14.476000000000001</v>
      </c>
      <c r="U5752">
        <v>14.476000000000001</v>
      </c>
      <c r="V5752">
        <v>14.476000000000001</v>
      </c>
      <c r="W5752">
        <v>14.476000000000001</v>
      </c>
      <c r="X5752">
        <v>14.476000000000001</v>
      </c>
      <c r="Y5752">
        <v>14.476000000000001</v>
      </c>
      <c r="Z5752">
        <v>14.476000000000001</v>
      </c>
      <c r="AA5752">
        <v>14.476000000000001</v>
      </c>
      <c r="AB5752">
        <v>14.476000000000001</v>
      </c>
      <c r="AC5752">
        <v>14.476000000000001</v>
      </c>
      <c r="AD5752">
        <v>14.476000000000001</v>
      </c>
    </row>
    <row r="5753" spans="2:30" x14ac:dyDescent="0.25">
      <c r="B5753" t="s">
        <v>133</v>
      </c>
      <c r="C5753" t="s">
        <v>10598</v>
      </c>
      <c r="D5753" t="s">
        <v>5601</v>
      </c>
      <c r="E5753" t="s">
        <v>5602</v>
      </c>
      <c r="F5753" t="s">
        <v>11131</v>
      </c>
      <c r="G5753" t="s">
        <v>3890</v>
      </c>
      <c r="H5753" t="s">
        <v>109</v>
      </c>
      <c r="I5753" t="s">
        <v>108</v>
      </c>
      <c r="J5753">
        <v>2</v>
      </c>
      <c r="K5753">
        <v>0.14199999999999999</v>
      </c>
      <c r="L5753">
        <v>0.13800000000000001</v>
      </c>
      <c r="M5753">
        <v>0.13200000000000001</v>
      </c>
      <c r="N5753">
        <v>0.129</v>
      </c>
      <c r="O5753">
        <v>0.126</v>
      </c>
      <c r="P5753">
        <v>0.122</v>
      </c>
      <c r="Q5753">
        <v>0.11700000000000001</v>
      </c>
      <c r="R5753">
        <v>0.114</v>
      </c>
      <c r="S5753">
        <v>0.111</v>
      </c>
      <c r="T5753">
        <v>0.111</v>
      </c>
      <c r="U5753">
        <v>0.111</v>
      </c>
      <c r="V5753">
        <v>0.111</v>
      </c>
      <c r="W5753">
        <v>0.111</v>
      </c>
      <c r="X5753">
        <v>0.11</v>
      </c>
      <c r="Y5753">
        <v>0.109</v>
      </c>
      <c r="Z5753">
        <v>0.108</v>
      </c>
      <c r="AA5753">
        <v>0.107</v>
      </c>
      <c r="AB5753">
        <v>0.105</v>
      </c>
      <c r="AC5753">
        <v>0.10299999999999999</v>
      </c>
      <c r="AD5753">
        <v>0.1</v>
      </c>
    </row>
    <row r="5754" spans="2:30" x14ac:dyDescent="0.25">
      <c r="B5754" t="s">
        <v>133</v>
      </c>
      <c r="C5754" t="s">
        <v>10598</v>
      </c>
      <c r="D5754" t="s">
        <v>5604</v>
      </c>
      <c r="E5754">
        <v>0</v>
      </c>
      <c r="F5754" t="s">
        <v>11118</v>
      </c>
      <c r="G5754" t="s">
        <v>3890</v>
      </c>
      <c r="H5754" t="s">
        <v>109</v>
      </c>
      <c r="I5754" t="s">
        <v>108</v>
      </c>
      <c r="J5754">
        <v>2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</row>
    <row r="5755" spans="2:30" x14ac:dyDescent="0.25">
      <c r="B5755" t="s">
        <v>133</v>
      </c>
      <c r="C5755" t="s">
        <v>10598</v>
      </c>
      <c r="D5755" t="s">
        <v>5605</v>
      </c>
      <c r="E5755">
        <v>0</v>
      </c>
      <c r="F5755" t="s">
        <v>11118</v>
      </c>
      <c r="G5755" t="s">
        <v>3890</v>
      </c>
      <c r="H5755" t="s">
        <v>109</v>
      </c>
      <c r="I5755" t="s">
        <v>108</v>
      </c>
      <c r="J5755">
        <v>2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</row>
    <row r="5756" spans="2:30" x14ac:dyDescent="0.25">
      <c r="B5756" t="s">
        <v>133</v>
      </c>
      <c r="C5756" t="s">
        <v>10598</v>
      </c>
      <c r="D5756" t="s">
        <v>5606</v>
      </c>
      <c r="E5756" t="s">
        <v>5607</v>
      </c>
      <c r="F5756" t="s">
        <v>11132</v>
      </c>
      <c r="G5756" t="s">
        <v>3890</v>
      </c>
      <c r="H5756" t="s">
        <v>109</v>
      </c>
      <c r="I5756" t="s">
        <v>108</v>
      </c>
      <c r="J5756">
        <v>2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</row>
    <row r="5757" spans="2:30" x14ac:dyDescent="0.25">
      <c r="B5757" t="s">
        <v>133</v>
      </c>
      <c r="C5757" t="s">
        <v>10598</v>
      </c>
      <c r="D5757" t="s">
        <v>5609</v>
      </c>
      <c r="E5757" t="s">
        <v>5610</v>
      </c>
      <c r="F5757" t="s">
        <v>11133</v>
      </c>
      <c r="G5757" t="s">
        <v>3890</v>
      </c>
      <c r="H5757" t="s">
        <v>109</v>
      </c>
      <c r="I5757" t="s">
        <v>108</v>
      </c>
      <c r="J5757">
        <v>2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</row>
    <row r="5758" spans="2:30" x14ac:dyDescent="0.25">
      <c r="B5758" t="s">
        <v>133</v>
      </c>
      <c r="C5758" t="s">
        <v>10598</v>
      </c>
      <c r="D5758" t="s">
        <v>5612</v>
      </c>
      <c r="E5758" t="s">
        <v>5613</v>
      </c>
      <c r="F5758" t="s">
        <v>11134</v>
      </c>
      <c r="G5758" t="s">
        <v>3890</v>
      </c>
      <c r="H5758" t="s">
        <v>109</v>
      </c>
      <c r="I5758" t="s">
        <v>108</v>
      </c>
      <c r="J5758">
        <v>2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</row>
    <row r="5759" spans="2:30" x14ac:dyDescent="0.25">
      <c r="B5759" t="s">
        <v>133</v>
      </c>
      <c r="C5759" t="s">
        <v>10598</v>
      </c>
      <c r="D5759" t="s">
        <v>5615</v>
      </c>
      <c r="E5759" t="s">
        <v>5616</v>
      </c>
      <c r="F5759" t="s">
        <v>11135</v>
      </c>
      <c r="G5759" t="s">
        <v>3890</v>
      </c>
      <c r="H5759" t="s">
        <v>109</v>
      </c>
      <c r="I5759" t="s">
        <v>108</v>
      </c>
      <c r="J5759">
        <v>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</row>
    <row r="5760" spans="2:30" x14ac:dyDescent="0.25">
      <c r="B5760" t="s">
        <v>133</v>
      </c>
      <c r="C5760" t="s">
        <v>10598</v>
      </c>
      <c r="D5760" t="s">
        <v>5618</v>
      </c>
      <c r="E5760" t="s">
        <v>5619</v>
      </c>
      <c r="F5760" t="s">
        <v>11136</v>
      </c>
      <c r="G5760" t="s">
        <v>3890</v>
      </c>
      <c r="H5760" t="s">
        <v>109</v>
      </c>
      <c r="I5760" t="s">
        <v>108</v>
      </c>
      <c r="J5760">
        <v>2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</row>
    <row r="5761" spans="2:30" x14ac:dyDescent="0.25">
      <c r="B5761" t="s">
        <v>133</v>
      </c>
      <c r="C5761" t="s">
        <v>10598</v>
      </c>
      <c r="D5761" t="s">
        <v>5621</v>
      </c>
      <c r="E5761" t="s">
        <v>5622</v>
      </c>
      <c r="F5761" t="s">
        <v>11137</v>
      </c>
      <c r="G5761" t="s">
        <v>3890</v>
      </c>
      <c r="H5761" t="s">
        <v>109</v>
      </c>
      <c r="I5761" t="s">
        <v>108</v>
      </c>
      <c r="J5761">
        <v>2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</row>
    <row r="5762" spans="2:30" x14ac:dyDescent="0.25">
      <c r="B5762" t="s">
        <v>133</v>
      </c>
      <c r="C5762" t="s">
        <v>10598</v>
      </c>
      <c r="D5762" t="s">
        <v>5624</v>
      </c>
      <c r="E5762" t="s">
        <v>5625</v>
      </c>
      <c r="F5762" t="s">
        <v>11138</v>
      </c>
      <c r="G5762" t="s">
        <v>3890</v>
      </c>
      <c r="H5762" t="s">
        <v>109</v>
      </c>
      <c r="I5762" t="s">
        <v>108</v>
      </c>
      <c r="J5762">
        <v>2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</row>
    <row r="5763" spans="2:30" x14ac:dyDescent="0.25">
      <c r="B5763" t="s">
        <v>133</v>
      </c>
      <c r="C5763" t="s">
        <v>10598</v>
      </c>
      <c r="D5763" t="s">
        <v>5627</v>
      </c>
      <c r="E5763" t="s">
        <v>5628</v>
      </c>
      <c r="F5763" t="s">
        <v>11139</v>
      </c>
      <c r="G5763" t="s">
        <v>3890</v>
      </c>
      <c r="H5763" t="s">
        <v>109</v>
      </c>
      <c r="I5763" t="s">
        <v>108</v>
      </c>
      <c r="J5763">
        <v>2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</row>
    <row r="5764" spans="2:30" x14ac:dyDescent="0.25">
      <c r="B5764" t="s">
        <v>133</v>
      </c>
      <c r="C5764" t="s">
        <v>10598</v>
      </c>
      <c r="D5764" t="s">
        <v>5630</v>
      </c>
      <c r="E5764" t="s">
        <v>5631</v>
      </c>
      <c r="F5764" t="s">
        <v>11140</v>
      </c>
      <c r="G5764" t="s">
        <v>3890</v>
      </c>
      <c r="H5764" t="s">
        <v>109</v>
      </c>
      <c r="I5764" t="s">
        <v>108</v>
      </c>
      <c r="J5764">
        <v>2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</row>
    <row r="5765" spans="2:30" x14ac:dyDescent="0.25">
      <c r="B5765" t="s">
        <v>133</v>
      </c>
      <c r="C5765" t="s">
        <v>10598</v>
      </c>
      <c r="D5765" t="s">
        <v>5633</v>
      </c>
      <c r="E5765" t="s">
        <v>5634</v>
      </c>
      <c r="F5765" t="s">
        <v>11141</v>
      </c>
      <c r="G5765" t="s">
        <v>3890</v>
      </c>
      <c r="H5765" t="s">
        <v>109</v>
      </c>
      <c r="I5765" t="s">
        <v>108</v>
      </c>
      <c r="J5765">
        <v>2</v>
      </c>
      <c r="K5765">
        <v>271.34100000000001</v>
      </c>
      <c r="L5765">
        <v>251.108</v>
      </c>
      <c r="M5765">
        <v>298.85899999999998</v>
      </c>
      <c r="N5765">
        <v>395.57299999999998</v>
      </c>
      <c r="O5765">
        <v>406.19900000000001</v>
      </c>
      <c r="P5765">
        <v>418.90199999999999</v>
      </c>
      <c r="Q5765">
        <v>434.16399999999999</v>
      </c>
      <c r="R5765">
        <v>448.74299999999999</v>
      </c>
      <c r="S5765">
        <v>462.28399999999999</v>
      </c>
      <c r="T5765">
        <v>475.93</v>
      </c>
      <c r="U5765">
        <v>489.71100000000001</v>
      </c>
      <c r="V5765">
        <v>503.65</v>
      </c>
      <c r="W5765">
        <v>517.74300000000005</v>
      </c>
      <c r="X5765">
        <v>532.04499999999996</v>
      </c>
      <c r="Y5765">
        <v>546.54700000000003</v>
      </c>
      <c r="Z5765">
        <v>561.30899999999997</v>
      </c>
      <c r="AA5765">
        <v>576.43700000000001</v>
      </c>
      <c r="AB5765">
        <v>591.86800000000005</v>
      </c>
      <c r="AC5765">
        <v>607.82399999999996</v>
      </c>
      <c r="AD5765">
        <v>624.03</v>
      </c>
    </row>
    <row r="5766" spans="2:30" x14ac:dyDescent="0.25">
      <c r="B5766" t="s">
        <v>133</v>
      </c>
      <c r="C5766" t="s">
        <v>10598</v>
      </c>
      <c r="D5766" t="s">
        <v>5636</v>
      </c>
      <c r="E5766" t="s">
        <v>5637</v>
      </c>
      <c r="F5766" t="s">
        <v>11142</v>
      </c>
      <c r="G5766" t="s">
        <v>3890</v>
      </c>
      <c r="H5766" t="s">
        <v>109</v>
      </c>
      <c r="I5766" t="s">
        <v>108</v>
      </c>
      <c r="J5766">
        <v>2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</row>
    <row r="5767" spans="2:30" x14ac:dyDescent="0.25">
      <c r="B5767" t="s">
        <v>133</v>
      </c>
      <c r="C5767" t="s">
        <v>10598</v>
      </c>
      <c r="D5767" t="s">
        <v>5639</v>
      </c>
      <c r="E5767" t="s">
        <v>5640</v>
      </c>
      <c r="F5767" t="s">
        <v>11143</v>
      </c>
      <c r="G5767" t="s">
        <v>3890</v>
      </c>
      <c r="H5767" t="s">
        <v>109</v>
      </c>
      <c r="I5767" t="s">
        <v>108</v>
      </c>
      <c r="J5767">
        <v>2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</row>
    <row r="5768" spans="2:30" x14ac:dyDescent="0.25">
      <c r="B5768" t="s">
        <v>133</v>
      </c>
      <c r="C5768" t="s">
        <v>10598</v>
      </c>
      <c r="D5768" t="s">
        <v>5642</v>
      </c>
      <c r="E5768" t="s">
        <v>5643</v>
      </c>
      <c r="F5768" t="s">
        <v>11144</v>
      </c>
      <c r="G5768" t="s">
        <v>3890</v>
      </c>
      <c r="H5768" t="s">
        <v>109</v>
      </c>
      <c r="I5768" t="s">
        <v>108</v>
      </c>
      <c r="J5768">
        <v>2</v>
      </c>
      <c r="K5768">
        <v>271.34100000000001</v>
      </c>
      <c r="L5768">
        <v>251.108</v>
      </c>
      <c r="M5768">
        <v>298.85899999999998</v>
      </c>
      <c r="N5768">
        <v>395.57299999999998</v>
      </c>
      <c r="O5768">
        <v>406.19900000000001</v>
      </c>
      <c r="P5768">
        <v>418.90199999999999</v>
      </c>
      <c r="Q5768">
        <v>434.16399999999999</v>
      </c>
      <c r="R5768">
        <v>448.74299999999999</v>
      </c>
      <c r="S5768">
        <v>462.28399999999999</v>
      </c>
      <c r="T5768">
        <v>475.93</v>
      </c>
      <c r="U5768">
        <v>489.71100000000001</v>
      </c>
      <c r="V5768">
        <v>503.65</v>
      </c>
      <c r="W5768">
        <v>517.74300000000005</v>
      </c>
      <c r="X5768">
        <v>532.04499999999996</v>
      </c>
      <c r="Y5768">
        <v>546.54700000000003</v>
      </c>
      <c r="Z5768">
        <v>561.30899999999997</v>
      </c>
      <c r="AA5768">
        <v>576.43700000000001</v>
      </c>
      <c r="AB5768">
        <v>591.86800000000005</v>
      </c>
      <c r="AC5768">
        <v>607.82399999999996</v>
      </c>
      <c r="AD5768">
        <v>624.03</v>
      </c>
    </row>
    <row r="5769" spans="2:30" x14ac:dyDescent="0.25">
      <c r="B5769" t="s">
        <v>133</v>
      </c>
      <c r="C5769" t="s">
        <v>10598</v>
      </c>
      <c r="D5769" t="s">
        <v>5645</v>
      </c>
      <c r="E5769" t="s">
        <v>5646</v>
      </c>
      <c r="F5769" t="s">
        <v>11145</v>
      </c>
      <c r="G5769" t="s">
        <v>3890</v>
      </c>
      <c r="H5769" t="s">
        <v>109</v>
      </c>
      <c r="I5769" t="s">
        <v>108</v>
      </c>
      <c r="J5769">
        <v>2</v>
      </c>
      <c r="K5769">
        <v>18833.804</v>
      </c>
      <c r="L5769">
        <v>18487.669999999998</v>
      </c>
      <c r="M5769">
        <v>18167.267</v>
      </c>
      <c r="N5769">
        <v>17610.09</v>
      </c>
      <c r="O5769">
        <v>18357.896000000001</v>
      </c>
      <c r="P5769">
        <v>20049.828000000001</v>
      </c>
      <c r="Q5769">
        <v>21899.559000000001</v>
      </c>
      <c r="R5769">
        <v>23909.555</v>
      </c>
      <c r="S5769">
        <v>26310.254000000001</v>
      </c>
      <c r="T5769">
        <v>29170.507000000001</v>
      </c>
      <c r="U5769">
        <v>32312.927</v>
      </c>
      <c r="V5769">
        <v>35741.71</v>
      </c>
      <c r="W5769">
        <v>39445.093999999997</v>
      </c>
      <c r="X5769">
        <v>43438.29</v>
      </c>
      <c r="Y5769">
        <v>47728.555999999997</v>
      </c>
      <c r="Z5769">
        <v>52370.387000000002</v>
      </c>
      <c r="AA5769">
        <v>57374.809000000001</v>
      </c>
      <c r="AB5769">
        <v>62834.597000000002</v>
      </c>
      <c r="AC5769">
        <v>68659.163</v>
      </c>
      <c r="AD5769">
        <v>74985.976999999999</v>
      </c>
    </row>
    <row r="5770" spans="2:30" x14ac:dyDescent="0.25">
      <c r="B5770" t="s">
        <v>133</v>
      </c>
      <c r="C5770" t="s">
        <v>10598</v>
      </c>
      <c r="D5770" t="s">
        <v>5648</v>
      </c>
      <c r="E5770">
        <v>0</v>
      </c>
      <c r="F5770" t="s">
        <v>11118</v>
      </c>
      <c r="G5770" t="s">
        <v>3890</v>
      </c>
      <c r="H5770" t="s">
        <v>109</v>
      </c>
      <c r="I5770" t="s">
        <v>108</v>
      </c>
      <c r="J5770">
        <v>2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</row>
    <row r="5771" spans="2:30" x14ac:dyDescent="0.25">
      <c r="B5771" t="s">
        <v>133</v>
      </c>
      <c r="C5771" t="s">
        <v>10598</v>
      </c>
      <c r="D5771" t="s">
        <v>5649</v>
      </c>
      <c r="E5771">
        <v>0</v>
      </c>
      <c r="F5771" t="s">
        <v>11118</v>
      </c>
      <c r="G5771" t="s">
        <v>3890</v>
      </c>
      <c r="H5771" t="s">
        <v>109</v>
      </c>
      <c r="I5771" t="s">
        <v>108</v>
      </c>
      <c r="J5771">
        <v>2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</row>
    <row r="5772" spans="2:30" x14ac:dyDescent="0.25">
      <c r="B5772" t="s">
        <v>133</v>
      </c>
      <c r="C5772" t="s">
        <v>10598</v>
      </c>
      <c r="D5772" t="s">
        <v>5650</v>
      </c>
      <c r="E5772" t="s">
        <v>5646</v>
      </c>
      <c r="F5772" t="s">
        <v>11145</v>
      </c>
      <c r="G5772" t="s">
        <v>3890</v>
      </c>
      <c r="H5772" t="s">
        <v>109</v>
      </c>
      <c r="I5772" t="s">
        <v>108</v>
      </c>
      <c r="J5772">
        <v>2</v>
      </c>
      <c r="K5772">
        <v>18833.804</v>
      </c>
      <c r="L5772">
        <v>18487.669999999998</v>
      </c>
      <c r="M5772">
        <v>18167.267</v>
      </c>
      <c r="N5772">
        <v>17610.09</v>
      </c>
      <c r="O5772">
        <v>18357.896000000001</v>
      </c>
      <c r="P5772">
        <v>20049.828000000001</v>
      </c>
      <c r="Q5772">
        <v>21899.559000000001</v>
      </c>
      <c r="R5772">
        <v>23909.555</v>
      </c>
      <c r="S5772">
        <v>26310.254000000001</v>
      </c>
      <c r="T5772">
        <v>29170.507000000001</v>
      </c>
      <c r="U5772">
        <v>32312.927</v>
      </c>
      <c r="V5772">
        <v>35741.71</v>
      </c>
      <c r="W5772">
        <v>39445.093999999997</v>
      </c>
      <c r="X5772">
        <v>43438.29</v>
      </c>
      <c r="Y5772">
        <v>47728.555999999997</v>
      </c>
      <c r="Z5772">
        <v>52370.387000000002</v>
      </c>
      <c r="AA5772">
        <v>57374.809000000001</v>
      </c>
      <c r="AB5772">
        <v>62834.597000000002</v>
      </c>
      <c r="AC5772">
        <v>68659.163</v>
      </c>
      <c r="AD5772">
        <v>74985.976999999999</v>
      </c>
    </row>
    <row r="5773" spans="2:30" x14ac:dyDescent="0.25">
      <c r="B5773" t="s">
        <v>133</v>
      </c>
      <c r="C5773" t="s">
        <v>10598</v>
      </c>
      <c r="D5773" t="s">
        <v>5651</v>
      </c>
      <c r="E5773">
        <v>0</v>
      </c>
      <c r="F5773" t="s">
        <v>11118</v>
      </c>
      <c r="G5773" t="s">
        <v>3890</v>
      </c>
      <c r="H5773" t="s">
        <v>109</v>
      </c>
      <c r="I5773" t="s">
        <v>108</v>
      </c>
      <c r="J5773">
        <v>2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</row>
    <row r="5774" spans="2:30" x14ac:dyDescent="0.25">
      <c r="B5774" t="s">
        <v>133</v>
      </c>
      <c r="C5774" t="s">
        <v>10598</v>
      </c>
      <c r="D5774" t="s">
        <v>5652</v>
      </c>
      <c r="E5774">
        <v>0</v>
      </c>
      <c r="F5774" t="s">
        <v>11118</v>
      </c>
      <c r="G5774" t="s">
        <v>3890</v>
      </c>
      <c r="H5774" t="s">
        <v>109</v>
      </c>
      <c r="I5774" t="s">
        <v>108</v>
      </c>
      <c r="J5774">
        <v>2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</row>
    <row r="5775" spans="2:30" x14ac:dyDescent="0.25">
      <c r="B5775" t="s">
        <v>133</v>
      </c>
      <c r="C5775" t="s">
        <v>10598</v>
      </c>
      <c r="D5775" t="s">
        <v>5653</v>
      </c>
      <c r="E5775" t="s">
        <v>38</v>
      </c>
      <c r="F5775" t="s">
        <v>11125</v>
      </c>
      <c r="G5775" t="s">
        <v>3890</v>
      </c>
      <c r="H5775" t="s">
        <v>109</v>
      </c>
      <c r="I5775" t="s">
        <v>108</v>
      </c>
      <c r="J5775">
        <v>2</v>
      </c>
      <c r="K5775">
        <v>2022</v>
      </c>
      <c r="L5775">
        <v>2023</v>
      </c>
      <c r="M5775">
        <v>2024</v>
      </c>
      <c r="N5775">
        <v>2025</v>
      </c>
      <c r="O5775">
        <v>2026</v>
      </c>
      <c r="P5775">
        <v>2027</v>
      </c>
      <c r="Q5775">
        <v>2028</v>
      </c>
      <c r="R5775">
        <v>2029</v>
      </c>
      <c r="S5775">
        <v>2030</v>
      </c>
      <c r="T5775">
        <v>2031</v>
      </c>
      <c r="U5775">
        <v>2032</v>
      </c>
      <c r="V5775">
        <v>2033</v>
      </c>
      <c r="W5775">
        <v>2034</v>
      </c>
      <c r="X5775">
        <v>2035</v>
      </c>
      <c r="Y5775">
        <v>2036</v>
      </c>
      <c r="Z5775">
        <v>2037</v>
      </c>
      <c r="AA5775">
        <v>2038</v>
      </c>
      <c r="AB5775">
        <v>2039</v>
      </c>
      <c r="AC5775">
        <v>2040</v>
      </c>
      <c r="AD5775">
        <v>2041</v>
      </c>
    </row>
    <row r="5776" spans="2:30" x14ac:dyDescent="0.25">
      <c r="B5776" t="s">
        <v>133</v>
      </c>
      <c r="C5776" t="s">
        <v>10598</v>
      </c>
      <c r="D5776" t="s">
        <v>5654</v>
      </c>
      <c r="E5776">
        <v>0</v>
      </c>
      <c r="F5776" t="s">
        <v>11118</v>
      </c>
      <c r="G5776" t="s">
        <v>3890</v>
      </c>
      <c r="H5776" t="s">
        <v>109</v>
      </c>
      <c r="I5776" t="s">
        <v>108</v>
      </c>
      <c r="J5776">
        <v>2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</row>
    <row r="5777" spans="2:30" x14ac:dyDescent="0.25">
      <c r="B5777" t="s">
        <v>133</v>
      </c>
      <c r="C5777" t="s">
        <v>10598</v>
      </c>
      <c r="D5777" t="s">
        <v>5655</v>
      </c>
      <c r="E5777" t="s">
        <v>5656</v>
      </c>
      <c r="F5777" t="s">
        <v>11146</v>
      </c>
      <c r="G5777" t="s">
        <v>3890</v>
      </c>
      <c r="H5777" t="s">
        <v>109</v>
      </c>
      <c r="I5777" t="s">
        <v>108</v>
      </c>
      <c r="J5777">
        <v>2</v>
      </c>
      <c r="K5777">
        <v>23.399000000000001</v>
      </c>
      <c r="L5777">
        <v>15.864000000000001</v>
      </c>
      <c r="M5777">
        <v>14.744</v>
      </c>
      <c r="N5777">
        <v>13.651999999999999</v>
      </c>
      <c r="O5777">
        <v>13.680999999999999</v>
      </c>
      <c r="P5777">
        <v>13.768000000000001</v>
      </c>
      <c r="Q5777">
        <v>13.727</v>
      </c>
      <c r="R5777">
        <v>13.683</v>
      </c>
      <c r="S5777">
        <v>13.635999999999999</v>
      </c>
      <c r="T5777">
        <v>13.59</v>
      </c>
      <c r="U5777">
        <v>13.59</v>
      </c>
      <c r="V5777">
        <v>13.59</v>
      </c>
      <c r="W5777">
        <v>13.59</v>
      </c>
      <c r="X5777">
        <v>13.59</v>
      </c>
      <c r="Y5777">
        <v>13.59</v>
      </c>
      <c r="Z5777">
        <v>13.59</v>
      </c>
      <c r="AA5777">
        <v>13.59</v>
      </c>
      <c r="AB5777">
        <v>13.59</v>
      </c>
      <c r="AC5777">
        <v>13.59</v>
      </c>
      <c r="AD5777">
        <v>13.59</v>
      </c>
    </row>
    <row r="5778" spans="2:30" x14ac:dyDescent="0.25">
      <c r="B5778" t="s">
        <v>133</v>
      </c>
      <c r="C5778" t="s">
        <v>10598</v>
      </c>
      <c r="D5778" t="s">
        <v>5658</v>
      </c>
      <c r="E5778">
        <v>0</v>
      </c>
      <c r="F5778" t="s">
        <v>11118</v>
      </c>
      <c r="G5778" t="s">
        <v>3890</v>
      </c>
      <c r="H5778" t="s">
        <v>109</v>
      </c>
      <c r="I5778" t="s">
        <v>108</v>
      </c>
      <c r="J5778">
        <v>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</row>
    <row r="5779" spans="2:30" x14ac:dyDescent="0.25">
      <c r="B5779" t="s">
        <v>133</v>
      </c>
      <c r="C5779" t="s">
        <v>10598</v>
      </c>
      <c r="D5779" t="s">
        <v>5659</v>
      </c>
      <c r="E5779">
        <v>0</v>
      </c>
      <c r="F5779" t="s">
        <v>11118</v>
      </c>
      <c r="G5779" t="s">
        <v>3890</v>
      </c>
      <c r="H5779" t="s">
        <v>109</v>
      </c>
      <c r="I5779" t="s">
        <v>108</v>
      </c>
      <c r="J5779">
        <v>2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</row>
    <row r="5780" spans="2:30" x14ac:dyDescent="0.25">
      <c r="B5780" t="s">
        <v>133</v>
      </c>
      <c r="C5780" t="s">
        <v>10598</v>
      </c>
      <c r="D5780" t="s">
        <v>5660</v>
      </c>
      <c r="E5780">
        <v>0</v>
      </c>
      <c r="F5780" t="s">
        <v>11118</v>
      </c>
      <c r="G5780" t="s">
        <v>3890</v>
      </c>
      <c r="H5780" t="s">
        <v>109</v>
      </c>
      <c r="I5780" t="s">
        <v>108</v>
      </c>
      <c r="J5780">
        <v>2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</row>
    <row r="5781" spans="2:30" x14ac:dyDescent="0.25">
      <c r="B5781" t="s">
        <v>133</v>
      </c>
      <c r="C5781" t="s">
        <v>10598</v>
      </c>
      <c r="D5781" t="s">
        <v>5661</v>
      </c>
      <c r="E5781">
        <v>0</v>
      </c>
      <c r="F5781" t="s">
        <v>11118</v>
      </c>
      <c r="G5781" t="s">
        <v>3890</v>
      </c>
      <c r="H5781" t="s">
        <v>109</v>
      </c>
      <c r="I5781" t="s">
        <v>108</v>
      </c>
      <c r="J5781">
        <v>2</v>
      </c>
      <c r="K5781">
        <v>0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1</v>
      </c>
      <c r="AC5781">
        <v>1</v>
      </c>
      <c r="AD5781">
        <v>1</v>
      </c>
    </row>
    <row r="5782" spans="2:30" x14ac:dyDescent="0.25">
      <c r="B5782" t="s">
        <v>133</v>
      </c>
      <c r="C5782" t="s">
        <v>10598</v>
      </c>
      <c r="D5782" t="s">
        <v>5662</v>
      </c>
      <c r="E5782">
        <v>0</v>
      </c>
      <c r="F5782" t="s">
        <v>11118</v>
      </c>
      <c r="G5782" t="s">
        <v>3890</v>
      </c>
      <c r="H5782" t="s">
        <v>109</v>
      </c>
      <c r="I5782" t="s">
        <v>108</v>
      </c>
      <c r="J5782">
        <v>2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</row>
    <row r="5783" spans="2:30" x14ac:dyDescent="0.25">
      <c r="B5783" t="s">
        <v>133</v>
      </c>
      <c r="C5783" t="s">
        <v>10598</v>
      </c>
      <c r="D5783" t="s">
        <v>5663</v>
      </c>
      <c r="E5783">
        <v>0</v>
      </c>
      <c r="F5783" t="s">
        <v>11118</v>
      </c>
      <c r="G5783" t="s">
        <v>3890</v>
      </c>
      <c r="H5783" t="s">
        <v>109</v>
      </c>
      <c r="I5783" t="s">
        <v>108</v>
      </c>
      <c r="J5783">
        <v>2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</row>
    <row r="5784" spans="2:30" x14ac:dyDescent="0.25">
      <c r="B5784" t="s">
        <v>133</v>
      </c>
      <c r="C5784" t="s">
        <v>10598</v>
      </c>
      <c r="D5784" t="s">
        <v>5664</v>
      </c>
      <c r="E5784">
        <v>0</v>
      </c>
      <c r="F5784" t="s">
        <v>11118</v>
      </c>
      <c r="G5784" t="s">
        <v>3890</v>
      </c>
      <c r="H5784" t="s">
        <v>109</v>
      </c>
      <c r="I5784" t="s">
        <v>108</v>
      </c>
      <c r="J5784">
        <v>2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</row>
    <row r="5785" spans="2:30" x14ac:dyDescent="0.25">
      <c r="B5785" t="s">
        <v>133</v>
      </c>
      <c r="C5785" t="s">
        <v>10598</v>
      </c>
      <c r="D5785" t="s">
        <v>5665</v>
      </c>
      <c r="E5785">
        <v>0</v>
      </c>
      <c r="F5785" t="s">
        <v>11118</v>
      </c>
      <c r="G5785" t="s">
        <v>3890</v>
      </c>
      <c r="H5785" t="s">
        <v>109</v>
      </c>
      <c r="I5785" t="s">
        <v>108</v>
      </c>
      <c r="J5785">
        <v>2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</row>
    <row r="5786" spans="2:30" x14ac:dyDescent="0.25">
      <c r="B5786" t="s">
        <v>133</v>
      </c>
      <c r="C5786" t="s">
        <v>10598</v>
      </c>
      <c r="D5786" t="s">
        <v>5666</v>
      </c>
      <c r="E5786">
        <v>0</v>
      </c>
      <c r="F5786" t="s">
        <v>11118</v>
      </c>
      <c r="G5786" t="s">
        <v>3890</v>
      </c>
      <c r="H5786" t="s">
        <v>109</v>
      </c>
      <c r="I5786" t="s">
        <v>108</v>
      </c>
      <c r="J5786">
        <v>2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</row>
    <row r="5787" spans="2:30" x14ac:dyDescent="0.25">
      <c r="B5787" t="s">
        <v>133</v>
      </c>
      <c r="C5787" t="s">
        <v>10598</v>
      </c>
      <c r="D5787" t="s">
        <v>5667</v>
      </c>
      <c r="E5787">
        <v>0</v>
      </c>
      <c r="F5787" t="s">
        <v>11118</v>
      </c>
      <c r="G5787" t="s">
        <v>3890</v>
      </c>
      <c r="H5787" t="s">
        <v>109</v>
      </c>
      <c r="I5787" t="s">
        <v>108</v>
      </c>
      <c r="J5787">
        <v>2</v>
      </c>
      <c r="K5787">
        <v>0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  <c r="T5787">
        <v>1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1</v>
      </c>
      <c r="AA5787">
        <v>1</v>
      </c>
      <c r="AB5787">
        <v>1</v>
      </c>
      <c r="AC5787">
        <v>1</v>
      </c>
      <c r="AD5787">
        <v>1</v>
      </c>
    </row>
    <row r="5788" spans="2:30" x14ac:dyDescent="0.25">
      <c r="B5788" t="s">
        <v>133</v>
      </c>
      <c r="C5788" t="s">
        <v>10598</v>
      </c>
      <c r="D5788" t="s">
        <v>5668</v>
      </c>
      <c r="E5788" t="s">
        <v>5669</v>
      </c>
      <c r="F5788" t="s">
        <v>11147</v>
      </c>
      <c r="G5788" t="s">
        <v>3890</v>
      </c>
      <c r="H5788" t="s">
        <v>109</v>
      </c>
      <c r="I5788" t="s">
        <v>108</v>
      </c>
      <c r="J5788">
        <v>2</v>
      </c>
      <c r="K5788">
        <v>33.051000000000002</v>
      </c>
      <c r="L5788">
        <v>26.300999999999998</v>
      </c>
      <c r="M5788">
        <v>23.175999999999998</v>
      </c>
      <c r="N5788">
        <v>15</v>
      </c>
      <c r="O5788">
        <v>15</v>
      </c>
      <c r="P5788">
        <v>15</v>
      </c>
      <c r="Q5788">
        <v>15</v>
      </c>
      <c r="R5788">
        <v>15</v>
      </c>
      <c r="S5788">
        <v>15</v>
      </c>
      <c r="T5788">
        <v>15</v>
      </c>
      <c r="U5788">
        <v>15</v>
      </c>
      <c r="V5788">
        <v>15</v>
      </c>
      <c r="W5788">
        <v>15</v>
      </c>
      <c r="X5788">
        <v>15</v>
      </c>
      <c r="Y5788">
        <v>15</v>
      </c>
      <c r="Z5788">
        <v>15</v>
      </c>
      <c r="AA5788">
        <v>15</v>
      </c>
      <c r="AB5788">
        <v>15</v>
      </c>
      <c r="AC5788">
        <v>15</v>
      </c>
      <c r="AD5788">
        <v>15</v>
      </c>
    </row>
    <row r="5789" spans="2:30" x14ac:dyDescent="0.25">
      <c r="B5789" t="s">
        <v>133</v>
      </c>
      <c r="C5789" t="s">
        <v>10598</v>
      </c>
      <c r="D5789" t="s">
        <v>5671</v>
      </c>
      <c r="E5789" t="s">
        <v>5672</v>
      </c>
      <c r="F5789" t="s">
        <v>11148</v>
      </c>
      <c r="G5789" t="s">
        <v>3890</v>
      </c>
      <c r="H5789" t="s">
        <v>109</v>
      </c>
      <c r="I5789" t="s">
        <v>108</v>
      </c>
      <c r="J5789">
        <v>2</v>
      </c>
      <c r="K5789">
        <v>14.471</v>
      </c>
      <c r="L5789">
        <v>14.471</v>
      </c>
      <c r="M5789">
        <v>14.476000000000001</v>
      </c>
      <c r="N5789">
        <v>14.476000000000001</v>
      </c>
      <c r="O5789">
        <v>14.476000000000001</v>
      </c>
      <c r="P5789">
        <v>14.476000000000001</v>
      </c>
      <c r="Q5789">
        <v>14.476000000000001</v>
      </c>
      <c r="R5789">
        <v>14.476000000000001</v>
      </c>
      <c r="S5789">
        <v>14.476000000000001</v>
      </c>
      <c r="T5789">
        <v>14.476000000000001</v>
      </c>
      <c r="U5789">
        <v>14.476000000000001</v>
      </c>
      <c r="V5789">
        <v>14.476000000000001</v>
      </c>
      <c r="W5789">
        <v>14.476000000000001</v>
      </c>
      <c r="X5789">
        <v>14.476000000000001</v>
      </c>
      <c r="Y5789">
        <v>14.476000000000001</v>
      </c>
      <c r="Z5789">
        <v>14.476000000000001</v>
      </c>
      <c r="AA5789">
        <v>14.476000000000001</v>
      </c>
      <c r="AB5789">
        <v>14.476000000000001</v>
      </c>
      <c r="AC5789">
        <v>14.476000000000001</v>
      </c>
      <c r="AD5789">
        <v>14.476000000000001</v>
      </c>
    </row>
    <row r="5790" spans="2:30" x14ac:dyDescent="0.25">
      <c r="B5790" t="s">
        <v>133</v>
      </c>
      <c r="C5790" t="s">
        <v>10598</v>
      </c>
      <c r="D5790" t="s">
        <v>5674</v>
      </c>
      <c r="E5790" t="s">
        <v>5675</v>
      </c>
      <c r="F5790" t="s">
        <v>11149</v>
      </c>
      <c r="G5790" t="s">
        <v>3890</v>
      </c>
      <c r="H5790" t="s">
        <v>109</v>
      </c>
      <c r="I5790" t="s">
        <v>108</v>
      </c>
      <c r="J5790">
        <v>2</v>
      </c>
      <c r="K5790">
        <v>0.14199999999999999</v>
      </c>
      <c r="L5790">
        <v>0.13800000000000001</v>
      </c>
      <c r="M5790">
        <v>0.13200000000000001</v>
      </c>
      <c r="N5790">
        <v>0.129</v>
      </c>
      <c r="O5790">
        <v>0.126</v>
      </c>
      <c r="P5790">
        <v>0.122</v>
      </c>
      <c r="Q5790">
        <v>0.11700000000000001</v>
      </c>
      <c r="R5790">
        <v>0.114</v>
      </c>
      <c r="S5790">
        <v>0.111</v>
      </c>
      <c r="T5790">
        <v>0.111</v>
      </c>
      <c r="U5790">
        <v>0.111</v>
      </c>
      <c r="V5790">
        <v>0.111</v>
      </c>
      <c r="W5790">
        <v>0.111</v>
      </c>
      <c r="X5790">
        <v>0.11</v>
      </c>
      <c r="Y5790">
        <v>0.109</v>
      </c>
      <c r="Z5790">
        <v>0.108</v>
      </c>
      <c r="AA5790">
        <v>0.107</v>
      </c>
      <c r="AB5790">
        <v>0.105</v>
      </c>
      <c r="AC5790">
        <v>0.10299999999999999</v>
      </c>
      <c r="AD5790">
        <v>0.1</v>
      </c>
    </row>
    <row r="5791" spans="2:30" x14ac:dyDescent="0.25">
      <c r="B5791" t="s">
        <v>133</v>
      </c>
      <c r="C5791" t="s">
        <v>10598</v>
      </c>
      <c r="D5791" t="s">
        <v>5677</v>
      </c>
      <c r="E5791">
        <v>0</v>
      </c>
      <c r="F5791" t="s">
        <v>11118</v>
      </c>
      <c r="G5791" t="s">
        <v>3890</v>
      </c>
      <c r="H5791" t="s">
        <v>109</v>
      </c>
      <c r="I5791" t="s">
        <v>108</v>
      </c>
      <c r="J5791">
        <v>2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</row>
    <row r="5792" spans="2:30" x14ac:dyDescent="0.25">
      <c r="B5792" t="s">
        <v>133</v>
      </c>
      <c r="C5792" t="s">
        <v>10598</v>
      </c>
      <c r="D5792" t="s">
        <v>5678</v>
      </c>
      <c r="E5792">
        <v>0</v>
      </c>
      <c r="F5792" t="s">
        <v>11118</v>
      </c>
      <c r="G5792" t="s">
        <v>3890</v>
      </c>
      <c r="H5792" t="s">
        <v>109</v>
      </c>
      <c r="I5792" t="s">
        <v>108</v>
      </c>
      <c r="J5792">
        <v>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</row>
    <row r="5793" spans="2:30" x14ac:dyDescent="0.25">
      <c r="B5793" t="s">
        <v>133</v>
      </c>
      <c r="C5793" t="s">
        <v>10598</v>
      </c>
      <c r="D5793" t="s">
        <v>5679</v>
      </c>
      <c r="E5793" t="s">
        <v>5680</v>
      </c>
      <c r="F5793" t="s">
        <v>11150</v>
      </c>
      <c r="G5793" t="s">
        <v>3890</v>
      </c>
      <c r="H5793" t="s">
        <v>109</v>
      </c>
      <c r="I5793" t="s">
        <v>108</v>
      </c>
      <c r="J5793">
        <v>2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</row>
    <row r="5794" spans="2:30" x14ac:dyDescent="0.25">
      <c r="B5794" t="s">
        <v>133</v>
      </c>
      <c r="C5794" t="s">
        <v>10598</v>
      </c>
      <c r="D5794" t="s">
        <v>5682</v>
      </c>
      <c r="E5794" t="s">
        <v>5683</v>
      </c>
      <c r="F5794" t="s">
        <v>11151</v>
      </c>
      <c r="G5794" t="s">
        <v>3890</v>
      </c>
      <c r="H5794" t="s">
        <v>109</v>
      </c>
      <c r="I5794" t="s">
        <v>108</v>
      </c>
      <c r="J5794">
        <v>2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</row>
    <row r="5795" spans="2:30" x14ac:dyDescent="0.25">
      <c r="B5795" t="s">
        <v>133</v>
      </c>
      <c r="C5795" t="s">
        <v>10598</v>
      </c>
      <c r="D5795" t="s">
        <v>5685</v>
      </c>
      <c r="E5795" t="s">
        <v>5686</v>
      </c>
      <c r="F5795" t="s">
        <v>11152</v>
      </c>
      <c r="G5795" t="s">
        <v>3890</v>
      </c>
      <c r="H5795" t="s">
        <v>109</v>
      </c>
      <c r="I5795" t="s">
        <v>108</v>
      </c>
      <c r="J5795">
        <v>2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</row>
    <row r="5796" spans="2:30" x14ac:dyDescent="0.25">
      <c r="B5796" t="s">
        <v>133</v>
      </c>
      <c r="C5796" t="s">
        <v>10598</v>
      </c>
      <c r="D5796" t="s">
        <v>5688</v>
      </c>
      <c r="E5796" t="s">
        <v>5689</v>
      </c>
      <c r="F5796" t="s">
        <v>11153</v>
      </c>
      <c r="G5796" t="s">
        <v>3890</v>
      </c>
      <c r="H5796" t="s">
        <v>109</v>
      </c>
      <c r="I5796" t="s">
        <v>108</v>
      </c>
      <c r="J5796">
        <v>2</v>
      </c>
      <c r="K5796">
        <v>875.27200000000005</v>
      </c>
      <c r="L5796">
        <v>1064.7159999999999</v>
      </c>
      <c r="M5796">
        <v>1332.902</v>
      </c>
      <c r="N5796">
        <v>1360.3309999999999</v>
      </c>
      <c r="O5796">
        <v>1387.0129999999999</v>
      </c>
      <c r="P5796">
        <v>1418.011</v>
      </c>
      <c r="Q5796">
        <v>1454.232</v>
      </c>
      <c r="R5796">
        <v>1488.8109999999999</v>
      </c>
      <c r="S5796">
        <v>1521.0730000000001</v>
      </c>
      <c r="T5796">
        <v>1553.415</v>
      </c>
      <c r="U5796">
        <v>1585.9</v>
      </c>
      <c r="V5796">
        <v>1618.5820000000001</v>
      </c>
      <c r="W5796">
        <v>1651.454</v>
      </c>
      <c r="X5796">
        <v>1684.627</v>
      </c>
      <c r="Y5796">
        <v>1718.0809999999999</v>
      </c>
      <c r="Z5796">
        <v>1751.9380000000001</v>
      </c>
      <c r="AA5796">
        <v>1786.3979999999999</v>
      </c>
      <c r="AB5796">
        <v>1821.3330000000001</v>
      </c>
      <c r="AC5796">
        <v>1857.1669999999999</v>
      </c>
      <c r="AD5796">
        <v>1893.364</v>
      </c>
    </row>
    <row r="5797" spans="2:30" x14ac:dyDescent="0.25">
      <c r="B5797" t="s">
        <v>133</v>
      </c>
      <c r="C5797" t="s">
        <v>10598</v>
      </c>
      <c r="D5797" t="s">
        <v>5691</v>
      </c>
      <c r="E5797" t="s">
        <v>5692</v>
      </c>
      <c r="F5797" t="s">
        <v>11154</v>
      </c>
      <c r="G5797" t="s">
        <v>3890</v>
      </c>
      <c r="H5797" t="s">
        <v>109</v>
      </c>
      <c r="I5797" t="s">
        <v>108</v>
      </c>
      <c r="J5797">
        <v>2</v>
      </c>
      <c r="K5797">
        <v>33.051000000000002</v>
      </c>
      <c r="L5797">
        <v>26.300999999999998</v>
      </c>
      <c r="M5797">
        <v>23.175999999999998</v>
      </c>
      <c r="N5797">
        <v>15</v>
      </c>
      <c r="O5797">
        <v>15</v>
      </c>
      <c r="P5797">
        <v>15</v>
      </c>
      <c r="Q5797">
        <v>15</v>
      </c>
      <c r="R5797">
        <v>15</v>
      </c>
      <c r="S5797">
        <v>15</v>
      </c>
      <c r="T5797">
        <v>15</v>
      </c>
      <c r="U5797">
        <v>15</v>
      </c>
      <c r="V5797">
        <v>15</v>
      </c>
      <c r="W5797">
        <v>15</v>
      </c>
      <c r="X5797">
        <v>15</v>
      </c>
      <c r="Y5797">
        <v>15</v>
      </c>
      <c r="Z5797">
        <v>15</v>
      </c>
      <c r="AA5797">
        <v>15</v>
      </c>
      <c r="AB5797">
        <v>15</v>
      </c>
      <c r="AC5797">
        <v>15</v>
      </c>
      <c r="AD5797">
        <v>15</v>
      </c>
    </row>
    <row r="5798" spans="2:30" x14ac:dyDescent="0.25">
      <c r="B5798" t="s">
        <v>133</v>
      </c>
      <c r="C5798" t="s">
        <v>10598</v>
      </c>
      <c r="D5798" t="s">
        <v>5694</v>
      </c>
      <c r="E5798" t="s">
        <v>5695</v>
      </c>
      <c r="F5798" t="s">
        <v>11155</v>
      </c>
      <c r="G5798" t="s">
        <v>3890</v>
      </c>
      <c r="H5798" t="s">
        <v>109</v>
      </c>
      <c r="I5798" t="s">
        <v>108</v>
      </c>
      <c r="J5798">
        <v>2</v>
      </c>
      <c r="K5798">
        <v>14.471</v>
      </c>
      <c r="L5798">
        <v>14.471</v>
      </c>
      <c r="M5798">
        <v>14.476000000000001</v>
      </c>
      <c r="N5798">
        <v>14.476000000000001</v>
      </c>
      <c r="O5798">
        <v>14.476000000000001</v>
      </c>
      <c r="P5798">
        <v>14.476000000000001</v>
      </c>
      <c r="Q5798">
        <v>14.476000000000001</v>
      </c>
      <c r="R5798">
        <v>14.476000000000001</v>
      </c>
      <c r="S5798">
        <v>14.476000000000001</v>
      </c>
      <c r="T5798">
        <v>14.476000000000001</v>
      </c>
      <c r="U5798">
        <v>14.476000000000001</v>
      </c>
      <c r="V5798">
        <v>14.476000000000001</v>
      </c>
      <c r="W5798">
        <v>14.476000000000001</v>
      </c>
      <c r="X5798">
        <v>14.476000000000001</v>
      </c>
      <c r="Y5798">
        <v>14.476000000000001</v>
      </c>
      <c r="Z5798">
        <v>14.476000000000001</v>
      </c>
      <c r="AA5798">
        <v>14.476000000000001</v>
      </c>
      <c r="AB5798">
        <v>14.476000000000001</v>
      </c>
      <c r="AC5798">
        <v>14.476000000000001</v>
      </c>
      <c r="AD5798">
        <v>14.476000000000001</v>
      </c>
    </row>
    <row r="5799" spans="2:30" x14ac:dyDescent="0.25">
      <c r="B5799" t="s">
        <v>133</v>
      </c>
      <c r="C5799" t="s">
        <v>10598</v>
      </c>
      <c r="D5799" t="s">
        <v>5697</v>
      </c>
      <c r="E5799" t="s">
        <v>5698</v>
      </c>
      <c r="F5799" t="s">
        <v>11156</v>
      </c>
      <c r="G5799" t="s">
        <v>3890</v>
      </c>
      <c r="H5799" t="s">
        <v>109</v>
      </c>
      <c r="I5799" t="s">
        <v>108</v>
      </c>
      <c r="J5799">
        <v>2</v>
      </c>
      <c r="K5799">
        <v>0.14199999999999999</v>
      </c>
      <c r="L5799">
        <v>0.13800000000000001</v>
      </c>
      <c r="M5799">
        <v>0.13200000000000001</v>
      </c>
      <c r="N5799">
        <v>0.129</v>
      </c>
      <c r="O5799">
        <v>0.126</v>
      </c>
      <c r="P5799">
        <v>0.122</v>
      </c>
      <c r="Q5799">
        <v>0.11700000000000001</v>
      </c>
      <c r="R5799">
        <v>0.114</v>
      </c>
      <c r="S5799">
        <v>0.111</v>
      </c>
      <c r="T5799">
        <v>0.111</v>
      </c>
      <c r="U5799">
        <v>0.111</v>
      </c>
      <c r="V5799">
        <v>0.111</v>
      </c>
      <c r="W5799">
        <v>0.111</v>
      </c>
      <c r="X5799">
        <v>0.11</v>
      </c>
      <c r="Y5799">
        <v>0.109</v>
      </c>
      <c r="Z5799">
        <v>0.108</v>
      </c>
      <c r="AA5799">
        <v>0.107</v>
      </c>
      <c r="AB5799">
        <v>0.105</v>
      </c>
      <c r="AC5799">
        <v>0.10299999999999999</v>
      </c>
      <c r="AD5799">
        <v>0.1</v>
      </c>
    </row>
    <row r="5800" spans="2:30" x14ac:dyDescent="0.25">
      <c r="B5800" t="s">
        <v>133</v>
      </c>
      <c r="C5800" t="s">
        <v>10598</v>
      </c>
      <c r="D5800" t="s">
        <v>5700</v>
      </c>
      <c r="E5800">
        <v>0</v>
      </c>
      <c r="F5800" t="s">
        <v>11118</v>
      </c>
      <c r="G5800" t="s">
        <v>3890</v>
      </c>
      <c r="H5800" t="s">
        <v>109</v>
      </c>
      <c r="I5800" t="s">
        <v>108</v>
      </c>
      <c r="J5800">
        <v>2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</row>
    <row r="5801" spans="2:30" x14ac:dyDescent="0.25">
      <c r="B5801" t="s">
        <v>133</v>
      </c>
      <c r="C5801" t="s">
        <v>10598</v>
      </c>
      <c r="D5801" t="s">
        <v>5701</v>
      </c>
      <c r="E5801">
        <v>0</v>
      </c>
      <c r="F5801" t="s">
        <v>11118</v>
      </c>
      <c r="G5801" t="s">
        <v>3890</v>
      </c>
      <c r="H5801" t="s">
        <v>109</v>
      </c>
      <c r="I5801" t="s">
        <v>108</v>
      </c>
      <c r="J5801">
        <v>2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</row>
    <row r="5802" spans="2:30" x14ac:dyDescent="0.25">
      <c r="B5802" t="s">
        <v>133</v>
      </c>
      <c r="C5802" t="s">
        <v>10598</v>
      </c>
      <c r="D5802" t="s">
        <v>5702</v>
      </c>
      <c r="E5802" t="s">
        <v>5703</v>
      </c>
      <c r="F5802" t="s">
        <v>11157</v>
      </c>
      <c r="G5802" t="s">
        <v>3890</v>
      </c>
      <c r="H5802" t="s">
        <v>109</v>
      </c>
      <c r="I5802" t="s">
        <v>108</v>
      </c>
      <c r="J5802">
        <v>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</row>
    <row r="5803" spans="2:30" x14ac:dyDescent="0.25">
      <c r="B5803" t="s">
        <v>133</v>
      </c>
      <c r="C5803" t="s">
        <v>10598</v>
      </c>
      <c r="D5803" t="s">
        <v>5705</v>
      </c>
      <c r="E5803" t="s">
        <v>5706</v>
      </c>
      <c r="F5803" t="s">
        <v>11158</v>
      </c>
      <c r="G5803" t="s">
        <v>3890</v>
      </c>
      <c r="H5803" t="s">
        <v>109</v>
      </c>
      <c r="I5803" t="s">
        <v>108</v>
      </c>
      <c r="J5803">
        <v>2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</row>
    <row r="5804" spans="2:30" x14ac:dyDescent="0.25">
      <c r="B5804" t="s">
        <v>133</v>
      </c>
      <c r="C5804" t="s">
        <v>10598</v>
      </c>
      <c r="D5804" t="s">
        <v>5708</v>
      </c>
      <c r="E5804" t="s">
        <v>5709</v>
      </c>
      <c r="F5804" t="s">
        <v>11159</v>
      </c>
      <c r="G5804" t="s">
        <v>3890</v>
      </c>
      <c r="H5804" t="s">
        <v>109</v>
      </c>
      <c r="I5804" t="s">
        <v>108</v>
      </c>
      <c r="J5804">
        <v>2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</row>
    <row r="5805" spans="2:30" x14ac:dyDescent="0.25">
      <c r="B5805" t="s">
        <v>133</v>
      </c>
      <c r="C5805" t="s">
        <v>10598</v>
      </c>
      <c r="D5805" t="s">
        <v>5711</v>
      </c>
      <c r="E5805" t="s">
        <v>5712</v>
      </c>
      <c r="F5805" t="s">
        <v>11160</v>
      </c>
      <c r="G5805" t="s">
        <v>3890</v>
      </c>
      <c r="H5805" t="s">
        <v>109</v>
      </c>
      <c r="I5805" t="s">
        <v>108</v>
      </c>
      <c r="J5805">
        <v>2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</row>
    <row r="5806" spans="2:30" x14ac:dyDescent="0.25">
      <c r="B5806" t="s">
        <v>133</v>
      </c>
      <c r="C5806" t="s">
        <v>10598</v>
      </c>
      <c r="D5806" t="s">
        <v>5714</v>
      </c>
      <c r="E5806">
        <v>0</v>
      </c>
      <c r="F5806" t="s">
        <v>11118</v>
      </c>
      <c r="G5806" t="s">
        <v>3890</v>
      </c>
      <c r="H5806" t="s">
        <v>109</v>
      </c>
      <c r="I5806" t="s">
        <v>108</v>
      </c>
      <c r="J5806">
        <v>2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</row>
    <row r="5807" spans="2:30" x14ac:dyDescent="0.25">
      <c r="B5807" t="s">
        <v>133</v>
      </c>
      <c r="C5807" t="s">
        <v>10598</v>
      </c>
      <c r="D5807" t="s">
        <v>5715</v>
      </c>
      <c r="E5807">
        <v>0</v>
      </c>
      <c r="F5807" t="s">
        <v>11118</v>
      </c>
      <c r="G5807" t="s">
        <v>3890</v>
      </c>
      <c r="H5807" t="s">
        <v>109</v>
      </c>
      <c r="I5807" t="s">
        <v>108</v>
      </c>
      <c r="J5807">
        <v>2</v>
      </c>
      <c r="K5807">
        <v>7437.8159999999998</v>
      </c>
      <c r="L5807">
        <v>7682.2370000000001</v>
      </c>
      <c r="M5807">
        <v>9461.0640000000003</v>
      </c>
      <c r="N5807">
        <v>9579.5969999999998</v>
      </c>
      <c r="O5807">
        <v>9693.2800000000007</v>
      </c>
      <c r="P5807">
        <v>9828.7630000000008</v>
      </c>
      <c r="Q5807">
        <v>9990.5169999999998</v>
      </c>
      <c r="R5807">
        <v>10142.575000000001</v>
      </c>
      <c r="S5807">
        <v>10281.584000000001</v>
      </c>
      <c r="T5807">
        <v>10420.048000000001</v>
      </c>
      <c r="U5807">
        <v>10558.299000000001</v>
      </c>
      <c r="V5807">
        <v>10696.616</v>
      </c>
      <c r="W5807">
        <v>10834.977000000001</v>
      </c>
      <c r="X5807">
        <v>10973.941999999999</v>
      </c>
      <c r="Y5807">
        <v>11113.412</v>
      </c>
      <c r="Z5807">
        <v>11253.991</v>
      </c>
      <c r="AA5807">
        <v>11396.682000000001</v>
      </c>
      <c r="AB5807">
        <v>11540.821</v>
      </c>
      <c r="AC5807">
        <v>11688.509</v>
      </c>
      <c r="AD5807">
        <v>11837.046</v>
      </c>
    </row>
    <row r="5808" spans="2:30" x14ac:dyDescent="0.25">
      <c r="B5808" t="s">
        <v>133</v>
      </c>
      <c r="C5808" t="s">
        <v>10598</v>
      </c>
      <c r="D5808" t="s">
        <v>5716</v>
      </c>
      <c r="E5808">
        <v>0</v>
      </c>
      <c r="F5808" t="s">
        <v>11118</v>
      </c>
      <c r="G5808" t="s">
        <v>3890</v>
      </c>
      <c r="H5808" t="s">
        <v>109</v>
      </c>
      <c r="I5808" t="s">
        <v>108</v>
      </c>
      <c r="J5808">
        <v>2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</row>
    <row r="5809" spans="2:30" x14ac:dyDescent="0.25">
      <c r="B5809" t="s">
        <v>133</v>
      </c>
      <c r="C5809" t="s">
        <v>10598</v>
      </c>
      <c r="D5809" t="s">
        <v>5717</v>
      </c>
      <c r="E5809">
        <v>0</v>
      </c>
      <c r="F5809" t="s">
        <v>11118</v>
      </c>
      <c r="G5809" t="s">
        <v>3890</v>
      </c>
      <c r="H5809" t="s">
        <v>109</v>
      </c>
      <c r="I5809" t="s">
        <v>108</v>
      </c>
      <c r="J5809">
        <v>2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</row>
    <row r="5810" spans="2:30" x14ac:dyDescent="0.25">
      <c r="B5810" t="s">
        <v>133</v>
      </c>
      <c r="C5810" t="s">
        <v>10598</v>
      </c>
      <c r="D5810" t="s">
        <v>5718</v>
      </c>
      <c r="E5810">
        <v>0</v>
      </c>
      <c r="F5810" t="s">
        <v>11118</v>
      </c>
      <c r="G5810" t="s">
        <v>3890</v>
      </c>
      <c r="H5810" t="s">
        <v>109</v>
      </c>
      <c r="I5810" t="s">
        <v>108</v>
      </c>
      <c r="J5810">
        <v>2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</row>
    <row r="5811" spans="2:30" x14ac:dyDescent="0.25">
      <c r="B5811" t="s">
        <v>133</v>
      </c>
      <c r="C5811" t="s">
        <v>10598</v>
      </c>
      <c r="D5811" t="s">
        <v>5719</v>
      </c>
      <c r="E5811" t="s">
        <v>5720</v>
      </c>
      <c r="F5811" t="s">
        <v>11161</v>
      </c>
      <c r="G5811" t="s">
        <v>3890</v>
      </c>
      <c r="H5811" t="s">
        <v>109</v>
      </c>
      <c r="I5811" t="s">
        <v>108</v>
      </c>
      <c r="J5811">
        <v>2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</row>
    <row r="5812" spans="2:30" x14ac:dyDescent="0.25">
      <c r="B5812" t="s">
        <v>133</v>
      </c>
      <c r="C5812" t="s">
        <v>10598</v>
      </c>
      <c r="D5812" t="s">
        <v>5722</v>
      </c>
      <c r="E5812" t="s">
        <v>5723</v>
      </c>
      <c r="F5812" t="s">
        <v>11162</v>
      </c>
      <c r="G5812" t="s">
        <v>3890</v>
      </c>
      <c r="H5812" t="s">
        <v>109</v>
      </c>
      <c r="I5812" t="s">
        <v>108</v>
      </c>
      <c r="J5812">
        <v>2</v>
      </c>
      <c r="K5812">
        <v>6562.2219999999998</v>
      </c>
      <c r="L5812">
        <v>6617.1670000000004</v>
      </c>
      <c r="M5812">
        <v>8127.7539999999999</v>
      </c>
      <c r="N5812">
        <v>8218.8449999999993</v>
      </c>
      <c r="O5812">
        <v>8305.8330000000005</v>
      </c>
      <c r="P5812">
        <v>8410.3019999999997</v>
      </c>
      <c r="Q5812">
        <v>8535.8169999999991</v>
      </c>
      <c r="R5812">
        <v>8653.2790000000005</v>
      </c>
      <c r="S5812">
        <v>8760.01</v>
      </c>
      <c r="T5812">
        <v>8866.1149999999998</v>
      </c>
      <c r="U5812">
        <v>8971.8629999999994</v>
      </c>
      <c r="V5812">
        <v>9077.4809999999998</v>
      </c>
      <c r="W5812">
        <v>9182.9519999999993</v>
      </c>
      <c r="X5812">
        <v>9288.7260000000006</v>
      </c>
      <c r="Y5812">
        <v>9394.723</v>
      </c>
      <c r="Z5812">
        <v>9501.4279999999999</v>
      </c>
      <c r="AA5812">
        <v>9609.6389999999992</v>
      </c>
      <c r="AB5812">
        <v>9718.8230000000003</v>
      </c>
      <c r="AC5812">
        <v>9830.6550000000007</v>
      </c>
      <c r="AD5812">
        <v>9942.9750000000004</v>
      </c>
    </row>
    <row r="5813" spans="2:30" x14ac:dyDescent="0.25">
      <c r="B5813" t="s">
        <v>133</v>
      </c>
      <c r="C5813" t="s">
        <v>10598</v>
      </c>
      <c r="D5813" t="s">
        <v>5725</v>
      </c>
      <c r="E5813">
        <v>0</v>
      </c>
      <c r="F5813" t="s">
        <v>11118</v>
      </c>
      <c r="G5813" t="s">
        <v>3890</v>
      </c>
      <c r="H5813" t="s">
        <v>109</v>
      </c>
      <c r="I5813" t="s">
        <v>108</v>
      </c>
      <c r="J5813">
        <v>2</v>
      </c>
      <c r="K5813">
        <v>7437.8159999999998</v>
      </c>
      <c r="L5813">
        <v>7682.2370000000001</v>
      </c>
      <c r="M5813">
        <v>9461.0640000000003</v>
      </c>
      <c r="N5813">
        <v>9579.5969999999998</v>
      </c>
      <c r="O5813">
        <v>9693.2800000000007</v>
      </c>
      <c r="P5813">
        <v>9828.7630000000008</v>
      </c>
      <c r="Q5813">
        <v>9990.5169999999998</v>
      </c>
      <c r="R5813">
        <v>10142.575000000001</v>
      </c>
      <c r="S5813">
        <v>10281.584000000001</v>
      </c>
      <c r="T5813">
        <v>10420.048000000001</v>
      </c>
      <c r="U5813">
        <v>10558.299000000001</v>
      </c>
      <c r="V5813">
        <v>10696.616</v>
      </c>
      <c r="W5813">
        <v>10834.977000000001</v>
      </c>
      <c r="X5813">
        <v>10973.941999999999</v>
      </c>
      <c r="Y5813">
        <v>11113.412</v>
      </c>
      <c r="Z5813">
        <v>11253.991</v>
      </c>
      <c r="AA5813">
        <v>11396.682000000001</v>
      </c>
      <c r="AB5813">
        <v>11540.821</v>
      </c>
      <c r="AC5813">
        <v>11688.509</v>
      </c>
      <c r="AD5813">
        <v>11837.046</v>
      </c>
    </row>
    <row r="5814" spans="2:30" x14ac:dyDescent="0.25">
      <c r="B5814" t="s">
        <v>133</v>
      </c>
      <c r="C5814" t="s">
        <v>10598</v>
      </c>
      <c r="D5814" t="s">
        <v>5726</v>
      </c>
      <c r="E5814">
        <v>0</v>
      </c>
      <c r="F5814" t="s">
        <v>11118</v>
      </c>
      <c r="G5814" t="s">
        <v>3890</v>
      </c>
      <c r="H5814" t="s">
        <v>109</v>
      </c>
      <c r="I5814" t="s">
        <v>108</v>
      </c>
      <c r="J5814">
        <v>2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</row>
    <row r="5815" spans="2:30" x14ac:dyDescent="0.25">
      <c r="B5815" t="s">
        <v>133</v>
      </c>
      <c r="C5815" t="s">
        <v>10598</v>
      </c>
      <c r="D5815" t="s">
        <v>5727</v>
      </c>
      <c r="E5815" t="s">
        <v>1224</v>
      </c>
      <c r="F5815" t="s">
        <v>11163</v>
      </c>
      <c r="G5815" t="s">
        <v>3890</v>
      </c>
      <c r="H5815" t="s">
        <v>109</v>
      </c>
      <c r="I5815" t="s">
        <v>108</v>
      </c>
      <c r="J5815">
        <v>2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</row>
    <row r="5816" spans="2:30" x14ac:dyDescent="0.25">
      <c r="B5816" t="s">
        <v>133</v>
      </c>
      <c r="C5816" t="s">
        <v>10598</v>
      </c>
      <c r="D5816" t="s">
        <v>5729</v>
      </c>
      <c r="E5816" t="s">
        <v>1225</v>
      </c>
      <c r="F5816" t="s">
        <v>11164</v>
      </c>
      <c r="G5816" t="s">
        <v>3890</v>
      </c>
      <c r="H5816" t="s">
        <v>109</v>
      </c>
      <c r="I5816" t="s">
        <v>108</v>
      </c>
      <c r="J5816">
        <v>2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</row>
    <row r="5817" spans="2:30" x14ac:dyDescent="0.25">
      <c r="B5817" t="s">
        <v>133</v>
      </c>
      <c r="C5817" t="s">
        <v>10598</v>
      </c>
      <c r="D5817" t="s">
        <v>5731</v>
      </c>
      <c r="E5817" t="s">
        <v>1226</v>
      </c>
      <c r="F5817" t="s">
        <v>11165</v>
      </c>
      <c r="G5817" t="s">
        <v>3890</v>
      </c>
      <c r="H5817" t="s">
        <v>109</v>
      </c>
      <c r="I5817" t="s">
        <v>108</v>
      </c>
      <c r="J5817">
        <v>2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</row>
    <row r="5818" spans="2:30" x14ac:dyDescent="0.25">
      <c r="B5818" t="s">
        <v>133</v>
      </c>
      <c r="C5818" t="s">
        <v>10598</v>
      </c>
      <c r="D5818" t="s">
        <v>5733</v>
      </c>
      <c r="E5818" t="s">
        <v>1227</v>
      </c>
      <c r="F5818" t="s">
        <v>11166</v>
      </c>
      <c r="G5818" t="s">
        <v>3890</v>
      </c>
      <c r="H5818" t="s">
        <v>109</v>
      </c>
      <c r="I5818" t="s">
        <v>108</v>
      </c>
      <c r="J5818">
        <v>2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</row>
    <row r="5819" spans="2:30" x14ac:dyDescent="0.25">
      <c r="B5819" t="s">
        <v>133</v>
      </c>
      <c r="C5819" t="s">
        <v>10598</v>
      </c>
      <c r="D5819" t="s">
        <v>5735</v>
      </c>
      <c r="E5819" t="s">
        <v>1228</v>
      </c>
      <c r="F5819" t="s">
        <v>11167</v>
      </c>
      <c r="G5819" t="s">
        <v>3890</v>
      </c>
      <c r="H5819" t="s">
        <v>109</v>
      </c>
      <c r="I5819" t="s">
        <v>108</v>
      </c>
      <c r="J5819">
        <v>2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</row>
    <row r="5820" spans="2:30" x14ac:dyDescent="0.25">
      <c r="B5820" t="s">
        <v>133</v>
      </c>
      <c r="C5820" t="s">
        <v>10598</v>
      </c>
      <c r="D5820" t="s">
        <v>5737</v>
      </c>
      <c r="E5820" t="s">
        <v>1229</v>
      </c>
      <c r="F5820" t="s">
        <v>11168</v>
      </c>
      <c r="G5820" t="s">
        <v>3890</v>
      </c>
      <c r="H5820" t="s">
        <v>109</v>
      </c>
      <c r="I5820" t="s">
        <v>108</v>
      </c>
      <c r="J5820">
        <v>2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</row>
    <row r="5821" spans="2:30" x14ac:dyDescent="0.25">
      <c r="B5821" t="s">
        <v>133</v>
      </c>
      <c r="C5821" t="s">
        <v>10598</v>
      </c>
      <c r="D5821" t="s">
        <v>5739</v>
      </c>
      <c r="E5821" t="s">
        <v>1230</v>
      </c>
      <c r="F5821" t="s">
        <v>11169</v>
      </c>
      <c r="G5821" t="s">
        <v>3890</v>
      </c>
      <c r="H5821" t="s">
        <v>109</v>
      </c>
      <c r="I5821" t="s">
        <v>108</v>
      </c>
      <c r="J5821">
        <v>2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</row>
    <row r="5822" spans="2:30" x14ac:dyDescent="0.25">
      <c r="B5822" t="s">
        <v>133</v>
      </c>
      <c r="C5822" t="s">
        <v>10598</v>
      </c>
      <c r="D5822" t="s">
        <v>5741</v>
      </c>
      <c r="E5822" t="s">
        <v>1231</v>
      </c>
      <c r="F5822" t="s">
        <v>11170</v>
      </c>
      <c r="G5822" t="s">
        <v>3890</v>
      </c>
      <c r="H5822" t="s">
        <v>109</v>
      </c>
      <c r="I5822" t="s">
        <v>108</v>
      </c>
      <c r="J5822">
        <v>2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</row>
    <row r="5823" spans="2:30" x14ac:dyDescent="0.25">
      <c r="B5823" t="s">
        <v>133</v>
      </c>
      <c r="C5823" t="s">
        <v>10598</v>
      </c>
      <c r="D5823" t="s">
        <v>5743</v>
      </c>
      <c r="E5823" t="s">
        <v>1232</v>
      </c>
      <c r="F5823" t="s">
        <v>11171</v>
      </c>
      <c r="G5823" t="s">
        <v>3890</v>
      </c>
      <c r="H5823" t="s">
        <v>109</v>
      </c>
      <c r="I5823" t="s">
        <v>108</v>
      </c>
      <c r="J5823">
        <v>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</row>
    <row r="5824" spans="2:30" x14ac:dyDescent="0.25">
      <c r="B5824" t="s">
        <v>133</v>
      </c>
      <c r="C5824" t="s">
        <v>10598</v>
      </c>
      <c r="D5824" t="s">
        <v>5745</v>
      </c>
      <c r="E5824" t="s">
        <v>1197</v>
      </c>
      <c r="F5824" t="s">
        <v>11172</v>
      </c>
      <c r="G5824" t="s">
        <v>3890</v>
      </c>
      <c r="H5824" t="s">
        <v>109</v>
      </c>
      <c r="I5824" t="s">
        <v>108</v>
      </c>
      <c r="J5824">
        <v>2</v>
      </c>
      <c r="K5824">
        <v>227.214</v>
      </c>
      <c r="L5824">
        <v>212.61799999999999</v>
      </c>
      <c r="M5824">
        <v>252.76599999999999</v>
      </c>
      <c r="N5824">
        <v>271.80900000000003</v>
      </c>
      <c r="O5824">
        <v>276.17200000000003</v>
      </c>
      <c r="P5824">
        <v>278.863</v>
      </c>
      <c r="Q5824">
        <v>269.048</v>
      </c>
      <c r="R5824">
        <v>278.47500000000002</v>
      </c>
      <c r="S5824">
        <v>285.35000000000002</v>
      </c>
      <c r="T5824">
        <v>295.07</v>
      </c>
      <c r="U5824">
        <v>302.43400000000003</v>
      </c>
      <c r="V5824">
        <v>311.96499999999997</v>
      </c>
      <c r="W5824">
        <v>320.93</v>
      </c>
      <c r="X5824">
        <v>331.03</v>
      </c>
      <c r="Y5824">
        <v>336.93099999999998</v>
      </c>
      <c r="Z5824">
        <v>342.88499999999999</v>
      </c>
      <c r="AA5824">
        <v>348.93299999999999</v>
      </c>
      <c r="AB5824">
        <v>355.048</v>
      </c>
      <c r="AC5824">
        <v>361.31200000000001</v>
      </c>
      <c r="AD5824">
        <v>367.62</v>
      </c>
    </row>
    <row r="5825" spans="2:30" x14ac:dyDescent="0.25">
      <c r="B5825" t="s">
        <v>133</v>
      </c>
      <c r="C5825" t="s">
        <v>10598</v>
      </c>
      <c r="D5825" t="s">
        <v>5747</v>
      </c>
      <c r="E5825" t="s">
        <v>1198</v>
      </c>
      <c r="F5825" t="s">
        <v>11173</v>
      </c>
      <c r="G5825" t="s">
        <v>3890</v>
      </c>
      <c r="H5825" t="s">
        <v>109</v>
      </c>
      <c r="I5825" t="s">
        <v>108</v>
      </c>
      <c r="J5825">
        <v>2</v>
      </c>
      <c r="K5825">
        <v>1528.7239999999999</v>
      </c>
      <c r="L5825">
        <v>1311.681</v>
      </c>
      <c r="M5825">
        <v>1444.05</v>
      </c>
      <c r="N5825">
        <v>1501.115</v>
      </c>
      <c r="O5825">
        <v>1557.4880000000001</v>
      </c>
      <c r="P5825">
        <v>1617.9280000000001</v>
      </c>
      <c r="Q5825">
        <v>1625.6469999999999</v>
      </c>
      <c r="R5825">
        <v>1713.9760000000001</v>
      </c>
      <c r="S5825">
        <v>1789.0039999999999</v>
      </c>
      <c r="T5825">
        <v>1878.5630000000001</v>
      </c>
      <c r="U5825">
        <v>1962.33</v>
      </c>
      <c r="V5825">
        <v>2058.1819999999998</v>
      </c>
      <c r="W5825">
        <v>2153.6779999999999</v>
      </c>
      <c r="X5825">
        <v>2256.9479999999999</v>
      </c>
      <c r="Y5825">
        <v>2342.828</v>
      </c>
      <c r="Z5825">
        <v>2431.248</v>
      </c>
      <c r="AA5825">
        <v>2522.826</v>
      </c>
      <c r="AB5825">
        <v>2617.2689999999998</v>
      </c>
      <c r="AC5825">
        <v>2715.8820000000001</v>
      </c>
      <c r="AD5825">
        <v>2817.1880000000001</v>
      </c>
    </row>
    <row r="5826" spans="2:30" x14ac:dyDescent="0.25">
      <c r="B5826" t="s">
        <v>133</v>
      </c>
      <c r="C5826" t="s">
        <v>10598</v>
      </c>
      <c r="D5826" t="s">
        <v>5749</v>
      </c>
      <c r="E5826" t="s">
        <v>1199</v>
      </c>
      <c r="F5826" t="s">
        <v>11174</v>
      </c>
      <c r="G5826" t="s">
        <v>3890</v>
      </c>
      <c r="H5826" t="s">
        <v>109</v>
      </c>
      <c r="I5826" t="s">
        <v>108</v>
      </c>
      <c r="J5826">
        <v>2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</row>
    <row r="5827" spans="2:30" x14ac:dyDescent="0.25">
      <c r="B5827" t="s">
        <v>133</v>
      </c>
      <c r="C5827" t="s">
        <v>10598</v>
      </c>
      <c r="D5827" t="s">
        <v>5751</v>
      </c>
      <c r="E5827" t="s">
        <v>1200</v>
      </c>
      <c r="F5827" t="s">
        <v>11175</v>
      </c>
      <c r="G5827" t="s">
        <v>3890</v>
      </c>
      <c r="H5827" t="s">
        <v>109</v>
      </c>
      <c r="I5827" t="s">
        <v>108</v>
      </c>
      <c r="J5827">
        <v>2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</row>
    <row r="5828" spans="2:30" x14ac:dyDescent="0.25">
      <c r="B5828" t="s">
        <v>133</v>
      </c>
      <c r="C5828" t="s">
        <v>10598</v>
      </c>
      <c r="D5828" t="s">
        <v>5753</v>
      </c>
      <c r="E5828" t="s">
        <v>1201</v>
      </c>
      <c r="F5828" t="s">
        <v>11176</v>
      </c>
      <c r="G5828" t="s">
        <v>3890</v>
      </c>
      <c r="H5828" t="s">
        <v>109</v>
      </c>
      <c r="I5828" t="s">
        <v>108</v>
      </c>
      <c r="J5828">
        <v>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</row>
    <row r="5829" spans="2:30" x14ac:dyDescent="0.25">
      <c r="B5829" t="s">
        <v>133</v>
      </c>
      <c r="C5829" t="s">
        <v>10598</v>
      </c>
      <c r="D5829" t="s">
        <v>5755</v>
      </c>
      <c r="E5829" t="s">
        <v>1202</v>
      </c>
      <c r="F5829" t="s">
        <v>11177</v>
      </c>
      <c r="G5829" t="s">
        <v>3890</v>
      </c>
      <c r="H5829" t="s">
        <v>109</v>
      </c>
      <c r="I5829" t="s">
        <v>108</v>
      </c>
      <c r="J5829">
        <v>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</row>
    <row r="5830" spans="2:30" x14ac:dyDescent="0.25">
      <c r="B5830" t="s">
        <v>133</v>
      </c>
      <c r="C5830" t="s">
        <v>10598</v>
      </c>
      <c r="D5830" t="s">
        <v>5757</v>
      </c>
      <c r="E5830" t="s">
        <v>1203</v>
      </c>
      <c r="F5830" t="s">
        <v>11178</v>
      </c>
      <c r="G5830" t="s">
        <v>3890</v>
      </c>
      <c r="H5830" t="s">
        <v>109</v>
      </c>
      <c r="I5830" t="s">
        <v>108</v>
      </c>
      <c r="J5830">
        <v>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</row>
    <row r="5831" spans="2:30" x14ac:dyDescent="0.25">
      <c r="B5831" t="s">
        <v>133</v>
      </c>
      <c r="C5831" t="s">
        <v>10598</v>
      </c>
      <c r="D5831" t="s">
        <v>5759</v>
      </c>
      <c r="E5831" t="s">
        <v>1204</v>
      </c>
      <c r="F5831" t="s">
        <v>11179</v>
      </c>
      <c r="G5831" t="s">
        <v>3890</v>
      </c>
      <c r="H5831" t="s">
        <v>109</v>
      </c>
      <c r="I5831" t="s">
        <v>108</v>
      </c>
      <c r="J5831">
        <v>2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</row>
    <row r="5832" spans="2:30" x14ac:dyDescent="0.25">
      <c r="B5832" t="s">
        <v>133</v>
      </c>
      <c r="C5832" t="s">
        <v>10598</v>
      </c>
      <c r="D5832" t="s">
        <v>5761</v>
      </c>
      <c r="E5832" t="s">
        <v>1205</v>
      </c>
      <c r="F5832" t="s">
        <v>11180</v>
      </c>
      <c r="G5832" t="s">
        <v>3890</v>
      </c>
      <c r="H5832" t="s">
        <v>109</v>
      </c>
      <c r="I5832" t="s">
        <v>108</v>
      </c>
      <c r="J5832">
        <v>2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</row>
    <row r="5833" spans="2:30" x14ac:dyDescent="0.25">
      <c r="B5833" t="s">
        <v>133</v>
      </c>
      <c r="C5833" t="s">
        <v>10598</v>
      </c>
      <c r="D5833" t="s">
        <v>5763</v>
      </c>
      <c r="E5833" t="s">
        <v>1215</v>
      </c>
      <c r="F5833" t="s">
        <v>11181</v>
      </c>
      <c r="G5833" t="s">
        <v>3890</v>
      </c>
      <c r="H5833" t="s">
        <v>109</v>
      </c>
      <c r="I5833" t="s">
        <v>108</v>
      </c>
      <c r="J5833">
        <v>2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</row>
    <row r="5834" spans="2:30" x14ac:dyDescent="0.25">
      <c r="B5834" t="s">
        <v>133</v>
      </c>
      <c r="C5834" t="s">
        <v>10598</v>
      </c>
      <c r="D5834" t="s">
        <v>5765</v>
      </c>
      <c r="E5834" t="s">
        <v>1216</v>
      </c>
      <c r="F5834" t="s">
        <v>11182</v>
      </c>
      <c r="G5834" t="s">
        <v>3890</v>
      </c>
      <c r="H5834" t="s">
        <v>109</v>
      </c>
      <c r="I5834" t="s">
        <v>108</v>
      </c>
      <c r="J5834">
        <v>2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</row>
    <row r="5835" spans="2:30" x14ac:dyDescent="0.25">
      <c r="B5835" t="s">
        <v>133</v>
      </c>
      <c r="C5835" t="s">
        <v>10598</v>
      </c>
      <c r="D5835" t="s">
        <v>5767</v>
      </c>
      <c r="E5835" t="s">
        <v>1217</v>
      </c>
      <c r="F5835" t="s">
        <v>11183</v>
      </c>
      <c r="G5835" t="s">
        <v>3890</v>
      </c>
      <c r="H5835" t="s">
        <v>109</v>
      </c>
      <c r="I5835" t="s">
        <v>108</v>
      </c>
      <c r="J5835">
        <v>2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</row>
    <row r="5836" spans="2:30" x14ac:dyDescent="0.25">
      <c r="B5836" t="s">
        <v>133</v>
      </c>
      <c r="C5836" t="s">
        <v>10598</v>
      </c>
      <c r="D5836" t="s">
        <v>5769</v>
      </c>
      <c r="E5836" t="s">
        <v>1218</v>
      </c>
      <c r="F5836" t="s">
        <v>11184</v>
      </c>
      <c r="G5836" t="s">
        <v>3890</v>
      </c>
      <c r="H5836" t="s">
        <v>109</v>
      </c>
      <c r="I5836" t="s">
        <v>108</v>
      </c>
      <c r="J5836">
        <v>2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</row>
    <row r="5837" spans="2:30" x14ac:dyDescent="0.25">
      <c r="B5837" t="s">
        <v>133</v>
      </c>
      <c r="C5837" t="s">
        <v>10598</v>
      </c>
      <c r="D5837" t="s">
        <v>5771</v>
      </c>
      <c r="E5837" t="s">
        <v>1219</v>
      </c>
      <c r="F5837" t="s">
        <v>11185</v>
      </c>
      <c r="G5837" t="s">
        <v>3890</v>
      </c>
      <c r="H5837" t="s">
        <v>109</v>
      </c>
      <c r="I5837" t="s">
        <v>108</v>
      </c>
      <c r="J5837">
        <v>2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</row>
    <row r="5838" spans="2:30" x14ac:dyDescent="0.25">
      <c r="B5838" t="s">
        <v>133</v>
      </c>
      <c r="C5838" t="s">
        <v>10598</v>
      </c>
      <c r="D5838" t="s">
        <v>5773</v>
      </c>
      <c r="E5838" t="s">
        <v>1220</v>
      </c>
      <c r="F5838" t="s">
        <v>11186</v>
      </c>
      <c r="G5838" t="s">
        <v>3890</v>
      </c>
      <c r="H5838" t="s">
        <v>109</v>
      </c>
      <c r="I5838" t="s">
        <v>108</v>
      </c>
      <c r="J5838">
        <v>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</row>
    <row r="5839" spans="2:30" x14ac:dyDescent="0.25">
      <c r="B5839" t="s">
        <v>133</v>
      </c>
      <c r="C5839" t="s">
        <v>10598</v>
      </c>
      <c r="D5839" t="s">
        <v>5775</v>
      </c>
      <c r="E5839" t="s">
        <v>1221</v>
      </c>
      <c r="F5839" t="s">
        <v>11187</v>
      </c>
      <c r="G5839" t="s">
        <v>3890</v>
      </c>
      <c r="H5839" t="s">
        <v>109</v>
      </c>
      <c r="I5839" t="s">
        <v>108</v>
      </c>
      <c r="J5839">
        <v>2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</row>
    <row r="5840" spans="2:30" x14ac:dyDescent="0.25">
      <c r="B5840" t="s">
        <v>133</v>
      </c>
      <c r="C5840" t="s">
        <v>10598</v>
      </c>
      <c r="D5840" t="s">
        <v>5777</v>
      </c>
      <c r="E5840" t="s">
        <v>1222</v>
      </c>
      <c r="F5840" t="s">
        <v>11188</v>
      </c>
      <c r="G5840" t="s">
        <v>3890</v>
      </c>
      <c r="H5840" t="s">
        <v>109</v>
      </c>
      <c r="I5840" t="s">
        <v>108</v>
      </c>
      <c r="J5840">
        <v>2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</row>
    <row r="5841" spans="2:30" x14ac:dyDescent="0.25">
      <c r="B5841" t="s">
        <v>133</v>
      </c>
      <c r="C5841" t="s">
        <v>10598</v>
      </c>
      <c r="D5841" t="s">
        <v>5779</v>
      </c>
      <c r="E5841" t="s">
        <v>1223</v>
      </c>
      <c r="F5841" t="s">
        <v>11189</v>
      </c>
      <c r="G5841" t="s">
        <v>3890</v>
      </c>
      <c r="H5841" t="s">
        <v>109</v>
      </c>
      <c r="I5841" t="s">
        <v>108</v>
      </c>
      <c r="J5841">
        <v>2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</row>
    <row r="5842" spans="2:30" x14ac:dyDescent="0.25">
      <c r="B5842" t="s">
        <v>133</v>
      </c>
      <c r="C5842" t="s">
        <v>10598</v>
      </c>
      <c r="D5842" t="s">
        <v>5781</v>
      </c>
      <c r="E5842" t="s">
        <v>5782</v>
      </c>
      <c r="F5842" t="s">
        <v>11190</v>
      </c>
      <c r="G5842" t="s">
        <v>3890</v>
      </c>
      <c r="H5842" t="s">
        <v>109</v>
      </c>
      <c r="I5842" t="s">
        <v>108</v>
      </c>
      <c r="J5842">
        <v>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</row>
    <row r="5843" spans="2:30" x14ac:dyDescent="0.25">
      <c r="B5843" t="s">
        <v>133</v>
      </c>
      <c r="C5843" t="s">
        <v>10598</v>
      </c>
      <c r="D5843" t="s">
        <v>5784</v>
      </c>
      <c r="E5843" t="s">
        <v>5785</v>
      </c>
      <c r="F5843" t="s">
        <v>11191</v>
      </c>
      <c r="G5843" t="s">
        <v>3890</v>
      </c>
      <c r="H5843" t="s">
        <v>109</v>
      </c>
      <c r="I5843" t="s">
        <v>108</v>
      </c>
      <c r="J5843">
        <v>2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</row>
    <row r="5844" spans="2:30" x14ac:dyDescent="0.25">
      <c r="B5844" t="s">
        <v>133</v>
      </c>
      <c r="C5844" t="s">
        <v>10598</v>
      </c>
      <c r="D5844" t="s">
        <v>5787</v>
      </c>
      <c r="E5844" t="s">
        <v>5788</v>
      </c>
      <c r="F5844" t="s">
        <v>11192</v>
      </c>
      <c r="G5844" t="s">
        <v>3890</v>
      </c>
      <c r="H5844" t="s">
        <v>109</v>
      </c>
      <c r="I5844" t="s">
        <v>108</v>
      </c>
      <c r="J5844">
        <v>2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</row>
    <row r="5845" spans="2:30" x14ac:dyDescent="0.25">
      <c r="B5845" t="s">
        <v>133</v>
      </c>
      <c r="C5845" t="s">
        <v>10598</v>
      </c>
      <c r="D5845" t="s">
        <v>5790</v>
      </c>
      <c r="E5845" t="s">
        <v>5791</v>
      </c>
      <c r="F5845" t="s">
        <v>11193</v>
      </c>
      <c r="G5845" t="s">
        <v>3890</v>
      </c>
      <c r="H5845" t="s">
        <v>109</v>
      </c>
      <c r="I5845" t="s">
        <v>108</v>
      </c>
      <c r="J5845">
        <v>2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</row>
    <row r="5846" spans="2:30" x14ac:dyDescent="0.25">
      <c r="B5846" t="s">
        <v>133</v>
      </c>
      <c r="C5846" t="s">
        <v>10598</v>
      </c>
      <c r="D5846" t="s">
        <v>5793</v>
      </c>
      <c r="E5846" t="s">
        <v>5794</v>
      </c>
      <c r="F5846" t="s">
        <v>11194</v>
      </c>
      <c r="G5846" t="s">
        <v>3890</v>
      </c>
      <c r="H5846" t="s">
        <v>109</v>
      </c>
      <c r="I5846" t="s">
        <v>108</v>
      </c>
      <c r="J5846">
        <v>2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</row>
    <row r="5847" spans="2:30" x14ac:dyDescent="0.25">
      <c r="B5847" t="s">
        <v>133</v>
      </c>
      <c r="C5847" t="s">
        <v>10598</v>
      </c>
      <c r="D5847" t="s">
        <v>5796</v>
      </c>
      <c r="E5847" t="s">
        <v>5797</v>
      </c>
      <c r="F5847" t="s">
        <v>11195</v>
      </c>
      <c r="G5847" t="s">
        <v>3890</v>
      </c>
      <c r="H5847" t="s">
        <v>109</v>
      </c>
      <c r="I5847" t="s">
        <v>108</v>
      </c>
      <c r="J5847">
        <v>2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</row>
    <row r="5848" spans="2:30" x14ac:dyDescent="0.25">
      <c r="B5848" t="s">
        <v>133</v>
      </c>
      <c r="C5848" t="s">
        <v>10598</v>
      </c>
      <c r="D5848" t="s">
        <v>5799</v>
      </c>
      <c r="E5848" t="s">
        <v>5800</v>
      </c>
      <c r="F5848" t="s">
        <v>11196</v>
      </c>
      <c r="G5848" t="s">
        <v>3890</v>
      </c>
      <c r="H5848" t="s">
        <v>109</v>
      </c>
      <c r="I5848" t="s">
        <v>108</v>
      </c>
      <c r="J5848">
        <v>2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</row>
    <row r="5849" spans="2:30" x14ac:dyDescent="0.25">
      <c r="B5849" t="s">
        <v>133</v>
      </c>
      <c r="C5849" t="s">
        <v>10598</v>
      </c>
      <c r="D5849" t="s">
        <v>5802</v>
      </c>
      <c r="E5849" t="s">
        <v>5803</v>
      </c>
      <c r="F5849" t="s">
        <v>11197</v>
      </c>
      <c r="G5849" t="s">
        <v>3890</v>
      </c>
      <c r="H5849" t="s">
        <v>109</v>
      </c>
      <c r="I5849" t="s">
        <v>108</v>
      </c>
      <c r="J5849">
        <v>2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</row>
    <row r="5850" spans="2:30" x14ac:dyDescent="0.25">
      <c r="B5850" t="s">
        <v>133</v>
      </c>
      <c r="C5850" t="s">
        <v>10598</v>
      </c>
      <c r="D5850" t="s">
        <v>5805</v>
      </c>
      <c r="E5850" t="s">
        <v>5806</v>
      </c>
      <c r="F5850" t="s">
        <v>11198</v>
      </c>
      <c r="G5850" t="s">
        <v>3890</v>
      </c>
      <c r="H5850" t="s">
        <v>109</v>
      </c>
      <c r="I5850" t="s">
        <v>108</v>
      </c>
      <c r="J5850">
        <v>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</row>
    <row r="5851" spans="2:30" x14ac:dyDescent="0.25">
      <c r="B5851" t="s">
        <v>133</v>
      </c>
      <c r="C5851" t="s">
        <v>10598</v>
      </c>
      <c r="D5851" t="s">
        <v>5808</v>
      </c>
      <c r="E5851" t="s">
        <v>5809</v>
      </c>
      <c r="F5851" t="s">
        <v>11199</v>
      </c>
      <c r="G5851" t="s">
        <v>3890</v>
      </c>
      <c r="H5851" t="s">
        <v>109</v>
      </c>
      <c r="I5851" t="s">
        <v>108</v>
      </c>
      <c r="J5851">
        <v>2</v>
      </c>
      <c r="K5851">
        <v>1223.682</v>
      </c>
      <c r="L5851">
        <v>1135.251</v>
      </c>
      <c r="M5851">
        <v>1271.8219999999999</v>
      </c>
      <c r="N5851">
        <v>1419.712</v>
      </c>
      <c r="O5851">
        <v>1492.877</v>
      </c>
      <c r="P5851">
        <v>1517.13</v>
      </c>
      <c r="Q5851">
        <v>1559.789</v>
      </c>
      <c r="R5851">
        <v>1601.65</v>
      </c>
      <c r="S5851">
        <v>1644.5409999999999</v>
      </c>
      <c r="T5851">
        <v>1679.566</v>
      </c>
      <c r="U5851">
        <v>1721.76</v>
      </c>
      <c r="V5851">
        <v>1752.56</v>
      </c>
      <c r="W5851">
        <v>1796.8019999999999</v>
      </c>
      <c r="X5851">
        <v>1825.807</v>
      </c>
      <c r="Y5851">
        <v>1875.0830000000001</v>
      </c>
      <c r="Z5851">
        <v>1939.9349999999999</v>
      </c>
      <c r="AA5851">
        <v>1981.9639999999999</v>
      </c>
      <c r="AB5851">
        <v>2080.7289999999998</v>
      </c>
      <c r="AC5851">
        <v>2087.8069999999998</v>
      </c>
      <c r="AD5851">
        <v>2231.5360000000001</v>
      </c>
    </row>
    <row r="5852" spans="2:30" x14ac:dyDescent="0.25">
      <c r="B5852" t="s">
        <v>133</v>
      </c>
      <c r="C5852" t="s">
        <v>10598</v>
      </c>
      <c r="D5852" t="s">
        <v>5811</v>
      </c>
      <c r="E5852">
        <v>0</v>
      </c>
      <c r="F5852" t="s">
        <v>11118</v>
      </c>
      <c r="G5852" t="s">
        <v>3890</v>
      </c>
      <c r="H5852" t="s">
        <v>109</v>
      </c>
      <c r="I5852" t="s">
        <v>108</v>
      </c>
      <c r="J5852">
        <v>2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</row>
    <row r="5853" spans="2:30" x14ac:dyDescent="0.25">
      <c r="B5853" t="s">
        <v>133</v>
      </c>
      <c r="C5853" t="s">
        <v>10598</v>
      </c>
      <c r="D5853" t="s">
        <v>5812</v>
      </c>
      <c r="E5853">
        <v>0</v>
      </c>
      <c r="F5853" t="s">
        <v>11118</v>
      </c>
      <c r="G5853" t="s">
        <v>3890</v>
      </c>
      <c r="H5853" t="s">
        <v>109</v>
      </c>
      <c r="I5853" t="s">
        <v>108</v>
      </c>
      <c r="J5853">
        <v>2</v>
      </c>
      <c r="K5853">
        <v>0</v>
      </c>
      <c r="L5853">
        <v>0.96899999999999997</v>
      </c>
      <c r="M5853">
        <v>1.1479999999999999</v>
      </c>
      <c r="N5853">
        <v>1.1080000000000001</v>
      </c>
      <c r="O5853">
        <v>1.052</v>
      </c>
      <c r="P5853">
        <v>1.016</v>
      </c>
      <c r="Q5853">
        <v>1.028</v>
      </c>
      <c r="R5853">
        <v>1.0269999999999999</v>
      </c>
      <c r="S5853">
        <v>1.028</v>
      </c>
      <c r="T5853">
        <v>1.024</v>
      </c>
      <c r="U5853">
        <v>1.03</v>
      </c>
      <c r="V5853">
        <v>1.0249999999999999</v>
      </c>
      <c r="W5853">
        <v>1.036</v>
      </c>
      <c r="X5853">
        <v>1.03</v>
      </c>
      <c r="Y5853">
        <v>1.0449999999999999</v>
      </c>
      <c r="Z5853">
        <v>1.0580000000000001</v>
      </c>
      <c r="AA5853">
        <v>1.05</v>
      </c>
      <c r="AB5853">
        <v>1.083</v>
      </c>
      <c r="AC5853">
        <v>1.042</v>
      </c>
      <c r="AD5853">
        <v>1.109</v>
      </c>
    </row>
    <row r="5854" spans="2:30" x14ac:dyDescent="0.25">
      <c r="B5854" t="s">
        <v>133</v>
      </c>
      <c r="C5854" t="s">
        <v>10598</v>
      </c>
      <c r="D5854" t="s">
        <v>5813</v>
      </c>
      <c r="E5854">
        <v>0</v>
      </c>
      <c r="F5854" t="s">
        <v>11118</v>
      </c>
      <c r="G5854" t="s">
        <v>3890</v>
      </c>
      <c r="H5854" t="s">
        <v>109</v>
      </c>
      <c r="I5854" t="s">
        <v>108</v>
      </c>
      <c r="J5854">
        <v>2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</row>
    <row r="5855" spans="2:30" x14ac:dyDescent="0.25">
      <c r="B5855" t="s">
        <v>133</v>
      </c>
      <c r="C5855" t="s">
        <v>10598</v>
      </c>
      <c r="D5855" t="s">
        <v>5814</v>
      </c>
      <c r="E5855">
        <v>0</v>
      </c>
      <c r="F5855" t="s">
        <v>11118</v>
      </c>
      <c r="G5855" t="s">
        <v>3890</v>
      </c>
      <c r="H5855" t="s">
        <v>109</v>
      </c>
      <c r="I5855" t="s">
        <v>108</v>
      </c>
      <c r="J5855">
        <v>2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</row>
    <row r="5856" spans="2:30" x14ac:dyDescent="0.25">
      <c r="B5856" t="s">
        <v>133</v>
      </c>
      <c r="C5856" t="s">
        <v>10598</v>
      </c>
      <c r="D5856" t="s">
        <v>5815</v>
      </c>
      <c r="E5856">
        <v>0</v>
      </c>
      <c r="F5856" t="s">
        <v>11118</v>
      </c>
      <c r="G5856" t="s">
        <v>3890</v>
      </c>
      <c r="H5856" t="s">
        <v>109</v>
      </c>
      <c r="I5856" t="s">
        <v>108</v>
      </c>
      <c r="J5856">
        <v>2</v>
      </c>
      <c r="K5856" t="e">
        <v>#VALUE!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</row>
    <row r="5857" spans="2:30" x14ac:dyDescent="0.25">
      <c r="B5857" t="s">
        <v>133</v>
      </c>
      <c r="C5857" t="s">
        <v>10598</v>
      </c>
      <c r="D5857" t="s">
        <v>5816</v>
      </c>
      <c r="E5857" t="s">
        <v>5817</v>
      </c>
      <c r="F5857" t="s">
        <v>11200</v>
      </c>
      <c r="G5857" t="s">
        <v>3890</v>
      </c>
      <c r="H5857" t="s">
        <v>109</v>
      </c>
      <c r="I5857" t="s">
        <v>108</v>
      </c>
      <c r="J5857">
        <v>2</v>
      </c>
      <c r="K5857" t="e">
        <v>#VALUE!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</row>
    <row r="5858" spans="2:30" x14ac:dyDescent="0.25">
      <c r="B5858" t="s">
        <v>133</v>
      </c>
      <c r="C5858" t="s">
        <v>10598</v>
      </c>
      <c r="D5858" t="s">
        <v>5819</v>
      </c>
      <c r="E5858" t="s">
        <v>5820</v>
      </c>
      <c r="F5858" t="s">
        <v>11201</v>
      </c>
      <c r="G5858" t="s">
        <v>3890</v>
      </c>
      <c r="H5858" t="s">
        <v>109</v>
      </c>
      <c r="I5858" t="s">
        <v>108</v>
      </c>
      <c r="J5858">
        <v>2</v>
      </c>
      <c r="K5858" t="e">
        <v>#VALUE!</v>
      </c>
      <c r="L5858">
        <v>2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</row>
    <row r="5859" spans="2:30" x14ac:dyDescent="0.25">
      <c r="B5859" t="s">
        <v>133</v>
      </c>
      <c r="C5859" t="s">
        <v>10598</v>
      </c>
      <c r="D5859" t="s">
        <v>5822</v>
      </c>
      <c r="E5859" t="s">
        <v>5823</v>
      </c>
      <c r="F5859" t="s">
        <v>11202</v>
      </c>
      <c r="G5859" t="s">
        <v>3890</v>
      </c>
      <c r="H5859" t="s">
        <v>109</v>
      </c>
      <c r="I5859" t="s">
        <v>108</v>
      </c>
      <c r="J5859">
        <v>2</v>
      </c>
      <c r="K5859" t="e">
        <v>#VALUE!</v>
      </c>
      <c r="L5859">
        <v>2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</row>
    <row r="5860" spans="2:30" x14ac:dyDescent="0.25">
      <c r="B5860" t="s">
        <v>133</v>
      </c>
      <c r="C5860" t="s">
        <v>10598</v>
      </c>
      <c r="D5860" t="s">
        <v>5825</v>
      </c>
      <c r="E5860">
        <v>0</v>
      </c>
      <c r="F5860" t="s">
        <v>11118</v>
      </c>
      <c r="G5860" t="s">
        <v>3890</v>
      </c>
      <c r="H5860" t="s">
        <v>109</v>
      </c>
      <c r="I5860" t="s">
        <v>108</v>
      </c>
      <c r="J5860">
        <v>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</row>
    <row r="5861" spans="2:30" x14ac:dyDescent="0.25">
      <c r="B5861" t="s">
        <v>133</v>
      </c>
      <c r="C5861" t="s">
        <v>10598</v>
      </c>
      <c r="D5861" t="s">
        <v>5826</v>
      </c>
      <c r="E5861">
        <v>0</v>
      </c>
      <c r="F5861" t="s">
        <v>11118</v>
      </c>
      <c r="G5861" t="s">
        <v>3890</v>
      </c>
      <c r="H5861" t="s">
        <v>109</v>
      </c>
      <c r="I5861" t="s">
        <v>108</v>
      </c>
      <c r="J5861">
        <v>2</v>
      </c>
      <c r="K5861">
        <v>0</v>
      </c>
      <c r="L5861">
        <v>1</v>
      </c>
      <c r="M5861">
        <v>2</v>
      </c>
      <c r="N5861">
        <v>3</v>
      </c>
      <c r="O5861">
        <v>4</v>
      </c>
      <c r="P5861">
        <v>5</v>
      </c>
      <c r="Q5861">
        <v>6</v>
      </c>
      <c r="R5861">
        <v>7</v>
      </c>
      <c r="S5861">
        <v>8</v>
      </c>
      <c r="T5861">
        <v>9</v>
      </c>
      <c r="U5861">
        <v>10</v>
      </c>
      <c r="V5861">
        <v>11</v>
      </c>
      <c r="W5861">
        <v>12</v>
      </c>
      <c r="X5861">
        <v>13</v>
      </c>
      <c r="Y5861">
        <v>14</v>
      </c>
      <c r="Z5861">
        <v>15</v>
      </c>
      <c r="AA5861">
        <v>16</v>
      </c>
      <c r="AB5861">
        <v>17</v>
      </c>
      <c r="AC5861">
        <v>18</v>
      </c>
      <c r="AD5861">
        <v>19</v>
      </c>
    </row>
    <row r="5862" spans="2:30" x14ac:dyDescent="0.25">
      <c r="B5862" t="s">
        <v>133</v>
      </c>
      <c r="C5862" t="s">
        <v>10598</v>
      </c>
      <c r="D5862" t="s">
        <v>5827</v>
      </c>
      <c r="E5862" t="s">
        <v>5828</v>
      </c>
      <c r="F5862" t="s">
        <v>11203</v>
      </c>
      <c r="G5862" t="s">
        <v>3890</v>
      </c>
      <c r="H5862" t="s">
        <v>109</v>
      </c>
      <c r="I5862" t="s">
        <v>108</v>
      </c>
      <c r="J5862">
        <v>2</v>
      </c>
      <c r="K5862">
        <v>2022</v>
      </c>
      <c r="L5862">
        <v>2023</v>
      </c>
      <c r="M5862">
        <v>2024</v>
      </c>
      <c r="N5862">
        <v>2025</v>
      </c>
      <c r="O5862">
        <v>2026</v>
      </c>
      <c r="P5862">
        <v>2027</v>
      </c>
      <c r="Q5862">
        <v>2028</v>
      </c>
      <c r="R5862">
        <v>2029</v>
      </c>
      <c r="S5862">
        <v>2030</v>
      </c>
      <c r="T5862">
        <v>2031</v>
      </c>
      <c r="U5862">
        <v>2032</v>
      </c>
      <c r="V5862">
        <v>2033</v>
      </c>
      <c r="W5862">
        <v>2034</v>
      </c>
      <c r="X5862">
        <v>2035</v>
      </c>
      <c r="Y5862">
        <v>2036</v>
      </c>
      <c r="Z5862">
        <v>2037</v>
      </c>
      <c r="AA5862">
        <v>2038</v>
      </c>
      <c r="AB5862">
        <v>2039</v>
      </c>
      <c r="AC5862">
        <v>2040</v>
      </c>
      <c r="AD5862">
        <v>2041</v>
      </c>
    </row>
    <row r="5863" spans="2:30" x14ac:dyDescent="0.25">
      <c r="B5863" t="s">
        <v>133</v>
      </c>
      <c r="C5863" t="s">
        <v>10598</v>
      </c>
      <c r="D5863" t="s">
        <v>5830</v>
      </c>
      <c r="E5863" t="s">
        <v>5831</v>
      </c>
      <c r="F5863" t="s">
        <v>11204</v>
      </c>
      <c r="G5863" t="s">
        <v>3890</v>
      </c>
      <c r="H5863" t="s">
        <v>109</v>
      </c>
      <c r="I5863" t="s">
        <v>108</v>
      </c>
      <c r="J5863">
        <v>2</v>
      </c>
      <c r="K5863">
        <v>0</v>
      </c>
      <c r="L5863">
        <v>2.1659999999999999</v>
      </c>
      <c r="M5863">
        <v>2.9460000000000002</v>
      </c>
      <c r="N5863">
        <v>3.7509999999999999</v>
      </c>
      <c r="O5863">
        <v>5.9260000000000002</v>
      </c>
      <c r="P5863">
        <v>10.311999999999999</v>
      </c>
      <c r="Q5863">
        <v>19.004999999999999</v>
      </c>
      <c r="R5863">
        <v>35.634999999999998</v>
      </c>
      <c r="S5863">
        <v>68.325000000000003</v>
      </c>
      <c r="T5863">
        <v>128.01</v>
      </c>
      <c r="U5863">
        <v>230.34100000000001</v>
      </c>
      <c r="V5863">
        <v>395.31599999999997</v>
      </c>
      <c r="W5863">
        <v>641.91200000000003</v>
      </c>
      <c r="X5863">
        <v>988.67200000000003</v>
      </c>
      <c r="Y5863">
        <v>1458.5329999999999</v>
      </c>
      <c r="Z5863">
        <v>2081.9389999999999</v>
      </c>
      <c r="AA5863">
        <v>2874.0160000000001</v>
      </c>
      <c r="AB5863">
        <v>3923.654</v>
      </c>
      <c r="AC5863">
        <v>5143.2439999999997</v>
      </c>
      <c r="AD5863">
        <v>6702.5659999999998</v>
      </c>
    </row>
    <row r="5864" spans="2:30" x14ac:dyDescent="0.25">
      <c r="B5864" t="s">
        <v>133</v>
      </c>
      <c r="C5864" t="s">
        <v>10598</v>
      </c>
      <c r="D5864" t="s">
        <v>5833</v>
      </c>
      <c r="E5864" t="s">
        <v>5834</v>
      </c>
      <c r="F5864" t="s">
        <v>11205</v>
      </c>
      <c r="G5864" t="s">
        <v>3890</v>
      </c>
      <c r="H5864" t="s">
        <v>109</v>
      </c>
      <c r="I5864" t="s">
        <v>108</v>
      </c>
      <c r="J5864">
        <v>2</v>
      </c>
      <c r="K5864">
        <v>44.354999999999997</v>
      </c>
      <c r="L5864">
        <v>41.411000000000001</v>
      </c>
      <c r="M5864">
        <v>47.658999999999999</v>
      </c>
      <c r="N5864">
        <v>52.780999999999999</v>
      </c>
      <c r="O5864">
        <v>55.997999999999998</v>
      </c>
      <c r="P5864">
        <v>57.893000000000001</v>
      </c>
      <c r="Q5864">
        <v>60.606999999999999</v>
      </c>
      <c r="R5864">
        <v>63.244999999999997</v>
      </c>
      <c r="S5864">
        <v>65.847999999999999</v>
      </c>
      <c r="T5864">
        <v>68.206000000000003</v>
      </c>
      <c r="U5864">
        <v>70.850999999999999</v>
      </c>
      <c r="V5864">
        <v>73.123000000000005</v>
      </c>
      <c r="W5864">
        <v>75.912999999999997</v>
      </c>
      <c r="X5864">
        <v>78.188000000000002</v>
      </c>
      <c r="Y5864">
        <v>81.25</v>
      </c>
      <c r="Z5864">
        <v>84.960999999999999</v>
      </c>
      <c r="AA5864">
        <v>87.869</v>
      </c>
      <c r="AB5864">
        <v>93.027000000000001</v>
      </c>
      <c r="AC5864">
        <v>94.721000000000004</v>
      </c>
      <c r="AD5864">
        <v>101.83199999999999</v>
      </c>
    </row>
    <row r="5865" spans="2:30" x14ac:dyDescent="0.25">
      <c r="B5865" t="s">
        <v>133</v>
      </c>
      <c r="C5865" t="s">
        <v>10598</v>
      </c>
      <c r="D5865" t="s">
        <v>5836</v>
      </c>
      <c r="E5865" t="s">
        <v>5837</v>
      </c>
      <c r="F5865" t="s">
        <v>11206</v>
      </c>
      <c r="G5865" t="s">
        <v>3890</v>
      </c>
      <c r="H5865" t="s">
        <v>109</v>
      </c>
      <c r="I5865" t="s">
        <v>108</v>
      </c>
      <c r="J5865">
        <v>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</row>
    <row r="5866" spans="2:30" x14ac:dyDescent="0.25">
      <c r="B5866" t="s">
        <v>133</v>
      </c>
      <c r="C5866" t="s">
        <v>10598</v>
      </c>
      <c r="D5866" t="s">
        <v>5839</v>
      </c>
      <c r="E5866">
        <v>0</v>
      </c>
      <c r="F5866" t="s">
        <v>11118</v>
      </c>
      <c r="G5866" t="s">
        <v>3890</v>
      </c>
      <c r="H5866" t="s">
        <v>109</v>
      </c>
      <c r="I5866" t="s">
        <v>108</v>
      </c>
      <c r="J5866">
        <v>2</v>
      </c>
      <c r="K5866">
        <v>563.20899999999995</v>
      </c>
      <c r="L5866">
        <v>545.49800000000005</v>
      </c>
      <c r="M5866">
        <v>626.49800000000005</v>
      </c>
      <c r="N5866">
        <v>694.04200000000003</v>
      </c>
      <c r="O5866">
        <v>730.18799999999999</v>
      </c>
      <c r="P5866">
        <v>742.03</v>
      </c>
      <c r="Q5866">
        <v>762.98400000000004</v>
      </c>
      <c r="R5866">
        <v>783.78099999999995</v>
      </c>
      <c r="S5866">
        <v>805.84400000000005</v>
      </c>
      <c r="T5866">
        <v>824.90300000000002</v>
      </c>
      <c r="U5866">
        <v>849.29600000000005</v>
      </c>
      <c r="V5866">
        <v>870.24599999999998</v>
      </c>
      <c r="W5866">
        <v>901.22</v>
      </c>
      <c r="X5866">
        <v>928.30200000000002</v>
      </c>
      <c r="Y5866">
        <v>970.46500000000003</v>
      </c>
      <c r="Z5866">
        <v>1026.588</v>
      </c>
      <c r="AA5866">
        <v>1077.4590000000001</v>
      </c>
      <c r="AB5866">
        <v>1167.336</v>
      </c>
      <c r="AC5866">
        <v>1216.8520000000001</v>
      </c>
      <c r="AD5866">
        <v>1349.377</v>
      </c>
    </row>
    <row r="5867" spans="2:30" x14ac:dyDescent="0.25">
      <c r="B5867" t="s">
        <v>133</v>
      </c>
      <c r="C5867" t="s">
        <v>10598</v>
      </c>
      <c r="D5867" t="s">
        <v>5840</v>
      </c>
      <c r="E5867" t="s">
        <v>5841</v>
      </c>
      <c r="F5867" t="s">
        <v>11207</v>
      </c>
      <c r="G5867" t="s">
        <v>3890</v>
      </c>
      <c r="H5867" t="s">
        <v>109</v>
      </c>
      <c r="I5867" t="s">
        <v>108</v>
      </c>
      <c r="J5867">
        <v>2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</row>
    <row r="5868" spans="2:30" x14ac:dyDescent="0.25">
      <c r="B5868" t="s">
        <v>133</v>
      </c>
      <c r="C5868" t="s">
        <v>10598</v>
      </c>
      <c r="D5868" t="s">
        <v>5843</v>
      </c>
      <c r="E5868" t="s">
        <v>5844</v>
      </c>
      <c r="F5868" t="s">
        <v>11208</v>
      </c>
      <c r="G5868" t="s">
        <v>3890</v>
      </c>
      <c r="H5868" t="s">
        <v>109</v>
      </c>
      <c r="I5868" t="s">
        <v>108</v>
      </c>
      <c r="J5868">
        <v>2</v>
      </c>
      <c r="K5868">
        <v>3770.7730000000001</v>
      </c>
      <c r="L5868">
        <v>3829.1619999999998</v>
      </c>
      <c r="M5868">
        <v>4289.8119999999999</v>
      </c>
      <c r="N5868">
        <v>4788.6419999999998</v>
      </c>
      <c r="O5868">
        <v>5035.4229999999998</v>
      </c>
      <c r="P5868">
        <v>5117.2280000000001</v>
      </c>
      <c r="Q5868">
        <v>5261.116</v>
      </c>
      <c r="R5868">
        <v>5402.3119999999999</v>
      </c>
      <c r="S5868">
        <v>5546.98</v>
      </c>
      <c r="T5868">
        <v>5665.1180000000004</v>
      </c>
      <c r="U5868">
        <v>5807.4390000000003</v>
      </c>
      <c r="V5868">
        <v>5911.326</v>
      </c>
      <c r="W5868">
        <v>6060.5540000000001</v>
      </c>
      <c r="X5868">
        <v>6158.3860000000004</v>
      </c>
      <c r="Y5868">
        <v>6324.5929999999998</v>
      </c>
      <c r="Z5868">
        <v>6543.3360000000002</v>
      </c>
      <c r="AA5868">
        <v>6685.0969999999998</v>
      </c>
      <c r="AB5868">
        <v>7018.2280000000001</v>
      </c>
      <c r="AC5868">
        <v>7042.1019999999999</v>
      </c>
      <c r="AD5868">
        <v>7526.8969999999999</v>
      </c>
    </row>
    <row r="5869" spans="2:30" x14ac:dyDescent="0.25">
      <c r="B5869" t="s">
        <v>133</v>
      </c>
      <c r="C5869" t="s">
        <v>10598</v>
      </c>
      <c r="D5869" t="s">
        <v>5846</v>
      </c>
      <c r="E5869">
        <v>0</v>
      </c>
      <c r="F5869" t="s">
        <v>11118</v>
      </c>
      <c r="G5869" t="s">
        <v>3890</v>
      </c>
      <c r="H5869" t="s">
        <v>109</v>
      </c>
      <c r="I5869" t="s">
        <v>108</v>
      </c>
      <c r="J5869">
        <v>2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</row>
    <row r="5870" spans="2:30" x14ac:dyDescent="0.25">
      <c r="B5870" t="s">
        <v>133</v>
      </c>
      <c r="C5870" t="s">
        <v>10598</v>
      </c>
      <c r="D5870" t="s">
        <v>5847</v>
      </c>
      <c r="E5870">
        <v>0</v>
      </c>
      <c r="F5870" t="s">
        <v>11118</v>
      </c>
      <c r="G5870" t="s">
        <v>3890</v>
      </c>
      <c r="H5870" t="s">
        <v>109</v>
      </c>
      <c r="I5870" t="s">
        <v>108</v>
      </c>
      <c r="J5870">
        <v>2</v>
      </c>
      <c r="K5870">
        <v>2.8000000000000001E-2</v>
      </c>
      <c r="L5870">
        <v>3.5999999999999997E-2</v>
      </c>
      <c r="M5870">
        <v>0.03</v>
      </c>
      <c r="N5870">
        <v>4.2000000000000003E-2</v>
      </c>
      <c r="O5870">
        <v>5.5E-2</v>
      </c>
      <c r="P5870">
        <v>7.0999999999999994E-2</v>
      </c>
      <c r="Q5870">
        <v>7.6999999999999999E-2</v>
      </c>
      <c r="R5870">
        <v>8.6999999999999994E-2</v>
      </c>
      <c r="S5870">
        <v>9.6000000000000002E-2</v>
      </c>
      <c r="T5870">
        <v>0.105</v>
      </c>
      <c r="U5870">
        <v>0.112</v>
      </c>
      <c r="V5870">
        <v>0.121</v>
      </c>
      <c r="W5870">
        <v>0.126</v>
      </c>
      <c r="X5870">
        <v>0.13500000000000001</v>
      </c>
      <c r="Y5870">
        <v>0.13900000000000001</v>
      </c>
      <c r="Z5870">
        <v>0.14499999999999999</v>
      </c>
      <c r="AA5870">
        <v>0.151</v>
      </c>
      <c r="AB5870">
        <v>0.152</v>
      </c>
      <c r="AC5870">
        <v>0.159</v>
      </c>
      <c r="AD5870">
        <v>0.153</v>
      </c>
    </row>
    <row r="5871" spans="2:30" x14ac:dyDescent="0.25">
      <c r="B5871" t="s">
        <v>133</v>
      </c>
      <c r="C5871" t="s">
        <v>10598</v>
      </c>
      <c r="D5871" t="s">
        <v>5848</v>
      </c>
      <c r="E5871">
        <v>0</v>
      </c>
      <c r="F5871" t="s">
        <v>11118</v>
      </c>
      <c r="G5871" t="s">
        <v>3890</v>
      </c>
      <c r="H5871" t="s">
        <v>109</v>
      </c>
      <c r="I5871" t="s">
        <v>108</v>
      </c>
      <c r="J5871">
        <v>2</v>
      </c>
      <c r="K5871">
        <v>2.3E-2</v>
      </c>
      <c r="L5871">
        <v>2.5999999999999999E-2</v>
      </c>
      <c r="M5871">
        <v>2.1000000000000001E-2</v>
      </c>
      <c r="N5871">
        <v>3.4000000000000002E-2</v>
      </c>
      <c r="O5871">
        <v>4.8000000000000001E-2</v>
      </c>
      <c r="P5871">
        <v>5.2999999999999999E-2</v>
      </c>
      <c r="Q5871">
        <v>5.5E-2</v>
      </c>
      <c r="R5871">
        <v>5.8999999999999997E-2</v>
      </c>
      <c r="S5871">
        <v>6.4000000000000001E-2</v>
      </c>
      <c r="T5871">
        <v>7.0000000000000007E-2</v>
      </c>
      <c r="U5871">
        <v>7.3999999999999996E-2</v>
      </c>
      <c r="V5871">
        <v>0.08</v>
      </c>
      <c r="W5871">
        <v>8.4000000000000005E-2</v>
      </c>
      <c r="X5871">
        <v>9.0999999999999998E-2</v>
      </c>
      <c r="Y5871">
        <v>9.5000000000000001E-2</v>
      </c>
      <c r="Z5871">
        <v>0.1</v>
      </c>
      <c r="AA5871">
        <v>0.108</v>
      </c>
      <c r="AB5871">
        <v>0.111</v>
      </c>
      <c r="AC5871">
        <v>0.11899999999999999</v>
      </c>
      <c r="AD5871">
        <v>0.11700000000000001</v>
      </c>
    </row>
    <row r="5872" spans="2:30" x14ac:dyDescent="0.25">
      <c r="B5872" t="s">
        <v>133</v>
      </c>
      <c r="C5872" t="s">
        <v>10598</v>
      </c>
      <c r="D5872" t="s">
        <v>5849</v>
      </c>
      <c r="E5872">
        <v>0</v>
      </c>
      <c r="F5872" t="s">
        <v>11118</v>
      </c>
      <c r="G5872" t="s">
        <v>3890</v>
      </c>
      <c r="H5872" t="s">
        <v>109</v>
      </c>
      <c r="I5872" t="s">
        <v>108</v>
      </c>
      <c r="J5872">
        <v>2</v>
      </c>
      <c r="K5872">
        <v>7.0000000000000007E-2</v>
      </c>
      <c r="L5872">
        <v>7.3999999999999996E-2</v>
      </c>
      <c r="M5872">
        <v>6.5000000000000002E-2</v>
      </c>
      <c r="N5872">
        <v>9.8000000000000004E-2</v>
      </c>
      <c r="O5872">
        <v>0.13400000000000001</v>
      </c>
      <c r="P5872">
        <v>0.13500000000000001</v>
      </c>
      <c r="Q5872">
        <v>0.13400000000000001</v>
      </c>
      <c r="R5872">
        <v>0.13300000000000001</v>
      </c>
      <c r="S5872">
        <v>0.13300000000000001</v>
      </c>
      <c r="T5872">
        <v>0.13300000000000001</v>
      </c>
      <c r="U5872">
        <v>0.13200000000000001</v>
      </c>
      <c r="V5872">
        <v>0.13200000000000001</v>
      </c>
      <c r="W5872">
        <v>0.13100000000000001</v>
      </c>
      <c r="X5872">
        <v>0.13100000000000001</v>
      </c>
      <c r="Y5872">
        <v>0.129</v>
      </c>
      <c r="Z5872">
        <v>0.127</v>
      </c>
      <c r="AA5872">
        <v>0.126</v>
      </c>
      <c r="AB5872">
        <v>0.12</v>
      </c>
      <c r="AC5872">
        <v>0.13500000000000001</v>
      </c>
      <c r="AD5872">
        <v>0.125</v>
      </c>
    </row>
    <row r="5873" spans="2:30" x14ac:dyDescent="0.25">
      <c r="B5873" t="s">
        <v>133</v>
      </c>
      <c r="C5873" t="s">
        <v>10598</v>
      </c>
      <c r="D5873" t="s">
        <v>5850</v>
      </c>
      <c r="E5873">
        <v>0</v>
      </c>
      <c r="F5873" t="s">
        <v>11118</v>
      </c>
      <c r="G5873" t="s">
        <v>3890</v>
      </c>
      <c r="H5873" t="s">
        <v>109</v>
      </c>
      <c r="I5873" t="s">
        <v>108</v>
      </c>
      <c r="J5873">
        <v>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</row>
    <row r="5874" spans="2:30" x14ac:dyDescent="0.25">
      <c r="B5874" t="s">
        <v>133</v>
      </c>
      <c r="C5874" t="s">
        <v>10598</v>
      </c>
      <c r="D5874" t="s">
        <v>5851</v>
      </c>
      <c r="E5874">
        <v>0</v>
      </c>
      <c r="F5874" t="s">
        <v>11118</v>
      </c>
      <c r="G5874" t="s">
        <v>3890</v>
      </c>
      <c r="H5874" t="s">
        <v>109</v>
      </c>
      <c r="I5874" t="s">
        <v>108</v>
      </c>
      <c r="J5874">
        <v>2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</row>
    <row r="5875" spans="2:30" x14ac:dyDescent="0.25">
      <c r="B5875" t="s">
        <v>133</v>
      </c>
      <c r="C5875" t="s">
        <v>10598</v>
      </c>
      <c r="D5875" t="s">
        <v>5852</v>
      </c>
      <c r="E5875">
        <v>0</v>
      </c>
      <c r="F5875" t="s">
        <v>11118</v>
      </c>
      <c r="G5875" t="s">
        <v>3890</v>
      </c>
      <c r="H5875" t="s">
        <v>109</v>
      </c>
      <c r="I5875" t="s">
        <v>108</v>
      </c>
      <c r="J5875">
        <v>2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1</v>
      </c>
      <c r="AB5875">
        <v>1</v>
      </c>
      <c r="AC5875">
        <v>1</v>
      </c>
      <c r="AD5875">
        <v>1</v>
      </c>
    </row>
    <row r="5876" spans="2:30" x14ac:dyDescent="0.25">
      <c r="B5876" t="s">
        <v>133</v>
      </c>
      <c r="C5876" t="s">
        <v>10598</v>
      </c>
      <c r="D5876" t="s">
        <v>5853</v>
      </c>
      <c r="E5876">
        <v>0</v>
      </c>
      <c r="F5876" t="s">
        <v>11118</v>
      </c>
      <c r="G5876" t="s">
        <v>3890</v>
      </c>
      <c r="H5876" t="s">
        <v>109</v>
      </c>
      <c r="I5876" t="s">
        <v>108</v>
      </c>
      <c r="J5876">
        <v>2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</row>
    <row r="5877" spans="2:30" x14ac:dyDescent="0.25">
      <c r="B5877" t="s">
        <v>133</v>
      </c>
      <c r="C5877" t="s">
        <v>10598</v>
      </c>
      <c r="D5877" t="s">
        <v>5854</v>
      </c>
      <c r="E5877">
        <v>0</v>
      </c>
      <c r="F5877" t="s">
        <v>11118</v>
      </c>
      <c r="G5877" t="s">
        <v>3890</v>
      </c>
      <c r="H5877" t="s">
        <v>109</v>
      </c>
      <c r="I5877" t="s">
        <v>108</v>
      </c>
      <c r="J5877">
        <v>2</v>
      </c>
      <c r="K5877">
        <v>5.0999999999999997E-2</v>
      </c>
      <c r="L5877">
        <v>6.0999999999999999E-2</v>
      </c>
      <c r="M5877">
        <v>5.0999999999999997E-2</v>
      </c>
      <c r="N5877">
        <v>7.5999999999999998E-2</v>
      </c>
      <c r="O5877">
        <v>0.104</v>
      </c>
      <c r="P5877">
        <v>0.124</v>
      </c>
      <c r="Q5877">
        <v>0.13200000000000001</v>
      </c>
      <c r="R5877">
        <v>0.14599999999999999</v>
      </c>
      <c r="S5877">
        <v>0.16</v>
      </c>
      <c r="T5877">
        <v>0.17499999999999999</v>
      </c>
      <c r="U5877">
        <v>0.186</v>
      </c>
      <c r="V5877">
        <v>0.20100000000000001</v>
      </c>
      <c r="W5877">
        <v>0.21</v>
      </c>
      <c r="X5877">
        <v>0.22500000000000001</v>
      </c>
      <c r="Y5877">
        <v>0.23400000000000001</v>
      </c>
      <c r="Z5877">
        <v>0.245</v>
      </c>
      <c r="AA5877">
        <v>0.25900000000000001</v>
      </c>
      <c r="AB5877">
        <v>0.26300000000000001</v>
      </c>
      <c r="AC5877">
        <v>0.27800000000000002</v>
      </c>
      <c r="AD5877">
        <v>0.27100000000000002</v>
      </c>
    </row>
    <row r="5878" spans="2:30" x14ac:dyDescent="0.25">
      <c r="B5878" t="s">
        <v>133</v>
      </c>
      <c r="C5878" t="s">
        <v>10598</v>
      </c>
      <c r="D5878" t="s">
        <v>5855</v>
      </c>
      <c r="E5878">
        <v>0</v>
      </c>
      <c r="F5878" t="s">
        <v>11118</v>
      </c>
      <c r="G5878" t="s">
        <v>3890</v>
      </c>
      <c r="H5878" t="s">
        <v>109</v>
      </c>
      <c r="I5878" t="s">
        <v>108</v>
      </c>
      <c r="J5878">
        <v>2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</row>
    <row r="5879" spans="2:30" x14ac:dyDescent="0.25">
      <c r="B5879" t="s">
        <v>133</v>
      </c>
      <c r="C5879" t="s">
        <v>10598</v>
      </c>
      <c r="D5879" t="s">
        <v>5856</v>
      </c>
      <c r="E5879">
        <v>0</v>
      </c>
      <c r="F5879" t="s">
        <v>11118</v>
      </c>
      <c r="G5879" t="s">
        <v>3890</v>
      </c>
      <c r="H5879" t="s">
        <v>109</v>
      </c>
      <c r="I5879" t="s">
        <v>108</v>
      </c>
      <c r="J5879">
        <v>2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</row>
    <row r="5880" spans="2:30" x14ac:dyDescent="0.25">
      <c r="B5880" t="s">
        <v>133</v>
      </c>
      <c r="C5880" t="s">
        <v>10598</v>
      </c>
      <c r="D5880" t="s">
        <v>5847</v>
      </c>
      <c r="E5880">
        <v>0</v>
      </c>
      <c r="F5880" t="s">
        <v>11118</v>
      </c>
      <c r="G5880" t="s">
        <v>3890</v>
      </c>
      <c r="H5880" t="s">
        <v>109</v>
      </c>
      <c r="I5880" t="s">
        <v>108</v>
      </c>
      <c r="J5880">
        <v>2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</row>
    <row r="5881" spans="2:30" x14ac:dyDescent="0.25">
      <c r="B5881" t="s">
        <v>133</v>
      </c>
      <c r="C5881" t="s">
        <v>10598</v>
      </c>
      <c r="D5881" t="s">
        <v>5848</v>
      </c>
      <c r="E5881">
        <v>0</v>
      </c>
      <c r="F5881" t="s">
        <v>11118</v>
      </c>
      <c r="G5881" t="s">
        <v>3890</v>
      </c>
      <c r="H5881" t="s">
        <v>109</v>
      </c>
      <c r="I5881" t="s">
        <v>108</v>
      </c>
      <c r="J5881">
        <v>2</v>
      </c>
      <c r="K5881">
        <v>5.3999999999999999E-2</v>
      </c>
      <c r="L5881">
        <v>5.3999999999999999E-2</v>
      </c>
      <c r="M5881">
        <v>5.5E-2</v>
      </c>
      <c r="N5881">
        <v>5.5E-2</v>
      </c>
      <c r="O5881">
        <v>5.5E-2</v>
      </c>
      <c r="P5881">
        <v>5.5E-2</v>
      </c>
      <c r="Q5881">
        <v>5.5E-2</v>
      </c>
      <c r="R5881">
        <v>5.5E-2</v>
      </c>
      <c r="S5881">
        <v>5.5E-2</v>
      </c>
      <c r="T5881">
        <v>5.5E-2</v>
      </c>
      <c r="U5881">
        <v>5.5E-2</v>
      </c>
      <c r="V5881">
        <v>5.5E-2</v>
      </c>
      <c r="W5881">
        <v>5.3999999999999999E-2</v>
      </c>
      <c r="X5881">
        <v>5.3999999999999999E-2</v>
      </c>
      <c r="Y5881">
        <v>5.3999999999999999E-2</v>
      </c>
      <c r="Z5881">
        <v>5.2999999999999999E-2</v>
      </c>
      <c r="AA5881">
        <v>5.2999999999999999E-2</v>
      </c>
      <c r="AB5881">
        <v>5.1999999999999998E-2</v>
      </c>
      <c r="AC5881">
        <v>5.1999999999999998E-2</v>
      </c>
      <c r="AD5881">
        <v>5.1999999999999998E-2</v>
      </c>
    </row>
    <row r="5882" spans="2:30" x14ac:dyDescent="0.25">
      <c r="B5882" t="s">
        <v>133</v>
      </c>
      <c r="C5882" t="s">
        <v>10598</v>
      </c>
      <c r="D5882" t="s">
        <v>5849</v>
      </c>
      <c r="E5882">
        <v>0</v>
      </c>
      <c r="F5882" t="s">
        <v>11118</v>
      </c>
      <c r="G5882" t="s">
        <v>3890</v>
      </c>
      <c r="H5882" t="s">
        <v>109</v>
      </c>
      <c r="I5882" t="s">
        <v>108</v>
      </c>
      <c r="J5882">
        <v>2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</row>
    <row r="5883" spans="2:30" x14ac:dyDescent="0.25">
      <c r="B5883" t="s">
        <v>133</v>
      </c>
      <c r="C5883" t="s">
        <v>10598</v>
      </c>
      <c r="D5883" t="s">
        <v>5850</v>
      </c>
      <c r="E5883" t="s">
        <v>5857</v>
      </c>
      <c r="F5883" t="s">
        <v>11209</v>
      </c>
      <c r="G5883" t="s">
        <v>3890</v>
      </c>
      <c r="H5883" t="s">
        <v>109</v>
      </c>
      <c r="I5883" t="s">
        <v>108</v>
      </c>
      <c r="J5883">
        <v>2</v>
      </c>
      <c r="K5883">
        <v>5.3999999999999999E-2</v>
      </c>
      <c r="L5883">
        <v>5.3999999999999999E-2</v>
      </c>
      <c r="M5883">
        <v>5.5E-2</v>
      </c>
      <c r="N5883">
        <v>5.5E-2</v>
      </c>
      <c r="O5883">
        <v>5.5E-2</v>
      </c>
      <c r="P5883">
        <v>5.5E-2</v>
      </c>
      <c r="Q5883">
        <v>5.5E-2</v>
      </c>
      <c r="R5883">
        <v>5.5E-2</v>
      </c>
      <c r="S5883">
        <v>5.5E-2</v>
      </c>
      <c r="T5883">
        <v>5.5E-2</v>
      </c>
      <c r="U5883">
        <v>5.5E-2</v>
      </c>
      <c r="V5883">
        <v>5.5E-2</v>
      </c>
      <c r="W5883">
        <v>5.3999999999999999E-2</v>
      </c>
      <c r="X5883">
        <v>5.3999999999999999E-2</v>
      </c>
      <c r="Y5883">
        <v>5.3999999999999999E-2</v>
      </c>
      <c r="Z5883">
        <v>5.2999999999999999E-2</v>
      </c>
      <c r="AA5883">
        <v>5.2999999999999999E-2</v>
      </c>
      <c r="AB5883">
        <v>5.1999999999999998E-2</v>
      </c>
      <c r="AC5883">
        <v>5.1999999999999998E-2</v>
      </c>
      <c r="AD5883">
        <v>5.1999999999999998E-2</v>
      </c>
    </row>
    <row r="5884" spans="2:30" x14ac:dyDescent="0.25">
      <c r="B5884" t="s">
        <v>133</v>
      </c>
      <c r="C5884" t="s">
        <v>10598</v>
      </c>
      <c r="D5884" t="s">
        <v>5851</v>
      </c>
      <c r="E5884">
        <v>0</v>
      </c>
      <c r="F5884" t="s">
        <v>11118</v>
      </c>
      <c r="G5884" t="s">
        <v>3890</v>
      </c>
      <c r="H5884" t="s">
        <v>109</v>
      </c>
      <c r="I5884" t="s">
        <v>108</v>
      </c>
      <c r="J5884">
        <v>2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</row>
    <row r="5885" spans="2:30" x14ac:dyDescent="0.25">
      <c r="B5885" t="s">
        <v>133</v>
      </c>
      <c r="C5885" t="s">
        <v>10598</v>
      </c>
      <c r="D5885" t="s">
        <v>5852</v>
      </c>
      <c r="E5885">
        <v>0</v>
      </c>
      <c r="F5885" t="s">
        <v>11118</v>
      </c>
      <c r="G5885" t="s">
        <v>3890</v>
      </c>
      <c r="H5885" t="s">
        <v>109</v>
      </c>
      <c r="I5885" t="s">
        <v>108</v>
      </c>
      <c r="J5885">
        <v>2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</row>
    <row r="5886" spans="2:30" x14ac:dyDescent="0.25">
      <c r="B5886" t="s">
        <v>133</v>
      </c>
      <c r="C5886" t="s">
        <v>10598</v>
      </c>
      <c r="D5886" t="s">
        <v>5853</v>
      </c>
      <c r="E5886" t="s">
        <v>5859</v>
      </c>
      <c r="F5886" t="s">
        <v>11210</v>
      </c>
      <c r="G5886" t="s">
        <v>3890</v>
      </c>
      <c r="H5886" t="s">
        <v>109</v>
      </c>
      <c r="I5886" t="s">
        <v>108</v>
      </c>
      <c r="J5886">
        <v>2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</row>
    <row r="5887" spans="2:30" x14ac:dyDescent="0.25">
      <c r="B5887" t="s">
        <v>133</v>
      </c>
      <c r="C5887" t="s">
        <v>10598</v>
      </c>
      <c r="D5887" t="s">
        <v>5854</v>
      </c>
      <c r="E5887">
        <v>0</v>
      </c>
      <c r="F5887" t="s">
        <v>11118</v>
      </c>
      <c r="G5887" t="s">
        <v>3890</v>
      </c>
      <c r="H5887" t="s">
        <v>109</v>
      </c>
      <c r="I5887" t="s">
        <v>108</v>
      </c>
      <c r="J5887">
        <v>2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</row>
    <row r="5888" spans="2:30" x14ac:dyDescent="0.25">
      <c r="B5888" t="s">
        <v>133</v>
      </c>
      <c r="C5888" t="s">
        <v>10598</v>
      </c>
      <c r="D5888" t="s">
        <v>5855</v>
      </c>
      <c r="E5888">
        <v>0</v>
      </c>
      <c r="F5888" t="s">
        <v>11118</v>
      </c>
      <c r="G5888" t="s">
        <v>3890</v>
      </c>
      <c r="H5888" t="s">
        <v>109</v>
      </c>
      <c r="I5888" t="s">
        <v>108</v>
      </c>
      <c r="J5888">
        <v>2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</row>
    <row r="5889" spans="2:30" x14ac:dyDescent="0.25">
      <c r="B5889" t="s">
        <v>133</v>
      </c>
      <c r="C5889" t="s">
        <v>10598</v>
      </c>
      <c r="D5889" t="s">
        <v>5861</v>
      </c>
      <c r="E5889" t="e">
        <v>#REF!</v>
      </c>
      <c r="F5889" t="e">
        <v>#REF!</v>
      </c>
      <c r="G5889" t="s">
        <v>3890</v>
      </c>
      <c r="H5889" t="s">
        <v>109</v>
      </c>
      <c r="I5889" t="s">
        <v>108</v>
      </c>
      <c r="J5889">
        <v>2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</row>
    <row r="5890" spans="2:30" x14ac:dyDescent="0.25">
      <c r="B5890" t="s">
        <v>133</v>
      </c>
      <c r="C5890" t="s">
        <v>10598</v>
      </c>
      <c r="D5890" t="s">
        <v>5847</v>
      </c>
      <c r="E5890" t="e">
        <v>#REF!</v>
      </c>
      <c r="F5890" t="e">
        <v>#REF!</v>
      </c>
      <c r="G5890" t="s">
        <v>3890</v>
      </c>
      <c r="H5890" t="s">
        <v>109</v>
      </c>
      <c r="I5890" t="s">
        <v>108</v>
      </c>
      <c r="J5890">
        <v>2</v>
      </c>
      <c r="K5890">
        <v>1.4E-2</v>
      </c>
      <c r="L5890">
        <v>1.7999999999999999E-2</v>
      </c>
      <c r="M5890">
        <v>1.4999999999999999E-2</v>
      </c>
      <c r="N5890">
        <v>2.1000000000000001E-2</v>
      </c>
      <c r="O5890">
        <v>2.75E-2</v>
      </c>
      <c r="P5890">
        <v>3.5499999999999997E-2</v>
      </c>
      <c r="Q5890">
        <v>3.85E-2</v>
      </c>
      <c r="R5890">
        <v>4.3499999999999997E-2</v>
      </c>
      <c r="S5890">
        <v>4.8000000000000001E-2</v>
      </c>
      <c r="T5890">
        <v>5.2499999999999998E-2</v>
      </c>
      <c r="U5890">
        <v>5.6000000000000001E-2</v>
      </c>
      <c r="V5890">
        <v>6.0499999999999998E-2</v>
      </c>
      <c r="W5890">
        <v>6.3E-2</v>
      </c>
      <c r="X5890">
        <v>6.7500000000000004E-2</v>
      </c>
      <c r="Y5890">
        <v>6.9500000000000006E-2</v>
      </c>
      <c r="Z5890">
        <v>7.2499999999999995E-2</v>
      </c>
      <c r="AA5890">
        <v>7.5499999999999998E-2</v>
      </c>
      <c r="AB5890">
        <v>7.5999999999999998E-2</v>
      </c>
      <c r="AC5890">
        <v>7.9500000000000001E-2</v>
      </c>
      <c r="AD5890">
        <v>7.6499999999999999E-2</v>
      </c>
    </row>
    <row r="5891" spans="2:30" x14ac:dyDescent="0.25">
      <c r="B5891" t="s">
        <v>133</v>
      </c>
      <c r="C5891" t="s">
        <v>10598</v>
      </c>
      <c r="D5891" t="s">
        <v>5848</v>
      </c>
      <c r="E5891" t="e">
        <v>#REF!</v>
      </c>
      <c r="F5891" t="e">
        <v>#REF!</v>
      </c>
      <c r="G5891" t="s">
        <v>3890</v>
      </c>
      <c r="H5891" t="s">
        <v>109</v>
      </c>
      <c r="I5891" t="s">
        <v>108</v>
      </c>
      <c r="J5891">
        <v>2</v>
      </c>
      <c r="K5891">
        <v>3.85E-2</v>
      </c>
      <c r="L5891">
        <v>0.04</v>
      </c>
      <c r="M5891">
        <v>3.7999999999999999E-2</v>
      </c>
      <c r="N5891">
        <v>4.4499999999999998E-2</v>
      </c>
      <c r="O5891">
        <v>5.1500000000000004E-2</v>
      </c>
      <c r="P5891">
        <v>5.3999999999999999E-2</v>
      </c>
      <c r="Q5891">
        <v>5.5E-2</v>
      </c>
      <c r="R5891">
        <v>5.6999999999999995E-2</v>
      </c>
      <c r="S5891">
        <v>5.9499999999999997E-2</v>
      </c>
      <c r="T5891">
        <v>6.25E-2</v>
      </c>
      <c r="U5891">
        <v>6.4500000000000002E-2</v>
      </c>
      <c r="V5891">
        <v>6.7500000000000004E-2</v>
      </c>
      <c r="W5891">
        <v>6.9000000000000006E-2</v>
      </c>
      <c r="X5891">
        <v>7.2499999999999995E-2</v>
      </c>
      <c r="Y5891">
        <v>7.4499999999999997E-2</v>
      </c>
      <c r="Z5891">
        <v>7.6499999999999999E-2</v>
      </c>
      <c r="AA5891">
        <v>8.0500000000000002E-2</v>
      </c>
      <c r="AB5891">
        <v>8.1500000000000003E-2</v>
      </c>
      <c r="AC5891">
        <v>8.5499999999999993E-2</v>
      </c>
      <c r="AD5891">
        <v>8.4500000000000006E-2</v>
      </c>
    </row>
    <row r="5892" spans="2:30" x14ac:dyDescent="0.25">
      <c r="B5892" t="s">
        <v>133</v>
      </c>
      <c r="C5892" t="s">
        <v>10598</v>
      </c>
      <c r="D5892" t="s">
        <v>5849</v>
      </c>
      <c r="E5892" t="e">
        <v>#REF!</v>
      </c>
      <c r="F5892" t="e">
        <v>#REF!</v>
      </c>
      <c r="G5892" t="s">
        <v>3890</v>
      </c>
      <c r="H5892" t="s">
        <v>109</v>
      </c>
      <c r="I5892" t="s">
        <v>108</v>
      </c>
      <c r="J5892">
        <v>2</v>
      </c>
      <c r="K5892">
        <v>3.5000000000000003E-2</v>
      </c>
      <c r="L5892">
        <v>3.6999999999999998E-2</v>
      </c>
      <c r="M5892">
        <v>3.2500000000000001E-2</v>
      </c>
      <c r="N5892">
        <v>4.9000000000000002E-2</v>
      </c>
      <c r="O5892">
        <v>6.7000000000000004E-2</v>
      </c>
      <c r="P5892">
        <v>6.7500000000000004E-2</v>
      </c>
      <c r="Q5892">
        <v>6.7000000000000004E-2</v>
      </c>
      <c r="R5892">
        <v>6.6500000000000004E-2</v>
      </c>
      <c r="S5892">
        <v>6.6500000000000004E-2</v>
      </c>
      <c r="T5892">
        <v>6.6500000000000004E-2</v>
      </c>
      <c r="U5892">
        <v>6.6000000000000003E-2</v>
      </c>
      <c r="V5892">
        <v>6.6000000000000003E-2</v>
      </c>
      <c r="W5892">
        <v>6.5500000000000003E-2</v>
      </c>
      <c r="X5892">
        <v>6.5500000000000003E-2</v>
      </c>
      <c r="Y5892">
        <v>6.4500000000000002E-2</v>
      </c>
      <c r="Z5892">
        <v>6.3500000000000001E-2</v>
      </c>
      <c r="AA5892">
        <v>6.3E-2</v>
      </c>
      <c r="AB5892">
        <v>0.06</v>
      </c>
      <c r="AC5892">
        <v>6.7500000000000004E-2</v>
      </c>
      <c r="AD5892">
        <v>6.25E-2</v>
      </c>
    </row>
    <row r="5893" spans="2:30" x14ac:dyDescent="0.25">
      <c r="B5893" t="s">
        <v>133</v>
      </c>
      <c r="C5893" t="s">
        <v>10598</v>
      </c>
      <c r="D5893" t="s">
        <v>5850</v>
      </c>
      <c r="E5893" t="e">
        <v>#REF!</v>
      </c>
      <c r="F5893" t="e">
        <v>#REF!</v>
      </c>
      <c r="G5893" t="s">
        <v>3890</v>
      </c>
      <c r="H5893" t="s">
        <v>109</v>
      </c>
      <c r="I5893" t="s">
        <v>108</v>
      </c>
      <c r="J5893">
        <v>2</v>
      </c>
      <c r="K5893">
        <v>2.7E-2</v>
      </c>
      <c r="L5893">
        <v>2.7E-2</v>
      </c>
      <c r="M5893">
        <v>2.75E-2</v>
      </c>
      <c r="N5893">
        <v>2.75E-2</v>
      </c>
      <c r="O5893">
        <v>2.75E-2</v>
      </c>
      <c r="P5893">
        <v>2.75E-2</v>
      </c>
      <c r="Q5893">
        <v>2.75E-2</v>
      </c>
      <c r="R5893">
        <v>2.75E-2</v>
      </c>
      <c r="S5893">
        <v>2.75E-2</v>
      </c>
      <c r="T5893">
        <v>2.75E-2</v>
      </c>
      <c r="U5893">
        <v>2.75E-2</v>
      </c>
      <c r="V5893">
        <v>2.75E-2</v>
      </c>
      <c r="W5893">
        <v>2.7E-2</v>
      </c>
      <c r="X5893">
        <v>2.7E-2</v>
      </c>
      <c r="Y5893">
        <v>2.7E-2</v>
      </c>
      <c r="Z5893">
        <v>2.6499999999999999E-2</v>
      </c>
      <c r="AA5893">
        <v>2.6499999999999999E-2</v>
      </c>
      <c r="AB5893">
        <v>2.5999999999999999E-2</v>
      </c>
      <c r="AC5893">
        <v>2.5999999999999999E-2</v>
      </c>
      <c r="AD5893">
        <v>2.5999999999999999E-2</v>
      </c>
    </row>
    <row r="5894" spans="2:30" x14ac:dyDescent="0.25">
      <c r="B5894" t="s">
        <v>133</v>
      </c>
      <c r="C5894" t="s">
        <v>10598</v>
      </c>
      <c r="D5894" t="s">
        <v>5851</v>
      </c>
      <c r="E5894" t="e">
        <v>#REF!</v>
      </c>
      <c r="F5894" t="e">
        <v>#REF!</v>
      </c>
      <c r="G5894" t="s">
        <v>3890</v>
      </c>
      <c r="H5894" t="s">
        <v>109</v>
      </c>
      <c r="I5894" t="s">
        <v>108</v>
      </c>
      <c r="J5894">
        <v>2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</row>
    <row r="5895" spans="2:30" x14ac:dyDescent="0.25">
      <c r="B5895" t="s">
        <v>133</v>
      </c>
      <c r="C5895" t="s">
        <v>10598</v>
      </c>
      <c r="D5895" t="s">
        <v>5852</v>
      </c>
      <c r="E5895" t="e">
        <v>#REF!</v>
      </c>
      <c r="F5895" t="e">
        <v>#REF!</v>
      </c>
      <c r="G5895" t="s">
        <v>3890</v>
      </c>
      <c r="H5895" t="s">
        <v>109</v>
      </c>
      <c r="I5895" t="s">
        <v>108</v>
      </c>
      <c r="J5895">
        <v>2</v>
      </c>
      <c r="K5895">
        <v>0.5</v>
      </c>
      <c r="L5895">
        <v>0.5</v>
      </c>
      <c r="M5895">
        <v>0.5</v>
      </c>
      <c r="N5895">
        <v>0.5</v>
      </c>
      <c r="O5895">
        <v>0.5</v>
      </c>
      <c r="P5895">
        <v>0.5</v>
      </c>
      <c r="Q5895">
        <v>0.5</v>
      </c>
      <c r="R5895">
        <v>0.5</v>
      </c>
      <c r="S5895">
        <v>0.5</v>
      </c>
      <c r="T5895">
        <v>0.5</v>
      </c>
      <c r="U5895">
        <v>0.5</v>
      </c>
      <c r="V5895">
        <v>0.5</v>
      </c>
      <c r="W5895">
        <v>0.5</v>
      </c>
      <c r="X5895">
        <v>0.5</v>
      </c>
      <c r="Y5895">
        <v>0.5</v>
      </c>
      <c r="Z5895">
        <v>0.5</v>
      </c>
      <c r="AA5895">
        <v>0.5</v>
      </c>
      <c r="AB5895">
        <v>0.5</v>
      </c>
      <c r="AC5895">
        <v>0.5</v>
      </c>
      <c r="AD5895">
        <v>0.5</v>
      </c>
    </row>
    <row r="5896" spans="2:30" x14ac:dyDescent="0.25">
      <c r="B5896" t="s">
        <v>133</v>
      </c>
      <c r="C5896" t="s">
        <v>10598</v>
      </c>
      <c r="D5896" t="s">
        <v>5853</v>
      </c>
      <c r="E5896" t="e">
        <v>#REF!</v>
      </c>
      <c r="F5896" t="e">
        <v>#REF!</v>
      </c>
      <c r="G5896" t="s">
        <v>3890</v>
      </c>
      <c r="H5896" t="s">
        <v>109</v>
      </c>
      <c r="I5896" t="s">
        <v>108</v>
      </c>
      <c r="J5896">
        <v>2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</row>
    <row r="5897" spans="2:30" x14ac:dyDescent="0.25">
      <c r="B5897" t="s">
        <v>133</v>
      </c>
      <c r="C5897" t="s">
        <v>10598</v>
      </c>
      <c r="D5897" t="s">
        <v>5854</v>
      </c>
      <c r="E5897" t="e">
        <v>#REF!</v>
      </c>
      <c r="F5897" t="e">
        <v>#REF!</v>
      </c>
      <c r="G5897" t="s">
        <v>3890</v>
      </c>
      <c r="H5897" t="s">
        <v>109</v>
      </c>
      <c r="I5897" t="s">
        <v>108</v>
      </c>
      <c r="J5897">
        <v>2</v>
      </c>
      <c r="K5897">
        <v>2.5499999999999998E-2</v>
      </c>
      <c r="L5897">
        <v>3.0499999999999999E-2</v>
      </c>
      <c r="M5897">
        <v>2.5499999999999998E-2</v>
      </c>
      <c r="N5897">
        <v>3.7999999999999999E-2</v>
      </c>
      <c r="O5897">
        <v>5.1999999999999998E-2</v>
      </c>
      <c r="P5897">
        <v>6.2E-2</v>
      </c>
      <c r="Q5897">
        <v>6.6000000000000003E-2</v>
      </c>
      <c r="R5897">
        <v>7.2999999999999995E-2</v>
      </c>
      <c r="S5897">
        <v>0.08</v>
      </c>
      <c r="T5897">
        <v>8.7499999999999994E-2</v>
      </c>
      <c r="U5897">
        <v>9.2999999999999999E-2</v>
      </c>
      <c r="V5897">
        <v>0.10050000000000001</v>
      </c>
      <c r="W5897">
        <v>0.105</v>
      </c>
      <c r="X5897">
        <v>0.1125</v>
      </c>
      <c r="Y5897">
        <v>0.11700000000000001</v>
      </c>
      <c r="Z5897">
        <v>0.1225</v>
      </c>
      <c r="AA5897">
        <v>0.1295</v>
      </c>
      <c r="AB5897">
        <v>0.13150000000000001</v>
      </c>
      <c r="AC5897">
        <v>0.13900000000000001</v>
      </c>
      <c r="AD5897">
        <v>0.13550000000000001</v>
      </c>
    </row>
    <row r="5898" spans="2:30" x14ac:dyDescent="0.25">
      <c r="B5898" t="s">
        <v>133</v>
      </c>
      <c r="C5898" t="s">
        <v>10598</v>
      </c>
      <c r="D5898" t="s">
        <v>5855</v>
      </c>
      <c r="E5898" t="e">
        <v>#REF!</v>
      </c>
      <c r="F5898" t="e">
        <v>#REF!</v>
      </c>
      <c r="G5898" t="s">
        <v>3890</v>
      </c>
      <c r="H5898" t="s">
        <v>109</v>
      </c>
      <c r="I5898" t="s">
        <v>108</v>
      </c>
      <c r="J5898">
        <v>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</row>
    <row r="5899" spans="2:30" x14ac:dyDescent="0.25">
      <c r="B5899" t="s">
        <v>133</v>
      </c>
      <c r="C5899" t="s">
        <v>10598</v>
      </c>
      <c r="D5899" t="s">
        <v>3436</v>
      </c>
      <c r="E5899" t="s">
        <v>3437</v>
      </c>
      <c r="F5899" t="s">
        <v>10615</v>
      </c>
      <c r="G5899" t="s">
        <v>3890</v>
      </c>
      <c r="H5899" t="s">
        <v>2308</v>
      </c>
      <c r="I5899" t="s">
        <v>5862</v>
      </c>
      <c r="J5899">
        <v>1</v>
      </c>
      <c r="K5899">
        <v>-31.97</v>
      </c>
      <c r="L5899">
        <v>-26.56</v>
      </c>
      <c r="M5899">
        <v>-38.700000000000003</v>
      </c>
      <c r="N5899">
        <v>-37.520000000000003</v>
      </c>
      <c r="O5899">
        <v>-39.33</v>
      </c>
      <c r="P5899">
        <v>-38.21</v>
      </c>
      <c r="Q5899">
        <v>-38.51</v>
      </c>
      <c r="R5899">
        <v>-39.22</v>
      </c>
      <c r="S5899">
        <v>-39.93</v>
      </c>
      <c r="T5899">
        <v>-40.51</v>
      </c>
      <c r="U5899">
        <v>-41.25</v>
      </c>
      <c r="V5899">
        <v>-41.92</v>
      </c>
      <c r="W5899">
        <v>-42.48</v>
      </c>
      <c r="X5899">
        <v>-42.89</v>
      </c>
      <c r="Y5899">
        <v>-43.07</v>
      </c>
      <c r="Z5899">
        <v>-43.04</v>
      </c>
      <c r="AA5899">
        <v>-42.79</v>
      </c>
      <c r="AB5899">
        <v>-42.29</v>
      </c>
      <c r="AC5899">
        <v>-41.94</v>
      </c>
      <c r="AD5899">
        <v>-43.65</v>
      </c>
    </row>
    <row r="5900" spans="2:30" x14ac:dyDescent="0.25">
      <c r="B5900" t="s">
        <v>133</v>
      </c>
      <c r="C5900" t="s">
        <v>10598</v>
      </c>
      <c r="D5900" t="s">
        <v>5863</v>
      </c>
      <c r="E5900">
        <v>0</v>
      </c>
      <c r="F5900" t="s">
        <v>11118</v>
      </c>
      <c r="G5900" t="s">
        <v>3890</v>
      </c>
      <c r="H5900" t="s">
        <v>2308</v>
      </c>
      <c r="I5900" t="s">
        <v>5862</v>
      </c>
      <c r="J5900">
        <v>1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</row>
    <row r="5901" spans="2:30" x14ac:dyDescent="0.25">
      <c r="B5901" t="s">
        <v>133</v>
      </c>
      <c r="C5901" t="s">
        <v>10598</v>
      </c>
      <c r="D5901" t="s">
        <v>5864</v>
      </c>
      <c r="E5901">
        <v>0</v>
      </c>
      <c r="F5901" t="s">
        <v>11118</v>
      </c>
      <c r="G5901" t="s">
        <v>3890</v>
      </c>
      <c r="H5901" t="s">
        <v>2308</v>
      </c>
      <c r="I5901" t="s">
        <v>5862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</row>
    <row r="5902" spans="2:30" x14ac:dyDescent="0.25">
      <c r="B5902" t="s">
        <v>133</v>
      </c>
      <c r="C5902" t="s">
        <v>10598</v>
      </c>
      <c r="D5902" t="s">
        <v>5865</v>
      </c>
      <c r="E5902">
        <v>0</v>
      </c>
      <c r="F5902" t="s">
        <v>11118</v>
      </c>
      <c r="G5902" t="s">
        <v>3890</v>
      </c>
      <c r="H5902" t="s">
        <v>2308</v>
      </c>
      <c r="I5902" t="s">
        <v>5862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</row>
    <row r="5903" spans="2:30" x14ac:dyDescent="0.25">
      <c r="B5903" t="s">
        <v>133</v>
      </c>
      <c r="C5903" t="s">
        <v>10598</v>
      </c>
      <c r="D5903" t="s">
        <v>5866</v>
      </c>
      <c r="E5903">
        <v>0</v>
      </c>
      <c r="F5903" t="s">
        <v>11118</v>
      </c>
      <c r="G5903" t="s">
        <v>3890</v>
      </c>
      <c r="H5903" t="s">
        <v>2308</v>
      </c>
      <c r="I5903" t="s">
        <v>5862</v>
      </c>
      <c r="J5903">
        <v>1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</row>
    <row r="5904" spans="2:30" x14ac:dyDescent="0.25">
      <c r="B5904" t="s">
        <v>133</v>
      </c>
      <c r="C5904" t="s">
        <v>10598</v>
      </c>
      <c r="D5904" t="s">
        <v>5867</v>
      </c>
      <c r="E5904">
        <v>0</v>
      </c>
      <c r="F5904" t="s">
        <v>11118</v>
      </c>
      <c r="G5904" t="s">
        <v>3890</v>
      </c>
      <c r="H5904" t="s">
        <v>2308</v>
      </c>
      <c r="I5904" t="s">
        <v>5862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</row>
    <row r="5905" spans="2:30" x14ac:dyDescent="0.25">
      <c r="B5905" t="s">
        <v>133</v>
      </c>
      <c r="C5905" t="s">
        <v>10598</v>
      </c>
      <c r="D5905" t="s">
        <v>5868</v>
      </c>
      <c r="E5905">
        <v>0</v>
      </c>
      <c r="F5905" t="s">
        <v>11118</v>
      </c>
      <c r="G5905" t="s">
        <v>3890</v>
      </c>
      <c r="H5905" t="s">
        <v>2308</v>
      </c>
      <c r="I5905" t="s">
        <v>5862</v>
      </c>
      <c r="J5905">
        <v>1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</row>
    <row r="5906" spans="2:30" x14ac:dyDescent="0.25">
      <c r="B5906" t="s">
        <v>133</v>
      </c>
      <c r="C5906" t="s">
        <v>10598</v>
      </c>
      <c r="D5906" t="s">
        <v>3442</v>
      </c>
      <c r="E5906" t="s">
        <v>3443</v>
      </c>
      <c r="F5906" t="s">
        <v>10616</v>
      </c>
      <c r="G5906" t="s">
        <v>3890</v>
      </c>
      <c r="H5906" t="s">
        <v>2308</v>
      </c>
      <c r="I5906" t="s">
        <v>5862</v>
      </c>
      <c r="J5906">
        <v>2</v>
      </c>
      <c r="K5906">
        <v>-31.97</v>
      </c>
      <c r="L5906">
        <v>-26.56</v>
      </c>
      <c r="M5906">
        <v>-38.700000000000003</v>
      </c>
      <c r="N5906">
        <v>-37.520000000000003</v>
      </c>
      <c r="O5906">
        <v>-39.33</v>
      </c>
      <c r="P5906">
        <v>-38.200000000000003</v>
      </c>
      <c r="Q5906">
        <v>-38</v>
      </c>
      <c r="R5906">
        <v>-38</v>
      </c>
      <c r="S5906">
        <v>-37.82</v>
      </c>
      <c r="T5906">
        <v>-37.590000000000003</v>
      </c>
      <c r="U5906">
        <v>-37.21</v>
      </c>
      <c r="V5906">
        <v>-36.96</v>
      </c>
      <c r="W5906">
        <v>-36.24</v>
      </c>
      <c r="X5906">
        <v>-35.74</v>
      </c>
      <c r="Y5906">
        <v>-36.229999999999997</v>
      </c>
      <c r="Z5906">
        <v>-35.33</v>
      </c>
      <c r="AA5906">
        <v>-36.31</v>
      </c>
      <c r="AB5906">
        <v>-33.85</v>
      </c>
      <c r="AC5906">
        <v>-35.549999999999997</v>
      </c>
      <c r="AD5906">
        <v>-38.64</v>
      </c>
    </row>
    <row r="5907" spans="2:30" x14ac:dyDescent="0.25">
      <c r="B5907" t="s">
        <v>133</v>
      </c>
      <c r="C5907" t="s">
        <v>10598</v>
      </c>
      <c r="D5907" t="s">
        <v>3399</v>
      </c>
      <c r="E5907" t="s">
        <v>3401</v>
      </c>
      <c r="F5907" t="s">
        <v>11211</v>
      </c>
      <c r="G5907" t="s">
        <v>3890</v>
      </c>
      <c r="H5907" t="s">
        <v>2308</v>
      </c>
      <c r="I5907" t="s">
        <v>5862</v>
      </c>
      <c r="J5907">
        <v>2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</row>
    <row r="5908" spans="2:30" x14ac:dyDescent="0.25">
      <c r="B5908" t="s">
        <v>133</v>
      </c>
      <c r="C5908" t="s">
        <v>10598</v>
      </c>
      <c r="D5908" t="s">
        <v>3424</v>
      </c>
      <c r="E5908" t="s">
        <v>3425</v>
      </c>
      <c r="F5908" t="s">
        <v>11212</v>
      </c>
      <c r="G5908" t="s">
        <v>3890</v>
      </c>
      <c r="H5908" t="s">
        <v>2308</v>
      </c>
      <c r="I5908" t="s">
        <v>5862</v>
      </c>
      <c r="J5908">
        <v>2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</row>
    <row r="5909" spans="2:30" x14ac:dyDescent="0.25">
      <c r="B5909" t="s">
        <v>133</v>
      </c>
      <c r="C5909" t="s">
        <v>10598</v>
      </c>
      <c r="D5909" t="s">
        <v>3430</v>
      </c>
      <c r="E5909" t="s">
        <v>3431</v>
      </c>
      <c r="F5909" t="s">
        <v>11213</v>
      </c>
      <c r="G5909" t="s">
        <v>3890</v>
      </c>
      <c r="H5909" t="s">
        <v>2308</v>
      </c>
      <c r="I5909" t="s">
        <v>5862</v>
      </c>
      <c r="J5909">
        <v>2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</row>
    <row r="5910" spans="2:30" x14ac:dyDescent="0.25">
      <c r="B5910" t="s">
        <v>133</v>
      </c>
      <c r="C5910" t="s">
        <v>10598</v>
      </c>
      <c r="D5910" t="s">
        <v>3412</v>
      </c>
      <c r="E5910" t="s">
        <v>3413</v>
      </c>
      <c r="F5910" t="s">
        <v>11214</v>
      </c>
      <c r="G5910" t="s">
        <v>3890</v>
      </c>
      <c r="H5910" t="s">
        <v>2308</v>
      </c>
      <c r="I5910" t="s">
        <v>5862</v>
      </c>
      <c r="J5910">
        <v>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</row>
    <row r="5911" spans="2:30" x14ac:dyDescent="0.25">
      <c r="B5911" t="s">
        <v>133</v>
      </c>
      <c r="C5911" t="s">
        <v>10598</v>
      </c>
      <c r="D5911" t="s">
        <v>3406</v>
      </c>
      <c r="E5911" t="s">
        <v>3407</v>
      </c>
      <c r="F5911" t="s">
        <v>11215</v>
      </c>
      <c r="G5911" t="s">
        <v>3890</v>
      </c>
      <c r="H5911" t="s">
        <v>2308</v>
      </c>
      <c r="I5911" t="s">
        <v>5862</v>
      </c>
      <c r="J5911">
        <v>2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</row>
    <row r="5912" spans="2:30" x14ac:dyDescent="0.25">
      <c r="B5912" t="s">
        <v>133</v>
      </c>
      <c r="C5912" t="s">
        <v>10598</v>
      </c>
      <c r="D5912" t="s">
        <v>3418</v>
      </c>
      <c r="E5912" t="s">
        <v>3419</v>
      </c>
      <c r="F5912" t="s">
        <v>11216</v>
      </c>
      <c r="G5912" t="s">
        <v>3890</v>
      </c>
      <c r="H5912" t="s">
        <v>2308</v>
      </c>
      <c r="I5912" t="s">
        <v>5862</v>
      </c>
      <c r="J5912">
        <v>2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</row>
    <row r="5913" spans="2:30" x14ac:dyDescent="0.25">
      <c r="B5913" t="s">
        <v>133</v>
      </c>
      <c r="C5913" t="s">
        <v>10598</v>
      </c>
      <c r="D5913" t="s">
        <v>5875</v>
      </c>
      <c r="E5913" t="s">
        <v>5876</v>
      </c>
      <c r="F5913" t="s">
        <v>11217</v>
      </c>
      <c r="G5913" t="s">
        <v>3890</v>
      </c>
      <c r="H5913" t="s">
        <v>2308</v>
      </c>
      <c r="I5913" t="s">
        <v>5862</v>
      </c>
      <c r="J5913">
        <v>1</v>
      </c>
      <c r="K5913">
        <v>-31.97</v>
      </c>
      <c r="L5913">
        <v>-26.56</v>
      </c>
      <c r="M5913">
        <v>-38.700000000000003</v>
      </c>
      <c r="N5913">
        <v>-37.520000000000003</v>
      </c>
      <c r="O5913">
        <v>-39.33</v>
      </c>
      <c r="P5913">
        <v>-38.21</v>
      </c>
      <c r="Q5913">
        <v>-38.51</v>
      </c>
      <c r="R5913">
        <v>-39.22</v>
      </c>
      <c r="S5913">
        <v>-39.93</v>
      </c>
      <c r="T5913">
        <v>-40.51</v>
      </c>
      <c r="U5913">
        <v>-41.25</v>
      </c>
      <c r="V5913">
        <v>-41.92</v>
      </c>
      <c r="W5913">
        <v>-42.48</v>
      </c>
      <c r="X5913">
        <v>-42.89</v>
      </c>
      <c r="Y5913">
        <v>-43.07</v>
      </c>
      <c r="Z5913">
        <v>-43.04</v>
      </c>
      <c r="AA5913">
        <v>-42.79</v>
      </c>
      <c r="AB5913">
        <v>-42.29</v>
      </c>
      <c r="AC5913">
        <v>-41.94</v>
      </c>
      <c r="AD5913">
        <v>-43.65</v>
      </c>
    </row>
    <row r="5914" spans="2:30" x14ac:dyDescent="0.25">
      <c r="B5914" t="s">
        <v>133</v>
      </c>
      <c r="C5914" t="s">
        <v>10598</v>
      </c>
      <c r="D5914" t="s">
        <v>5878</v>
      </c>
      <c r="E5914" t="s">
        <v>5879</v>
      </c>
      <c r="F5914" t="s">
        <v>11218</v>
      </c>
      <c r="G5914" t="s">
        <v>3890</v>
      </c>
      <c r="H5914" t="s">
        <v>2308</v>
      </c>
      <c r="I5914" t="s">
        <v>5862</v>
      </c>
      <c r="J5914">
        <v>1</v>
      </c>
      <c r="K5914">
        <v>0.02</v>
      </c>
      <c r="L5914">
        <v>0.01</v>
      </c>
      <c r="M5914">
        <v>0.01</v>
      </c>
      <c r="N5914">
        <v>0.01</v>
      </c>
      <c r="O5914">
        <v>0.01</v>
      </c>
      <c r="P5914">
        <v>0.01</v>
      </c>
      <c r="Q5914">
        <v>0.01</v>
      </c>
      <c r="R5914">
        <v>0.02</v>
      </c>
      <c r="S5914">
        <v>0.02</v>
      </c>
      <c r="T5914">
        <v>0.02</v>
      </c>
      <c r="U5914">
        <v>0.02</v>
      </c>
      <c r="V5914">
        <v>0.02</v>
      </c>
      <c r="W5914">
        <v>0.02</v>
      </c>
      <c r="X5914">
        <v>0.02</v>
      </c>
      <c r="Y5914">
        <v>0.02</v>
      </c>
      <c r="Z5914">
        <v>0.02</v>
      </c>
      <c r="AA5914">
        <v>0.02</v>
      </c>
      <c r="AB5914">
        <v>0.02</v>
      </c>
      <c r="AC5914">
        <v>0.02</v>
      </c>
      <c r="AD5914">
        <v>0.02</v>
      </c>
    </row>
    <row r="5915" spans="2:30" x14ac:dyDescent="0.25">
      <c r="B5915" t="s">
        <v>133</v>
      </c>
      <c r="C5915" t="s">
        <v>10598</v>
      </c>
      <c r="D5915" t="s">
        <v>5881</v>
      </c>
      <c r="E5915" t="s">
        <v>5882</v>
      </c>
      <c r="F5915" t="s">
        <v>11219</v>
      </c>
      <c r="G5915" t="s">
        <v>3890</v>
      </c>
      <c r="H5915" t="s">
        <v>2308</v>
      </c>
      <c r="I5915" t="s">
        <v>5862</v>
      </c>
      <c r="J5915">
        <v>1</v>
      </c>
      <c r="K5915">
        <v>-15.07</v>
      </c>
      <c r="L5915">
        <v>-11.09</v>
      </c>
      <c r="M5915">
        <v>-12</v>
      </c>
      <c r="N5915">
        <v>-12.4</v>
      </c>
      <c r="O5915">
        <v>-12.32</v>
      </c>
      <c r="P5915">
        <v>-12.09</v>
      </c>
      <c r="Q5915">
        <v>-12.16</v>
      </c>
      <c r="R5915">
        <v>-12.43</v>
      </c>
      <c r="S5915">
        <v>-12.72</v>
      </c>
      <c r="T5915">
        <v>-13.04</v>
      </c>
      <c r="U5915">
        <v>-13.4</v>
      </c>
      <c r="V5915">
        <v>-13.8</v>
      </c>
      <c r="W5915">
        <v>-14.24</v>
      </c>
      <c r="X5915">
        <v>-14.73</v>
      </c>
      <c r="Y5915">
        <v>-15.27</v>
      </c>
      <c r="Z5915">
        <v>-15.89</v>
      </c>
      <c r="AA5915">
        <v>-16.579999999999998</v>
      </c>
      <c r="AB5915">
        <v>-17.36</v>
      </c>
      <c r="AC5915">
        <v>-18.260000000000002</v>
      </c>
      <c r="AD5915">
        <v>-19.16</v>
      </c>
    </row>
    <row r="5916" spans="2:30" x14ac:dyDescent="0.25">
      <c r="B5916" t="s">
        <v>133</v>
      </c>
      <c r="C5916" t="s">
        <v>10598</v>
      </c>
      <c r="D5916" t="s">
        <v>5884</v>
      </c>
      <c r="E5916" t="s">
        <v>5885</v>
      </c>
      <c r="F5916" t="s">
        <v>11220</v>
      </c>
      <c r="G5916" t="s">
        <v>3890</v>
      </c>
      <c r="H5916" t="s">
        <v>2308</v>
      </c>
      <c r="I5916" t="s">
        <v>5862</v>
      </c>
      <c r="J5916">
        <v>1</v>
      </c>
      <c r="K5916">
        <v>-4.13</v>
      </c>
      <c r="L5916">
        <v>-3.27</v>
      </c>
      <c r="M5916">
        <v>-3.44</v>
      </c>
      <c r="N5916">
        <v>-4.38</v>
      </c>
      <c r="O5916">
        <v>-4.4000000000000004</v>
      </c>
      <c r="P5916">
        <v>-4.41</v>
      </c>
      <c r="Q5916">
        <v>-4.4400000000000004</v>
      </c>
      <c r="R5916">
        <v>-4.47</v>
      </c>
      <c r="S5916">
        <v>-4.5</v>
      </c>
      <c r="T5916">
        <v>-4.53</v>
      </c>
      <c r="U5916">
        <v>-4.57</v>
      </c>
      <c r="V5916">
        <v>-4.5999999999999996</v>
      </c>
      <c r="W5916">
        <v>-4.6500000000000004</v>
      </c>
      <c r="X5916">
        <v>-4.6900000000000004</v>
      </c>
      <c r="Y5916">
        <v>-4.74</v>
      </c>
      <c r="Z5916">
        <v>-4.79</v>
      </c>
      <c r="AA5916">
        <v>-4.8499999999999996</v>
      </c>
      <c r="AB5916">
        <v>-4.91</v>
      </c>
      <c r="AC5916">
        <v>-4.9800000000000004</v>
      </c>
      <c r="AD5916">
        <v>-5.05</v>
      </c>
    </row>
    <row r="5917" spans="2:30" x14ac:dyDescent="0.25">
      <c r="B5917" t="s">
        <v>133</v>
      </c>
      <c r="C5917" t="s">
        <v>10598</v>
      </c>
      <c r="D5917" t="s">
        <v>5887</v>
      </c>
      <c r="E5917" t="s">
        <v>5888</v>
      </c>
      <c r="F5917" t="s">
        <v>11221</v>
      </c>
      <c r="G5917" t="s">
        <v>3890</v>
      </c>
      <c r="H5917" t="s">
        <v>2308</v>
      </c>
      <c r="I5917" t="s">
        <v>5862</v>
      </c>
      <c r="J5917">
        <v>1</v>
      </c>
      <c r="K5917">
        <v>-3.22</v>
      </c>
      <c r="L5917">
        <v>-3.49</v>
      </c>
      <c r="M5917">
        <v>-3.59</v>
      </c>
      <c r="N5917">
        <v>-2.72</v>
      </c>
      <c r="O5917">
        <v>-2.98</v>
      </c>
      <c r="P5917">
        <v>-2.92</v>
      </c>
      <c r="Q5917">
        <v>-3.09</v>
      </c>
      <c r="R5917">
        <v>-3.32</v>
      </c>
      <c r="S5917">
        <v>-3.61</v>
      </c>
      <c r="T5917">
        <v>-3.94</v>
      </c>
      <c r="U5917">
        <v>-4.3600000000000003</v>
      </c>
      <c r="V5917">
        <v>-4.8</v>
      </c>
      <c r="W5917">
        <v>-5.28</v>
      </c>
      <c r="X5917">
        <v>-5.78</v>
      </c>
      <c r="Y5917">
        <v>-6.3</v>
      </c>
      <c r="Z5917">
        <v>-6.85</v>
      </c>
      <c r="AA5917">
        <v>-7.42</v>
      </c>
      <c r="AB5917">
        <v>-8.01</v>
      </c>
      <c r="AC5917">
        <v>-8.6300000000000008</v>
      </c>
      <c r="AD5917">
        <v>-9.26</v>
      </c>
    </row>
    <row r="5918" spans="2:30" x14ac:dyDescent="0.25">
      <c r="B5918" t="s">
        <v>133</v>
      </c>
      <c r="C5918" t="s">
        <v>10598</v>
      </c>
      <c r="D5918" t="s">
        <v>5890</v>
      </c>
      <c r="E5918" t="s">
        <v>5891</v>
      </c>
      <c r="F5918" t="s">
        <v>11222</v>
      </c>
      <c r="G5918" t="s">
        <v>3890</v>
      </c>
      <c r="H5918" t="s">
        <v>2308</v>
      </c>
      <c r="I5918" t="s">
        <v>5862</v>
      </c>
      <c r="J5918">
        <v>1</v>
      </c>
      <c r="K5918">
        <v>-11.33</v>
      </c>
      <c r="L5918">
        <v>-10.43</v>
      </c>
      <c r="M5918">
        <v>-10.38</v>
      </c>
      <c r="N5918">
        <v>-8.4</v>
      </c>
      <c r="O5918">
        <v>-9.2799999999999994</v>
      </c>
      <c r="P5918">
        <v>-9.01</v>
      </c>
      <c r="Q5918">
        <v>-9.35</v>
      </c>
      <c r="R5918">
        <v>-9.82</v>
      </c>
      <c r="S5918">
        <v>-10.38</v>
      </c>
      <c r="T5918">
        <v>-11.03</v>
      </c>
      <c r="U5918">
        <v>-11.88</v>
      </c>
      <c r="V5918">
        <v>-12.78</v>
      </c>
      <c r="W5918">
        <v>-13.74</v>
      </c>
      <c r="X5918">
        <v>-14.75</v>
      </c>
      <c r="Y5918">
        <v>-15.8</v>
      </c>
      <c r="Z5918">
        <v>-16.899999999999999</v>
      </c>
      <c r="AA5918">
        <v>-18.05</v>
      </c>
      <c r="AB5918">
        <v>-19.260000000000002</v>
      </c>
      <c r="AC5918">
        <v>-20.52</v>
      </c>
      <c r="AD5918">
        <v>-21.84</v>
      </c>
    </row>
    <row r="5919" spans="2:30" x14ac:dyDescent="0.25">
      <c r="B5919" t="s">
        <v>133</v>
      </c>
      <c r="C5919" t="s">
        <v>10598</v>
      </c>
      <c r="D5919" t="s">
        <v>5893</v>
      </c>
      <c r="E5919" t="s">
        <v>5894</v>
      </c>
      <c r="F5919" t="s">
        <v>11223</v>
      </c>
      <c r="G5919" t="s">
        <v>3890</v>
      </c>
      <c r="H5919" t="s">
        <v>2308</v>
      </c>
      <c r="I5919" t="s">
        <v>5862</v>
      </c>
      <c r="J5919">
        <v>1</v>
      </c>
      <c r="K5919">
        <v>-4.34</v>
      </c>
      <c r="L5919">
        <v>-4.6900000000000004</v>
      </c>
      <c r="M5919">
        <v>-5.41</v>
      </c>
      <c r="N5919">
        <v>-4.8</v>
      </c>
      <c r="O5919">
        <v>-5.12</v>
      </c>
      <c r="P5919">
        <v>-4.9400000000000004</v>
      </c>
      <c r="Q5919">
        <v>-5</v>
      </c>
      <c r="R5919">
        <v>-5.0999999999999996</v>
      </c>
      <c r="S5919">
        <v>-5.19</v>
      </c>
      <c r="T5919">
        <v>-5.27</v>
      </c>
      <c r="U5919">
        <v>-5.41</v>
      </c>
      <c r="V5919">
        <v>-5.54</v>
      </c>
      <c r="W5919">
        <v>-5.68</v>
      </c>
      <c r="X5919">
        <v>-5.82</v>
      </c>
      <c r="Y5919">
        <v>-5.96</v>
      </c>
      <c r="Z5919">
        <v>-6.1</v>
      </c>
      <c r="AA5919">
        <v>-6.25</v>
      </c>
      <c r="AB5919">
        <v>-6.39</v>
      </c>
      <c r="AC5919">
        <v>-6.54</v>
      </c>
      <c r="AD5919">
        <v>-6.69</v>
      </c>
    </row>
    <row r="5920" spans="2:30" x14ac:dyDescent="0.25">
      <c r="B5920" t="s">
        <v>133</v>
      </c>
      <c r="C5920" t="s">
        <v>10598</v>
      </c>
      <c r="D5920" t="s">
        <v>5896</v>
      </c>
      <c r="E5920" t="s">
        <v>5897</v>
      </c>
      <c r="F5920" t="s">
        <v>11224</v>
      </c>
      <c r="G5920" t="s">
        <v>3890</v>
      </c>
      <c r="H5920" t="s">
        <v>5899</v>
      </c>
      <c r="I5920" t="s">
        <v>5862</v>
      </c>
      <c r="J5920">
        <v>1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</row>
    <row r="5921" spans="2:30" x14ac:dyDescent="0.25">
      <c r="B5921" t="s">
        <v>133</v>
      </c>
      <c r="C5921" t="s">
        <v>10598</v>
      </c>
      <c r="D5921" t="s">
        <v>5900</v>
      </c>
      <c r="E5921" t="s">
        <v>5901</v>
      </c>
      <c r="F5921" t="s">
        <v>11225</v>
      </c>
      <c r="G5921" t="s">
        <v>3890</v>
      </c>
      <c r="H5921" t="s">
        <v>2308</v>
      </c>
      <c r="I5921" t="s">
        <v>5862</v>
      </c>
      <c r="J5921">
        <v>1</v>
      </c>
      <c r="K5921">
        <v>0.14000000000000001</v>
      </c>
      <c r="L5921">
        <v>0.08</v>
      </c>
      <c r="M5921">
        <v>-10.34</v>
      </c>
      <c r="N5921">
        <v>-11.45</v>
      </c>
      <c r="O5921">
        <v>-12.05</v>
      </c>
      <c r="P5921">
        <v>-12.24</v>
      </c>
      <c r="Q5921">
        <v>-12.58</v>
      </c>
      <c r="R5921">
        <v>-13.02</v>
      </c>
      <c r="S5921">
        <v>-13.46</v>
      </c>
      <c r="T5921">
        <v>-13.91</v>
      </c>
      <c r="U5921">
        <v>-14.35</v>
      </c>
      <c r="V5921">
        <v>-14.8</v>
      </c>
      <c r="W5921">
        <v>-15.26</v>
      </c>
      <c r="X5921">
        <v>-15.72</v>
      </c>
      <c r="Y5921">
        <v>-16.2</v>
      </c>
      <c r="Z5921">
        <v>-16.68</v>
      </c>
      <c r="AA5921">
        <v>-17.170000000000002</v>
      </c>
      <c r="AB5921">
        <v>-17.670000000000002</v>
      </c>
      <c r="AC5921">
        <v>-18.170000000000002</v>
      </c>
      <c r="AD5921">
        <v>-18.690000000000001</v>
      </c>
    </row>
    <row r="5922" spans="2:30" x14ac:dyDescent="0.25">
      <c r="B5922" t="s">
        <v>133</v>
      </c>
      <c r="C5922" t="s">
        <v>10598</v>
      </c>
      <c r="D5922" t="s">
        <v>5903</v>
      </c>
      <c r="E5922" t="s">
        <v>5904</v>
      </c>
      <c r="F5922" t="s">
        <v>11226</v>
      </c>
      <c r="G5922" t="s">
        <v>3890</v>
      </c>
      <c r="H5922" t="s">
        <v>2308</v>
      </c>
      <c r="I5922" t="s">
        <v>5862</v>
      </c>
      <c r="J5922">
        <v>2</v>
      </c>
      <c r="K5922">
        <v>-31.97</v>
      </c>
      <c r="L5922">
        <v>-26.56</v>
      </c>
      <c r="M5922">
        <v>-38.700000000000003</v>
      </c>
      <c r="N5922">
        <v>-37.520000000000003</v>
      </c>
      <c r="O5922">
        <v>-39.33</v>
      </c>
      <c r="P5922">
        <v>-38.200000000000003</v>
      </c>
      <c r="Q5922">
        <v>-38</v>
      </c>
      <c r="R5922">
        <v>-38</v>
      </c>
      <c r="S5922">
        <v>-37.82</v>
      </c>
      <c r="T5922">
        <v>-37.590000000000003</v>
      </c>
      <c r="U5922">
        <v>-37.21</v>
      </c>
      <c r="V5922">
        <v>-36.96</v>
      </c>
      <c r="W5922">
        <v>-36.24</v>
      </c>
      <c r="X5922">
        <v>-35.74</v>
      </c>
      <c r="Y5922">
        <v>-36.229999999999997</v>
      </c>
      <c r="Z5922">
        <v>-35.33</v>
      </c>
      <c r="AA5922">
        <v>-36.31</v>
      </c>
      <c r="AB5922">
        <v>-33.85</v>
      </c>
      <c r="AC5922">
        <v>-35.549999999999997</v>
      </c>
      <c r="AD5922">
        <v>-38.64</v>
      </c>
    </row>
    <row r="5923" spans="2:30" x14ac:dyDescent="0.25">
      <c r="B5923" t="s">
        <v>133</v>
      </c>
      <c r="C5923" t="s">
        <v>10598</v>
      </c>
      <c r="D5923" t="s">
        <v>5906</v>
      </c>
      <c r="E5923" t="s">
        <v>5907</v>
      </c>
      <c r="F5923" t="s">
        <v>11227</v>
      </c>
      <c r="G5923" t="s">
        <v>3890</v>
      </c>
      <c r="H5923" t="s">
        <v>2308</v>
      </c>
      <c r="I5923" t="s">
        <v>5862</v>
      </c>
      <c r="J5923">
        <v>2</v>
      </c>
      <c r="K5923">
        <v>0.02</v>
      </c>
      <c r="L5923">
        <v>0.01</v>
      </c>
      <c r="M5923">
        <v>0.01</v>
      </c>
      <c r="N5923">
        <v>0.01</v>
      </c>
      <c r="O5923">
        <v>0.01</v>
      </c>
      <c r="P5923">
        <v>0.01</v>
      </c>
      <c r="Q5923">
        <v>0.01</v>
      </c>
      <c r="R5923">
        <v>0.01</v>
      </c>
      <c r="S5923">
        <v>0.01</v>
      </c>
      <c r="T5923">
        <v>0.02</v>
      </c>
      <c r="U5923">
        <v>0.02</v>
      </c>
      <c r="V5923">
        <v>0.02</v>
      </c>
      <c r="W5923">
        <v>0.02</v>
      </c>
      <c r="X5923">
        <v>0.02</v>
      </c>
      <c r="Y5923">
        <v>0.02</v>
      </c>
      <c r="Z5923">
        <v>0.02</v>
      </c>
      <c r="AA5923">
        <v>0.02</v>
      </c>
      <c r="AB5923">
        <v>0.02</v>
      </c>
      <c r="AC5923">
        <v>0.02</v>
      </c>
      <c r="AD5923">
        <v>0.02</v>
      </c>
    </row>
    <row r="5924" spans="2:30" x14ac:dyDescent="0.25">
      <c r="B5924" t="s">
        <v>133</v>
      </c>
      <c r="C5924" t="s">
        <v>10598</v>
      </c>
      <c r="D5924" t="s">
        <v>5909</v>
      </c>
      <c r="E5924" t="s">
        <v>5910</v>
      </c>
      <c r="F5924" t="s">
        <v>11228</v>
      </c>
      <c r="G5924" t="s">
        <v>3890</v>
      </c>
      <c r="H5924" t="s">
        <v>2308</v>
      </c>
      <c r="I5924" t="s">
        <v>5862</v>
      </c>
      <c r="J5924">
        <v>2</v>
      </c>
      <c r="K5924">
        <v>-15.07</v>
      </c>
      <c r="L5924">
        <v>-11.09</v>
      </c>
      <c r="M5924">
        <v>-12</v>
      </c>
      <c r="N5924">
        <v>-12.4</v>
      </c>
      <c r="O5924">
        <v>-12.32</v>
      </c>
      <c r="P5924">
        <v>-12.09</v>
      </c>
      <c r="Q5924">
        <v>-12.13</v>
      </c>
      <c r="R5924">
        <v>-12.25</v>
      </c>
      <c r="S5924">
        <v>-12.45</v>
      </c>
      <c r="T5924">
        <v>-12.59</v>
      </c>
      <c r="U5924">
        <v>-12.87</v>
      </c>
      <c r="V5924">
        <v>-13.05</v>
      </c>
      <c r="W5924">
        <v>-13.42</v>
      </c>
      <c r="X5924">
        <v>-13.63</v>
      </c>
      <c r="Y5924">
        <v>-14.12</v>
      </c>
      <c r="Z5924">
        <v>-14.72</v>
      </c>
      <c r="AA5924">
        <v>-15.15</v>
      </c>
      <c r="AB5924">
        <v>-16.260000000000002</v>
      </c>
      <c r="AC5924">
        <v>-16.32</v>
      </c>
      <c r="AD5924">
        <v>-18.14</v>
      </c>
    </row>
    <row r="5925" spans="2:30" x14ac:dyDescent="0.25">
      <c r="B5925" t="s">
        <v>133</v>
      </c>
      <c r="C5925" t="s">
        <v>10598</v>
      </c>
      <c r="D5925" t="s">
        <v>5912</v>
      </c>
      <c r="E5925" t="s">
        <v>5913</v>
      </c>
      <c r="F5925" t="s">
        <v>11229</v>
      </c>
      <c r="G5925" t="s">
        <v>3890</v>
      </c>
      <c r="H5925" t="s">
        <v>2308</v>
      </c>
      <c r="I5925" t="s">
        <v>5862</v>
      </c>
      <c r="J5925">
        <v>2</v>
      </c>
      <c r="K5925">
        <v>-4.13</v>
      </c>
      <c r="L5925">
        <v>-3.27</v>
      </c>
      <c r="M5925">
        <v>-3.44</v>
      </c>
      <c r="N5925">
        <v>-4.38</v>
      </c>
      <c r="O5925">
        <v>-4.4000000000000004</v>
      </c>
      <c r="P5925">
        <v>-4.41</v>
      </c>
      <c r="Q5925">
        <v>-4.4400000000000004</v>
      </c>
      <c r="R5925">
        <v>-4.47</v>
      </c>
      <c r="S5925">
        <v>-4.49</v>
      </c>
      <c r="T5925">
        <v>-4.5199999999999996</v>
      </c>
      <c r="U5925">
        <v>-4.5599999999999996</v>
      </c>
      <c r="V5925">
        <v>-4.59</v>
      </c>
      <c r="W5925">
        <v>-4.6399999999999997</v>
      </c>
      <c r="X5925">
        <v>-4.6900000000000004</v>
      </c>
      <c r="Y5925">
        <v>-4.75</v>
      </c>
      <c r="Z5925">
        <v>-4.8099999999999996</v>
      </c>
      <c r="AA5925">
        <v>-4.8899999999999997</v>
      </c>
      <c r="AB5925">
        <v>-4.96</v>
      </c>
      <c r="AC5925">
        <v>-5.07</v>
      </c>
      <c r="AD5925">
        <v>-5.14</v>
      </c>
    </row>
    <row r="5926" spans="2:30" x14ac:dyDescent="0.25">
      <c r="B5926" t="s">
        <v>133</v>
      </c>
      <c r="C5926" t="s">
        <v>10598</v>
      </c>
      <c r="D5926" t="s">
        <v>5915</v>
      </c>
      <c r="E5926" t="s">
        <v>5916</v>
      </c>
      <c r="F5926" t="s">
        <v>11230</v>
      </c>
      <c r="G5926" t="s">
        <v>3890</v>
      </c>
      <c r="H5926" t="s">
        <v>2308</v>
      </c>
      <c r="I5926" t="s">
        <v>5862</v>
      </c>
      <c r="J5926">
        <v>2</v>
      </c>
      <c r="K5926">
        <v>-3.22</v>
      </c>
      <c r="L5926">
        <v>-3.49</v>
      </c>
      <c r="M5926">
        <v>-3.59</v>
      </c>
      <c r="N5926">
        <v>-2.72</v>
      </c>
      <c r="O5926">
        <v>-2.98</v>
      </c>
      <c r="P5926">
        <v>-2.92</v>
      </c>
      <c r="Q5926">
        <v>-3.09</v>
      </c>
      <c r="R5926">
        <v>-3.32</v>
      </c>
      <c r="S5926">
        <v>-3.61</v>
      </c>
      <c r="T5926">
        <v>-3.94</v>
      </c>
      <c r="U5926">
        <v>-4.3600000000000003</v>
      </c>
      <c r="V5926">
        <v>-4.8099999999999996</v>
      </c>
      <c r="W5926">
        <v>-5.28</v>
      </c>
      <c r="X5926">
        <v>-5.78</v>
      </c>
      <c r="Y5926">
        <v>-6.3</v>
      </c>
      <c r="Z5926">
        <v>-6.85</v>
      </c>
      <c r="AA5926">
        <v>-7.43</v>
      </c>
      <c r="AB5926">
        <v>-8.02</v>
      </c>
      <c r="AC5926">
        <v>-8.64</v>
      </c>
      <c r="AD5926">
        <v>-9.27</v>
      </c>
    </row>
    <row r="5927" spans="2:30" x14ac:dyDescent="0.25">
      <c r="B5927" t="s">
        <v>133</v>
      </c>
      <c r="C5927" t="s">
        <v>10598</v>
      </c>
      <c r="D5927" t="s">
        <v>5918</v>
      </c>
      <c r="E5927" t="s">
        <v>5919</v>
      </c>
      <c r="F5927" t="s">
        <v>11231</v>
      </c>
      <c r="G5927" t="s">
        <v>3890</v>
      </c>
      <c r="H5927" t="s">
        <v>2308</v>
      </c>
      <c r="I5927" t="s">
        <v>5862</v>
      </c>
      <c r="J5927">
        <v>2</v>
      </c>
      <c r="K5927">
        <v>-11.33</v>
      </c>
      <c r="L5927">
        <v>-10.43</v>
      </c>
      <c r="M5927">
        <v>-10.38</v>
      </c>
      <c r="N5927">
        <v>-8.4</v>
      </c>
      <c r="O5927">
        <v>-9.2799999999999994</v>
      </c>
      <c r="P5927">
        <v>-9.01</v>
      </c>
      <c r="Q5927">
        <v>-9.35</v>
      </c>
      <c r="R5927">
        <v>-9.82</v>
      </c>
      <c r="S5927">
        <v>-10.38</v>
      </c>
      <c r="T5927">
        <v>-11.03</v>
      </c>
      <c r="U5927">
        <v>-11.88</v>
      </c>
      <c r="V5927">
        <v>-12.79</v>
      </c>
      <c r="W5927">
        <v>-13.74</v>
      </c>
      <c r="X5927">
        <v>-14.75</v>
      </c>
      <c r="Y5927">
        <v>-15.81</v>
      </c>
      <c r="Z5927">
        <v>-16.920000000000002</v>
      </c>
      <c r="AA5927">
        <v>-18.079999999999998</v>
      </c>
      <c r="AB5927">
        <v>-19.3</v>
      </c>
      <c r="AC5927">
        <v>-20.58</v>
      </c>
      <c r="AD5927">
        <v>-21.91</v>
      </c>
    </row>
    <row r="5928" spans="2:30" x14ac:dyDescent="0.25">
      <c r="B5928" t="s">
        <v>133</v>
      </c>
      <c r="C5928" t="s">
        <v>10598</v>
      </c>
      <c r="D5928" t="s">
        <v>5921</v>
      </c>
      <c r="E5928" t="s">
        <v>5922</v>
      </c>
      <c r="F5928" t="s">
        <v>11232</v>
      </c>
      <c r="G5928" t="s">
        <v>3890</v>
      </c>
      <c r="H5928" t="s">
        <v>2308</v>
      </c>
      <c r="I5928" t="s">
        <v>5862</v>
      </c>
      <c r="J5928">
        <v>2</v>
      </c>
      <c r="K5928">
        <v>-4.34</v>
      </c>
      <c r="L5928">
        <v>-4.6900000000000004</v>
      </c>
      <c r="M5928">
        <v>-5.41</v>
      </c>
      <c r="N5928">
        <v>-4.8</v>
      </c>
      <c r="O5928">
        <v>-5.12</v>
      </c>
      <c r="P5928">
        <v>-4.9400000000000004</v>
      </c>
      <c r="Q5928">
        <v>-5</v>
      </c>
      <c r="R5928">
        <v>-5.0999999999999996</v>
      </c>
      <c r="S5928">
        <v>-5.19</v>
      </c>
      <c r="T5928">
        <v>-5.27</v>
      </c>
      <c r="U5928">
        <v>-5.41</v>
      </c>
      <c r="V5928">
        <v>-5.54</v>
      </c>
      <c r="W5928">
        <v>-5.68</v>
      </c>
      <c r="X5928">
        <v>-5.82</v>
      </c>
      <c r="Y5928">
        <v>-5.96</v>
      </c>
      <c r="Z5928">
        <v>-6.1</v>
      </c>
      <c r="AA5928">
        <v>-6.25</v>
      </c>
      <c r="AB5928">
        <v>-6.4</v>
      </c>
      <c r="AC5928">
        <v>-6.56</v>
      </c>
      <c r="AD5928">
        <v>-6.71</v>
      </c>
    </row>
    <row r="5929" spans="2:30" x14ac:dyDescent="0.25">
      <c r="B5929" t="s">
        <v>133</v>
      </c>
      <c r="C5929" t="s">
        <v>10598</v>
      </c>
      <c r="D5929" t="s">
        <v>5924</v>
      </c>
      <c r="E5929" t="s">
        <v>5925</v>
      </c>
      <c r="F5929" t="s">
        <v>11233</v>
      </c>
      <c r="G5929" t="s">
        <v>3890</v>
      </c>
      <c r="H5929" t="s">
        <v>5899</v>
      </c>
      <c r="I5929" t="s">
        <v>5862</v>
      </c>
      <c r="J5929">
        <v>2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</row>
    <row r="5930" spans="2:30" x14ac:dyDescent="0.25">
      <c r="B5930" t="s">
        <v>133</v>
      </c>
      <c r="C5930" t="s">
        <v>10598</v>
      </c>
      <c r="D5930" t="s">
        <v>5927</v>
      </c>
      <c r="E5930" t="s">
        <v>5928</v>
      </c>
      <c r="F5930" t="s">
        <v>11234</v>
      </c>
      <c r="G5930" t="s">
        <v>3890</v>
      </c>
      <c r="H5930" t="s">
        <v>2308</v>
      </c>
      <c r="I5930" t="s">
        <v>5862</v>
      </c>
      <c r="J5930">
        <v>2</v>
      </c>
      <c r="K5930">
        <v>0.14000000000000001</v>
      </c>
      <c r="L5930">
        <v>0.08</v>
      </c>
      <c r="M5930">
        <v>-10.34</v>
      </c>
      <c r="N5930">
        <v>-11.45</v>
      </c>
      <c r="O5930">
        <v>-12.05</v>
      </c>
      <c r="P5930">
        <v>-12.24</v>
      </c>
      <c r="Q5930">
        <v>-12.58</v>
      </c>
      <c r="R5930">
        <v>-12.91</v>
      </c>
      <c r="S5930">
        <v>-13.25</v>
      </c>
      <c r="T5930">
        <v>-13.53</v>
      </c>
      <c r="U5930">
        <v>-13.86</v>
      </c>
      <c r="V5930">
        <v>-14.1</v>
      </c>
      <c r="W5930">
        <v>-14.46</v>
      </c>
      <c r="X5930">
        <v>-14.68</v>
      </c>
      <c r="Y5930">
        <v>-15.08</v>
      </c>
      <c r="Z5930">
        <v>-15.6</v>
      </c>
      <c r="AA5930">
        <v>-15.94</v>
      </c>
      <c r="AB5930">
        <v>-16.75</v>
      </c>
      <c r="AC5930">
        <v>-16.78</v>
      </c>
      <c r="AD5930">
        <v>-17.97</v>
      </c>
    </row>
    <row r="5931" spans="2:30" x14ac:dyDescent="0.25">
      <c r="B5931" t="s">
        <v>133</v>
      </c>
      <c r="C5931" t="s">
        <v>10598</v>
      </c>
      <c r="D5931" t="s">
        <v>5930</v>
      </c>
      <c r="E5931" t="s">
        <v>5931</v>
      </c>
      <c r="F5931" t="s">
        <v>11235</v>
      </c>
      <c r="G5931" t="s">
        <v>5933</v>
      </c>
      <c r="H5931" t="s">
        <v>5934</v>
      </c>
      <c r="J5931">
        <v>1</v>
      </c>
      <c r="K5931">
        <v>55.675159999999998</v>
      </c>
      <c r="L5931">
        <v>55.373399999999997</v>
      </c>
      <c r="M5931">
        <v>56.984520000000003</v>
      </c>
      <c r="N5931">
        <v>59.043289999999999</v>
      </c>
      <c r="O5931">
        <v>59.170470000000002</v>
      </c>
      <c r="P5931">
        <v>59.498759999999997</v>
      </c>
      <c r="Q5931">
        <v>59.939979999999998</v>
      </c>
      <c r="R5931">
        <v>60.415300000000002</v>
      </c>
      <c r="S5931">
        <v>60.950049999999997</v>
      </c>
      <c r="T5931">
        <v>61.577579999999998</v>
      </c>
      <c r="U5931">
        <v>62.262189999999997</v>
      </c>
      <c r="V5931">
        <v>63.003590000000003</v>
      </c>
      <c r="W5931">
        <v>63.793950000000002</v>
      </c>
      <c r="X5931">
        <v>64.635440000000003</v>
      </c>
      <c r="Y5931">
        <v>65.52534</v>
      </c>
      <c r="Z5931">
        <v>66.469710000000006</v>
      </c>
      <c r="AA5931">
        <v>67.469949999999997</v>
      </c>
      <c r="AB5931">
        <v>68.529570000000007</v>
      </c>
      <c r="AC5931">
        <v>69.65258</v>
      </c>
      <c r="AD5931">
        <v>0</v>
      </c>
    </row>
    <row r="5932" spans="2:30" x14ac:dyDescent="0.25">
      <c r="B5932" t="s">
        <v>133</v>
      </c>
      <c r="C5932" t="s">
        <v>10598</v>
      </c>
      <c r="D5932" t="s">
        <v>5935</v>
      </c>
      <c r="E5932" t="s">
        <v>5936</v>
      </c>
      <c r="F5932" t="s">
        <v>11236</v>
      </c>
      <c r="G5932" t="s">
        <v>5933</v>
      </c>
      <c r="H5932" t="s">
        <v>5934</v>
      </c>
      <c r="J5932">
        <v>1</v>
      </c>
      <c r="K5932">
        <v>40.588149999999999</v>
      </c>
      <c r="L5932">
        <v>40.286380000000001</v>
      </c>
      <c r="M5932">
        <v>41.897500000000001</v>
      </c>
      <c r="N5932">
        <v>43.95628</v>
      </c>
      <c r="O5932">
        <v>44.083460000000002</v>
      </c>
      <c r="P5932">
        <v>44.411749999999998</v>
      </c>
      <c r="Q5932">
        <v>44.852969999999999</v>
      </c>
      <c r="R5932">
        <v>45.328290000000003</v>
      </c>
      <c r="S5932">
        <v>45.863039999999998</v>
      </c>
      <c r="T5932">
        <v>46.490569999999998</v>
      </c>
      <c r="U5932">
        <v>47.175179999999997</v>
      </c>
      <c r="V5932">
        <v>47.916580000000003</v>
      </c>
      <c r="W5932">
        <v>48.706940000000003</v>
      </c>
      <c r="X5932">
        <v>49.548430000000003</v>
      </c>
      <c r="Y5932">
        <v>50.438330000000001</v>
      </c>
      <c r="Z5932">
        <v>51.382689999999997</v>
      </c>
      <c r="AA5932">
        <v>52.382939999999998</v>
      </c>
      <c r="AB5932">
        <v>53.44256</v>
      </c>
      <c r="AC5932">
        <v>54.565570000000001</v>
      </c>
      <c r="AD5932">
        <v>0</v>
      </c>
    </row>
    <row r="5933" spans="2:30" x14ac:dyDescent="0.25">
      <c r="B5933" t="s">
        <v>133</v>
      </c>
      <c r="C5933" t="s">
        <v>10598</v>
      </c>
      <c r="D5933" t="s">
        <v>5938</v>
      </c>
      <c r="E5933" t="s">
        <v>5939</v>
      </c>
      <c r="F5933" t="s">
        <v>11237</v>
      </c>
      <c r="G5933" t="s">
        <v>5933</v>
      </c>
      <c r="H5933" t="s">
        <v>5934</v>
      </c>
      <c r="J5933">
        <v>2</v>
      </c>
      <c r="K5933">
        <v>55.675159999999998</v>
      </c>
      <c r="L5933">
        <v>55.373399999999997</v>
      </c>
      <c r="M5933">
        <v>56.984520000000003</v>
      </c>
      <c r="N5933">
        <v>59.043289999999999</v>
      </c>
      <c r="O5933">
        <v>59.170470000000002</v>
      </c>
      <c r="P5933">
        <v>59.497540000000001</v>
      </c>
      <c r="Q5933">
        <v>59.925109999999997</v>
      </c>
      <c r="R5933">
        <v>60.371609999999997</v>
      </c>
      <c r="S5933">
        <v>60.882919999999999</v>
      </c>
      <c r="T5933">
        <v>61.480759999999997</v>
      </c>
      <c r="U5933">
        <v>62.150239999999997</v>
      </c>
      <c r="V5933">
        <v>62.865160000000003</v>
      </c>
      <c r="W5933">
        <v>63.65325</v>
      </c>
      <c r="X5933">
        <v>64.480940000000004</v>
      </c>
      <c r="Y5933">
        <v>65.389120000000005</v>
      </c>
      <c r="Z5933">
        <v>66.369659999999996</v>
      </c>
      <c r="AA5933">
        <v>67.392240000000001</v>
      </c>
      <c r="AB5933">
        <v>68.534899999999993</v>
      </c>
      <c r="AC5933">
        <v>69.640320000000003</v>
      </c>
      <c r="AD5933">
        <v>0</v>
      </c>
    </row>
    <row r="5934" spans="2:30" x14ac:dyDescent="0.25">
      <c r="B5934" t="s">
        <v>133</v>
      </c>
      <c r="C5934" t="s">
        <v>10598</v>
      </c>
      <c r="D5934" t="s">
        <v>5941</v>
      </c>
      <c r="E5934" t="s">
        <v>5942</v>
      </c>
      <c r="F5934" t="s">
        <v>11238</v>
      </c>
      <c r="G5934" t="s">
        <v>5933</v>
      </c>
      <c r="H5934" t="s">
        <v>5934</v>
      </c>
      <c r="J5934">
        <v>2</v>
      </c>
      <c r="K5934">
        <v>40.588149999999999</v>
      </c>
      <c r="L5934">
        <v>40.286380000000001</v>
      </c>
      <c r="M5934">
        <v>41.897500000000001</v>
      </c>
      <c r="N5934">
        <v>43.95628</v>
      </c>
      <c r="O5934">
        <v>44.083460000000002</v>
      </c>
      <c r="P5934">
        <v>44.410530000000001</v>
      </c>
      <c r="Q5934">
        <v>44.838099999999997</v>
      </c>
      <c r="R5934">
        <v>45.284599999999998</v>
      </c>
      <c r="S5934">
        <v>45.795909999999999</v>
      </c>
      <c r="T5934">
        <v>46.393749999999997</v>
      </c>
      <c r="U5934">
        <v>47.063229999999997</v>
      </c>
      <c r="V5934">
        <v>47.778149999999997</v>
      </c>
      <c r="W5934">
        <v>48.566240000000001</v>
      </c>
      <c r="X5934">
        <v>49.393920000000001</v>
      </c>
      <c r="Y5934">
        <v>50.302109999999999</v>
      </c>
      <c r="Z5934">
        <v>51.282640000000001</v>
      </c>
      <c r="AA5934">
        <v>52.305230000000002</v>
      </c>
      <c r="AB5934">
        <v>53.447890000000001</v>
      </c>
      <c r="AC5934">
        <v>54.5533</v>
      </c>
      <c r="AD5934">
        <v>0</v>
      </c>
    </row>
    <row r="5935" spans="2:30" x14ac:dyDescent="0.25">
      <c r="B5935" t="s">
        <v>133</v>
      </c>
      <c r="C5935" t="s">
        <v>10598</v>
      </c>
      <c r="D5935" t="s">
        <v>5944</v>
      </c>
      <c r="E5935" t="s">
        <v>5945</v>
      </c>
      <c r="F5935" t="s">
        <v>11239</v>
      </c>
      <c r="G5935" t="s">
        <v>5933</v>
      </c>
      <c r="H5935" t="s">
        <v>5947</v>
      </c>
      <c r="J5935">
        <v>1</v>
      </c>
      <c r="K5935">
        <v>19.333559917072691</v>
      </c>
      <c r="L5935">
        <v>19.031798510151475</v>
      </c>
      <c r="M5935">
        <v>20.642916252944829</v>
      </c>
      <c r="N5935">
        <v>22.701693307101749</v>
      </c>
      <c r="O5935">
        <v>22.828872274492227</v>
      </c>
      <c r="P5935">
        <v>23.15716367802635</v>
      </c>
      <c r="Q5935">
        <v>23.598382952992729</v>
      </c>
      <c r="R5935">
        <v>24.073702648276331</v>
      </c>
      <c r="S5935">
        <v>24.608450305226398</v>
      </c>
      <c r="T5935">
        <v>25.235979890070553</v>
      </c>
      <c r="U5935">
        <v>25.920595799291718</v>
      </c>
      <c r="V5935">
        <v>26.661990633825503</v>
      </c>
      <c r="W5935">
        <v>27.452349234002483</v>
      </c>
      <c r="X5935">
        <v>28.293841432657189</v>
      </c>
      <c r="Y5935">
        <v>29.183745384197579</v>
      </c>
      <c r="Z5935">
        <v>30.12810756015719</v>
      </c>
      <c r="AA5935">
        <v>31.128351387303297</v>
      </c>
      <c r="AB5935">
        <v>32.187972891357475</v>
      </c>
      <c r="AC5935">
        <v>33.310980167257767</v>
      </c>
      <c r="AD5935">
        <v>0</v>
      </c>
    </row>
    <row r="5936" spans="2:30" x14ac:dyDescent="0.25">
      <c r="B5936" t="s">
        <v>133</v>
      </c>
      <c r="C5936" t="s">
        <v>10598</v>
      </c>
      <c r="D5936" t="s">
        <v>5948</v>
      </c>
      <c r="E5936" t="s">
        <v>5949</v>
      </c>
      <c r="F5936" t="s">
        <v>11240</v>
      </c>
      <c r="G5936" t="s">
        <v>5933</v>
      </c>
      <c r="H5936" t="s">
        <v>5951</v>
      </c>
      <c r="J5936">
        <v>1</v>
      </c>
      <c r="K5936">
        <v>54.858705649999997</v>
      </c>
    </row>
    <row r="5937" spans="2:30" x14ac:dyDescent="0.25">
      <c r="B5937" t="s">
        <v>133</v>
      </c>
      <c r="C5937" t="s">
        <v>10598</v>
      </c>
      <c r="D5937" t="s">
        <v>5952</v>
      </c>
      <c r="E5937" t="s">
        <v>5953</v>
      </c>
      <c r="F5937" t="s">
        <v>11241</v>
      </c>
      <c r="G5937" t="s">
        <v>5955</v>
      </c>
      <c r="H5937" t="s">
        <v>5956</v>
      </c>
      <c r="K5937">
        <v>5</v>
      </c>
      <c r="L5937">
        <v>5</v>
      </c>
      <c r="M5937">
        <v>5</v>
      </c>
      <c r="N5937">
        <v>5</v>
      </c>
      <c r="O5937">
        <v>5</v>
      </c>
      <c r="P5937">
        <v>5</v>
      </c>
      <c r="Q5937">
        <v>5</v>
      </c>
      <c r="R5937">
        <v>5</v>
      </c>
      <c r="S5937">
        <v>5</v>
      </c>
      <c r="T5937">
        <v>5</v>
      </c>
      <c r="U5937">
        <v>5</v>
      </c>
      <c r="V5937">
        <v>5</v>
      </c>
      <c r="W5937">
        <v>5</v>
      </c>
      <c r="X5937">
        <v>5</v>
      </c>
      <c r="Y5937">
        <v>5</v>
      </c>
      <c r="Z5937">
        <v>5</v>
      </c>
      <c r="AA5937">
        <v>5</v>
      </c>
      <c r="AB5937">
        <v>5</v>
      </c>
      <c r="AC5937">
        <v>5</v>
      </c>
      <c r="AD5937">
        <v>0</v>
      </c>
    </row>
    <row r="5938" spans="2:30" x14ac:dyDescent="0.25">
      <c r="B5938" t="s">
        <v>133</v>
      </c>
      <c r="C5938" t="s">
        <v>10598</v>
      </c>
      <c r="D5938" t="s">
        <v>5957</v>
      </c>
      <c r="E5938" t="s">
        <v>5958</v>
      </c>
      <c r="F5938" t="s">
        <v>11242</v>
      </c>
      <c r="G5938" t="s">
        <v>5933</v>
      </c>
      <c r="H5938" t="s">
        <v>5960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1</v>
      </c>
      <c r="R5938">
        <v>2</v>
      </c>
      <c r="S5938">
        <v>4</v>
      </c>
      <c r="T5938">
        <v>8</v>
      </c>
      <c r="U5938">
        <v>12</v>
      </c>
      <c r="V5938">
        <v>18</v>
      </c>
      <c r="W5938">
        <v>24</v>
      </c>
      <c r="X5938">
        <v>32</v>
      </c>
      <c r="Y5938">
        <v>41</v>
      </c>
      <c r="Z5938">
        <v>49</v>
      </c>
      <c r="AA5938">
        <v>58</v>
      </c>
      <c r="AB5938">
        <v>64</v>
      </c>
      <c r="AC5938">
        <v>77</v>
      </c>
      <c r="AD5938">
        <v>0</v>
      </c>
    </row>
    <row r="5939" spans="2:30" x14ac:dyDescent="0.25">
      <c r="B5939" t="s">
        <v>133</v>
      </c>
      <c r="C5939" t="s">
        <v>10598</v>
      </c>
      <c r="D5939" t="s">
        <v>5961</v>
      </c>
      <c r="E5939" t="s">
        <v>5962</v>
      </c>
      <c r="F5939" t="s">
        <v>11243</v>
      </c>
      <c r="G5939" t="s">
        <v>5933</v>
      </c>
      <c r="H5939" t="s">
        <v>5960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18</v>
      </c>
      <c r="R5939">
        <v>54</v>
      </c>
      <c r="S5939">
        <v>111</v>
      </c>
      <c r="T5939">
        <v>194</v>
      </c>
      <c r="U5939">
        <v>291</v>
      </c>
      <c r="V5939">
        <v>413</v>
      </c>
      <c r="W5939">
        <v>538</v>
      </c>
      <c r="X5939">
        <v>678</v>
      </c>
      <c r="Y5939">
        <v>802</v>
      </c>
      <c r="Z5939">
        <v>894</v>
      </c>
      <c r="AA5939">
        <v>967</v>
      </c>
      <c r="AB5939">
        <v>962</v>
      </c>
      <c r="AC5939">
        <v>973</v>
      </c>
      <c r="AD5939">
        <v>0</v>
      </c>
    </row>
    <row r="5940" spans="2:30" x14ac:dyDescent="0.25">
      <c r="B5940" t="s">
        <v>133</v>
      </c>
      <c r="C5940" t="s">
        <v>10598</v>
      </c>
      <c r="D5940" t="s">
        <v>5964</v>
      </c>
      <c r="E5940" t="s">
        <v>5965</v>
      </c>
      <c r="F5940" t="s">
        <v>11244</v>
      </c>
      <c r="G5940" t="s">
        <v>5933</v>
      </c>
      <c r="H5940" t="s">
        <v>5960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-1</v>
      </c>
      <c r="AA5940">
        <v>-1</v>
      </c>
      <c r="AB5940">
        <v>-1</v>
      </c>
      <c r="AC5940">
        <v>-1</v>
      </c>
      <c r="AD5940">
        <v>0</v>
      </c>
    </row>
    <row r="5941" spans="2:30" x14ac:dyDescent="0.25">
      <c r="B5941" t="s">
        <v>133</v>
      </c>
      <c r="C5941" t="s">
        <v>10598</v>
      </c>
      <c r="D5941" t="s">
        <v>3279</v>
      </c>
      <c r="E5941" t="s">
        <v>3281</v>
      </c>
      <c r="F5941" t="s">
        <v>11245</v>
      </c>
      <c r="G5941" t="s">
        <v>5933</v>
      </c>
      <c r="H5941" t="s">
        <v>5960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18</v>
      </c>
      <c r="R5941">
        <v>56</v>
      </c>
      <c r="S5941">
        <v>115</v>
      </c>
      <c r="T5941">
        <v>202</v>
      </c>
      <c r="U5941">
        <v>303</v>
      </c>
      <c r="V5941">
        <v>431</v>
      </c>
      <c r="W5941">
        <v>562</v>
      </c>
      <c r="X5941">
        <v>710</v>
      </c>
      <c r="Y5941">
        <v>842</v>
      </c>
      <c r="Z5941">
        <v>942</v>
      </c>
      <c r="AA5941">
        <v>1024</v>
      </c>
      <c r="AB5941">
        <v>1026</v>
      </c>
      <c r="AC5941">
        <v>1050</v>
      </c>
      <c r="AD5941">
        <v>0</v>
      </c>
    </row>
    <row r="5942" spans="2:30" x14ac:dyDescent="0.25">
      <c r="B5942" t="s">
        <v>133</v>
      </c>
      <c r="C5942" t="s">
        <v>10598</v>
      </c>
      <c r="D5942" t="s">
        <v>3257</v>
      </c>
      <c r="E5942" t="s">
        <v>3259</v>
      </c>
      <c r="F5942" t="s">
        <v>11246</v>
      </c>
      <c r="G5942" t="s">
        <v>5933</v>
      </c>
      <c r="H5942" t="s">
        <v>5969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6</v>
      </c>
      <c r="R5942">
        <v>13</v>
      </c>
      <c r="S5942">
        <v>20</v>
      </c>
      <c r="T5942">
        <v>29</v>
      </c>
      <c r="U5942">
        <v>34</v>
      </c>
      <c r="V5942">
        <v>43</v>
      </c>
      <c r="W5942">
        <v>44</v>
      </c>
      <c r="X5942">
        <v>49</v>
      </c>
      <c r="Y5942">
        <v>44</v>
      </c>
      <c r="Z5942">
        <v>33</v>
      </c>
      <c r="AA5942">
        <v>27</v>
      </c>
      <c r="AB5942">
        <v>0</v>
      </c>
      <c r="AC5942">
        <v>8</v>
      </c>
      <c r="AD5942">
        <v>0</v>
      </c>
    </row>
    <row r="5943" spans="2:30" x14ac:dyDescent="0.25">
      <c r="B5943" t="s">
        <v>133</v>
      </c>
      <c r="C5943" t="s">
        <v>10598</v>
      </c>
      <c r="D5943" t="s">
        <v>3267</v>
      </c>
      <c r="E5943" t="s">
        <v>3268</v>
      </c>
      <c r="F5943" t="s">
        <v>11247</v>
      </c>
      <c r="G5943" t="s">
        <v>5933</v>
      </c>
      <c r="H5943" t="s">
        <v>5969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10</v>
      </c>
      <c r="R5943">
        <v>23</v>
      </c>
      <c r="S5943">
        <v>36</v>
      </c>
      <c r="T5943">
        <v>53</v>
      </c>
      <c r="U5943">
        <v>62</v>
      </c>
      <c r="V5943">
        <v>78</v>
      </c>
      <c r="W5943">
        <v>81</v>
      </c>
      <c r="X5943">
        <v>91</v>
      </c>
      <c r="Y5943">
        <v>82</v>
      </c>
      <c r="Z5943">
        <v>62</v>
      </c>
      <c r="AA5943">
        <v>51</v>
      </c>
      <c r="AB5943">
        <v>1</v>
      </c>
      <c r="AC5943">
        <v>16</v>
      </c>
      <c r="AD5943">
        <v>0</v>
      </c>
    </row>
    <row r="5944" spans="2:30" x14ac:dyDescent="0.25">
      <c r="B5944" t="s">
        <v>133</v>
      </c>
      <c r="C5944" t="s">
        <v>10598</v>
      </c>
      <c r="D5944" t="s">
        <v>3273</v>
      </c>
      <c r="E5944" t="s">
        <v>3274</v>
      </c>
      <c r="F5944" t="s">
        <v>11248</v>
      </c>
      <c r="G5944" t="s">
        <v>5933</v>
      </c>
      <c r="H5944" t="s">
        <v>5969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1</v>
      </c>
      <c r="R5944">
        <v>2</v>
      </c>
      <c r="S5944">
        <v>3</v>
      </c>
      <c r="T5944">
        <v>4</v>
      </c>
      <c r="U5944">
        <v>5</v>
      </c>
      <c r="V5944">
        <v>6</v>
      </c>
      <c r="W5944">
        <v>7</v>
      </c>
      <c r="X5944">
        <v>7</v>
      </c>
      <c r="Y5944">
        <v>7</v>
      </c>
      <c r="Z5944">
        <v>5</v>
      </c>
      <c r="AA5944">
        <v>4</v>
      </c>
      <c r="AB5944">
        <v>0</v>
      </c>
      <c r="AC5944">
        <v>1</v>
      </c>
      <c r="AD5944">
        <v>0</v>
      </c>
    </row>
    <row r="5945" spans="2:30" x14ac:dyDescent="0.25">
      <c r="B5945" t="s">
        <v>133</v>
      </c>
      <c r="C5945" t="s">
        <v>10598</v>
      </c>
      <c r="D5945" t="s">
        <v>5972</v>
      </c>
      <c r="E5945" t="s">
        <v>5973</v>
      </c>
      <c r="F5945" t="s">
        <v>11249</v>
      </c>
      <c r="G5945" t="s">
        <v>5933</v>
      </c>
      <c r="H5945" t="s">
        <v>5975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38</v>
      </c>
      <c r="Q5945">
        <v>469</v>
      </c>
      <c r="R5945">
        <v>1046</v>
      </c>
      <c r="S5945">
        <v>1625</v>
      </c>
      <c r="T5945">
        <v>2379</v>
      </c>
      <c r="U5945">
        <v>2785</v>
      </c>
      <c r="V5945">
        <v>3500</v>
      </c>
      <c r="W5945">
        <v>3606</v>
      </c>
      <c r="X5945">
        <v>4036</v>
      </c>
      <c r="Y5945">
        <v>3623</v>
      </c>
      <c r="Z5945">
        <v>2732</v>
      </c>
      <c r="AA5945">
        <v>2220</v>
      </c>
      <c r="AB5945">
        <v>0</v>
      </c>
      <c r="AC5945">
        <v>603</v>
      </c>
      <c r="AD5945">
        <v>0</v>
      </c>
    </row>
    <row r="5946" spans="2:30" x14ac:dyDescent="0.25">
      <c r="B5946" t="s">
        <v>133</v>
      </c>
      <c r="C5946" t="s">
        <v>10598</v>
      </c>
      <c r="D5946" t="s">
        <v>5976</v>
      </c>
      <c r="E5946" t="s">
        <v>5977</v>
      </c>
      <c r="F5946" t="s">
        <v>11250</v>
      </c>
      <c r="G5946" t="s">
        <v>5933</v>
      </c>
      <c r="H5946" t="s">
        <v>5979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2</v>
      </c>
      <c r="Q5946">
        <v>21</v>
      </c>
      <c r="R5946">
        <v>61</v>
      </c>
      <c r="S5946">
        <v>94</v>
      </c>
      <c r="T5946">
        <v>139</v>
      </c>
      <c r="U5946">
        <v>163</v>
      </c>
      <c r="V5946">
        <v>210</v>
      </c>
      <c r="W5946">
        <v>218</v>
      </c>
      <c r="X5946">
        <v>253</v>
      </c>
      <c r="Y5946">
        <v>235</v>
      </c>
      <c r="Z5946">
        <v>190</v>
      </c>
      <c r="AA5946">
        <v>177</v>
      </c>
      <c r="AB5946">
        <v>46</v>
      </c>
      <c r="AC5946">
        <v>121</v>
      </c>
      <c r="AD5946">
        <v>0</v>
      </c>
    </row>
    <row r="5947" spans="2:30" x14ac:dyDescent="0.25">
      <c r="B5947" t="s">
        <v>133</v>
      </c>
      <c r="C5947" t="s">
        <v>10598</v>
      </c>
      <c r="D5947" t="s">
        <v>3286</v>
      </c>
      <c r="E5947" t="s">
        <v>3287</v>
      </c>
      <c r="F5947" t="s">
        <v>11251</v>
      </c>
      <c r="G5947" t="s">
        <v>5933</v>
      </c>
      <c r="H5947" t="s">
        <v>5981</v>
      </c>
      <c r="K5947">
        <v>64271.06</v>
      </c>
      <c r="L5947">
        <v>64975.82</v>
      </c>
      <c r="M5947">
        <v>68417.05</v>
      </c>
      <c r="N5947">
        <v>71666.720000000001</v>
      </c>
      <c r="O5947">
        <v>72894.960000000006</v>
      </c>
      <c r="P5947">
        <v>74371.66</v>
      </c>
      <c r="Q5947">
        <v>75999.94</v>
      </c>
      <c r="R5947">
        <v>77591.28</v>
      </c>
      <c r="S5947">
        <v>79228.039999999994</v>
      </c>
      <c r="T5947">
        <v>80975.05</v>
      </c>
      <c r="U5947">
        <v>82801.66</v>
      </c>
      <c r="V5947">
        <v>84709.53</v>
      </c>
      <c r="W5947">
        <v>86695.6</v>
      </c>
      <c r="X5947">
        <v>88759.31</v>
      </c>
      <c r="Y5947">
        <v>90900.75</v>
      </c>
      <c r="Z5947">
        <v>93128.13</v>
      </c>
      <c r="AA5947">
        <v>95440.97</v>
      </c>
      <c r="AB5947">
        <v>97843.51</v>
      </c>
      <c r="AC5947">
        <v>100335.18</v>
      </c>
      <c r="AD5947">
        <v>0</v>
      </c>
    </row>
    <row r="5948" spans="2:30" x14ac:dyDescent="0.25">
      <c r="B5948" t="s">
        <v>133</v>
      </c>
      <c r="C5948" t="s">
        <v>10598</v>
      </c>
      <c r="D5948" t="s">
        <v>5982</v>
      </c>
      <c r="E5948" t="s">
        <v>5983</v>
      </c>
      <c r="F5948" t="s">
        <v>11252</v>
      </c>
      <c r="G5948" t="s">
        <v>5933</v>
      </c>
      <c r="H5948" t="s">
        <v>5985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  <c r="W5948" t="e">
        <v>#N/A</v>
      </c>
      <c r="X5948" t="e">
        <v>#N/A</v>
      </c>
      <c r="Y5948" t="e">
        <v>#N/A</v>
      </c>
      <c r="Z5948" t="e">
        <v>#N/A</v>
      </c>
      <c r="AA5948" t="e">
        <v>#N/A</v>
      </c>
      <c r="AB5948" t="e">
        <v>#N/A</v>
      </c>
      <c r="AC5948" t="e">
        <v>#N/A</v>
      </c>
      <c r="AD5948">
        <v>0</v>
      </c>
    </row>
    <row r="5949" spans="2:30" x14ac:dyDescent="0.25">
      <c r="B5949" t="s">
        <v>133</v>
      </c>
      <c r="C5949" t="s">
        <v>10598</v>
      </c>
      <c r="D5949" t="s">
        <v>5986</v>
      </c>
      <c r="E5949" t="s">
        <v>5987</v>
      </c>
      <c r="F5949" t="s">
        <v>11253</v>
      </c>
      <c r="G5949" t="s">
        <v>5933</v>
      </c>
      <c r="H5949" t="s">
        <v>5985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  <c r="W5949" t="e">
        <v>#N/A</v>
      </c>
      <c r="X5949" t="e">
        <v>#N/A</v>
      </c>
      <c r="Y5949" t="e">
        <v>#N/A</v>
      </c>
      <c r="Z5949" t="e">
        <v>#N/A</v>
      </c>
      <c r="AA5949" t="e">
        <v>#N/A</v>
      </c>
      <c r="AB5949" t="e">
        <v>#N/A</v>
      </c>
      <c r="AC5949" t="e">
        <v>#N/A</v>
      </c>
      <c r="AD5949">
        <v>0</v>
      </c>
    </row>
    <row r="5950" spans="2:30" x14ac:dyDescent="0.25">
      <c r="B5950" t="s">
        <v>133</v>
      </c>
      <c r="C5950" t="s">
        <v>10598</v>
      </c>
      <c r="D5950" t="s">
        <v>5989</v>
      </c>
      <c r="E5950" t="s">
        <v>5990</v>
      </c>
      <c r="F5950" t="s">
        <v>11254</v>
      </c>
      <c r="G5950" t="s">
        <v>5933</v>
      </c>
      <c r="H5950" t="s">
        <v>5985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  <c r="W5950" t="e">
        <v>#N/A</v>
      </c>
      <c r="X5950" t="e">
        <v>#N/A</v>
      </c>
      <c r="Y5950" t="e">
        <v>#N/A</v>
      </c>
      <c r="Z5950" t="e">
        <v>#N/A</v>
      </c>
      <c r="AA5950" t="e">
        <v>#N/A</v>
      </c>
      <c r="AB5950" t="e">
        <v>#N/A</v>
      </c>
      <c r="AC5950" t="e">
        <v>#N/A</v>
      </c>
      <c r="AD5950">
        <v>0</v>
      </c>
    </row>
    <row r="5951" spans="2:30" x14ac:dyDescent="0.25">
      <c r="B5951" t="s">
        <v>133</v>
      </c>
      <c r="C5951" t="s">
        <v>10598</v>
      </c>
      <c r="D5951" t="s">
        <v>5992</v>
      </c>
      <c r="E5951" t="s">
        <v>5993</v>
      </c>
      <c r="F5951" t="s">
        <v>11255</v>
      </c>
      <c r="G5951" t="s">
        <v>5933</v>
      </c>
      <c r="H5951" t="s">
        <v>5985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  <c r="W5951" t="e">
        <v>#N/A</v>
      </c>
      <c r="X5951" t="e">
        <v>#N/A</v>
      </c>
      <c r="Y5951" t="e">
        <v>#N/A</v>
      </c>
      <c r="Z5951" t="e">
        <v>#N/A</v>
      </c>
      <c r="AA5951" t="e">
        <v>#N/A</v>
      </c>
      <c r="AB5951" t="e">
        <v>#N/A</v>
      </c>
      <c r="AC5951" t="e">
        <v>#N/A</v>
      </c>
      <c r="AD5951">
        <v>0</v>
      </c>
    </row>
    <row r="5952" spans="2:30" x14ac:dyDescent="0.25">
      <c r="B5952" t="s">
        <v>133</v>
      </c>
      <c r="C5952" t="s">
        <v>10598</v>
      </c>
      <c r="D5952" t="s">
        <v>5995</v>
      </c>
      <c r="E5952" t="s">
        <v>5996</v>
      </c>
      <c r="F5952" t="s">
        <v>11256</v>
      </c>
      <c r="G5952" t="s">
        <v>5933</v>
      </c>
      <c r="H5952" t="s">
        <v>5985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  <c r="W5952" t="e">
        <v>#N/A</v>
      </c>
      <c r="X5952" t="e">
        <v>#N/A</v>
      </c>
      <c r="Y5952" t="e">
        <v>#N/A</v>
      </c>
      <c r="Z5952" t="e">
        <v>#N/A</v>
      </c>
      <c r="AA5952" t="e">
        <v>#N/A</v>
      </c>
      <c r="AB5952" t="e">
        <v>#N/A</v>
      </c>
      <c r="AC5952" t="e">
        <v>#N/A</v>
      </c>
      <c r="AD5952">
        <v>0</v>
      </c>
    </row>
    <row r="5953" spans="2:30" x14ac:dyDescent="0.25">
      <c r="B5953" t="s">
        <v>133</v>
      </c>
      <c r="C5953" t="s">
        <v>10598</v>
      </c>
      <c r="D5953" t="s">
        <v>5998</v>
      </c>
      <c r="E5953" t="s">
        <v>5999</v>
      </c>
      <c r="F5953" t="s">
        <v>11257</v>
      </c>
      <c r="G5953" t="s">
        <v>5933</v>
      </c>
      <c r="H5953" t="s">
        <v>5985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  <c r="W5953" t="e">
        <v>#N/A</v>
      </c>
      <c r="X5953" t="e">
        <v>#N/A</v>
      </c>
      <c r="Y5953" t="e">
        <v>#N/A</v>
      </c>
      <c r="Z5953" t="e">
        <v>#N/A</v>
      </c>
      <c r="AA5953" t="e">
        <v>#N/A</v>
      </c>
      <c r="AB5953" t="e">
        <v>#N/A</v>
      </c>
      <c r="AC5953" t="e">
        <v>#N/A</v>
      </c>
      <c r="AD5953">
        <v>0</v>
      </c>
    </row>
    <row r="5954" spans="2:30" x14ac:dyDescent="0.25">
      <c r="B5954" t="s">
        <v>133</v>
      </c>
      <c r="C5954" t="s">
        <v>10598</v>
      </c>
      <c r="D5954" t="s">
        <v>6001</v>
      </c>
      <c r="E5954" t="s">
        <v>6002</v>
      </c>
      <c r="F5954" t="s">
        <v>11258</v>
      </c>
      <c r="G5954" t="s">
        <v>5933</v>
      </c>
      <c r="H5954" t="s">
        <v>5985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  <c r="W5954" t="e">
        <v>#N/A</v>
      </c>
      <c r="X5954" t="e">
        <v>#N/A</v>
      </c>
      <c r="Y5954" t="e">
        <v>#N/A</v>
      </c>
      <c r="Z5954" t="e">
        <v>#N/A</v>
      </c>
      <c r="AA5954" t="e">
        <v>#N/A</v>
      </c>
      <c r="AB5954" t="e">
        <v>#N/A</v>
      </c>
      <c r="AC5954" t="e">
        <v>#N/A</v>
      </c>
      <c r="AD5954">
        <v>0</v>
      </c>
    </row>
    <row r="5955" spans="2:30" x14ac:dyDescent="0.25">
      <c r="B5955" t="s">
        <v>133</v>
      </c>
      <c r="C5955" t="s">
        <v>10598</v>
      </c>
      <c r="D5955" t="s">
        <v>6004</v>
      </c>
      <c r="E5955" t="s">
        <v>6005</v>
      </c>
      <c r="F5955" t="s">
        <v>11259</v>
      </c>
      <c r="G5955" t="s">
        <v>5933</v>
      </c>
      <c r="H5955" t="s">
        <v>5985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  <c r="W5955" t="e">
        <v>#N/A</v>
      </c>
      <c r="X5955" t="e">
        <v>#N/A</v>
      </c>
      <c r="Y5955" t="e">
        <v>#N/A</v>
      </c>
      <c r="Z5955" t="e">
        <v>#N/A</v>
      </c>
      <c r="AA5955" t="e">
        <v>#N/A</v>
      </c>
      <c r="AB5955" t="e">
        <v>#N/A</v>
      </c>
      <c r="AC5955" t="e">
        <v>#N/A</v>
      </c>
      <c r="AD5955">
        <v>0</v>
      </c>
    </row>
    <row r="5956" spans="2:30" x14ac:dyDescent="0.25">
      <c r="B5956" t="s">
        <v>133</v>
      </c>
      <c r="C5956" t="s">
        <v>10598</v>
      </c>
      <c r="D5956" t="s">
        <v>6007</v>
      </c>
      <c r="E5956" t="s">
        <v>6008</v>
      </c>
      <c r="F5956" t="s">
        <v>11260</v>
      </c>
      <c r="G5956" t="s">
        <v>5933</v>
      </c>
      <c r="H5956" t="s">
        <v>6010</v>
      </c>
      <c r="I5956" t="s">
        <v>6011</v>
      </c>
      <c r="K5956">
        <v>1.01</v>
      </c>
      <c r="L5956">
        <v>1.05</v>
      </c>
      <c r="M5956">
        <v>1.1000000000000001</v>
      </c>
      <c r="N5956">
        <v>1.18</v>
      </c>
      <c r="O5956">
        <v>1.24</v>
      </c>
      <c r="P5956">
        <v>1.3</v>
      </c>
      <c r="Q5956">
        <v>1.38</v>
      </c>
      <c r="R5956">
        <v>1.46</v>
      </c>
      <c r="S5956">
        <v>1.54</v>
      </c>
      <c r="T5956">
        <v>1.63</v>
      </c>
      <c r="U5956">
        <v>1.72</v>
      </c>
      <c r="V5956">
        <v>1.81</v>
      </c>
      <c r="W5956">
        <v>1.91</v>
      </c>
      <c r="X5956">
        <v>2.0099999999999998</v>
      </c>
      <c r="Y5956">
        <v>2.12</v>
      </c>
      <c r="Z5956">
        <v>2.2400000000000002</v>
      </c>
      <c r="AA5956">
        <v>2.36</v>
      </c>
      <c r="AB5956">
        <v>2.4900000000000002</v>
      </c>
      <c r="AC5956">
        <v>2.62</v>
      </c>
      <c r="AD5956">
        <v>0</v>
      </c>
    </row>
    <row r="5957" spans="2:30" x14ac:dyDescent="0.25">
      <c r="B5957" t="s">
        <v>133</v>
      </c>
      <c r="C5957" t="s">
        <v>10598</v>
      </c>
      <c r="D5957" t="s">
        <v>6012</v>
      </c>
      <c r="E5957" t="s">
        <v>6013</v>
      </c>
      <c r="F5957" t="s">
        <v>11261</v>
      </c>
      <c r="G5957" t="s">
        <v>5933</v>
      </c>
      <c r="H5957" t="s">
        <v>6010</v>
      </c>
      <c r="I5957" t="s">
        <v>6011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</row>
    <row r="5958" spans="2:30" x14ac:dyDescent="0.25">
      <c r="B5958" t="s">
        <v>133</v>
      </c>
      <c r="C5958" t="s">
        <v>10598</v>
      </c>
      <c r="D5958" t="s">
        <v>6015</v>
      </c>
      <c r="E5958" t="s">
        <v>6016</v>
      </c>
      <c r="F5958" t="s">
        <v>11262</v>
      </c>
      <c r="G5958" t="s">
        <v>3890</v>
      </c>
      <c r="H5958" t="s">
        <v>6018</v>
      </c>
      <c r="I5958" t="s">
        <v>4267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</row>
    <row r="5959" spans="2:30" x14ac:dyDescent="0.25">
      <c r="B5959" t="s">
        <v>133</v>
      </c>
      <c r="C5959" t="s">
        <v>10598</v>
      </c>
      <c r="D5959" t="s">
        <v>6019</v>
      </c>
      <c r="E5959" t="s">
        <v>6020</v>
      </c>
      <c r="F5959" t="s">
        <v>11263</v>
      </c>
      <c r="G5959" t="s">
        <v>3890</v>
      </c>
      <c r="H5959" t="s">
        <v>6018</v>
      </c>
      <c r="I5959" t="s">
        <v>4267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</row>
    <row r="5960" spans="2:30" x14ac:dyDescent="0.25">
      <c r="B5960" t="s">
        <v>133</v>
      </c>
      <c r="C5960" t="s">
        <v>10598</v>
      </c>
      <c r="D5960" t="s">
        <v>6022</v>
      </c>
      <c r="E5960" t="s">
        <v>6023</v>
      </c>
      <c r="F5960" t="s">
        <v>11264</v>
      </c>
      <c r="G5960" t="s">
        <v>3890</v>
      </c>
      <c r="H5960" t="s">
        <v>6018</v>
      </c>
      <c r="I5960" t="s">
        <v>4267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  <c r="W5960" t="e">
        <v>#N/A</v>
      </c>
      <c r="X5960" t="e">
        <v>#N/A</v>
      </c>
      <c r="Y5960" t="e">
        <v>#N/A</v>
      </c>
      <c r="Z5960" t="e">
        <v>#N/A</v>
      </c>
      <c r="AA5960" t="e">
        <v>#N/A</v>
      </c>
      <c r="AB5960" t="e">
        <v>#N/A</v>
      </c>
      <c r="AC5960" t="e">
        <v>#N/A</v>
      </c>
      <c r="AD5960" t="e">
        <v>#N/A</v>
      </c>
    </row>
    <row r="5961" spans="2:30" x14ac:dyDescent="0.25">
      <c r="B5961" t="s">
        <v>133</v>
      </c>
      <c r="C5961" t="s">
        <v>10598</v>
      </c>
      <c r="D5961" t="s">
        <v>6025</v>
      </c>
      <c r="E5961" t="s">
        <v>6026</v>
      </c>
      <c r="F5961" t="s">
        <v>11265</v>
      </c>
      <c r="G5961" t="s">
        <v>3890</v>
      </c>
      <c r="H5961" t="s">
        <v>6018</v>
      </c>
      <c r="I5961" t="s">
        <v>4267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  <c r="W5961" t="e">
        <v>#N/A</v>
      </c>
      <c r="X5961" t="e">
        <v>#N/A</v>
      </c>
      <c r="Y5961" t="e">
        <v>#N/A</v>
      </c>
      <c r="Z5961" t="e">
        <v>#N/A</v>
      </c>
      <c r="AA5961" t="e">
        <v>#N/A</v>
      </c>
      <c r="AB5961" t="e">
        <v>#N/A</v>
      </c>
      <c r="AC5961" t="e">
        <v>#N/A</v>
      </c>
      <c r="AD5961" t="e">
        <v>#N/A</v>
      </c>
    </row>
    <row r="5962" spans="2:30" x14ac:dyDescent="0.25">
      <c r="B5962" t="s">
        <v>133</v>
      </c>
      <c r="C5962" t="s">
        <v>10598</v>
      </c>
      <c r="D5962" t="s">
        <v>6028</v>
      </c>
      <c r="E5962" t="s">
        <v>6029</v>
      </c>
      <c r="F5962" t="s">
        <v>11266</v>
      </c>
      <c r="G5962" t="s">
        <v>3890</v>
      </c>
      <c r="H5962" t="s">
        <v>6018</v>
      </c>
      <c r="I5962" t="s">
        <v>4267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</row>
    <row r="5963" spans="2:30" x14ac:dyDescent="0.25">
      <c r="B5963" t="s">
        <v>133</v>
      </c>
      <c r="C5963" t="s">
        <v>10598</v>
      </c>
      <c r="D5963" t="s">
        <v>6031</v>
      </c>
      <c r="E5963" t="s">
        <v>6032</v>
      </c>
      <c r="F5963" t="s">
        <v>11267</v>
      </c>
      <c r="G5963" t="s">
        <v>3890</v>
      </c>
      <c r="H5963" t="s">
        <v>6018</v>
      </c>
      <c r="I5963" t="s">
        <v>4267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  <c r="W5963" t="e">
        <v>#N/A</v>
      </c>
      <c r="X5963" t="e">
        <v>#N/A</v>
      </c>
      <c r="Y5963" t="e">
        <v>#N/A</v>
      </c>
      <c r="Z5963" t="e">
        <v>#N/A</v>
      </c>
      <c r="AA5963" t="e">
        <v>#N/A</v>
      </c>
      <c r="AB5963" t="e">
        <v>#N/A</v>
      </c>
      <c r="AC5963" t="e">
        <v>#N/A</v>
      </c>
      <c r="AD5963" t="e">
        <v>#N/A</v>
      </c>
    </row>
    <row r="5964" spans="2:30" x14ac:dyDescent="0.25">
      <c r="B5964" t="s">
        <v>133</v>
      </c>
      <c r="C5964" t="s">
        <v>10598</v>
      </c>
      <c r="D5964" t="s">
        <v>6034</v>
      </c>
      <c r="E5964" t="s">
        <v>6035</v>
      </c>
      <c r="F5964" t="s">
        <v>11268</v>
      </c>
      <c r="G5964" t="s">
        <v>3890</v>
      </c>
      <c r="H5964" t="s">
        <v>6018</v>
      </c>
      <c r="I5964" t="s">
        <v>6037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  <c r="W5964" t="e">
        <v>#N/A</v>
      </c>
      <c r="X5964" t="e">
        <v>#N/A</v>
      </c>
      <c r="Y5964" t="e">
        <v>#N/A</v>
      </c>
      <c r="Z5964" t="e">
        <v>#N/A</v>
      </c>
      <c r="AA5964" t="e">
        <v>#N/A</v>
      </c>
      <c r="AB5964" t="e">
        <v>#N/A</v>
      </c>
      <c r="AC5964" t="e">
        <v>#N/A</v>
      </c>
      <c r="AD5964" t="e">
        <v>#N/A</v>
      </c>
    </row>
    <row r="5965" spans="2:30" x14ac:dyDescent="0.25">
      <c r="B5965" t="s">
        <v>133</v>
      </c>
      <c r="C5965" t="s">
        <v>10598</v>
      </c>
      <c r="D5965" t="s">
        <v>6038</v>
      </c>
      <c r="E5965" t="s">
        <v>6039</v>
      </c>
      <c r="F5965" t="s">
        <v>11269</v>
      </c>
      <c r="G5965" t="s">
        <v>3890</v>
      </c>
      <c r="H5965" t="s">
        <v>6018</v>
      </c>
      <c r="I5965" t="s">
        <v>6037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  <c r="W5965" t="e">
        <v>#N/A</v>
      </c>
      <c r="X5965" t="e">
        <v>#N/A</v>
      </c>
      <c r="Y5965" t="e">
        <v>#N/A</v>
      </c>
      <c r="Z5965" t="e">
        <v>#N/A</v>
      </c>
      <c r="AA5965" t="e">
        <v>#N/A</v>
      </c>
      <c r="AB5965" t="e">
        <v>#N/A</v>
      </c>
      <c r="AC5965" t="e">
        <v>#N/A</v>
      </c>
      <c r="AD5965" t="e">
        <v>#N/A</v>
      </c>
    </row>
    <row r="5966" spans="2:30" x14ac:dyDescent="0.25">
      <c r="B5966" t="s">
        <v>133</v>
      </c>
      <c r="C5966" t="s">
        <v>10598</v>
      </c>
      <c r="D5966" t="s">
        <v>6041</v>
      </c>
      <c r="E5966" t="s">
        <v>6042</v>
      </c>
      <c r="F5966" t="s">
        <v>11270</v>
      </c>
      <c r="G5966" t="s">
        <v>3890</v>
      </c>
      <c r="H5966" t="s">
        <v>6018</v>
      </c>
      <c r="I5966" t="s">
        <v>6037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  <c r="W5966" t="e">
        <v>#N/A</v>
      </c>
      <c r="X5966" t="e">
        <v>#N/A</v>
      </c>
      <c r="Y5966" t="e">
        <v>#N/A</v>
      </c>
      <c r="Z5966" t="e">
        <v>#N/A</v>
      </c>
      <c r="AA5966" t="e">
        <v>#N/A</v>
      </c>
      <c r="AB5966" t="e">
        <v>#N/A</v>
      </c>
      <c r="AC5966" t="e">
        <v>#N/A</v>
      </c>
      <c r="AD5966" t="e">
        <v>#N/A</v>
      </c>
    </row>
    <row r="5967" spans="2:30" x14ac:dyDescent="0.25">
      <c r="B5967" t="s">
        <v>133</v>
      </c>
      <c r="C5967" t="s">
        <v>10598</v>
      </c>
      <c r="D5967" t="s">
        <v>6044</v>
      </c>
      <c r="E5967" t="s">
        <v>6045</v>
      </c>
      <c r="F5967" t="s">
        <v>11271</v>
      </c>
      <c r="G5967" t="s">
        <v>3890</v>
      </c>
      <c r="H5967" t="s">
        <v>6018</v>
      </c>
      <c r="I5967" t="s">
        <v>6037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  <c r="W5967" t="e">
        <v>#N/A</v>
      </c>
      <c r="X5967" t="e">
        <v>#N/A</v>
      </c>
      <c r="Y5967" t="e">
        <v>#N/A</v>
      </c>
      <c r="Z5967" t="e">
        <v>#N/A</v>
      </c>
      <c r="AA5967" t="e">
        <v>#N/A</v>
      </c>
      <c r="AB5967" t="e">
        <v>#N/A</v>
      </c>
      <c r="AC5967" t="e">
        <v>#N/A</v>
      </c>
      <c r="AD5967" t="e">
        <v>#N/A</v>
      </c>
    </row>
    <row r="5968" spans="2:30" x14ac:dyDescent="0.25">
      <c r="B5968" t="s">
        <v>133</v>
      </c>
      <c r="C5968" t="s">
        <v>10598</v>
      </c>
      <c r="D5968" t="s">
        <v>6047</v>
      </c>
      <c r="E5968" t="s">
        <v>6048</v>
      </c>
      <c r="F5968" t="s">
        <v>11272</v>
      </c>
      <c r="G5968" t="s">
        <v>5933</v>
      </c>
      <c r="H5968" t="s">
        <v>6050</v>
      </c>
      <c r="I5968" t="s">
        <v>6051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1.2E-2</v>
      </c>
      <c r="Q5968">
        <v>0.151</v>
      </c>
      <c r="R5968">
        <v>0.34300000000000003</v>
      </c>
      <c r="S5968">
        <v>0.54300000000000004</v>
      </c>
      <c r="T5968">
        <v>0.80600000000000005</v>
      </c>
      <c r="U5968">
        <v>0.96099999999999997</v>
      </c>
      <c r="V5968">
        <v>1.226</v>
      </c>
      <c r="W5968">
        <v>1.286</v>
      </c>
      <c r="X5968">
        <v>1.456</v>
      </c>
      <c r="Y5968">
        <v>1.323</v>
      </c>
      <c r="Z5968">
        <v>1</v>
      </c>
      <c r="AA5968">
        <v>0.8</v>
      </c>
      <c r="AB5968">
        <v>-5.6000000000000001E-2</v>
      </c>
      <c r="AC5968">
        <v>0.13300000000000001</v>
      </c>
      <c r="AD5968">
        <v>0</v>
      </c>
    </row>
    <row r="5969" spans="2:30" x14ac:dyDescent="0.25">
      <c r="B5969" t="s">
        <v>133</v>
      </c>
      <c r="C5969" t="s">
        <v>10598</v>
      </c>
      <c r="D5969" t="s">
        <v>6052</v>
      </c>
      <c r="E5969" t="s">
        <v>6053</v>
      </c>
      <c r="F5969" t="s">
        <v>11273</v>
      </c>
      <c r="G5969" t="s">
        <v>5933</v>
      </c>
      <c r="H5969" t="s">
        <v>6050</v>
      </c>
      <c r="I5969" t="s">
        <v>6051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2E-3</v>
      </c>
      <c r="Q5969">
        <v>2.4E-2</v>
      </c>
      <c r="R5969">
        <v>5.5E-2</v>
      </c>
      <c r="S5969">
        <v>8.6999999999999994E-2</v>
      </c>
      <c r="T5969">
        <v>0.13</v>
      </c>
      <c r="U5969">
        <v>0.155</v>
      </c>
      <c r="V5969">
        <v>0.19800000000000001</v>
      </c>
      <c r="W5969">
        <v>0.20699999999999999</v>
      </c>
      <c r="X5969">
        <v>0.23499999999999999</v>
      </c>
      <c r="Y5969">
        <v>0.21299999999999999</v>
      </c>
      <c r="Z5969">
        <v>0.161</v>
      </c>
      <c r="AA5969">
        <v>0.129</v>
      </c>
      <c r="AB5969">
        <v>-8.9999999999999993E-3</v>
      </c>
      <c r="AC5969">
        <v>2.1000000000000001E-2</v>
      </c>
      <c r="AD5969">
        <v>0</v>
      </c>
    </row>
    <row r="5970" spans="2:30" x14ac:dyDescent="0.25">
      <c r="B5970" t="s">
        <v>133</v>
      </c>
      <c r="C5970" t="s">
        <v>10598</v>
      </c>
      <c r="D5970" t="s">
        <v>6055</v>
      </c>
      <c r="E5970" t="s">
        <v>6056</v>
      </c>
      <c r="F5970" t="s">
        <v>11274</v>
      </c>
      <c r="G5970" t="s">
        <v>5933</v>
      </c>
      <c r="H5970" t="s">
        <v>6050</v>
      </c>
      <c r="I5970" t="s">
        <v>6051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1.7999999999999999E-2</v>
      </c>
      <c r="Q5970">
        <v>0.222</v>
      </c>
      <c r="R5970">
        <v>0.503</v>
      </c>
      <c r="S5970">
        <v>0.79600000000000004</v>
      </c>
      <c r="T5970">
        <v>1.1819999999999999</v>
      </c>
      <c r="U5970">
        <v>1.41</v>
      </c>
      <c r="V5970">
        <v>1.7989999999999999</v>
      </c>
      <c r="W5970">
        <v>1.887</v>
      </c>
      <c r="X5970">
        <v>2.1360000000000001</v>
      </c>
      <c r="Y5970">
        <v>1.9410000000000001</v>
      </c>
      <c r="Z5970">
        <v>1.4670000000000001</v>
      </c>
      <c r="AA5970">
        <v>1.173</v>
      </c>
      <c r="AB5970">
        <v>-8.3000000000000004E-2</v>
      </c>
      <c r="AC5970">
        <v>0.19600000000000001</v>
      </c>
      <c r="AD5970">
        <v>0</v>
      </c>
    </row>
    <row r="5971" spans="2:30" x14ac:dyDescent="0.25">
      <c r="B5971" t="s">
        <v>133</v>
      </c>
      <c r="C5971" t="s">
        <v>10598</v>
      </c>
      <c r="D5971" t="s">
        <v>6058</v>
      </c>
      <c r="E5971" t="s">
        <v>6059</v>
      </c>
      <c r="F5971" t="s">
        <v>11275</v>
      </c>
      <c r="G5971" t="s">
        <v>5933</v>
      </c>
      <c r="H5971" t="s">
        <v>6050</v>
      </c>
      <c r="I5971" t="s">
        <v>6051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1E-3</v>
      </c>
      <c r="Q5971">
        <v>8.9999999999999993E-3</v>
      </c>
      <c r="R5971">
        <v>0.02</v>
      </c>
      <c r="S5971">
        <v>3.1E-2</v>
      </c>
      <c r="T5971">
        <v>4.5999999999999999E-2</v>
      </c>
      <c r="U5971">
        <v>5.5E-2</v>
      </c>
      <c r="V5971">
        <v>7.0000000000000007E-2</v>
      </c>
      <c r="W5971">
        <v>7.2999999999999995E-2</v>
      </c>
      <c r="X5971">
        <v>8.3000000000000004E-2</v>
      </c>
      <c r="Y5971">
        <v>7.4999999999999997E-2</v>
      </c>
      <c r="Z5971">
        <v>5.7000000000000002E-2</v>
      </c>
      <c r="AA5971">
        <v>4.5999999999999999E-2</v>
      </c>
      <c r="AB5971">
        <v>-3.0000000000000001E-3</v>
      </c>
      <c r="AC5971">
        <v>8.0000000000000002E-3</v>
      </c>
      <c r="AD5971">
        <v>0</v>
      </c>
    </row>
    <row r="5972" spans="2:30" x14ac:dyDescent="0.25">
      <c r="B5972" t="s">
        <v>133</v>
      </c>
      <c r="C5972" t="s">
        <v>10598</v>
      </c>
      <c r="D5972" t="s">
        <v>6061</v>
      </c>
      <c r="E5972" t="s">
        <v>6062</v>
      </c>
      <c r="F5972" t="s">
        <v>11276</v>
      </c>
      <c r="G5972" t="s">
        <v>5933</v>
      </c>
      <c r="H5972" t="s">
        <v>6064</v>
      </c>
      <c r="I5972" t="s">
        <v>6065</v>
      </c>
      <c r="J5972">
        <v>1</v>
      </c>
      <c r="K5972">
        <v>4.2999999999999997E-2</v>
      </c>
      <c r="L5972">
        <v>4.36E-2</v>
      </c>
      <c r="M5972">
        <v>4.4400000000000002E-2</v>
      </c>
      <c r="N5972">
        <v>4.48E-2</v>
      </c>
      <c r="O5972">
        <v>4.53E-2</v>
      </c>
      <c r="P5972">
        <v>4.58E-2</v>
      </c>
      <c r="Q5972">
        <v>4.6199999999999998E-2</v>
      </c>
      <c r="R5972">
        <v>4.6699999999999998E-2</v>
      </c>
      <c r="S5972">
        <v>4.7E-2</v>
      </c>
      <c r="T5972">
        <v>4.7399999999999998E-2</v>
      </c>
      <c r="U5972">
        <v>4.7699999999999999E-2</v>
      </c>
      <c r="V5972">
        <v>4.8099999999999997E-2</v>
      </c>
      <c r="W5972">
        <v>4.8399999999999999E-2</v>
      </c>
      <c r="X5972">
        <v>4.87E-2</v>
      </c>
      <c r="Y5972">
        <v>4.9000000000000002E-2</v>
      </c>
      <c r="Z5972">
        <v>4.9200000000000001E-2</v>
      </c>
      <c r="AA5972">
        <v>4.9500000000000002E-2</v>
      </c>
      <c r="AB5972">
        <v>4.9700000000000001E-2</v>
      </c>
      <c r="AC5972">
        <v>0.05</v>
      </c>
      <c r="AD5972">
        <v>0</v>
      </c>
    </row>
    <row r="5973" spans="2:30" x14ac:dyDescent="0.25">
      <c r="B5973" t="s">
        <v>133</v>
      </c>
      <c r="C5973" t="s">
        <v>10598</v>
      </c>
      <c r="D5973" t="s">
        <v>6066</v>
      </c>
      <c r="E5973" t="s">
        <v>6067</v>
      </c>
      <c r="F5973" t="s">
        <v>11277</v>
      </c>
      <c r="G5973" t="s">
        <v>5933</v>
      </c>
      <c r="H5973" t="s">
        <v>6064</v>
      </c>
      <c r="I5973" t="s">
        <v>6065</v>
      </c>
      <c r="J5973">
        <v>1</v>
      </c>
      <c r="K5973">
        <v>2.7099999999999999E-2</v>
      </c>
      <c r="L5973">
        <v>2.75E-2</v>
      </c>
      <c r="M5973">
        <v>2.81E-2</v>
      </c>
      <c r="N5973">
        <v>2.8299999999999999E-2</v>
      </c>
      <c r="O5973">
        <v>2.87E-2</v>
      </c>
      <c r="P5973">
        <v>2.9000000000000001E-2</v>
      </c>
      <c r="Q5973">
        <v>2.93E-2</v>
      </c>
      <c r="R5973">
        <v>2.9600000000000001E-2</v>
      </c>
      <c r="S5973">
        <v>2.9899999999999999E-2</v>
      </c>
      <c r="T5973">
        <v>3.0200000000000001E-2</v>
      </c>
      <c r="U5973">
        <v>3.04E-2</v>
      </c>
      <c r="V5973">
        <v>3.0700000000000002E-2</v>
      </c>
      <c r="W5973">
        <v>3.09E-2</v>
      </c>
      <c r="X5973">
        <v>3.1099999999999999E-2</v>
      </c>
      <c r="Y5973">
        <v>3.1300000000000001E-2</v>
      </c>
      <c r="Z5973">
        <v>3.1600000000000003E-2</v>
      </c>
      <c r="AA5973">
        <v>3.1800000000000002E-2</v>
      </c>
      <c r="AB5973">
        <v>3.2000000000000001E-2</v>
      </c>
      <c r="AC5973">
        <v>3.2000000000000001E-2</v>
      </c>
      <c r="AD5973">
        <v>0</v>
      </c>
    </row>
    <row r="5974" spans="2:30" x14ac:dyDescent="0.25">
      <c r="B5974" t="s">
        <v>133</v>
      </c>
      <c r="C5974" t="s">
        <v>10598</v>
      </c>
      <c r="D5974" t="s">
        <v>6069</v>
      </c>
      <c r="E5974" t="s">
        <v>6070</v>
      </c>
      <c r="F5974" t="s">
        <v>11278</v>
      </c>
      <c r="G5974" t="s">
        <v>5933</v>
      </c>
      <c r="H5974" t="s">
        <v>6064</v>
      </c>
      <c r="I5974" t="s">
        <v>6065</v>
      </c>
      <c r="J5974">
        <v>1</v>
      </c>
      <c r="K5974">
        <v>0.78849999999999998</v>
      </c>
      <c r="L5974">
        <v>0.79659999999999997</v>
      </c>
      <c r="M5974">
        <v>0.80979999999999996</v>
      </c>
      <c r="N5974">
        <v>0.8135</v>
      </c>
      <c r="O5974">
        <v>0.82020000000000004</v>
      </c>
      <c r="P5974">
        <v>0.82650000000000001</v>
      </c>
      <c r="Q5974">
        <v>0.83250000000000002</v>
      </c>
      <c r="R5974">
        <v>0.83720000000000006</v>
      </c>
      <c r="S5974">
        <v>0.84130000000000005</v>
      </c>
      <c r="T5974">
        <v>0.8448</v>
      </c>
      <c r="U5974">
        <v>0.84799999999999998</v>
      </c>
      <c r="V5974">
        <v>0.85089999999999999</v>
      </c>
      <c r="W5974">
        <v>0.85350000000000004</v>
      </c>
      <c r="X5974">
        <v>0.85589999999999999</v>
      </c>
      <c r="Y5974">
        <v>0.85799999999999998</v>
      </c>
      <c r="Z5974">
        <v>0.85970000000000002</v>
      </c>
      <c r="AA5974">
        <v>0.86119999999999997</v>
      </c>
      <c r="AB5974">
        <v>0.86229999999999996</v>
      </c>
      <c r="AC5974">
        <v>0.86319999999999997</v>
      </c>
      <c r="AD5974">
        <v>0</v>
      </c>
    </row>
    <row r="5975" spans="2:30" x14ac:dyDescent="0.25">
      <c r="B5975" t="s">
        <v>133</v>
      </c>
      <c r="C5975" t="s">
        <v>10598</v>
      </c>
      <c r="D5975" t="s">
        <v>6072</v>
      </c>
      <c r="E5975" t="s">
        <v>6073</v>
      </c>
      <c r="F5975" t="s">
        <v>11279</v>
      </c>
      <c r="G5975" t="s">
        <v>5933</v>
      </c>
      <c r="H5975" t="s">
        <v>6064</v>
      </c>
      <c r="I5975" t="s">
        <v>6065</v>
      </c>
      <c r="J5975">
        <v>1</v>
      </c>
      <c r="K5975">
        <v>7.6799999999999993E-2</v>
      </c>
      <c r="L5975">
        <v>7.7299999999999994E-2</v>
      </c>
      <c r="M5975">
        <v>7.8299999999999995E-2</v>
      </c>
      <c r="N5975">
        <v>7.8299999999999995E-2</v>
      </c>
      <c r="O5975">
        <v>7.8600000000000003E-2</v>
      </c>
      <c r="P5975">
        <v>7.8899999999999998E-2</v>
      </c>
      <c r="Q5975">
        <v>7.9100000000000004E-2</v>
      </c>
      <c r="R5975">
        <v>7.9200000000000007E-2</v>
      </c>
      <c r="S5975">
        <v>7.9200000000000007E-2</v>
      </c>
      <c r="T5975">
        <v>7.9200000000000007E-2</v>
      </c>
      <c r="U5975">
        <v>7.9100000000000004E-2</v>
      </c>
      <c r="V5975">
        <v>7.9000000000000001E-2</v>
      </c>
      <c r="W5975">
        <v>7.8899999999999998E-2</v>
      </c>
      <c r="X5975">
        <v>7.8700000000000006E-2</v>
      </c>
      <c r="Y5975">
        <v>7.85E-2</v>
      </c>
      <c r="Z5975">
        <v>7.8200000000000006E-2</v>
      </c>
      <c r="AA5975">
        <v>7.7899999999999997E-2</v>
      </c>
      <c r="AB5975">
        <v>7.7600000000000002E-2</v>
      </c>
      <c r="AC5975">
        <v>7.7700000000000005E-2</v>
      </c>
      <c r="AD5975">
        <v>0</v>
      </c>
    </row>
    <row r="5976" spans="2:30" x14ac:dyDescent="0.25">
      <c r="B5976" t="s">
        <v>133</v>
      </c>
      <c r="C5976" t="s">
        <v>10598</v>
      </c>
      <c r="D5976" t="s">
        <v>6075</v>
      </c>
      <c r="E5976" t="s">
        <v>6076</v>
      </c>
      <c r="F5976" t="s">
        <v>11280</v>
      </c>
      <c r="G5976" t="s">
        <v>5933</v>
      </c>
      <c r="H5976" t="s">
        <v>6064</v>
      </c>
      <c r="I5976" t="s">
        <v>6065</v>
      </c>
      <c r="J5976">
        <v>1</v>
      </c>
      <c r="K5976">
        <v>0.25600000000000001</v>
      </c>
      <c r="L5976">
        <v>0.26019999999999999</v>
      </c>
      <c r="M5976">
        <v>0.26619999999999999</v>
      </c>
      <c r="N5976">
        <v>0.26910000000000001</v>
      </c>
      <c r="O5976">
        <v>0.27300000000000002</v>
      </c>
      <c r="P5976">
        <v>0.27679999999999999</v>
      </c>
      <c r="Q5976">
        <v>0.28060000000000002</v>
      </c>
      <c r="R5976">
        <v>0.28399999999999997</v>
      </c>
      <c r="S5976">
        <v>0.28720000000000001</v>
      </c>
      <c r="T5976">
        <v>0.2903</v>
      </c>
      <c r="U5976">
        <v>0.29330000000000001</v>
      </c>
      <c r="V5976">
        <v>0.29620000000000002</v>
      </c>
      <c r="W5976">
        <v>0.29909999999999998</v>
      </c>
      <c r="X5976">
        <v>0.3019</v>
      </c>
      <c r="Y5976">
        <v>0.30470000000000003</v>
      </c>
      <c r="Z5976">
        <v>0.30740000000000001</v>
      </c>
      <c r="AA5976">
        <v>0.31</v>
      </c>
      <c r="AB5976">
        <v>0.31259999999999999</v>
      </c>
      <c r="AC5976">
        <v>0.31630000000000003</v>
      </c>
      <c r="AD5976">
        <v>0</v>
      </c>
    </row>
    <row r="5977" spans="2:30" x14ac:dyDescent="0.25">
      <c r="B5977" t="s">
        <v>133</v>
      </c>
      <c r="C5977" t="s">
        <v>10598</v>
      </c>
      <c r="D5977" t="s">
        <v>6078</v>
      </c>
      <c r="E5977" t="s">
        <v>6079</v>
      </c>
      <c r="F5977" t="s">
        <v>11281</v>
      </c>
      <c r="G5977" t="s">
        <v>5933</v>
      </c>
      <c r="H5977" t="s">
        <v>6064</v>
      </c>
      <c r="I5977" t="s">
        <v>6065</v>
      </c>
      <c r="J5977">
        <v>1</v>
      </c>
      <c r="K5977">
        <v>5.3699999999999998E-2</v>
      </c>
      <c r="L5977">
        <v>5.4300000000000001E-2</v>
      </c>
      <c r="M5977">
        <v>5.5300000000000002E-2</v>
      </c>
      <c r="N5977">
        <v>5.5599999999999997E-2</v>
      </c>
      <c r="O5977">
        <v>5.62E-2</v>
      </c>
      <c r="P5977">
        <v>5.67E-2</v>
      </c>
      <c r="Q5977">
        <v>5.7200000000000001E-2</v>
      </c>
      <c r="R5977">
        <v>5.7700000000000001E-2</v>
      </c>
      <c r="S5977">
        <v>5.8000000000000003E-2</v>
      </c>
      <c r="T5977">
        <v>5.8400000000000001E-2</v>
      </c>
      <c r="U5977">
        <v>5.8700000000000002E-2</v>
      </c>
      <c r="V5977">
        <v>5.8999999999999997E-2</v>
      </c>
      <c r="W5977">
        <v>5.9299999999999999E-2</v>
      </c>
      <c r="X5977">
        <v>5.96E-2</v>
      </c>
      <c r="Y5977">
        <v>5.9799999999999999E-2</v>
      </c>
      <c r="Z5977">
        <v>6.0100000000000001E-2</v>
      </c>
      <c r="AA5977">
        <v>6.0299999999999999E-2</v>
      </c>
      <c r="AB5977">
        <v>6.0499999999999998E-2</v>
      </c>
      <c r="AC5977">
        <v>6.0699999999999997E-2</v>
      </c>
      <c r="AD5977">
        <v>0</v>
      </c>
    </row>
    <row r="5978" spans="2:30" x14ac:dyDescent="0.25">
      <c r="B5978" t="s">
        <v>133</v>
      </c>
      <c r="C5978" t="s">
        <v>10598</v>
      </c>
      <c r="D5978" t="s">
        <v>6081</v>
      </c>
      <c r="E5978" t="s">
        <v>6082</v>
      </c>
      <c r="F5978" t="s">
        <v>11282</v>
      </c>
      <c r="G5978" t="s">
        <v>5933</v>
      </c>
      <c r="H5978" t="s">
        <v>6064</v>
      </c>
      <c r="I5978" t="s">
        <v>6065</v>
      </c>
      <c r="J5978">
        <v>1</v>
      </c>
      <c r="K5978">
        <v>0.53769999999999996</v>
      </c>
      <c r="L5978">
        <v>0.54359999999999997</v>
      </c>
      <c r="M5978">
        <v>0.55289999999999995</v>
      </c>
      <c r="N5978">
        <v>0.55579999999999996</v>
      </c>
      <c r="O5978">
        <v>0.56069999999999998</v>
      </c>
      <c r="P5978">
        <v>0.56540000000000001</v>
      </c>
      <c r="Q5978">
        <v>0.56989999999999996</v>
      </c>
      <c r="R5978">
        <v>0.57350000000000001</v>
      </c>
      <c r="S5978">
        <v>0.5766</v>
      </c>
      <c r="T5978">
        <v>0.57940000000000003</v>
      </c>
      <c r="U5978">
        <v>0.58199999999999996</v>
      </c>
      <c r="V5978">
        <v>0.58440000000000003</v>
      </c>
      <c r="W5978">
        <v>0.58660000000000001</v>
      </c>
      <c r="X5978">
        <v>0.5887</v>
      </c>
      <c r="Y5978">
        <v>0.59050000000000002</v>
      </c>
      <c r="Z5978">
        <v>0.59219999999999995</v>
      </c>
      <c r="AA5978">
        <v>0.59360000000000002</v>
      </c>
      <c r="AB5978">
        <v>0.5948</v>
      </c>
      <c r="AC5978">
        <v>0.5958</v>
      </c>
      <c r="AD5978">
        <v>0</v>
      </c>
    </row>
    <row r="5979" spans="2:30" x14ac:dyDescent="0.25">
      <c r="B5979" t="s">
        <v>133</v>
      </c>
      <c r="C5979" t="s">
        <v>10598</v>
      </c>
      <c r="D5979" t="s">
        <v>6084</v>
      </c>
      <c r="E5979" t="s">
        <v>6085</v>
      </c>
      <c r="F5979" t="s">
        <v>11283</v>
      </c>
      <c r="G5979" t="s">
        <v>5933</v>
      </c>
      <c r="H5979" t="s">
        <v>6064</v>
      </c>
      <c r="I5979" t="s">
        <v>6065</v>
      </c>
      <c r="J5979">
        <v>1</v>
      </c>
      <c r="K5979">
        <v>6.4999999999999997E-3</v>
      </c>
      <c r="L5979">
        <v>6.6E-3</v>
      </c>
      <c r="M5979">
        <v>6.7999999999999996E-3</v>
      </c>
      <c r="N5979">
        <v>6.7999999999999996E-3</v>
      </c>
      <c r="O5979">
        <v>6.8999999999999999E-3</v>
      </c>
      <c r="P5979">
        <v>7.0000000000000001E-3</v>
      </c>
      <c r="Q5979">
        <v>7.1000000000000004E-3</v>
      </c>
      <c r="R5979">
        <v>7.1999999999999998E-3</v>
      </c>
      <c r="S5979">
        <v>7.3000000000000001E-3</v>
      </c>
      <c r="T5979">
        <v>7.4000000000000003E-3</v>
      </c>
      <c r="U5979">
        <v>7.4999999999999997E-3</v>
      </c>
      <c r="V5979">
        <v>7.4999999999999997E-3</v>
      </c>
      <c r="W5979">
        <v>7.6E-3</v>
      </c>
      <c r="X5979">
        <v>7.7000000000000002E-3</v>
      </c>
      <c r="Y5979">
        <v>7.7999999999999996E-3</v>
      </c>
      <c r="Z5979">
        <v>7.7999999999999996E-3</v>
      </c>
      <c r="AA5979">
        <v>7.9000000000000008E-3</v>
      </c>
      <c r="AB5979">
        <v>8.0000000000000002E-3</v>
      </c>
      <c r="AC5979">
        <v>8.0000000000000002E-3</v>
      </c>
      <c r="AD5979">
        <v>0</v>
      </c>
    </row>
    <row r="5980" spans="2:30" x14ac:dyDescent="0.25">
      <c r="B5980" t="s">
        <v>133</v>
      </c>
      <c r="C5980" t="s">
        <v>10598</v>
      </c>
      <c r="D5980" t="s">
        <v>6087</v>
      </c>
      <c r="E5980" t="s">
        <v>6088</v>
      </c>
      <c r="F5980" t="s">
        <v>11284</v>
      </c>
      <c r="G5980" t="s">
        <v>5933</v>
      </c>
      <c r="H5980" t="s">
        <v>6064</v>
      </c>
      <c r="I5980" t="s">
        <v>6065</v>
      </c>
      <c r="J5980">
        <v>1</v>
      </c>
      <c r="K5980">
        <v>1.1000000000000001E-3</v>
      </c>
      <c r="L5980">
        <v>1.1000000000000001E-3</v>
      </c>
      <c r="M5980">
        <v>1.1999999999999999E-3</v>
      </c>
      <c r="N5980">
        <v>1.1999999999999999E-3</v>
      </c>
      <c r="O5980">
        <v>1.1999999999999999E-3</v>
      </c>
      <c r="P5980">
        <v>1.1999999999999999E-3</v>
      </c>
      <c r="Q5980">
        <v>1.1999999999999999E-3</v>
      </c>
      <c r="R5980">
        <v>1.1999999999999999E-3</v>
      </c>
      <c r="S5980">
        <v>1.2999999999999999E-3</v>
      </c>
      <c r="T5980">
        <v>1.2999999999999999E-3</v>
      </c>
      <c r="U5980">
        <v>1.2999999999999999E-3</v>
      </c>
      <c r="V5980">
        <v>1.2999999999999999E-3</v>
      </c>
      <c r="W5980">
        <v>1.2999999999999999E-3</v>
      </c>
      <c r="X5980">
        <v>1.2999999999999999E-3</v>
      </c>
      <c r="Y5980">
        <v>1.2999999999999999E-3</v>
      </c>
      <c r="Z5980">
        <v>1.2999999999999999E-3</v>
      </c>
      <c r="AA5980">
        <v>1.4E-3</v>
      </c>
      <c r="AB5980">
        <v>1.4E-3</v>
      </c>
      <c r="AC5980">
        <v>1.4E-3</v>
      </c>
      <c r="AD5980">
        <v>0</v>
      </c>
    </row>
    <row r="5981" spans="2:30" x14ac:dyDescent="0.25">
      <c r="B5981" t="s">
        <v>133</v>
      </c>
      <c r="C5981" t="s">
        <v>10598</v>
      </c>
      <c r="D5981" t="s">
        <v>6090</v>
      </c>
      <c r="E5981" t="s">
        <v>6091</v>
      </c>
      <c r="F5981" t="s">
        <v>11285</v>
      </c>
      <c r="G5981" t="s">
        <v>5933</v>
      </c>
      <c r="H5981" t="s">
        <v>6093</v>
      </c>
      <c r="I5981" t="s">
        <v>6094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</row>
    <row r="5982" spans="2:30" x14ac:dyDescent="0.25">
      <c r="B5982" t="s">
        <v>133</v>
      </c>
      <c r="C5982" t="s">
        <v>10598</v>
      </c>
      <c r="D5982" t="s">
        <v>6095</v>
      </c>
      <c r="E5982" t="s">
        <v>6096</v>
      </c>
      <c r="F5982" t="s">
        <v>11286</v>
      </c>
      <c r="G5982" t="s">
        <v>5933</v>
      </c>
      <c r="H5982" t="s">
        <v>6093</v>
      </c>
      <c r="I5982" t="s">
        <v>6094</v>
      </c>
      <c r="J5982">
        <v>1</v>
      </c>
      <c r="K5982">
        <v>1.105</v>
      </c>
      <c r="L5982">
        <v>1.0489999999999999</v>
      </c>
      <c r="M5982">
        <v>1.2529999999999999</v>
      </c>
      <c r="N5982">
        <v>1.274</v>
      </c>
      <c r="O5982">
        <v>1.234</v>
      </c>
      <c r="P5982">
        <v>1.216</v>
      </c>
      <c r="Q5982">
        <v>1.244</v>
      </c>
      <c r="R5982">
        <v>1.2769999999999999</v>
      </c>
      <c r="S5982">
        <v>1.3049999999999999</v>
      </c>
      <c r="T5982">
        <v>1.3340000000000001</v>
      </c>
      <c r="U5982">
        <v>1.3660000000000001</v>
      </c>
      <c r="V5982">
        <v>1.403</v>
      </c>
      <c r="W5982">
        <v>1.4450000000000001</v>
      </c>
      <c r="X5982">
        <v>1.494</v>
      </c>
      <c r="Y5982">
        <v>1.5509999999999999</v>
      </c>
      <c r="Z5982">
        <v>1.6160000000000001</v>
      </c>
      <c r="AA5982">
        <v>1.6930000000000001</v>
      </c>
      <c r="AB5982">
        <v>1.782</v>
      </c>
      <c r="AC5982">
        <v>1.8879999999999999</v>
      </c>
      <c r="AD5982">
        <v>0</v>
      </c>
    </row>
    <row r="5983" spans="2:30" x14ac:dyDescent="0.25">
      <c r="B5983" t="s">
        <v>133</v>
      </c>
      <c r="C5983" t="s">
        <v>10598</v>
      </c>
      <c r="D5983" t="s">
        <v>6098</v>
      </c>
      <c r="E5983" t="s">
        <v>6099</v>
      </c>
      <c r="F5983" t="s">
        <v>11287</v>
      </c>
      <c r="G5983" t="s">
        <v>5933</v>
      </c>
      <c r="H5983" t="s">
        <v>6093</v>
      </c>
      <c r="I5983" t="s">
        <v>6094</v>
      </c>
      <c r="J5983">
        <v>1</v>
      </c>
      <c r="K5983">
        <v>5.9459999999999997</v>
      </c>
      <c r="L5983">
        <v>5.7469999999999999</v>
      </c>
      <c r="M5983">
        <v>5.5469999999999997</v>
      </c>
      <c r="N5983">
        <v>6.665</v>
      </c>
      <c r="O5983">
        <v>6.4859999999999998</v>
      </c>
      <c r="P5983">
        <v>6.298</v>
      </c>
      <c r="Q5983">
        <v>6.1020000000000003</v>
      </c>
      <c r="R5983">
        <v>5.9189999999999996</v>
      </c>
      <c r="S5983">
        <v>5.7460000000000004</v>
      </c>
      <c r="T5983">
        <v>5.58</v>
      </c>
      <c r="U5983">
        <v>5.42</v>
      </c>
      <c r="V5983">
        <v>5.2670000000000003</v>
      </c>
      <c r="W5983">
        <v>5.1210000000000004</v>
      </c>
      <c r="X5983">
        <v>4.9829999999999997</v>
      </c>
      <c r="Y5983">
        <v>4.8529999999999998</v>
      </c>
      <c r="Z5983">
        <v>4.7309999999999999</v>
      </c>
      <c r="AA5983">
        <v>4.617</v>
      </c>
      <c r="AB5983">
        <v>4.5129999999999999</v>
      </c>
      <c r="AC5983">
        <v>4.4180000000000001</v>
      </c>
      <c r="AD5983">
        <v>0</v>
      </c>
    </row>
    <row r="5984" spans="2:30" x14ac:dyDescent="0.25">
      <c r="B5984" t="s">
        <v>133</v>
      </c>
      <c r="C5984" t="s">
        <v>10598</v>
      </c>
      <c r="D5984" t="s">
        <v>6101</v>
      </c>
      <c r="E5984" t="s">
        <v>6102</v>
      </c>
      <c r="F5984" t="s">
        <v>11288</v>
      </c>
      <c r="G5984" t="s">
        <v>5933</v>
      </c>
      <c r="H5984" t="s">
        <v>6093</v>
      </c>
      <c r="I5984" t="s">
        <v>6094</v>
      </c>
      <c r="J5984">
        <v>1</v>
      </c>
      <c r="K5984">
        <v>3.573</v>
      </c>
      <c r="L5984">
        <v>3.4929999999999999</v>
      </c>
      <c r="M5984">
        <v>3.387</v>
      </c>
      <c r="N5984">
        <v>3.2360000000000002</v>
      </c>
      <c r="O5984">
        <v>3.4049999999999998</v>
      </c>
      <c r="P5984">
        <v>3.7240000000000002</v>
      </c>
      <c r="Q5984">
        <v>4.0709999999999997</v>
      </c>
      <c r="R5984">
        <v>4.4480000000000004</v>
      </c>
      <c r="S5984">
        <v>4.899</v>
      </c>
      <c r="T5984">
        <v>5.4349999999999996</v>
      </c>
      <c r="U5984">
        <v>6.0170000000000003</v>
      </c>
      <c r="V5984">
        <v>6.6420000000000003</v>
      </c>
      <c r="W5984">
        <v>7.3010000000000002</v>
      </c>
      <c r="X5984">
        <v>7.9950000000000001</v>
      </c>
      <c r="Y5984">
        <v>8.7210000000000001</v>
      </c>
      <c r="Z5984">
        <v>9.4830000000000005</v>
      </c>
      <c r="AA5984">
        <v>10.279</v>
      </c>
      <c r="AB5984">
        <v>11.112</v>
      </c>
      <c r="AC5984">
        <v>11.981999999999999</v>
      </c>
      <c r="AD5984">
        <v>0</v>
      </c>
    </row>
    <row r="5985" spans="2:30" x14ac:dyDescent="0.25">
      <c r="B5985" t="s">
        <v>133</v>
      </c>
      <c r="C5985" t="s">
        <v>10598</v>
      </c>
      <c r="D5985" t="s">
        <v>6104</v>
      </c>
      <c r="E5985" t="s">
        <v>6105</v>
      </c>
      <c r="F5985" t="s">
        <v>11289</v>
      </c>
      <c r="G5985" t="s">
        <v>5933</v>
      </c>
      <c r="H5985" t="s">
        <v>6093</v>
      </c>
      <c r="I5985" t="s">
        <v>6094</v>
      </c>
      <c r="J5985">
        <v>1</v>
      </c>
      <c r="K5985">
        <v>2.496</v>
      </c>
      <c r="L5985">
        <v>1.958</v>
      </c>
      <c r="M5985">
        <v>2.1160000000000001</v>
      </c>
      <c r="N5985">
        <v>2.093</v>
      </c>
      <c r="O5985">
        <v>2.069</v>
      </c>
      <c r="P5985">
        <v>2.0459999999999998</v>
      </c>
      <c r="Q5985">
        <v>2.0230000000000001</v>
      </c>
      <c r="R5985">
        <v>2</v>
      </c>
      <c r="S5985">
        <v>1.978</v>
      </c>
      <c r="T5985">
        <v>1.9550000000000001</v>
      </c>
      <c r="U5985">
        <v>1.9330000000000001</v>
      </c>
      <c r="V5985">
        <v>1.91</v>
      </c>
      <c r="W5985">
        <v>1.8879999999999999</v>
      </c>
      <c r="X5985">
        <v>1.8660000000000001</v>
      </c>
      <c r="Y5985">
        <v>1.8440000000000001</v>
      </c>
      <c r="Z5985">
        <v>1.823</v>
      </c>
      <c r="AA5985">
        <v>1.8009999999999999</v>
      </c>
      <c r="AB5985">
        <v>1.7789999999999999</v>
      </c>
      <c r="AC5985">
        <v>1.758</v>
      </c>
      <c r="AD5985">
        <v>0</v>
      </c>
    </row>
    <row r="5986" spans="2:30" x14ac:dyDescent="0.25">
      <c r="B5986" t="s">
        <v>133</v>
      </c>
      <c r="C5986" t="s">
        <v>10598</v>
      </c>
      <c r="D5986" t="s">
        <v>6107</v>
      </c>
      <c r="E5986" t="s">
        <v>6108</v>
      </c>
      <c r="F5986" t="s">
        <v>11290</v>
      </c>
      <c r="G5986" t="s">
        <v>5933</v>
      </c>
      <c r="H5986" t="s">
        <v>6093</v>
      </c>
      <c r="I5986" t="s">
        <v>6094</v>
      </c>
      <c r="J5986">
        <v>1</v>
      </c>
      <c r="K5986">
        <v>3.1419999999999999</v>
      </c>
      <c r="L5986">
        <v>3.0489999999999999</v>
      </c>
      <c r="M5986">
        <v>3.6619999999999999</v>
      </c>
      <c r="N5986">
        <v>4.6589999999999998</v>
      </c>
      <c r="O5986">
        <v>4.7670000000000003</v>
      </c>
      <c r="P5986">
        <v>4.8959999999999999</v>
      </c>
      <c r="Q5986">
        <v>5.0540000000000003</v>
      </c>
      <c r="R5986">
        <v>5.2030000000000003</v>
      </c>
      <c r="S5986">
        <v>5.3410000000000002</v>
      </c>
      <c r="T5986">
        <v>5.4790000000000001</v>
      </c>
      <c r="U5986">
        <v>5.6189999999999998</v>
      </c>
      <c r="V5986">
        <v>5.7590000000000003</v>
      </c>
      <c r="W5986">
        <v>5.9</v>
      </c>
      <c r="X5986">
        <v>6.0410000000000004</v>
      </c>
      <c r="Y5986">
        <v>6.1840000000000002</v>
      </c>
      <c r="Z5986">
        <v>6.3280000000000003</v>
      </c>
      <c r="AA5986">
        <v>6.4720000000000004</v>
      </c>
      <c r="AB5986">
        <v>6.6159999999999997</v>
      </c>
      <c r="AC5986">
        <v>6.7619999999999996</v>
      </c>
      <c r="AD5986">
        <v>0</v>
      </c>
    </row>
    <row r="5987" spans="2:30" x14ac:dyDescent="0.25">
      <c r="B5987" t="s">
        <v>133</v>
      </c>
      <c r="C5987" t="s">
        <v>10598</v>
      </c>
      <c r="D5987" t="s">
        <v>6110</v>
      </c>
      <c r="E5987" t="s">
        <v>6111</v>
      </c>
      <c r="F5987" t="s">
        <v>11291</v>
      </c>
      <c r="G5987" t="s">
        <v>5933</v>
      </c>
      <c r="H5987" t="s">
        <v>6093</v>
      </c>
      <c r="I5987" t="s">
        <v>6094</v>
      </c>
      <c r="J5987">
        <v>1</v>
      </c>
      <c r="K5987">
        <v>3.0720000000000001</v>
      </c>
      <c r="L5987">
        <v>3.7370000000000001</v>
      </c>
      <c r="M5987">
        <v>4.6779999999999999</v>
      </c>
      <c r="N5987">
        <v>4.774</v>
      </c>
      <c r="O5987">
        <v>4.8680000000000003</v>
      </c>
      <c r="P5987">
        <v>4.9770000000000003</v>
      </c>
      <c r="Q5987">
        <v>5.1040000000000001</v>
      </c>
      <c r="R5987">
        <v>5.2249999999999996</v>
      </c>
      <c r="S5987">
        <v>5.3390000000000004</v>
      </c>
      <c r="T5987">
        <v>5.452</v>
      </c>
      <c r="U5987">
        <v>5.5670000000000002</v>
      </c>
      <c r="V5987">
        <v>5.6820000000000004</v>
      </c>
      <c r="W5987">
        <v>5.7969999999999997</v>
      </c>
      <c r="X5987">
        <v>5.9139999999999997</v>
      </c>
      <c r="Y5987">
        <v>6.0309999999999997</v>
      </c>
      <c r="Z5987">
        <v>6.1479999999999997</v>
      </c>
      <c r="AA5987">
        <v>6.266</v>
      </c>
      <c r="AB5987">
        <v>6.3849999999999998</v>
      </c>
      <c r="AC5987">
        <v>6.5039999999999996</v>
      </c>
      <c r="AD5987">
        <v>0</v>
      </c>
    </row>
    <row r="5988" spans="2:30" x14ac:dyDescent="0.25">
      <c r="B5988" t="s">
        <v>133</v>
      </c>
      <c r="C5988" t="s">
        <v>10598</v>
      </c>
      <c r="D5988" t="s">
        <v>6113</v>
      </c>
      <c r="E5988" t="s">
        <v>6114</v>
      </c>
      <c r="F5988" t="s">
        <v>11292</v>
      </c>
      <c r="G5988" t="s">
        <v>5933</v>
      </c>
      <c r="H5988" t="s">
        <v>6093</v>
      </c>
      <c r="I5988" t="s">
        <v>6094</v>
      </c>
      <c r="J5988">
        <v>1</v>
      </c>
      <c r="K5988">
        <v>54.859000000000002</v>
      </c>
      <c r="L5988">
        <v>54.557000000000002</v>
      </c>
      <c r="M5988">
        <v>56.167999999999999</v>
      </c>
      <c r="N5988">
        <v>58.226999999999997</v>
      </c>
      <c r="O5988">
        <v>58.353999999999999</v>
      </c>
      <c r="P5988">
        <v>58.682000000000002</v>
      </c>
      <c r="Q5988">
        <v>59.124000000000002</v>
      </c>
      <c r="R5988">
        <v>59.598999999999997</v>
      </c>
      <c r="S5988">
        <v>60.134</v>
      </c>
      <c r="T5988">
        <v>60.761000000000003</v>
      </c>
      <c r="U5988">
        <v>61.445999999999998</v>
      </c>
      <c r="V5988">
        <v>62.186999999999998</v>
      </c>
      <c r="W5988">
        <v>62.976999999999997</v>
      </c>
      <c r="X5988">
        <v>63.819000000000003</v>
      </c>
      <c r="Y5988">
        <v>64.709000000000003</v>
      </c>
      <c r="Z5988">
        <v>65.653000000000006</v>
      </c>
      <c r="AA5988">
        <v>66.653000000000006</v>
      </c>
      <c r="AB5988">
        <v>67.712999999999994</v>
      </c>
      <c r="AC5988">
        <v>68.835999999999999</v>
      </c>
      <c r="AD5988">
        <v>0</v>
      </c>
    </row>
    <row r="5989" spans="2:30" x14ac:dyDescent="0.25">
      <c r="B5989" t="s">
        <v>133</v>
      </c>
      <c r="C5989" t="s">
        <v>10598</v>
      </c>
      <c r="D5989" t="s">
        <v>6116</v>
      </c>
      <c r="E5989" t="s">
        <v>6117</v>
      </c>
      <c r="F5989" t="s">
        <v>11293</v>
      </c>
      <c r="G5989" t="s">
        <v>5933</v>
      </c>
      <c r="H5989" t="s">
        <v>6093</v>
      </c>
      <c r="I5989" t="s">
        <v>6094</v>
      </c>
      <c r="J5989">
        <v>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</row>
    <row r="5990" spans="2:30" x14ac:dyDescent="0.25">
      <c r="B5990" t="s">
        <v>133</v>
      </c>
      <c r="C5990" t="s">
        <v>10598</v>
      </c>
      <c r="D5990" t="s">
        <v>6119</v>
      </c>
      <c r="E5990" t="s">
        <v>6120</v>
      </c>
      <c r="F5990" t="s">
        <v>11294</v>
      </c>
      <c r="G5990" t="s">
        <v>5933</v>
      </c>
      <c r="H5990" t="s">
        <v>6093</v>
      </c>
      <c r="I5990" t="s">
        <v>6094</v>
      </c>
      <c r="J5990">
        <v>2</v>
      </c>
      <c r="K5990">
        <v>1.105</v>
      </c>
      <c r="L5990">
        <v>1.0489999999999999</v>
      </c>
      <c r="M5990">
        <v>1.2529999999999999</v>
      </c>
      <c r="N5990">
        <v>1.274</v>
      </c>
      <c r="O5990">
        <v>1.234</v>
      </c>
      <c r="P5990">
        <v>1.216</v>
      </c>
      <c r="Q5990">
        <v>1.244</v>
      </c>
      <c r="R5990">
        <v>1.2549999999999999</v>
      </c>
      <c r="S5990">
        <v>1.2689999999999999</v>
      </c>
      <c r="T5990">
        <v>1.2709999999999999</v>
      </c>
      <c r="U5990">
        <v>1.29</v>
      </c>
      <c r="V5990">
        <v>1.2929999999999999</v>
      </c>
      <c r="W5990">
        <v>1.325</v>
      </c>
      <c r="X5990">
        <v>1.3320000000000001</v>
      </c>
      <c r="Y5990">
        <v>1.381</v>
      </c>
      <c r="Z5990">
        <v>1.4450000000000001</v>
      </c>
      <c r="AA5990">
        <v>1.4830000000000001</v>
      </c>
      <c r="AB5990">
        <v>1.619</v>
      </c>
      <c r="AC5990">
        <v>1.601</v>
      </c>
      <c r="AD5990">
        <v>0</v>
      </c>
    </row>
    <row r="5991" spans="2:30" x14ac:dyDescent="0.25">
      <c r="B5991" t="s">
        <v>133</v>
      </c>
      <c r="C5991" t="s">
        <v>10598</v>
      </c>
      <c r="D5991" t="s">
        <v>6122</v>
      </c>
      <c r="E5991" t="s">
        <v>6123</v>
      </c>
      <c r="F5991" t="s">
        <v>11295</v>
      </c>
      <c r="G5991" t="s">
        <v>5933</v>
      </c>
      <c r="H5991" t="s">
        <v>6093</v>
      </c>
      <c r="I5991" t="s">
        <v>6094</v>
      </c>
      <c r="J5991">
        <v>2</v>
      </c>
      <c r="K5991">
        <v>5.9459999999999997</v>
      </c>
      <c r="L5991">
        <v>5.7469999999999999</v>
      </c>
      <c r="M5991">
        <v>5.5469999999999997</v>
      </c>
      <c r="N5991">
        <v>6.665</v>
      </c>
      <c r="O5991">
        <v>6.4859999999999998</v>
      </c>
      <c r="P5991">
        <v>6.298</v>
      </c>
      <c r="Q5991">
        <v>6.101</v>
      </c>
      <c r="R5991">
        <v>5.9089999999999998</v>
      </c>
      <c r="S5991">
        <v>5.7270000000000003</v>
      </c>
      <c r="T5991">
        <v>5.5549999999999997</v>
      </c>
      <c r="U5991">
        <v>5.3920000000000003</v>
      </c>
      <c r="V5991">
        <v>5.2439999999999998</v>
      </c>
      <c r="W5991">
        <v>5.1029999999999998</v>
      </c>
      <c r="X5991">
        <v>4.9880000000000004</v>
      </c>
      <c r="Y5991">
        <v>4.8780000000000001</v>
      </c>
      <c r="Z5991">
        <v>4.7859999999999996</v>
      </c>
      <c r="AA5991">
        <v>4.7210000000000001</v>
      </c>
      <c r="AB5991">
        <v>4.6360000000000001</v>
      </c>
      <c r="AC5991">
        <v>4.6230000000000002</v>
      </c>
      <c r="AD5991">
        <v>0</v>
      </c>
    </row>
    <row r="5992" spans="2:30" x14ac:dyDescent="0.25">
      <c r="B5992" t="s">
        <v>133</v>
      </c>
      <c r="C5992" t="s">
        <v>10598</v>
      </c>
      <c r="D5992" t="s">
        <v>6125</v>
      </c>
      <c r="E5992" t="s">
        <v>6126</v>
      </c>
      <c r="F5992" t="s">
        <v>11296</v>
      </c>
      <c r="G5992" t="s">
        <v>5933</v>
      </c>
      <c r="H5992" t="s">
        <v>6093</v>
      </c>
      <c r="I5992" t="s">
        <v>6094</v>
      </c>
      <c r="J5992">
        <v>2</v>
      </c>
      <c r="K5992">
        <v>3.573</v>
      </c>
      <c r="L5992">
        <v>3.4929999999999999</v>
      </c>
      <c r="M5992">
        <v>3.387</v>
      </c>
      <c r="N5992">
        <v>3.2360000000000002</v>
      </c>
      <c r="O5992">
        <v>3.4049999999999998</v>
      </c>
      <c r="P5992">
        <v>3.7240000000000002</v>
      </c>
      <c r="Q5992">
        <v>4.0709999999999997</v>
      </c>
      <c r="R5992">
        <v>4.4480000000000004</v>
      </c>
      <c r="S5992">
        <v>4.899</v>
      </c>
      <c r="T5992">
        <v>5.4349999999999996</v>
      </c>
      <c r="U5992">
        <v>6.0179999999999998</v>
      </c>
      <c r="V5992">
        <v>6.6429999999999998</v>
      </c>
      <c r="W5992">
        <v>7.3040000000000003</v>
      </c>
      <c r="X5992">
        <v>8</v>
      </c>
      <c r="Y5992">
        <v>8.73</v>
      </c>
      <c r="Z5992">
        <v>9.4960000000000004</v>
      </c>
      <c r="AA5992">
        <v>10.298</v>
      </c>
      <c r="AB5992">
        <v>11.138</v>
      </c>
      <c r="AC5992">
        <v>12.013999999999999</v>
      </c>
      <c r="AD5992">
        <v>0</v>
      </c>
    </row>
    <row r="5993" spans="2:30" x14ac:dyDescent="0.25">
      <c r="B5993" t="s">
        <v>133</v>
      </c>
      <c r="C5993" t="s">
        <v>10598</v>
      </c>
      <c r="D5993" t="s">
        <v>6128</v>
      </c>
      <c r="E5993" t="s">
        <v>6129</v>
      </c>
      <c r="F5993" t="s">
        <v>11297</v>
      </c>
      <c r="G5993" t="s">
        <v>5933</v>
      </c>
      <c r="H5993" t="s">
        <v>6093</v>
      </c>
      <c r="I5993" t="s">
        <v>6094</v>
      </c>
      <c r="J5993">
        <v>2</v>
      </c>
      <c r="K5993">
        <v>2.496</v>
      </c>
      <c r="L5993">
        <v>1.958</v>
      </c>
      <c r="M5993">
        <v>2.1160000000000001</v>
      </c>
      <c r="N5993">
        <v>2.093</v>
      </c>
      <c r="O5993">
        <v>2.069</v>
      </c>
      <c r="P5993">
        <v>2.0459999999999998</v>
      </c>
      <c r="Q5993">
        <v>2.0230000000000001</v>
      </c>
      <c r="R5993">
        <v>2</v>
      </c>
      <c r="S5993">
        <v>1.978</v>
      </c>
      <c r="T5993">
        <v>1.9550000000000001</v>
      </c>
      <c r="U5993">
        <v>1.9330000000000001</v>
      </c>
      <c r="V5993">
        <v>1.91</v>
      </c>
      <c r="W5993">
        <v>1.8879999999999999</v>
      </c>
      <c r="X5993">
        <v>1.8660000000000001</v>
      </c>
      <c r="Y5993">
        <v>1.8440000000000001</v>
      </c>
      <c r="Z5993">
        <v>1.823</v>
      </c>
      <c r="AA5993">
        <v>1.8009999999999999</v>
      </c>
      <c r="AB5993">
        <v>1.7789999999999999</v>
      </c>
      <c r="AC5993">
        <v>1.758</v>
      </c>
      <c r="AD5993">
        <v>0</v>
      </c>
    </row>
    <row r="5994" spans="2:30" x14ac:dyDescent="0.25">
      <c r="B5994" t="s">
        <v>133</v>
      </c>
      <c r="C5994" t="s">
        <v>10598</v>
      </c>
      <c r="D5994" t="s">
        <v>6131</v>
      </c>
      <c r="E5994" t="s">
        <v>6132</v>
      </c>
      <c r="F5994" t="s">
        <v>11298</v>
      </c>
      <c r="G5994" t="s">
        <v>5933</v>
      </c>
      <c r="H5994" t="s">
        <v>6093</v>
      </c>
      <c r="I5994" t="s">
        <v>6094</v>
      </c>
      <c r="J5994">
        <v>2</v>
      </c>
      <c r="K5994">
        <v>3.1419999999999999</v>
      </c>
      <c r="L5994">
        <v>3.0489999999999999</v>
      </c>
      <c r="M5994">
        <v>3.6619999999999999</v>
      </c>
      <c r="N5994">
        <v>4.6589999999999998</v>
      </c>
      <c r="O5994">
        <v>4.7670000000000003</v>
      </c>
      <c r="P5994">
        <v>4.8949999999999996</v>
      </c>
      <c r="Q5994">
        <v>5.04</v>
      </c>
      <c r="R5994">
        <v>5.1909999999999998</v>
      </c>
      <c r="S5994">
        <v>5.33</v>
      </c>
      <c r="T5994">
        <v>5.47</v>
      </c>
      <c r="U5994">
        <v>5.61</v>
      </c>
      <c r="V5994">
        <v>5.7519999999999998</v>
      </c>
      <c r="W5994">
        <v>5.8949999999999996</v>
      </c>
      <c r="X5994">
        <v>6.04</v>
      </c>
      <c r="Y5994">
        <v>6.1840000000000002</v>
      </c>
      <c r="Z5994">
        <v>6.3289999999999997</v>
      </c>
      <c r="AA5994">
        <v>6.4779999999999998</v>
      </c>
      <c r="AB5994">
        <v>6.6289999999999996</v>
      </c>
      <c r="AC5994">
        <v>6.7839999999999998</v>
      </c>
      <c r="AD5994">
        <v>0</v>
      </c>
    </row>
    <row r="5995" spans="2:30" x14ac:dyDescent="0.25">
      <c r="B5995" t="s">
        <v>133</v>
      </c>
      <c r="C5995" t="s">
        <v>10598</v>
      </c>
      <c r="D5995" t="s">
        <v>6134</v>
      </c>
      <c r="E5995" t="s">
        <v>6135</v>
      </c>
      <c r="F5995" t="s">
        <v>11299</v>
      </c>
      <c r="G5995" t="s">
        <v>5933</v>
      </c>
      <c r="H5995" t="s">
        <v>6093</v>
      </c>
      <c r="I5995" t="s">
        <v>6094</v>
      </c>
      <c r="J5995">
        <v>2</v>
      </c>
      <c r="K5995">
        <v>3.0720000000000001</v>
      </c>
      <c r="L5995">
        <v>3.7370000000000001</v>
      </c>
      <c r="M5995">
        <v>4.6779999999999999</v>
      </c>
      <c r="N5995">
        <v>4.774</v>
      </c>
      <c r="O5995">
        <v>4.8680000000000003</v>
      </c>
      <c r="P5995">
        <v>4.9770000000000003</v>
      </c>
      <c r="Q5995">
        <v>5.1040000000000001</v>
      </c>
      <c r="R5995">
        <v>5.2249999999999996</v>
      </c>
      <c r="S5995">
        <v>5.3390000000000004</v>
      </c>
      <c r="T5995">
        <v>5.452</v>
      </c>
      <c r="U5995">
        <v>5.5659999999999998</v>
      </c>
      <c r="V5995">
        <v>5.681</v>
      </c>
      <c r="W5995">
        <v>5.7960000000000003</v>
      </c>
      <c r="X5995">
        <v>5.9130000000000003</v>
      </c>
      <c r="Y5995">
        <v>6.03</v>
      </c>
      <c r="Z5995">
        <v>6.149</v>
      </c>
      <c r="AA5995">
        <v>6.27</v>
      </c>
      <c r="AB5995">
        <v>6.3929999999999998</v>
      </c>
      <c r="AC5995">
        <v>6.5179999999999998</v>
      </c>
      <c r="AD5995">
        <v>0</v>
      </c>
    </row>
    <row r="5996" spans="2:30" x14ac:dyDescent="0.25">
      <c r="B5996" t="s">
        <v>133</v>
      </c>
      <c r="C5996" t="s">
        <v>10598</v>
      </c>
      <c r="D5996" t="s">
        <v>6137</v>
      </c>
      <c r="E5996" t="s">
        <v>6138</v>
      </c>
      <c r="F5996" t="s">
        <v>11300</v>
      </c>
      <c r="G5996" t="s">
        <v>5933</v>
      </c>
      <c r="H5996" t="s">
        <v>6093</v>
      </c>
      <c r="I5996" t="s">
        <v>6094</v>
      </c>
      <c r="J5996">
        <v>2</v>
      </c>
      <c r="K5996">
        <v>54.859000000000002</v>
      </c>
      <c r="L5996">
        <v>54.557000000000002</v>
      </c>
      <c r="M5996">
        <v>56.167999999999999</v>
      </c>
      <c r="N5996">
        <v>58.226999999999997</v>
      </c>
      <c r="O5996">
        <v>58.353999999999999</v>
      </c>
      <c r="P5996">
        <v>58.680999999999997</v>
      </c>
      <c r="Q5996">
        <v>59.109000000000002</v>
      </c>
      <c r="R5996">
        <v>59.555</v>
      </c>
      <c r="S5996">
        <v>60.066000000000003</v>
      </c>
      <c r="T5996">
        <v>60.664000000000001</v>
      </c>
      <c r="U5996">
        <v>61.334000000000003</v>
      </c>
      <c r="V5996">
        <v>62.048999999999999</v>
      </c>
      <c r="W5996">
        <v>62.837000000000003</v>
      </c>
      <c r="X5996">
        <v>63.664000000000001</v>
      </c>
      <c r="Y5996">
        <v>64.572999999999993</v>
      </c>
      <c r="Z5996">
        <v>65.552999999999997</v>
      </c>
      <c r="AA5996">
        <v>66.575999999999993</v>
      </c>
      <c r="AB5996">
        <v>67.718000000000004</v>
      </c>
      <c r="AC5996">
        <v>68.823999999999998</v>
      </c>
      <c r="AD5996">
        <v>0</v>
      </c>
    </row>
    <row r="5997" spans="2:30" x14ac:dyDescent="0.25">
      <c r="B5997" t="s">
        <v>133</v>
      </c>
      <c r="C5997" t="s">
        <v>10598</v>
      </c>
      <c r="D5997" t="s">
        <v>6140</v>
      </c>
      <c r="E5997" t="s">
        <v>6141</v>
      </c>
      <c r="F5997" t="s">
        <v>11301</v>
      </c>
      <c r="G5997" t="s">
        <v>3890</v>
      </c>
      <c r="H5997" t="s">
        <v>6143</v>
      </c>
      <c r="I5997" t="s">
        <v>4267</v>
      </c>
      <c r="J5997">
        <v>1</v>
      </c>
      <c r="K5997">
        <v>5.2720000000000002</v>
      </c>
      <c r="L5997">
        <v>5.4829999999999997</v>
      </c>
      <c r="M5997">
        <v>5.702</v>
      </c>
      <c r="N5997">
        <v>5.93</v>
      </c>
      <c r="O5997">
        <v>6.1680000000000001</v>
      </c>
      <c r="P5997">
        <v>6.4139999999999997</v>
      </c>
      <c r="Q5997">
        <v>6.6710000000000003</v>
      </c>
      <c r="R5997">
        <v>6.9379999999999997</v>
      </c>
      <c r="S5997">
        <v>7.2149999999999999</v>
      </c>
      <c r="T5997">
        <v>7.5039999999999996</v>
      </c>
      <c r="U5997">
        <v>7.8040000000000003</v>
      </c>
      <c r="V5997">
        <v>8.1159999999999997</v>
      </c>
      <c r="W5997">
        <v>8.4410000000000007</v>
      </c>
      <c r="X5997">
        <v>8.7780000000000005</v>
      </c>
      <c r="Y5997">
        <v>9.1300000000000008</v>
      </c>
      <c r="Z5997">
        <v>9.4949999999999992</v>
      </c>
      <c r="AA5997">
        <v>9.8740000000000006</v>
      </c>
      <c r="AB5997">
        <v>10.269</v>
      </c>
      <c r="AC5997">
        <v>10.68</v>
      </c>
      <c r="AD5997">
        <v>11.106999999999999</v>
      </c>
    </row>
    <row r="5998" spans="2:30" x14ac:dyDescent="0.25">
      <c r="B5998" t="s">
        <v>133</v>
      </c>
      <c r="C5998" t="s">
        <v>10598</v>
      </c>
      <c r="D5998" t="s">
        <v>6144</v>
      </c>
      <c r="E5998" t="s">
        <v>6145</v>
      </c>
      <c r="F5998" t="s">
        <v>11302</v>
      </c>
      <c r="G5998" t="s">
        <v>3890</v>
      </c>
      <c r="H5998" t="s">
        <v>6143</v>
      </c>
      <c r="I5998" t="s">
        <v>4267</v>
      </c>
      <c r="J5998">
        <v>1</v>
      </c>
      <c r="K5998">
        <v>3.0579999999999998</v>
      </c>
      <c r="L5998">
        <v>3.18</v>
      </c>
      <c r="M5998">
        <v>3.3069999999999999</v>
      </c>
      <c r="N5998">
        <v>3.44</v>
      </c>
      <c r="O5998">
        <v>3.577</v>
      </c>
      <c r="P5998">
        <v>3.72</v>
      </c>
      <c r="Q5998">
        <v>3.8690000000000002</v>
      </c>
      <c r="R5998">
        <v>4.024</v>
      </c>
      <c r="S5998">
        <v>4.1849999999999996</v>
      </c>
      <c r="T5998">
        <v>4.3520000000000003</v>
      </c>
      <c r="U5998">
        <v>4.5259999999999998</v>
      </c>
      <c r="V5998">
        <v>4.7080000000000002</v>
      </c>
      <c r="W5998">
        <v>4.8959999999999999</v>
      </c>
      <c r="X5998">
        <v>5.0919999999999996</v>
      </c>
      <c r="Y5998">
        <v>5.2949999999999999</v>
      </c>
      <c r="Z5998">
        <v>5.5069999999999997</v>
      </c>
      <c r="AA5998">
        <v>5.7270000000000003</v>
      </c>
      <c r="AB5998">
        <v>5.9569999999999999</v>
      </c>
      <c r="AC5998">
        <v>6.1950000000000003</v>
      </c>
      <c r="AD5998">
        <v>6.4429999999999996</v>
      </c>
    </row>
    <row r="5999" spans="2:30" x14ac:dyDescent="0.25">
      <c r="B5999" t="s">
        <v>133</v>
      </c>
      <c r="C5999" t="s">
        <v>10598</v>
      </c>
      <c r="D5999" t="s">
        <v>6147</v>
      </c>
      <c r="E5999" t="s">
        <v>6148</v>
      </c>
      <c r="F5999" t="s">
        <v>11303</v>
      </c>
      <c r="G5999" t="s">
        <v>3890</v>
      </c>
      <c r="H5999" t="s">
        <v>6143</v>
      </c>
      <c r="I5999" t="s">
        <v>4267</v>
      </c>
      <c r="J5999">
        <v>1</v>
      </c>
      <c r="K5999">
        <v>0.129</v>
      </c>
      <c r="L5999">
        <v>0.13400000000000001</v>
      </c>
      <c r="M5999">
        <v>0.14000000000000001</v>
      </c>
      <c r="N5999">
        <v>0.14499999999999999</v>
      </c>
      <c r="O5999">
        <v>0.151</v>
      </c>
      <c r="P5999">
        <v>0.157</v>
      </c>
      <c r="Q5999">
        <v>0.16300000000000001</v>
      </c>
      <c r="R5999">
        <v>0.17</v>
      </c>
      <c r="S5999">
        <v>0.17699999999999999</v>
      </c>
      <c r="T5999">
        <v>0.184</v>
      </c>
      <c r="U5999">
        <v>0.191</v>
      </c>
      <c r="V5999">
        <v>0.19900000000000001</v>
      </c>
      <c r="W5999">
        <v>0.20699999999999999</v>
      </c>
      <c r="X5999">
        <v>0.215</v>
      </c>
      <c r="Y5999">
        <v>0.224</v>
      </c>
      <c r="Z5999">
        <v>0.23300000000000001</v>
      </c>
      <c r="AA5999">
        <v>0.24199999999999999</v>
      </c>
      <c r="AB5999">
        <v>0.251</v>
      </c>
      <c r="AC5999">
        <v>0.26200000000000001</v>
      </c>
      <c r="AD5999">
        <v>0.27200000000000002</v>
      </c>
    </row>
    <row r="6000" spans="2:30" x14ac:dyDescent="0.25">
      <c r="B6000" t="s">
        <v>133</v>
      </c>
      <c r="C6000" t="s">
        <v>10598</v>
      </c>
      <c r="D6000" t="s">
        <v>6150</v>
      </c>
      <c r="E6000" t="s">
        <v>6151</v>
      </c>
      <c r="F6000" t="s">
        <v>11304</v>
      </c>
      <c r="G6000" t="s">
        <v>3890</v>
      </c>
      <c r="H6000" t="s">
        <v>6143</v>
      </c>
      <c r="I6000" t="s">
        <v>4267</v>
      </c>
      <c r="J6000">
        <v>1</v>
      </c>
      <c r="K6000">
        <v>0.14699999999999999</v>
      </c>
      <c r="L6000">
        <v>0.153</v>
      </c>
      <c r="M6000">
        <v>0.159</v>
      </c>
      <c r="N6000">
        <v>0.16600000000000001</v>
      </c>
      <c r="O6000">
        <v>0.17199999999999999</v>
      </c>
      <c r="P6000">
        <v>0.17899999999999999</v>
      </c>
      <c r="Q6000">
        <v>0.186</v>
      </c>
      <c r="R6000">
        <v>0.19400000000000001</v>
      </c>
      <c r="S6000">
        <v>0.20200000000000001</v>
      </c>
      <c r="T6000">
        <v>0.21</v>
      </c>
      <c r="U6000">
        <v>0.218</v>
      </c>
      <c r="V6000">
        <v>0.22700000000000001</v>
      </c>
      <c r="W6000">
        <v>0.23599999999999999</v>
      </c>
      <c r="X6000">
        <v>0.245</v>
      </c>
      <c r="Y6000">
        <v>0.255</v>
      </c>
      <c r="Z6000">
        <v>0.26500000000000001</v>
      </c>
      <c r="AA6000">
        <v>0.27600000000000002</v>
      </c>
      <c r="AB6000">
        <v>0.28699999999999998</v>
      </c>
      <c r="AC6000">
        <v>0.29899999999999999</v>
      </c>
      <c r="AD6000">
        <v>0.31</v>
      </c>
    </row>
    <row r="6001" spans="2:30" x14ac:dyDescent="0.25">
      <c r="B6001" t="s">
        <v>133</v>
      </c>
      <c r="C6001" t="s">
        <v>10598</v>
      </c>
      <c r="D6001" t="s">
        <v>6153</v>
      </c>
      <c r="E6001" t="s">
        <v>6154</v>
      </c>
      <c r="F6001" t="s">
        <v>11305</v>
      </c>
      <c r="G6001" t="s">
        <v>3890</v>
      </c>
      <c r="H6001" t="s">
        <v>6143</v>
      </c>
      <c r="I6001" t="s">
        <v>4267</v>
      </c>
      <c r="J6001">
        <v>1</v>
      </c>
      <c r="K6001">
        <v>9.7000000000000003E-2</v>
      </c>
      <c r="L6001">
        <v>0.10100000000000001</v>
      </c>
      <c r="M6001">
        <v>0.105</v>
      </c>
      <c r="N6001">
        <v>0.109</v>
      </c>
      <c r="O6001">
        <v>0.113</v>
      </c>
      <c r="P6001">
        <v>0.11799999999999999</v>
      </c>
      <c r="Q6001">
        <v>0.123</v>
      </c>
      <c r="R6001">
        <v>0.128</v>
      </c>
      <c r="S6001">
        <v>0.13300000000000001</v>
      </c>
      <c r="T6001">
        <v>0.13800000000000001</v>
      </c>
      <c r="U6001">
        <v>0.14299999999999999</v>
      </c>
      <c r="V6001">
        <v>0.14899999999999999</v>
      </c>
      <c r="W6001">
        <v>0.155</v>
      </c>
      <c r="X6001">
        <v>0.161</v>
      </c>
      <c r="Y6001">
        <v>0.16800000000000001</v>
      </c>
      <c r="Z6001">
        <v>0.17499999999999999</v>
      </c>
      <c r="AA6001">
        <v>0.182</v>
      </c>
      <c r="AB6001">
        <v>0.189</v>
      </c>
      <c r="AC6001">
        <v>0.19600000000000001</v>
      </c>
      <c r="AD6001">
        <v>0.20399999999999999</v>
      </c>
    </row>
    <row r="6002" spans="2:30" x14ac:dyDescent="0.25">
      <c r="B6002" t="s">
        <v>133</v>
      </c>
      <c r="C6002" t="s">
        <v>10598</v>
      </c>
      <c r="D6002" t="s">
        <v>6156</v>
      </c>
      <c r="E6002" t="s">
        <v>6157</v>
      </c>
      <c r="F6002" t="s">
        <v>11306</v>
      </c>
      <c r="G6002" t="s">
        <v>3890</v>
      </c>
      <c r="H6002" t="s">
        <v>6143</v>
      </c>
      <c r="I6002" t="s">
        <v>4267</v>
      </c>
      <c r="J6002">
        <v>1</v>
      </c>
      <c r="K6002">
        <v>0.14099999999999999</v>
      </c>
      <c r="L6002">
        <v>0.14699999999999999</v>
      </c>
      <c r="M6002">
        <v>0.153</v>
      </c>
      <c r="N6002">
        <v>0.159</v>
      </c>
      <c r="O6002">
        <v>0.16500000000000001</v>
      </c>
      <c r="P6002">
        <v>0.17199999999999999</v>
      </c>
      <c r="Q6002">
        <v>0.17799999999999999</v>
      </c>
      <c r="R6002">
        <v>0.186</v>
      </c>
      <c r="S6002">
        <v>0.193</v>
      </c>
      <c r="T6002">
        <v>0.20100000000000001</v>
      </c>
      <c r="U6002">
        <v>0.20899999999999999</v>
      </c>
      <c r="V6002">
        <v>0.217</v>
      </c>
      <c r="W6002">
        <v>0.22600000000000001</v>
      </c>
      <c r="X6002">
        <v>0.23499999999999999</v>
      </c>
      <c r="Y6002">
        <v>0.24399999999999999</v>
      </c>
      <c r="Z6002">
        <v>0.254</v>
      </c>
      <c r="AA6002">
        <v>0.26400000000000001</v>
      </c>
      <c r="AB6002">
        <v>0.27500000000000002</v>
      </c>
      <c r="AC6002">
        <v>0.28599999999999998</v>
      </c>
      <c r="AD6002">
        <v>0.29699999999999999</v>
      </c>
    </row>
    <row r="6003" spans="2:30" x14ac:dyDescent="0.25">
      <c r="B6003" t="s">
        <v>133</v>
      </c>
      <c r="C6003" t="s">
        <v>10598</v>
      </c>
      <c r="D6003" t="s">
        <v>6159</v>
      </c>
      <c r="E6003" t="s">
        <v>6160</v>
      </c>
      <c r="F6003" t="s">
        <v>11307</v>
      </c>
      <c r="G6003" t="s">
        <v>6162</v>
      </c>
      <c r="H6003" t="s">
        <v>6163</v>
      </c>
      <c r="J6003">
        <v>1</v>
      </c>
      <c r="K6003">
        <v>215.76102102694196</v>
      </c>
      <c r="L6003">
        <v>214.47598394087547</v>
      </c>
      <c r="M6003">
        <v>208.15438982423859</v>
      </c>
      <c r="N6003">
        <v>199.1046917353739</v>
      </c>
      <c r="O6003">
        <v>205.13490843467906</v>
      </c>
      <c r="P6003">
        <v>226.12974418336589</v>
      </c>
      <c r="Q6003">
        <v>249.00447603654894</v>
      </c>
      <c r="R6003">
        <v>274.27877518210846</v>
      </c>
      <c r="S6003">
        <v>305.31182066383832</v>
      </c>
      <c r="T6003">
        <v>343.39533795208166</v>
      </c>
      <c r="U6003">
        <v>386.95121508469794</v>
      </c>
      <c r="V6003">
        <v>436.88209158073897</v>
      </c>
      <c r="W6003">
        <v>494.13502082704412</v>
      </c>
      <c r="X6003">
        <v>560.00880510164666</v>
      </c>
      <c r="Y6003">
        <v>635.39421774099628</v>
      </c>
      <c r="Z6003">
        <v>722.5076066250042</v>
      </c>
      <c r="AA6003">
        <v>823.57766424537249</v>
      </c>
      <c r="AB6003">
        <v>941.33530573646328</v>
      </c>
      <c r="AC6003">
        <v>1078.2338057238783</v>
      </c>
      <c r="AD6003">
        <v>1229.6979598301593</v>
      </c>
    </row>
    <row r="6004" spans="2:30" x14ac:dyDescent="0.25">
      <c r="B6004" t="s">
        <v>133</v>
      </c>
      <c r="C6004" t="s">
        <v>10598</v>
      </c>
      <c r="D6004" t="s">
        <v>6164</v>
      </c>
      <c r="E6004" t="s">
        <v>6165</v>
      </c>
      <c r="F6004" t="s">
        <v>11308</v>
      </c>
      <c r="G6004" t="s">
        <v>6162</v>
      </c>
      <c r="H6004" t="s">
        <v>6163</v>
      </c>
      <c r="J6004">
        <v>1</v>
      </c>
      <c r="K6004">
        <v>215.76102102694196</v>
      </c>
      <c r="L6004">
        <v>214.47598394087547</v>
      </c>
      <c r="M6004">
        <v>208.15438982423859</v>
      </c>
      <c r="N6004">
        <v>199.1046917353739</v>
      </c>
      <c r="O6004">
        <v>205.13490843467906</v>
      </c>
      <c r="P6004">
        <v>226.12974418336589</v>
      </c>
      <c r="Q6004">
        <v>249.00447603654894</v>
      </c>
      <c r="R6004">
        <v>274.26764141187368</v>
      </c>
      <c r="S6004">
        <v>305.27346877404278</v>
      </c>
      <c r="T6004">
        <v>343.27440937333472</v>
      </c>
      <c r="U6004">
        <v>386.69064634305471</v>
      </c>
      <c r="V6004">
        <v>436.28362145530963</v>
      </c>
      <c r="W6004">
        <v>493.07516009156188</v>
      </c>
      <c r="X6004">
        <v>557.95728769976279</v>
      </c>
      <c r="Y6004">
        <v>632.20322647486137</v>
      </c>
      <c r="Z6004">
        <v>718.173968616965</v>
      </c>
      <c r="AA6004">
        <v>816.66631538103491</v>
      </c>
      <c r="AB6004">
        <v>934.05792253145114</v>
      </c>
      <c r="AC6004">
        <v>1063.5831574717438</v>
      </c>
      <c r="AD6004">
        <v>1218.5728007442749</v>
      </c>
    </row>
    <row r="6005" spans="2:30" x14ac:dyDescent="0.25">
      <c r="B6005" t="s">
        <v>133</v>
      </c>
      <c r="C6005" t="s">
        <v>10598</v>
      </c>
      <c r="D6005" t="s">
        <v>6167</v>
      </c>
      <c r="E6005" t="s">
        <v>6168</v>
      </c>
      <c r="F6005" t="s">
        <v>11309</v>
      </c>
      <c r="G6005" t="s">
        <v>6162</v>
      </c>
      <c r="H6005" t="s">
        <v>6163</v>
      </c>
      <c r="J6005">
        <v>2</v>
      </c>
      <c r="K6005">
        <v>5610.47021484375</v>
      </c>
      <c r="L6005">
        <v>5577.0551787912218</v>
      </c>
      <c r="M6005">
        <v>5412.6737009278322</v>
      </c>
      <c r="N6005">
        <v>5177.3528754180024</v>
      </c>
      <c r="O6005">
        <v>5334.1576171617871</v>
      </c>
      <c r="P6005">
        <v>5880.0898716204638</v>
      </c>
      <c r="Q6005">
        <v>6474.9053815025554</v>
      </c>
      <c r="R6005">
        <v>7132.1172443417936</v>
      </c>
      <c r="S6005">
        <v>7939.07475929254</v>
      </c>
      <c r="T6005">
        <v>8929.3668815915717</v>
      </c>
      <c r="U6005">
        <v>10061.957699760826</v>
      </c>
      <c r="V6005">
        <v>11360.318701431743</v>
      </c>
      <c r="W6005">
        <v>12849.076275529622</v>
      </c>
      <c r="X6005">
        <v>14562.003396715014</v>
      </c>
      <c r="Y6005">
        <v>16522.262994272089</v>
      </c>
      <c r="Z6005">
        <v>18787.487135878266</v>
      </c>
      <c r="AA6005">
        <v>21415.628888233114</v>
      </c>
      <c r="AB6005">
        <v>24477.700698106109</v>
      </c>
      <c r="AC6005">
        <v>28037.495479297249</v>
      </c>
      <c r="AD6005">
        <v>31976.043420835224</v>
      </c>
    </row>
    <row r="6006" spans="2:30" x14ac:dyDescent="0.25">
      <c r="B6006" t="s">
        <v>133</v>
      </c>
      <c r="C6006" t="s">
        <v>10598</v>
      </c>
      <c r="D6006" t="s">
        <v>6170</v>
      </c>
      <c r="E6006" t="s">
        <v>6171</v>
      </c>
      <c r="F6006" t="s">
        <v>11310</v>
      </c>
      <c r="G6006" t="s">
        <v>6162</v>
      </c>
      <c r="H6006" t="s">
        <v>3258</v>
      </c>
      <c r="J6006">
        <v>1</v>
      </c>
      <c r="K6006">
        <v>5610.47021484375</v>
      </c>
      <c r="L6006">
        <v>5577.0551787912218</v>
      </c>
      <c r="M6006">
        <v>5412.6737009278322</v>
      </c>
      <c r="N6006">
        <v>5177.3528754180024</v>
      </c>
      <c r="O6006">
        <v>5334.1576171617871</v>
      </c>
      <c r="P6006">
        <v>5880.0898716204638</v>
      </c>
      <c r="Q6006">
        <v>6474.9053815025554</v>
      </c>
      <c r="R6006">
        <v>7131.8277310368239</v>
      </c>
      <c r="S6006">
        <v>7938.0774886346762</v>
      </c>
      <c r="T6006">
        <v>8926.2223553655003</v>
      </c>
      <c r="U6006">
        <v>10055.1820868306</v>
      </c>
      <c r="V6006">
        <v>11344.756581836582</v>
      </c>
      <c r="W6006">
        <v>12821.51653809418</v>
      </c>
      <c r="X6006">
        <v>14508.657443754095</v>
      </c>
      <c r="Y6006">
        <v>16439.28711026271</v>
      </c>
      <c r="Z6006">
        <v>18674.79881594775</v>
      </c>
      <c r="AA6006">
        <v>21235.911918211365</v>
      </c>
      <c r="AB6006">
        <v>24288.465675397223</v>
      </c>
      <c r="AC6006">
        <v>27656.532202169958</v>
      </c>
      <c r="AD6006">
        <v>31686.7540330224</v>
      </c>
    </row>
    <row r="6007" spans="2:30" x14ac:dyDescent="0.25">
      <c r="B6007" t="s">
        <v>133</v>
      </c>
      <c r="C6007" t="s">
        <v>10598</v>
      </c>
      <c r="D6007" t="s">
        <v>6173</v>
      </c>
      <c r="E6007" t="s">
        <v>6174</v>
      </c>
      <c r="F6007" t="s">
        <v>11311</v>
      </c>
      <c r="G6007" t="s">
        <v>6162</v>
      </c>
      <c r="H6007" t="s">
        <v>3258</v>
      </c>
      <c r="J6007">
        <v>2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0.28951330496965966</v>
      </c>
      <c r="S6007">
        <v>1.2867839628333968</v>
      </c>
      <c r="T6007">
        <v>4.4313101889047175</v>
      </c>
      <c r="U6007">
        <v>11.206923119129897</v>
      </c>
      <c r="V6007">
        <v>26.769042714290663</v>
      </c>
      <c r="W6007">
        <v>54.328780149732665</v>
      </c>
      <c r="X6007">
        <v>107.67473311065169</v>
      </c>
      <c r="Y6007">
        <v>190.65061712002989</v>
      </c>
      <c r="Z6007">
        <v>303.33893705054561</v>
      </c>
      <c r="AA6007">
        <v>483.05590707229476</v>
      </c>
      <c r="AB6007">
        <v>672.29092978118115</v>
      </c>
      <c r="AC6007">
        <v>1053.254206908473</v>
      </c>
      <c r="AD6007">
        <v>1342.5435947212964</v>
      </c>
    </row>
    <row r="6008" spans="2:30" x14ac:dyDescent="0.25">
      <c r="B6008" t="s">
        <v>133</v>
      </c>
      <c r="C6008" t="s">
        <v>10598</v>
      </c>
      <c r="D6008" t="s">
        <v>6176</v>
      </c>
      <c r="E6008" t="s">
        <v>6177</v>
      </c>
      <c r="F6008" t="s">
        <v>11312</v>
      </c>
      <c r="G6008" t="s">
        <v>6162</v>
      </c>
      <c r="H6008" t="s">
        <v>6179</v>
      </c>
      <c r="J6008">
        <v>1</v>
      </c>
      <c r="K6008">
        <v>47.419998168945313</v>
      </c>
      <c r="L6008">
        <v>47.419998168945313</v>
      </c>
      <c r="M6008">
        <v>47.419998168945313</v>
      </c>
      <c r="N6008">
        <v>49.230959321646168</v>
      </c>
      <c r="O6008">
        <v>51.018025046174166</v>
      </c>
      <c r="P6008">
        <v>52.999961772234222</v>
      </c>
      <c r="Q6008">
        <v>55.223207648465404</v>
      </c>
      <c r="R6008">
        <v>57.451058095194924</v>
      </c>
      <c r="S6008">
        <v>59.655800043299188</v>
      </c>
      <c r="T6008">
        <v>61.920753906134657</v>
      </c>
      <c r="U6008">
        <v>64.248425278428229</v>
      </c>
      <c r="V6008">
        <v>66.638342879486203</v>
      </c>
      <c r="W6008">
        <v>69.0935296343429</v>
      </c>
      <c r="X6008">
        <v>71.612044974188123</v>
      </c>
      <c r="Y6008">
        <v>74.194180451820259</v>
      </c>
      <c r="Z6008">
        <v>76.842169804374748</v>
      </c>
      <c r="AA6008">
        <v>79.551687133470153</v>
      </c>
      <c r="AB6008">
        <v>82.322057200638071</v>
      </c>
      <c r="AC6008">
        <v>85.14850570552133</v>
      </c>
      <c r="AD6008">
        <v>88.02504370511754</v>
      </c>
    </row>
    <row r="6009" spans="2:30" x14ac:dyDescent="0.25">
      <c r="B6009" t="s">
        <v>133</v>
      </c>
      <c r="C6009" t="s">
        <v>10598</v>
      </c>
      <c r="D6009" t="s">
        <v>6180</v>
      </c>
      <c r="E6009" t="s">
        <v>6181</v>
      </c>
      <c r="F6009" t="s">
        <v>11313</v>
      </c>
      <c r="G6009" t="s">
        <v>6162</v>
      </c>
      <c r="H6009" t="s">
        <v>6179</v>
      </c>
      <c r="J6009">
        <v>2</v>
      </c>
      <c r="K6009">
        <v>47.419998168945313</v>
      </c>
      <c r="L6009">
        <v>47.419998168945313</v>
      </c>
      <c r="M6009">
        <v>47.419998168945313</v>
      </c>
      <c r="N6009">
        <v>49.230959321646168</v>
      </c>
      <c r="O6009">
        <v>51.018025046174166</v>
      </c>
      <c r="P6009">
        <v>52.999961772234222</v>
      </c>
      <c r="Q6009">
        <v>55.223207648465404</v>
      </c>
      <c r="R6009">
        <v>57.451058095194924</v>
      </c>
      <c r="S6009">
        <v>59.655800043299188</v>
      </c>
      <c r="T6009">
        <v>61.920753906134657</v>
      </c>
      <c r="U6009">
        <v>64.248425278428229</v>
      </c>
      <c r="V6009">
        <v>66.638342879486203</v>
      </c>
      <c r="W6009">
        <v>69.0935296343429</v>
      </c>
      <c r="X6009">
        <v>71.612044974188123</v>
      </c>
      <c r="Y6009">
        <v>74.194180451820259</v>
      </c>
      <c r="Z6009">
        <v>76.842169804374748</v>
      </c>
      <c r="AA6009">
        <v>79.551687133470153</v>
      </c>
      <c r="AB6009">
        <v>82.322057200638071</v>
      </c>
      <c r="AC6009">
        <v>85.14850570552133</v>
      </c>
      <c r="AD6009">
        <v>88.02504370511754</v>
      </c>
    </row>
    <row r="6010" spans="2:30" x14ac:dyDescent="0.25">
      <c r="B6010" t="s">
        <v>133</v>
      </c>
      <c r="C6010" t="s">
        <v>10598</v>
      </c>
      <c r="D6010" t="s">
        <v>6183</v>
      </c>
      <c r="E6010" t="s">
        <v>6184</v>
      </c>
      <c r="F6010" t="s">
        <v>11314</v>
      </c>
      <c r="G6010" t="s">
        <v>6162</v>
      </c>
      <c r="H6010" t="s">
        <v>6186</v>
      </c>
      <c r="J6010">
        <v>1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</row>
    <row r="6011" spans="2:30" x14ac:dyDescent="0.25">
      <c r="B6011" t="s">
        <v>133</v>
      </c>
      <c r="C6011" t="s">
        <v>10598</v>
      </c>
      <c r="D6011" t="s">
        <v>6187</v>
      </c>
      <c r="E6011" t="s">
        <v>6188</v>
      </c>
      <c r="F6011" t="s">
        <v>11315</v>
      </c>
      <c r="G6011" t="s">
        <v>6162</v>
      </c>
      <c r="H6011" t="s">
        <v>6186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</row>
    <row r="6012" spans="2:30" x14ac:dyDescent="0.25">
      <c r="B6012" t="s">
        <v>133</v>
      </c>
      <c r="C6012" t="s">
        <v>10598</v>
      </c>
      <c r="D6012" t="s">
        <v>6190</v>
      </c>
      <c r="E6012" t="s">
        <v>6191</v>
      </c>
      <c r="F6012" t="s">
        <v>11316</v>
      </c>
      <c r="G6012" t="s">
        <v>6162</v>
      </c>
      <c r="H6012" t="s">
        <v>6193</v>
      </c>
      <c r="J6012">
        <v>1</v>
      </c>
      <c r="K6012">
        <v>3.5999999999999997E-2</v>
      </c>
      <c r="L6012">
        <v>3.7999999999999999E-2</v>
      </c>
      <c r="M6012">
        <v>3.6999999999999998E-2</v>
      </c>
      <c r="N6012">
        <v>0.04</v>
      </c>
      <c r="O6012">
        <v>4.2000000000000003E-2</v>
      </c>
      <c r="P6012">
        <v>4.5999999999999999E-2</v>
      </c>
      <c r="Q6012">
        <v>4.9000000000000002E-2</v>
      </c>
      <c r="R6012">
        <v>5.2999999999999999E-2</v>
      </c>
      <c r="S6012">
        <v>5.7000000000000002E-2</v>
      </c>
      <c r="T6012">
        <v>6.2E-2</v>
      </c>
      <c r="U6012">
        <v>6.6000000000000003E-2</v>
      </c>
      <c r="V6012">
        <v>7.0999999999999994E-2</v>
      </c>
      <c r="W6012">
        <v>7.6999999999999999E-2</v>
      </c>
      <c r="X6012">
        <v>8.2000000000000003E-2</v>
      </c>
      <c r="Y6012">
        <v>8.7999999999999995E-2</v>
      </c>
      <c r="Z6012">
        <v>9.5000000000000001E-2</v>
      </c>
      <c r="AA6012">
        <v>0.10199999999999999</v>
      </c>
      <c r="AB6012">
        <v>0.109</v>
      </c>
      <c r="AC6012">
        <v>0.11700000000000001</v>
      </c>
      <c r="AD6012">
        <v>0.126</v>
      </c>
    </row>
    <row r="6013" spans="2:30" x14ac:dyDescent="0.25">
      <c r="B6013" t="s">
        <v>133</v>
      </c>
      <c r="C6013" t="s">
        <v>10598</v>
      </c>
      <c r="D6013" t="s">
        <v>6194</v>
      </c>
      <c r="E6013" t="s">
        <v>6195</v>
      </c>
      <c r="F6013" t="s">
        <v>11317</v>
      </c>
      <c r="G6013" t="s">
        <v>6162</v>
      </c>
      <c r="H6013" t="s">
        <v>6193</v>
      </c>
      <c r="J6013">
        <v>1</v>
      </c>
      <c r="K6013">
        <v>1.0999999999999999E-2</v>
      </c>
      <c r="L6013">
        <v>1.0999999999999999E-2</v>
      </c>
      <c r="M6013">
        <v>0.01</v>
      </c>
      <c r="N6013">
        <v>0.01</v>
      </c>
      <c r="O6013">
        <v>0.01</v>
      </c>
      <c r="P6013">
        <v>1.2E-2</v>
      </c>
      <c r="Q6013">
        <v>1.2999999999999999E-2</v>
      </c>
      <c r="R6013">
        <v>1.4999999999999999E-2</v>
      </c>
      <c r="S6013">
        <v>1.6E-2</v>
      </c>
      <c r="T6013">
        <v>1.7999999999999999E-2</v>
      </c>
      <c r="U6013">
        <v>0.02</v>
      </c>
      <c r="V6013">
        <v>2.1999999999999999E-2</v>
      </c>
      <c r="W6013">
        <v>2.4E-2</v>
      </c>
      <c r="X6013">
        <v>2.7E-2</v>
      </c>
      <c r="Y6013">
        <v>2.9000000000000001E-2</v>
      </c>
      <c r="Z6013">
        <v>3.2000000000000001E-2</v>
      </c>
      <c r="AA6013">
        <v>3.5000000000000003E-2</v>
      </c>
      <c r="AB6013">
        <v>3.7999999999999999E-2</v>
      </c>
      <c r="AC6013">
        <v>4.2000000000000003E-2</v>
      </c>
      <c r="AD6013">
        <v>4.4999999999999998E-2</v>
      </c>
    </row>
    <row r="6014" spans="2:30" x14ac:dyDescent="0.25">
      <c r="B6014" t="s">
        <v>133</v>
      </c>
      <c r="C6014" t="s">
        <v>10598</v>
      </c>
      <c r="D6014" t="s">
        <v>6197</v>
      </c>
      <c r="E6014" t="s">
        <v>6198</v>
      </c>
      <c r="F6014" t="s">
        <v>11318</v>
      </c>
      <c r="G6014" t="s">
        <v>6162</v>
      </c>
      <c r="H6014" t="s">
        <v>6200</v>
      </c>
      <c r="J6014">
        <v>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</row>
    <row r="6015" spans="2:30" x14ac:dyDescent="0.25">
      <c r="B6015" t="s">
        <v>133</v>
      </c>
      <c r="C6015" t="s">
        <v>10598</v>
      </c>
      <c r="D6015" t="s">
        <v>6201</v>
      </c>
      <c r="E6015" t="s">
        <v>6202</v>
      </c>
      <c r="F6015" t="s">
        <v>11319</v>
      </c>
      <c r="G6015" t="s">
        <v>6162</v>
      </c>
      <c r="H6015" t="s">
        <v>6200</v>
      </c>
      <c r="J6015">
        <v>1</v>
      </c>
      <c r="K6015">
        <v>0.14799999999999999</v>
      </c>
      <c r="L6015">
        <v>0.14099999999999999</v>
      </c>
      <c r="M6015">
        <v>0.125</v>
      </c>
      <c r="N6015">
        <v>0.121</v>
      </c>
      <c r="O6015">
        <v>0.123</v>
      </c>
      <c r="P6015">
        <v>0.127</v>
      </c>
      <c r="Q6015">
        <v>0.13200000000000001</v>
      </c>
      <c r="R6015">
        <v>0.13600000000000001</v>
      </c>
      <c r="S6015">
        <v>0.14099999999999999</v>
      </c>
      <c r="T6015">
        <v>0.14699999999999999</v>
      </c>
      <c r="U6015">
        <v>0.153</v>
      </c>
      <c r="V6015">
        <v>0.158</v>
      </c>
      <c r="W6015">
        <v>0.16300000000000001</v>
      </c>
      <c r="X6015">
        <v>0.16800000000000001</v>
      </c>
      <c r="Y6015">
        <v>0.17299999999999999</v>
      </c>
      <c r="Z6015">
        <v>0.17699999999999999</v>
      </c>
      <c r="AA6015">
        <v>0.182</v>
      </c>
      <c r="AB6015">
        <v>0.186</v>
      </c>
      <c r="AC6015">
        <v>0.19</v>
      </c>
      <c r="AD6015">
        <v>0.19500000000000001</v>
      </c>
    </row>
    <row r="6016" spans="2:30" x14ac:dyDescent="0.25">
      <c r="B6016" t="s">
        <v>133</v>
      </c>
      <c r="C6016" t="s">
        <v>10598</v>
      </c>
      <c r="D6016" t="s">
        <v>6204</v>
      </c>
      <c r="E6016" t="s">
        <v>6205</v>
      </c>
      <c r="F6016" t="s">
        <v>11320</v>
      </c>
      <c r="G6016" t="s">
        <v>3890</v>
      </c>
      <c r="H6016" t="s">
        <v>6207</v>
      </c>
      <c r="I6016" t="s">
        <v>5862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1.0800000000000001E-2</v>
      </c>
      <c r="Q6016">
        <v>0.13044</v>
      </c>
      <c r="R6016">
        <v>0.21922</v>
      </c>
      <c r="S6016">
        <v>0.29576000000000002</v>
      </c>
      <c r="T6016">
        <v>0.41400999999999999</v>
      </c>
      <c r="U6016">
        <v>0.48165999999999998</v>
      </c>
      <c r="V6016">
        <v>0.65061999999999998</v>
      </c>
      <c r="W6016">
        <v>0.70665999999999995</v>
      </c>
      <c r="X6016">
        <v>0.92906999999999995</v>
      </c>
      <c r="Y6016">
        <v>0.99980000000000002</v>
      </c>
      <c r="Z6016">
        <v>1.03102</v>
      </c>
      <c r="AA6016">
        <v>1.2891600000000001</v>
      </c>
      <c r="AB6016">
        <v>0.98560999999999999</v>
      </c>
      <c r="AC6016">
        <v>1.8203</v>
      </c>
      <c r="AD6016">
        <v>0.84592000000000001</v>
      </c>
    </row>
    <row r="6017" spans="2:30" x14ac:dyDescent="0.25">
      <c r="B6017" t="s">
        <v>133</v>
      </c>
      <c r="C6017" t="s">
        <v>10598</v>
      </c>
      <c r="D6017" t="s">
        <v>6208</v>
      </c>
      <c r="E6017" t="s">
        <v>6209</v>
      </c>
      <c r="F6017" t="s">
        <v>11321</v>
      </c>
      <c r="G6017" t="s">
        <v>3890</v>
      </c>
      <c r="H6017" t="s">
        <v>6207</v>
      </c>
      <c r="I6017" t="s">
        <v>5862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</row>
    <row r="6018" spans="2:30" x14ac:dyDescent="0.25">
      <c r="B6018" t="s">
        <v>133</v>
      </c>
      <c r="C6018" t="s">
        <v>10598</v>
      </c>
      <c r="D6018" t="s">
        <v>6211</v>
      </c>
      <c r="E6018" t="s">
        <v>6212</v>
      </c>
      <c r="F6018" t="s">
        <v>11322</v>
      </c>
      <c r="G6018" t="s">
        <v>3890</v>
      </c>
      <c r="H6018" t="s">
        <v>6207</v>
      </c>
      <c r="I6018" t="s">
        <v>5862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</row>
    <row r="6019" spans="2:30" x14ac:dyDescent="0.25">
      <c r="B6019" t="s">
        <v>133</v>
      </c>
      <c r="C6019" t="s">
        <v>10598</v>
      </c>
      <c r="D6019" t="s">
        <v>6214</v>
      </c>
      <c r="E6019" t="s">
        <v>6215</v>
      </c>
      <c r="F6019" t="s">
        <v>11323</v>
      </c>
      <c r="G6019" t="s">
        <v>3890</v>
      </c>
      <c r="H6019" t="s">
        <v>6207</v>
      </c>
      <c r="I6019" t="s">
        <v>5862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9.0000000000000006E-5</v>
      </c>
      <c r="S6019">
        <v>3.2000000000000003E-4</v>
      </c>
      <c r="T6019">
        <v>1.09E-3</v>
      </c>
      <c r="U6019">
        <v>2.5100000000000001E-3</v>
      </c>
      <c r="V6019">
        <v>6.1700000000000001E-3</v>
      </c>
      <c r="W6019">
        <v>1.17E-2</v>
      </c>
      <c r="X6019">
        <v>2.4230000000000002E-2</v>
      </c>
      <c r="Y6019">
        <v>4.027E-2</v>
      </c>
      <c r="Z6019">
        <v>5.8400000000000001E-2</v>
      </c>
      <c r="AA6019">
        <v>9.9409999999999998E-2</v>
      </c>
      <c r="AB6019">
        <v>0.11169</v>
      </c>
      <c r="AC6019">
        <v>0.23979</v>
      </c>
      <c r="AD6019">
        <v>0.19408</v>
      </c>
    </row>
    <row r="6020" spans="2:30" x14ac:dyDescent="0.25">
      <c r="B6020" t="s">
        <v>133</v>
      </c>
      <c r="C6020" t="s">
        <v>10598</v>
      </c>
      <c r="D6020" t="s">
        <v>6217</v>
      </c>
      <c r="E6020" t="s">
        <v>6218</v>
      </c>
      <c r="F6020" t="s">
        <v>11324</v>
      </c>
      <c r="G6020" t="s">
        <v>3890</v>
      </c>
      <c r="H6020" t="s">
        <v>6207</v>
      </c>
      <c r="I6020" t="s">
        <v>5862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3.5300000000000002E-3</v>
      </c>
      <c r="Q6020">
        <v>4.1750000000000002E-2</v>
      </c>
      <c r="R6020">
        <v>0.31358000000000003</v>
      </c>
      <c r="S6020">
        <v>0.52886999999999995</v>
      </c>
      <c r="T6020">
        <v>0.89939000000000002</v>
      </c>
      <c r="U6020">
        <v>1.0963099999999999</v>
      </c>
      <c r="V6020">
        <v>1.5550600000000001</v>
      </c>
      <c r="W6020">
        <v>1.7256100000000001</v>
      </c>
      <c r="X6020">
        <v>2.2565200000000001</v>
      </c>
      <c r="Y6020">
        <v>2.41153</v>
      </c>
      <c r="Z6020">
        <v>2.3403700000000001</v>
      </c>
      <c r="AA6020">
        <v>2.8097799999999999</v>
      </c>
      <c r="AB6020">
        <v>2.0641600000000002</v>
      </c>
      <c r="AC6020">
        <v>3.5049299999999999</v>
      </c>
      <c r="AD6020">
        <v>1.8363499999999999</v>
      </c>
    </row>
    <row r="6021" spans="2:30" x14ac:dyDescent="0.25">
      <c r="B6021" t="s">
        <v>133</v>
      </c>
      <c r="C6021" t="s">
        <v>10598</v>
      </c>
      <c r="D6021" t="s">
        <v>6220</v>
      </c>
      <c r="E6021" t="s">
        <v>6221</v>
      </c>
      <c r="F6021" t="s">
        <v>11325</v>
      </c>
      <c r="G6021" t="s">
        <v>3890</v>
      </c>
      <c r="H6021" t="s">
        <v>6207</v>
      </c>
      <c r="I6021" t="s">
        <v>3892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1.4330000000000001E-2</v>
      </c>
      <c r="Q6021">
        <v>0.17219000000000001</v>
      </c>
      <c r="R6021">
        <v>0.53290000000000004</v>
      </c>
      <c r="S6021">
        <v>0.82498000000000005</v>
      </c>
      <c r="T6021">
        <v>1.3146500000000001</v>
      </c>
      <c r="U6021">
        <v>1.5809500000000001</v>
      </c>
      <c r="V6021">
        <v>2.2132399999999999</v>
      </c>
      <c r="W6021">
        <v>2.4465699999999999</v>
      </c>
      <c r="X6021">
        <v>3.2149200000000002</v>
      </c>
      <c r="Y6021">
        <v>3.4595400000000001</v>
      </c>
      <c r="Z6021">
        <v>3.44041</v>
      </c>
      <c r="AA6021">
        <v>4.2152700000000003</v>
      </c>
      <c r="AB6021">
        <v>3.1786500000000002</v>
      </c>
      <c r="AC6021">
        <v>5.6008899999999997</v>
      </c>
      <c r="AD6021">
        <v>2.9025699999999999</v>
      </c>
    </row>
    <row r="6022" spans="2:30" x14ac:dyDescent="0.25">
      <c r="B6022" t="s">
        <v>133</v>
      </c>
      <c r="C6022" t="s">
        <v>10598</v>
      </c>
      <c r="D6022" t="s">
        <v>6223</v>
      </c>
      <c r="E6022" t="s">
        <v>6224</v>
      </c>
      <c r="F6022" t="s">
        <v>11326</v>
      </c>
      <c r="G6022" t="s">
        <v>3890</v>
      </c>
      <c r="H6022" t="s">
        <v>6207</v>
      </c>
      <c r="I6022" t="s">
        <v>3892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2.0000000000000002E-5</v>
      </c>
      <c r="Q6022">
        <v>1.9000000000000001E-4</v>
      </c>
      <c r="R6022">
        <v>2.9999999999999997E-4</v>
      </c>
      <c r="S6022">
        <v>3.8000000000000002E-4</v>
      </c>
      <c r="T6022">
        <v>5.1000000000000004E-4</v>
      </c>
      <c r="U6022">
        <v>5.6999999999999998E-4</v>
      </c>
      <c r="V6022">
        <v>7.2999999999999996E-4</v>
      </c>
      <c r="W6022">
        <v>7.6000000000000004E-4</v>
      </c>
      <c r="X6022">
        <v>9.6000000000000002E-4</v>
      </c>
      <c r="Y6022">
        <v>9.8999999999999999E-4</v>
      </c>
      <c r="Z6022">
        <v>9.7000000000000005E-4</v>
      </c>
      <c r="AA6022">
        <v>1.17E-3</v>
      </c>
      <c r="AB6022">
        <v>8.4999999999999995E-4</v>
      </c>
      <c r="AC6022">
        <v>1.5100000000000001E-3</v>
      </c>
      <c r="AD6022">
        <v>6.7000000000000002E-4</v>
      </c>
    </row>
    <row r="6023" spans="2:30" x14ac:dyDescent="0.25">
      <c r="B6023" t="s">
        <v>133</v>
      </c>
      <c r="C6023" t="s">
        <v>10598</v>
      </c>
      <c r="D6023" t="s">
        <v>3448</v>
      </c>
      <c r="E6023" t="s">
        <v>3449</v>
      </c>
      <c r="F6023" t="s">
        <v>11327</v>
      </c>
      <c r="G6023" t="s">
        <v>3890</v>
      </c>
      <c r="H6023" t="s">
        <v>6207</v>
      </c>
      <c r="I6023" t="s">
        <v>3892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</row>
    <row r="6024" spans="2:30" x14ac:dyDescent="0.25">
      <c r="B6024" t="s">
        <v>133</v>
      </c>
      <c r="C6024" t="s">
        <v>10598</v>
      </c>
      <c r="D6024" t="s">
        <v>6227</v>
      </c>
      <c r="E6024" t="s">
        <v>6228</v>
      </c>
      <c r="F6024" t="s">
        <v>11328</v>
      </c>
      <c r="G6024" t="s">
        <v>3890</v>
      </c>
      <c r="H6024" t="s">
        <v>6207</v>
      </c>
      <c r="I6024" t="s">
        <v>3892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1.0000000000000001E-5</v>
      </c>
      <c r="W6024">
        <v>2.0000000000000002E-5</v>
      </c>
      <c r="X6024">
        <v>3.0000000000000001E-5</v>
      </c>
      <c r="Y6024">
        <v>5.0000000000000002E-5</v>
      </c>
      <c r="Z6024">
        <v>6.9999999999999994E-5</v>
      </c>
      <c r="AA6024">
        <v>1.1E-4</v>
      </c>
      <c r="AB6024">
        <v>1.1E-4</v>
      </c>
      <c r="AC6024">
        <v>2.3000000000000001E-4</v>
      </c>
      <c r="AD6024">
        <v>1.8000000000000001E-4</v>
      </c>
    </row>
    <row r="6025" spans="2:30" x14ac:dyDescent="0.25">
      <c r="B6025" t="s">
        <v>133</v>
      </c>
      <c r="C6025" t="s">
        <v>10598</v>
      </c>
      <c r="D6025" t="s">
        <v>6230</v>
      </c>
      <c r="E6025" t="s">
        <v>6231</v>
      </c>
      <c r="F6025" t="s">
        <v>11329</v>
      </c>
      <c r="G6025" t="s">
        <v>3890</v>
      </c>
      <c r="H6025" t="s">
        <v>6207</v>
      </c>
      <c r="I6025" t="s">
        <v>3892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1.0000000000000001E-5</v>
      </c>
      <c r="Q6025">
        <v>6.0000000000000002E-5</v>
      </c>
      <c r="R6025">
        <v>4.2999999999999999E-4</v>
      </c>
      <c r="S6025">
        <v>6.8999999999999997E-4</v>
      </c>
      <c r="T6025">
        <v>1.1100000000000001E-3</v>
      </c>
      <c r="U6025">
        <v>1.2899999999999999E-3</v>
      </c>
      <c r="V6025">
        <v>1.75E-3</v>
      </c>
      <c r="W6025">
        <v>1.8600000000000001E-3</v>
      </c>
      <c r="X6025">
        <v>2.33E-3</v>
      </c>
      <c r="Y6025">
        <v>2.3800000000000002E-3</v>
      </c>
      <c r="Z6025">
        <v>2.2100000000000002E-3</v>
      </c>
      <c r="AA6025">
        <v>2.5400000000000002E-3</v>
      </c>
      <c r="AB6025">
        <v>1.7899999999999999E-3</v>
      </c>
      <c r="AC6025">
        <v>2.9099999999999998E-3</v>
      </c>
      <c r="AD6025">
        <v>1.4599999999999999E-3</v>
      </c>
    </row>
    <row r="6026" spans="2:30" x14ac:dyDescent="0.25">
      <c r="B6026" t="s">
        <v>133</v>
      </c>
      <c r="C6026" t="s">
        <v>10598</v>
      </c>
      <c r="D6026" t="s">
        <v>6233</v>
      </c>
      <c r="E6026" t="s">
        <v>6234</v>
      </c>
      <c r="F6026" t="s">
        <v>11330</v>
      </c>
      <c r="G6026" t="s">
        <v>3890</v>
      </c>
      <c r="H6026" t="s">
        <v>6207</v>
      </c>
      <c r="I6026" t="s">
        <v>3892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2.0000000000000002E-5</v>
      </c>
      <c r="Q6026">
        <v>2.5000000000000001E-4</v>
      </c>
      <c r="R6026">
        <v>7.2000000000000005E-4</v>
      </c>
      <c r="S6026">
        <v>1.07E-3</v>
      </c>
      <c r="T6026">
        <v>1.6299999999999999E-3</v>
      </c>
      <c r="U6026">
        <v>1.8699999999999999E-3</v>
      </c>
      <c r="V6026">
        <v>2.5000000000000001E-3</v>
      </c>
      <c r="W6026">
        <v>2.64E-3</v>
      </c>
      <c r="X6026">
        <v>3.31E-3</v>
      </c>
      <c r="Y6026">
        <v>3.4099999999999998E-3</v>
      </c>
      <c r="Z6026">
        <v>3.2499999999999999E-3</v>
      </c>
      <c r="AA6026">
        <v>3.81E-3</v>
      </c>
      <c r="AB6026">
        <v>2.7499999999999998E-3</v>
      </c>
      <c r="AC6026">
        <v>4.6499999999999996E-3</v>
      </c>
      <c r="AD6026">
        <v>2.31E-3</v>
      </c>
    </row>
    <row r="6027" spans="2:30" x14ac:dyDescent="0.25">
      <c r="B6027" t="s">
        <v>133</v>
      </c>
      <c r="C6027" t="s">
        <v>10598</v>
      </c>
      <c r="D6027" t="s">
        <v>6236</v>
      </c>
      <c r="E6027" t="s">
        <v>6237</v>
      </c>
      <c r="F6027" t="s">
        <v>11331</v>
      </c>
      <c r="G6027" t="s">
        <v>6239</v>
      </c>
      <c r="H6027" t="s">
        <v>6240</v>
      </c>
      <c r="I6027" t="s">
        <v>6241</v>
      </c>
      <c r="K6027">
        <v>-0.26341999999999999</v>
      </c>
      <c r="L6027">
        <v>-0.24515999999999999</v>
      </c>
      <c r="M6027">
        <v>-0.24335000000000001</v>
      </c>
      <c r="N6027">
        <v>-0.23197000000000001</v>
      </c>
      <c r="O6027">
        <v>-0.23354</v>
      </c>
      <c r="P6027">
        <v>-0.23379</v>
      </c>
      <c r="Q6027">
        <v>-0.23852999999999999</v>
      </c>
      <c r="R6027">
        <v>-0.24460000000000001</v>
      </c>
      <c r="S6027">
        <v>-0.25662000000000001</v>
      </c>
      <c r="T6027">
        <v>-0.27671000000000001</v>
      </c>
    </row>
    <row r="6028" spans="2:30" x14ac:dyDescent="0.25">
      <c r="B6028" t="s">
        <v>133</v>
      </c>
      <c r="C6028" t="s">
        <v>10598</v>
      </c>
      <c r="D6028" t="s">
        <v>6242</v>
      </c>
      <c r="E6028" t="s">
        <v>6243</v>
      </c>
      <c r="F6028" t="s">
        <v>11332</v>
      </c>
      <c r="G6028" t="s">
        <v>6239</v>
      </c>
      <c r="H6028" t="s">
        <v>6240</v>
      </c>
      <c r="I6028" t="s">
        <v>6241</v>
      </c>
      <c r="K6028">
        <v>-0.25335999999999997</v>
      </c>
      <c r="L6028">
        <v>-0.23577999999999999</v>
      </c>
      <c r="M6028">
        <v>-0.23458000000000001</v>
      </c>
      <c r="N6028">
        <v>-0.23444999999999999</v>
      </c>
      <c r="O6028">
        <v>-0.23630000000000001</v>
      </c>
      <c r="P6028">
        <v>-0.24071999999999999</v>
      </c>
      <c r="Q6028">
        <v>-0.24862000000000001</v>
      </c>
      <c r="R6028">
        <v>-0.24104999999999999</v>
      </c>
      <c r="S6028">
        <v>-0.26239000000000001</v>
      </c>
      <c r="T6028">
        <v>-0.27407999999999999</v>
      </c>
    </row>
    <row r="6029" spans="2:30" x14ac:dyDescent="0.25">
      <c r="B6029" t="s">
        <v>133</v>
      </c>
      <c r="C6029" t="s">
        <v>10598</v>
      </c>
      <c r="D6029" t="s">
        <v>6245</v>
      </c>
      <c r="E6029" t="s">
        <v>6246</v>
      </c>
      <c r="F6029" t="s">
        <v>11333</v>
      </c>
      <c r="G6029" t="s">
        <v>6239</v>
      </c>
      <c r="H6029" t="s">
        <v>6248</v>
      </c>
      <c r="I6029" t="s">
        <v>6241</v>
      </c>
      <c r="K6029">
        <v>-0.22169</v>
      </c>
      <c r="L6029">
        <v>-0.20191999999999999</v>
      </c>
      <c r="M6029">
        <v>-0.19833999999999999</v>
      </c>
      <c r="N6029">
        <v>-0.19497</v>
      </c>
      <c r="O6029">
        <v>-0.19503999999999999</v>
      </c>
      <c r="P6029">
        <v>-0.19708999999999999</v>
      </c>
      <c r="Q6029">
        <v>-0.20300000000000001</v>
      </c>
      <c r="R6029">
        <v>-0.21049999999999999</v>
      </c>
      <c r="S6029">
        <v>-0.2135</v>
      </c>
      <c r="T6029">
        <v>-0.23064000000000001</v>
      </c>
    </row>
    <row r="6030" spans="2:30" x14ac:dyDescent="0.25">
      <c r="B6030" t="s">
        <v>133</v>
      </c>
      <c r="C6030" t="s">
        <v>10598</v>
      </c>
      <c r="D6030" t="s">
        <v>6249</v>
      </c>
      <c r="E6030" t="s">
        <v>6250</v>
      </c>
      <c r="F6030" t="s">
        <v>11334</v>
      </c>
      <c r="G6030" t="s">
        <v>6239</v>
      </c>
      <c r="H6030" t="s">
        <v>6248</v>
      </c>
      <c r="I6030" t="s">
        <v>6241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2:30" x14ac:dyDescent="0.25">
      <c r="B6031" t="s">
        <v>133</v>
      </c>
      <c r="C6031" t="s">
        <v>10598</v>
      </c>
      <c r="D6031" t="s">
        <v>6252</v>
      </c>
      <c r="E6031" t="s">
        <v>6253</v>
      </c>
      <c r="F6031" t="s">
        <v>11335</v>
      </c>
      <c r="G6031" t="s">
        <v>6239</v>
      </c>
      <c r="H6031" t="s">
        <v>6248</v>
      </c>
      <c r="I6031" t="s">
        <v>6241</v>
      </c>
      <c r="K6031">
        <v>-0.22169</v>
      </c>
      <c r="L6031">
        <v>-0.20191999999999999</v>
      </c>
      <c r="M6031">
        <v>-0.19833999999999999</v>
      </c>
      <c r="N6031">
        <v>-0.19497</v>
      </c>
      <c r="O6031">
        <v>-0.19503999999999999</v>
      </c>
      <c r="P6031">
        <v>-0.19708999999999999</v>
      </c>
      <c r="Q6031">
        <v>-0.20300000000000001</v>
      </c>
      <c r="R6031">
        <v>-0.21049999999999999</v>
      </c>
      <c r="S6031">
        <v>-0.2135</v>
      </c>
      <c r="T6031">
        <v>-0.23064000000000001</v>
      </c>
    </row>
    <row r="6032" spans="2:30" x14ac:dyDescent="0.25">
      <c r="B6032" t="s">
        <v>133</v>
      </c>
      <c r="C6032" t="s">
        <v>10598</v>
      </c>
      <c r="D6032" t="s">
        <v>6255</v>
      </c>
      <c r="E6032" t="s">
        <v>6256</v>
      </c>
      <c r="F6032" t="s">
        <v>11336</v>
      </c>
      <c r="G6032" t="s">
        <v>6239</v>
      </c>
      <c r="H6032" t="s">
        <v>6248</v>
      </c>
      <c r="I6032" t="s">
        <v>6241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2:20" x14ac:dyDescent="0.25">
      <c r="B6033" t="s">
        <v>133</v>
      </c>
      <c r="C6033" t="s">
        <v>10598</v>
      </c>
      <c r="D6033" t="s">
        <v>6258</v>
      </c>
      <c r="E6033" t="s">
        <v>6259</v>
      </c>
      <c r="F6033" t="s">
        <v>11337</v>
      </c>
      <c r="G6033" t="s">
        <v>6239</v>
      </c>
      <c r="H6033" t="s">
        <v>6248</v>
      </c>
      <c r="I6033" t="s">
        <v>6241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2:20" x14ac:dyDescent="0.25">
      <c r="B6034" t="s">
        <v>133</v>
      </c>
      <c r="C6034" t="s">
        <v>10598</v>
      </c>
      <c r="D6034" t="s">
        <v>6261</v>
      </c>
      <c r="E6034" t="s">
        <v>6262</v>
      </c>
      <c r="F6034" t="s">
        <v>11338</v>
      </c>
      <c r="G6034" t="s">
        <v>6239</v>
      </c>
      <c r="H6034" t="s">
        <v>6248</v>
      </c>
      <c r="I6034" t="s">
        <v>6241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</row>
    <row r="6035" spans="2:20" x14ac:dyDescent="0.25">
      <c r="B6035" t="s">
        <v>133</v>
      </c>
      <c r="C6035" t="s">
        <v>10598</v>
      </c>
      <c r="D6035" t="s">
        <v>6264</v>
      </c>
      <c r="E6035" t="s">
        <v>6265</v>
      </c>
      <c r="F6035" t="s">
        <v>11339</v>
      </c>
      <c r="G6035" t="s">
        <v>6239</v>
      </c>
      <c r="H6035" t="s">
        <v>6248</v>
      </c>
      <c r="I6035" t="s">
        <v>6241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</row>
    <row r="6036" spans="2:20" x14ac:dyDescent="0.25">
      <c r="B6036" t="s">
        <v>133</v>
      </c>
      <c r="C6036" t="s">
        <v>10598</v>
      </c>
      <c r="D6036" t="s">
        <v>6267</v>
      </c>
      <c r="E6036" t="s">
        <v>6268</v>
      </c>
      <c r="F6036" t="s">
        <v>11340</v>
      </c>
      <c r="G6036" t="s">
        <v>6239</v>
      </c>
      <c r="H6036" t="s">
        <v>6248</v>
      </c>
      <c r="I6036" t="s">
        <v>6241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</row>
    <row r="6037" spans="2:20" x14ac:dyDescent="0.25">
      <c r="B6037" t="s">
        <v>133</v>
      </c>
      <c r="C6037" t="s">
        <v>10598</v>
      </c>
      <c r="D6037" t="s">
        <v>6270</v>
      </c>
      <c r="E6037" t="s">
        <v>6271</v>
      </c>
      <c r="F6037" t="s">
        <v>11341</v>
      </c>
      <c r="G6037" t="s">
        <v>6239</v>
      </c>
      <c r="H6037" t="s">
        <v>6248</v>
      </c>
      <c r="I6037" t="s">
        <v>6241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</row>
    <row r="6038" spans="2:20" x14ac:dyDescent="0.25">
      <c r="B6038" t="s">
        <v>133</v>
      </c>
      <c r="C6038" t="s">
        <v>10598</v>
      </c>
      <c r="D6038" t="s">
        <v>6273</v>
      </c>
      <c r="E6038" t="s">
        <v>6274</v>
      </c>
      <c r="F6038" t="s">
        <v>11342</v>
      </c>
      <c r="G6038" t="s">
        <v>6239</v>
      </c>
      <c r="H6038" t="s">
        <v>6276</v>
      </c>
      <c r="I6038" t="s">
        <v>6241</v>
      </c>
      <c r="K6038">
        <v>-3.8730000000000001E-2</v>
      </c>
      <c r="L6038">
        <v>-3.8550000000000001E-2</v>
      </c>
      <c r="M6038">
        <v>-3.8690000000000002E-2</v>
      </c>
      <c r="N6038">
        <v>-3.8920000000000003E-2</v>
      </c>
      <c r="O6038">
        <v>-3.9210000000000002E-2</v>
      </c>
      <c r="P6038">
        <v>-3.9579999999999997E-2</v>
      </c>
      <c r="Q6038">
        <v>-4.0030000000000003E-2</v>
      </c>
      <c r="R6038">
        <v>-4.0829999999999998E-2</v>
      </c>
      <c r="S6038">
        <v>-4.1099999999999998E-2</v>
      </c>
      <c r="T6038">
        <v>-4.2450000000000002E-2</v>
      </c>
    </row>
    <row r="6039" spans="2:20" x14ac:dyDescent="0.25">
      <c r="B6039" t="s">
        <v>133</v>
      </c>
      <c r="C6039" t="s">
        <v>10598</v>
      </c>
      <c r="D6039" t="s">
        <v>6277</v>
      </c>
      <c r="E6039" t="s">
        <v>6278</v>
      </c>
      <c r="F6039" t="s">
        <v>11343</v>
      </c>
      <c r="G6039" t="s">
        <v>6239</v>
      </c>
      <c r="H6039" t="s">
        <v>6276</v>
      </c>
      <c r="I6039" t="s">
        <v>6241</v>
      </c>
      <c r="K6039">
        <v>-1.3500000000000001E-3</v>
      </c>
      <c r="L6039">
        <v>-1.31E-3</v>
      </c>
      <c r="M6039">
        <v>-1.33E-3</v>
      </c>
      <c r="N6039">
        <v>-1.2999999999999999E-3</v>
      </c>
      <c r="O6039">
        <v>-1.34E-3</v>
      </c>
      <c r="P6039">
        <v>-1.33E-3</v>
      </c>
      <c r="Q6039">
        <v>-1.34E-3</v>
      </c>
      <c r="R6039">
        <v>-1.31E-3</v>
      </c>
      <c r="S6039">
        <v>-1.2999999999999999E-3</v>
      </c>
      <c r="T6039">
        <v>-1.3699999999999999E-3</v>
      </c>
    </row>
    <row r="6040" spans="2:20" x14ac:dyDescent="0.25">
      <c r="B6040" t="s">
        <v>133</v>
      </c>
      <c r="C6040" t="s">
        <v>10598</v>
      </c>
      <c r="D6040" t="s">
        <v>6280</v>
      </c>
      <c r="E6040" t="s">
        <v>6281</v>
      </c>
      <c r="F6040" t="s">
        <v>11344</v>
      </c>
      <c r="G6040" t="s">
        <v>6239</v>
      </c>
      <c r="H6040" t="s">
        <v>6276</v>
      </c>
      <c r="I6040" t="s">
        <v>6241</v>
      </c>
      <c r="K6040">
        <v>-8.0800000000000004E-3</v>
      </c>
      <c r="L6040">
        <v>-7.3299999999999997E-3</v>
      </c>
      <c r="M6040">
        <v>-7.2100000000000003E-3</v>
      </c>
      <c r="N6040">
        <v>-7.11E-3</v>
      </c>
      <c r="O6040">
        <v>-6.9899999999999997E-3</v>
      </c>
      <c r="P6040">
        <v>-7.0499999999999998E-3</v>
      </c>
      <c r="Q6040">
        <v>-7.0000000000000001E-3</v>
      </c>
      <c r="R6040">
        <v>-6.8999999999999999E-3</v>
      </c>
      <c r="S6040">
        <v>-6.8900000000000003E-3</v>
      </c>
      <c r="T6040">
        <v>-6.7999999999999996E-3</v>
      </c>
    </row>
    <row r="6041" spans="2:20" x14ac:dyDescent="0.25">
      <c r="B6041" t="s">
        <v>133</v>
      </c>
      <c r="C6041" t="s">
        <v>10598</v>
      </c>
      <c r="D6041" t="s">
        <v>6283</v>
      </c>
      <c r="E6041" t="s">
        <v>6284</v>
      </c>
      <c r="F6041" t="s">
        <v>11345</v>
      </c>
      <c r="G6041" t="s">
        <v>6239</v>
      </c>
      <c r="H6041" t="s">
        <v>6276</v>
      </c>
      <c r="I6041" t="s">
        <v>6241</v>
      </c>
      <c r="K6041">
        <v>-1.6100000000000001E-3</v>
      </c>
      <c r="L6041">
        <v>-1.7099999999999999E-3</v>
      </c>
      <c r="M6041">
        <v>-1.74E-3</v>
      </c>
      <c r="N6041">
        <v>-1.7600000000000001E-3</v>
      </c>
      <c r="O6041">
        <v>-1.72E-3</v>
      </c>
      <c r="P6041">
        <v>-1.6900000000000001E-3</v>
      </c>
      <c r="Q6041">
        <v>-1.6100000000000001E-3</v>
      </c>
      <c r="R6041">
        <v>-1.48E-3</v>
      </c>
      <c r="S6041">
        <v>-1.4E-3</v>
      </c>
      <c r="T6041">
        <v>-1.2099999999999999E-3</v>
      </c>
    </row>
    <row r="6042" spans="2:20" x14ac:dyDescent="0.25">
      <c r="B6042" t="s">
        <v>133</v>
      </c>
      <c r="C6042" t="s">
        <v>10598</v>
      </c>
      <c r="D6042" t="s">
        <v>6286</v>
      </c>
      <c r="E6042" t="s">
        <v>6287</v>
      </c>
      <c r="F6042" t="s">
        <v>11346</v>
      </c>
      <c r="G6042" t="s">
        <v>6239</v>
      </c>
      <c r="H6042" t="s">
        <v>6276</v>
      </c>
      <c r="I6042" t="s">
        <v>6241</v>
      </c>
      <c r="K6042">
        <v>-2.5000000000000001E-4</v>
      </c>
      <c r="L6042">
        <v>-2.5000000000000001E-4</v>
      </c>
      <c r="M6042">
        <v>-2.7E-4</v>
      </c>
      <c r="N6042">
        <v>-2.7999999999999998E-4</v>
      </c>
      <c r="O6042">
        <v>-3.1E-4</v>
      </c>
      <c r="P6042">
        <v>-3.1E-4</v>
      </c>
      <c r="Q6042">
        <v>-3.2000000000000003E-4</v>
      </c>
      <c r="R6042">
        <v>-3.2000000000000003E-4</v>
      </c>
      <c r="S6042">
        <v>-3.3E-4</v>
      </c>
      <c r="T6042">
        <v>-3.4000000000000002E-4</v>
      </c>
    </row>
    <row r="6043" spans="2:20" x14ac:dyDescent="0.25">
      <c r="B6043" t="s">
        <v>133</v>
      </c>
      <c r="C6043" t="s">
        <v>10598</v>
      </c>
      <c r="D6043" t="s">
        <v>6289</v>
      </c>
      <c r="E6043" t="s">
        <v>6290</v>
      </c>
      <c r="F6043" t="s">
        <v>11347</v>
      </c>
      <c r="G6043" t="s">
        <v>6239</v>
      </c>
      <c r="H6043" t="s">
        <v>6276</v>
      </c>
      <c r="I6043" t="s">
        <v>6241</v>
      </c>
      <c r="K6043">
        <v>-8.8999999999999995E-4</v>
      </c>
      <c r="L6043">
        <v>-1.17E-3</v>
      </c>
      <c r="M6043">
        <v>-1.2999999999999999E-3</v>
      </c>
      <c r="N6043">
        <v>-1.32E-3</v>
      </c>
      <c r="O6043">
        <v>-1.3500000000000001E-3</v>
      </c>
      <c r="P6043">
        <v>-1.31E-3</v>
      </c>
      <c r="Q6043">
        <v>-1.25E-3</v>
      </c>
      <c r="R6043">
        <v>-1.09E-3</v>
      </c>
      <c r="S6043">
        <v>-8.7000000000000001E-4</v>
      </c>
      <c r="T6043">
        <v>-4.8000000000000001E-4</v>
      </c>
    </row>
    <row r="6044" spans="2:20" x14ac:dyDescent="0.25">
      <c r="B6044" t="s">
        <v>133</v>
      </c>
      <c r="C6044" t="s">
        <v>10598</v>
      </c>
      <c r="D6044" t="s">
        <v>6292</v>
      </c>
      <c r="E6044" t="s">
        <v>6293</v>
      </c>
      <c r="F6044" t="s">
        <v>11348</v>
      </c>
      <c r="G6044" t="s">
        <v>6239</v>
      </c>
      <c r="H6044" t="s">
        <v>6276</v>
      </c>
      <c r="I6044" t="s">
        <v>6241</v>
      </c>
      <c r="K6044">
        <v>-1.3509999999999999E-2</v>
      </c>
      <c r="L6044">
        <v>-1.358E-2</v>
      </c>
      <c r="M6044">
        <v>-1.338E-2</v>
      </c>
      <c r="N6044">
        <v>-1.3270000000000001E-2</v>
      </c>
      <c r="O6044">
        <v>-1.2999999999999999E-2</v>
      </c>
      <c r="P6044">
        <v>-1.2959999999999999E-2</v>
      </c>
      <c r="Q6044">
        <v>-1.2760000000000001E-2</v>
      </c>
      <c r="R6044">
        <v>-1.274E-2</v>
      </c>
      <c r="S6044">
        <v>-1.282E-2</v>
      </c>
      <c r="T6044">
        <v>-1.2149999999999999E-2</v>
      </c>
    </row>
    <row r="6045" spans="2:20" x14ac:dyDescent="0.25">
      <c r="B6045" t="s">
        <v>133</v>
      </c>
      <c r="C6045" t="s">
        <v>10598</v>
      </c>
      <c r="D6045" t="s">
        <v>6295</v>
      </c>
      <c r="E6045" t="s">
        <v>6296</v>
      </c>
      <c r="F6045" t="s">
        <v>11349</v>
      </c>
      <c r="G6045" t="s">
        <v>6239</v>
      </c>
      <c r="H6045" t="s">
        <v>6276</v>
      </c>
      <c r="I6045" t="s">
        <v>6241</v>
      </c>
      <c r="K6045">
        <v>-1.17E-3</v>
      </c>
      <c r="L6045">
        <v>-1.1800000000000001E-3</v>
      </c>
      <c r="M6045">
        <v>-1.2800000000000001E-3</v>
      </c>
      <c r="N6045">
        <v>-1.4499999999999999E-3</v>
      </c>
      <c r="O6045">
        <v>-1.47E-3</v>
      </c>
      <c r="P6045">
        <v>-1.5499999999999999E-3</v>
      </c>
      <c r="Q6045">
        <v>-1.6999999999999999E-3</v>
      </c>
      <c r="R6045">
        <v>-1.8E-3</v>
      </c>
      <c r="S6045">
        <v>-1.8500000000000001E-3</v>
      </c>
      <c r="T6045">
        <v>-2.32E-3</v>
      </c>
    </row>
    <row r="6046" spans="2:20" x14ac:dyDescent="0.25">
      <c r="B6046" t="s">
        <v>133</v>
      </c>
      <c r="C6046" t="s">
        <v>10598</v>
      </c>
      <c r="D6046" t="s">
        <v>6298</v>
      </c>
      <c r="E6046" t="s">
        <v>6299</v>
      </c>
      <c r="F6046" t="s">
        <v>11350</v>
      </c>
      <c r="G6046" t="s">
        <v>6239</v>
      </c>
      <c r="H6046" t="s">
        <v>6276</v>
      </c>
      <c r="I6046" t="s">
        <v>6241</v>
      </c>
      <c r="K6046">
        <v>-1.2700000000000001E-3</v>
      </c>
      <c r="L6046">
        <v>-1.17E-3</v>
      </c>
      <c r="M6046">
        <v>-1.1800000000000001E-3</v>
      </c>
      <c r="N6046">
        <v>-1.1299999999999999E-3</v>
      </c>
      <c r="O6046">
        <v>-1.17E-3</v>
      </c>
      <c r="P6046">
        <v>-1.1299999999999999E-3</v>
      </c>
      <c r="Q6046">
        <v>-1.1999999999999999E-3</v>
      </c>
      <c r="R6046">
        <v>-1.15E-3</v>
      </c>
      <c r="S6046">
        <v>-1.1999999999999999E-3</v>
      </c>
      <c r="T6046">
        <v>-1.48E-3</v>
      </c>
    </row>
    <row r="6047" spans="2:20" x14ac:dyDescent="0.25">
      <c r="B6047" t="s">
        <v>133</v>
      </c>
      <c r="C6047" t="s">
        <v>10598</v>
      </c>
      <c r="D6047" t="s">
        <v>6301</v>
      </c>
      <c r="E6047" t="s">
        <v>6302</v>
      </c>
      <c r="F6047" t="s">
        <v>11351</v>
      </c>
      <c r="G6047" t="s">
        <v>6239</v>
      </c>
      <c r="H6047" t="s">
        <v>6276</v>
      </c>
      <c r="I6047" t="s">
        <v>6241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</row>
    <row r="6048" spans="2:20" x14ac:dyDescent="0.25">
      <c r="B6048" t="s">
        <v>133</v>
      </c>
      <c r="C6048" t="s">
        <v>10598</v>
      </c>
      <c r="D6048" t="s">
        <v>6304</v>
      </c>
      <c r="E6048" t="s">
        <v>6305</v>
      </c>
      <c r="F6048" t="s">
        <v>11352</v>
      </c>
      <c r="G6048" t="s">
        <v>6239</v>
      </c>
      <c r="H6048" t="s">
        <v>6276</v>
      </c>
      <c r="I6048" t="s">
        <v>6241</v>
      </c>
      <c r="K6048">
        <v>-1.1299999999999999E-3</v>
      </c>
      <c r="L6048">
        <v>-1.1000000000000001E-3</v>
      </c>
      <c r="M6048">
        <v>-1.1100000000000001E-3</v>
      </c>
      <c r="N6048">
        <v>-1.06E-3</v>
      </c>
      <c r="O6048">
        <v>-1.06E-3</v>
      </c>
      <c r="P6048">
        <v>-9.3999999999999997E-4</v>
      </c>
      <c r="Q6048">
        <v>-8.3000000000000001E-4</v>
      </c>
      <c r="R6048">
        <v>-7.2999999999999996E-4</v>
      </c>
      <c r="S6048">
        <v>-5.9000000000000003E-4</v>
      </c>
      <c r="T6048">
        <v>-4.2000000000000002E-4</v>
      </c>
    </row>
    <row r="6049" spans="2:20" x14ac:dyDescent="0.25">
      <c r="B6049" t="s">
        <v>133</v>
      </c>
      <c r="C6049" t="s">
        <v>10598</v>
      </c>
      <c r="D6049" t="s">
        <v>6307</v>
      </c>
      <c r="E6049" t="s">
        <v>6308</v>
      </c>
      <c r="F6049" t="s">
        <v>11353</v>
      </c>
      <c r="G6049" t="s">
        <v>6239</v>
      </c>
      <c r="H6049" t="s">
        <v>6276</v>
      </c>
      <c r="I6049" t="s">
        <v>6241</v>
      </c>
      <c r="K6049">
        <v>-5.2500000000000003E-3</v>
      </c>
      <c r="L6049">
        <v>-5.5999999999999999E-3</v>
      </c>
      <c r="M6049">
        <v>-5.7999999999999996E-3</v>
      </c>
      <c r="N6049">
        <v>-6.1199999999999996E-3</v>
      </c>
      <c r="O6049">
        <v>-6.5100000000000002E-3</v>
      </c>
      <c r="P6049">
        <v>-7.0000000000000001E-3</v>
      </c>
      <c r="Q6049">
        <v>-7.6899999999999998E-3</v>
      </c>
      <c r="R6049">
        <v>-8.9999999999999993E-3</v>
      </c>
      <c r="S6049">
        <v>-9.5200000000000007E-3</v>
      </c>
      <c r="T6049">
        <v>-1.1429999999999999E-2</v>
      </c>
    </row>
    <row r="6050" spans="2:20" x14ac:dyDescent="0.25">
      <c r="B6050" t="s">
        <v>133</v>
      </c>
      <c r="C6050" t="s">
        <v>10598</v>
      </c>
      <c r="D6050" t="s">
        <v>6310</v>
      </c>
      <c r="E6050" t="s">
        <v>6311</v>
      </c>
      <c r="F6050" t="s">
        <v>11354</v>
      </c>
      <c r="G6050" t="s">
        <v>6239</v>
      </c>
      <c r="H6050" t="s">
        <v>6276</v>
      </c>
      <c r="I6050" t="s">
        <v>6241</v>
      </c>
      <c r="K6050">
        <v>-2.0300000000000001E-3</v>
      </c>
      <c r="L6050">
        <v>-1.98E-3</v>
      </c>
      <c r="M6050">
        <v>-1.92E-3</v>
      </c>
      <c r="N6050">
        <v>-1.9400000000000001E-3</v>
      </c>
      <c r="O6050">
        <v>-1.97E-3</v>
      </c>
      <c r="P6050">
        <v>-1.97E-3</v>
      </c>
      <c r="Q6050">
        <v>-1.9300000000000001E-3</v>
      </c>
      <c r="R6050">
        <v>-1.92E-3</v>
      </c>
      <c r="S6050">
        <v>-1.97E-3</v>
      </c>
      <c r="T6050">
        <v>-2.1800000000000001E-3</v>
      </c>
    </row>
    <row r="6051" spans="2:20" x14ac:dyDescent="0.25">
      <c r="B6051" t="s">
        <v>133</v>
      </c>
      <c r="C6051" t="s">
        <v>10598</v>
      </c>
      <c r="D6051" t="s">
        <v>6313</v>
      </c>
      <c r="E6051" t="s">
        <v>6314</v>
      </c>
      <c r="F6051" t="s">
        <v>11355</v>
      </c>
      <c r="G6051" t="s">
        <v>6239</v>
      </c>
      <c r="H6051" t="s">
        <v>6276</v>
      </c>
      <c r="I6051" t="s">
        <v>6241</v>
      </c>
      <c r="K6051">
        <v>-8.0000000000000007E-5</v>
      </c>
      <c r="L6051">
        <v>-9.0000000000000006E-5</v>
      </c>
      <c r="M6051">
        <v>-8.0000000000000007E-5</v>
      </c>
      <c r="N6051">
        <v>-8.0000000000000007E-5</v>
      </c>
      <c r="O6051">
        <v>-1E-4</v>
      </c>
      <c r="P6051">
        <v>-1.2E-4</v>
      </c>
      <c r="Q6051">
        <v>-1.3999999999999999E-4</v>
      </c>
      <c r="R6051">
        <v>-1.6000000000000001E-4</v>
      </c>
      <c r="S6051">
        <v>-1.8000000000000001E-4</v>
      </c>
      <c r="T6051">
        <v>-2.3000000000000001E-4</v>
      </c>
    </row>
    <row r="6052" spans="2:20" x14ac:dyDescent="0.25">
      <c r="B6052" t="s">
        <v>133</v>
      </c>
      <c r="C6052" t="s">
        <v>10598</v>
      </c>
      <c r="D6052" t="s">
        <v>6316</v>
      </c>
      <c r="E6052" t="s">
        <v>6317</v>
      </c>
      <c r="F6052" t="s">
        <v>11356</v>
      </c>
      <c r="G6052" t="s">
        <v>6239</v>
      </c>
      <c r="H6052" t="s">
        <v>6276</v>
      </c>
      <c r="I6052" t="s">
        <v>6241</v>
      </c>
      <c r="K6052">
        <v>-2.0999999999999999E-3</v>
      </c>
      <c r="L6052">
        <v>-2.0799999999999998E-3</v>
      </c>
      <c r="M6052">
        <v>-2.0999999999999999E-3</v>
      </c>
      <c r="N6052">
        <v>-2.1099999999999999E-3</v>
      </c>
      <c r="O6052">
        <v>-2.2300000000000002E-3</v>
      </c>
      <c r="P6052">
        <v>-2.2200000000000002E-3</v>
      </c>
      <c r="Q6052">
        <v>-2.2699999999999999E-3</v>
      </c>
      <c r="R6052">
        <v>-2.2200000000000002E-3</v>
      </c>
      <c r="S6052">
        <v>-2.1900000000000001E-3</v>
      </c>
      <c r="T6052">
        <v>-2.0400000000000001E-3</v>
      </c>
    </row>
    <row r="6053" spans="2:20" x14ac:dyDescent="0.25">
      <c r="B6053" t="s">
        <v>133</v>
      </c>
      <c r="C6053" t="s">
        <v>10598</v>
      </c>
      <c r="D6053" t="s">
        <v>6319</v>
      </c>
      <c r="E6053" t="s">
        <v>6320</v>
      </c>
      <c r="F6053" t="s">
        <v>11357</v>
      </c>
      <c r="G6053" t="s">
        <v>6239</v>
      </c>
      <c r="H6053" t="s">
        <v>6322</v>
      </c>
      <c r="I6053" t="s">
        <v>6241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2:20" x14ac:dyDescent="0.25">
      <c r="B6054" t="s">
        <v>133</v>
      </c>
      <c r="C6054" t="s">
        <v>10598</v>
      </c>
      <c r="D6054" t="s">
        <v>6323</v>
      </c>
      <c r="E6054" t="s">
        <v>6324</v>
      </c>
      <c r="F6054" t="s">
        <v>11358</v>
      </c>
      <c r="G6054" t="s">
        <v>6239</v>
      </c>
      <c r="H6054" t="s">
        <v>6322</v>
      </c>
      <c r="I6054" t="s">
        <v>6241</v>
      </c>
      <c r="K6054">
        <v>3.3562400000000001</v>
      </c>
      <c r="L6054">
        <v>3.0570400000000002</v>
      </c>
      <c r="M6054">
        <v>3.0028199999999998</v>
      </c>
      <c r="N6054">
        <v>2.95045</v>
      </c>
      <c r="O6054">
        <v>2.9516100000000001</v>
      </c>
      <c r="P6054">
        <v>2.98258</v>
      </c>
      <c r="Q6054">
        <v>3.0720700000000001</v>
      </c>
      <c r="R6054">
        <v>3.1855899999999999</v>
      </c>
      <c r="S6054">
        <v>3.23095</v>
      </c>
      <c r="T6054">
        <v>3.4904500000000001</v>
      </c>
    </row>
    <row r="6055" spans="2:20" x14ac:dyDescent="0.25">
      <c r="B6055" t="s">
        <v>133</v>
      </c>
      <c r="C6055" t="s">
        <v>10598</v>
      </c>
      <c r="D6055" t="s">
        <v>6326</v>
      </c>
      <c r="E6055" t="s">
        <v>6327</v>
      </c>
      <c r="F6055" t="s">
        <v>11359</v>
      </c>
      <c r="G6055" t="s">
        <v>6239</v>
      </c>
      <c r="H6055" t="s">
        <v>6322</v>
      </c>
      <c r="I6055" t="s">
        <v>6241</v>
      </c>
      <c r="K6055">
        <v>0.24565000000000001</v>
      </c>
      <c r="L6055">
        <v>0.26417000000000002</v>
      </c>
      <c r="M6055">
        <v>0.25070999999999999</v>
      </c>
      <c r="N6055">
        <v>0.26715</v>
      </c>
      <c r="O6055">
        <v>0.30376999999999998</v>
      </c>
      <c r="P6055">
        <v>0.31380999999999998</v>
      </c>
      <c r="Q6055">
        <v>0.33935999999999999</v>
      </c>
      <c r="R6055">
        <v>0.38721</v>
      </c>
      <c r="S6055">
        <v>0.43569999999999998</v>
      </c>
      <c r="T6055">
        <v>0.53090000000000004</v>
      </c>
    </row>
    <row r="6056" spans="2:20" x14ac:dyDescent="0.25">
      <c r="B6056" t="s">
        <v>133</v>
      </c>
      <c r="C6056" t="s">
        <v>10598</v>
      </c>
      <c r="D6056" t="s">
        <v>6329</v>
      </c>
      <c r="E6056" t="s">
        <v>6330</v>
      </c>
      <c r="F6056" t="s">
        <v>11360</v>
      </c>
      <c r="G6056" t="s">
        <v>6239</v>
      </c>
      <c r="H6056" t="s">
        <v>6322</v>
      </c>
      <c r="I6056" t="s">
        <v>6241</v>
      </c>
      <c r="K6056">
        <v>8.8660000000000003E-2</v>
      </c>
      <c r="L6056">
        <v>9.1700000000000004E-2</v>
      </c>
      <c r="M6056">
        <v>0.12545999999999999</v>
      </c>
      <c r="N6056">
        <v>9.8580000000000001E-2</v>
      </c>
      <c r="O6056">
        <v>0.12416000000000001</v>
      </c>
      <c r="P6056">
        <v>0.12834999999999999</v>
      </c>
      <c r="Q6056">
        <v>0.12567</v>
      </c>
      <c r="R6056">
        <v>0.13841999999999999</v>
      </c>
      <c r="S6056">
        <v>0.12906999999999999</v>
      </c>
      <c r="T6056">
        <v>0.14066000000000001</v>
      </c>
    </row>
    <row r="6057" spans="2:20" x14ac:dyDescent="0.25">
      <c r="B6057" t="s">
        <v>133</v>
      </c>
      <c r="C6057" t="s">
        <v>10598</v>
      </c>
      <c r="D6057" t="s">
        <v>6332</v>
      </c>
      <c r="E6057" t="s">
        <v>6333</v>
      </c>
      <c r="F6057" t="s">
        <v>11361</v>
      </c>
      <c r="G6057" t="s">
        <v>6239</v>
      </c>
      <c r="H6057" t="s">
        <v>6322</v>
      </c>
      <c r="I6057" t="s">
        <v>6241</v>
      </c>
      <c r="K6057">
        <v>0.27312999999999998</v>
      </c>
      <c r="L6057">
        <v>0.32055</v>
      </c>
      <c r="M6057">
        <v>0.41546</v>
      </c>
      <c r="N6057">
        <v>0.41344999999999998</v>
      </c>
      <c r="O6057">
        <v>0.4738</v>
      </c>
      <c r="P6057">
        <v>0.48488999999999999</v>
      </c>
      <c r="Q6057">
        <v>0.57931999999999995</v>
      </c>
      <c r="R6057">
        <v>0.59521999999999997</v>
      </c>
      <c r="S6057">
        <v>0.59216999999999997</v>
      </c>
      <c r="T6057">
        <v>0.72887999999999997</v>
      </c>
    </row>
    <row r="6058" spans="2:20" x14ac:dyDescent="0.25">
      <c r="B6058" t="s">
        <v>133</v>
      </c>
      <c r="C6058" t="s">
        <v>10598</v>
      </c>
      <c r="D6058" t="s">
        <v>6335</v>
      </c>
      <c r="E6058" t="s">
        <v>6336</v>
      </c>
      <c r="F6058" t="s">
        <v>11362</v>
      </c>
      <c r="G6058" t="s">
        <v>6239</v>
      </c>
      <c r="H6058" t="s">
        <v>6322</v>
      </c>
      <c r="I6058" t="s">
        <v>6241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</row>
    <row r="6059" spans="2:20" x14ac:dyDescent="0.25">
      <c r="B6059" t="s">
        <v>133</v>
      </c>
      <c r="C6059" t="s">
        <v>10598</v>
      </c>
      <c r="D6059" t="s">
        <v>6338</v>
      </c>
      <c r="E6059" t="s">
        <v>6339</v>
      </c>
      <c r="F6059" t="s">
        <v>11363</v>
      </c>
      <c r="G6059" t="s">
        <v>6239</v>
      </c>
      <c r="H6059" t="s">
        <v>6322</v>
      </c>
      <c r="I6059" t="s">
        <v>6241</v>
      </c>
      <c r="K6059">
        <v>2.0000000000000002E-5</v>
      </c>
      <c r="L6059">
        <v>2.0000000000000002E-5</v>
      </c>
      <c r="M6059">
        <v>1.0000000000000001E-5</v>
      </c>
      <c r="N6059">
        <v>5.0000000000000002E-5</v>
      </c>
      <c r="O6059">
        <v>5.0000000000000002E-5</v>
      </c>
      <c r="P6059">
        <v>4.0000000000000003E-5</v>
      </c>
      <c r="Q6059">
        <v>2.0000000000000002E-5</v>
      </c>
      <c r="R6059">
        <v>8.0000000000000007E-5</v>
      </c>
      <c r="S6059">
        <v>1.1E-4</v>
      </c>
      <c r="T6059">
        <v>6.9999999999999994E-5</v>
      </c>
    </row>
    <row r="6060" spans="2:20" x14ac:dyDescent="0.25">
      <c r="B6060" t="s">
        <v>133</v>
      </c>
      <c r="C6060" t="s">
        <v>10598</v>
      </c>
      <c r="D6060" t="s">
        <v>6341</v>
      </c>
      <c r="E6060" t="s">
        <v>6342</v>
      </c>
      <c r="F6060" t="s">
        <v>11364</v>
      </c>
      <c r="G6060" t="s">
        <v>6239</v>
      </c>
      <c r="H6060" t="s">
        <v>6322</v>
      </c>
      <c r="I6060" t="s">
        <v>6241</v>
      </c>
      <c r="K6060">
        <v>2.5198200000000002</v>
      </c>
      <c r="L6060">
        <v>2.0226899999999999</v>
      </c>
      <c r="M6060">
        <v>1.8737999999999999</v>
      </c>
      <c r="N6060">
        <v>1.70397</v>
      </c>
      <c r="O6060">
        <v>1.54288</v>
      </c>
      <c r="P6060">
        <v>1.4798500000000001</v>
      </c>
      <c r="Q6060">
        <v>1.42763</v>
      </c>
      <c r="R6060">
        <v>1.36385</v>
      </c>
      <c r="S6060">
        <v>1.1714</v>
      </c>
      <c r="T6060">
        <v>0.94108000000000003</v>
      </c>
    </row>
    <row r="6061" spans="2:20" x14ac:dyDescent="0.25">
      <c r="B6061" t="s">
        <v>133</v>
      </c>
      <c r="C6061" t="s">
        <v>10598</v>
      </c>
      <c r="D6061" t="s">
        <v>6344</v>
      </c>
      <c r="E6061" t="s">
        <v>6345</v>
      </c>
      <c r="F6061" t="s">
        <v>11365</v>
      </c>
      <c r="G6061" t="s">
        <v>6239</v>
      </c>
      <c r="H6061" t="s">
        <v>6322</v>
      </c>
      <c r="I6061" t="s">
        <v>6241</v>
      </c>
      <c r="K6061">
        <v>8.9499999999999996E-3</v>
      </c>
      <c r="L6061">
        <v>4.7600000000000003E-3</v>
      </c>
      <c r="M6061">
        <v>5.5799999999999999E-3</v>
      </c>
      <c r="N6061">
        <v>3.63E-3</v>
      </c>
      <c r="O6061">
        <v>2.8E-3</v>
      </c>
      <c r="P6061">
        <v>2.6700000000000001E-3</v>
      </c>
      <c r="Q6061">
        <v>2.9099999999999998E-3</v>
      </c>
      <c r="R6061">
        <v>3.0200000000000001E-3</v>
      </c>
      <c r="S6061">
        <v>2.0400000000000001E-3</v>
      </c>
      <c r="T6061">
        <v>1.16E-3</v>
      </c>
    </row>
    <row r="6062" spans="2:20" x14ac:dyDescent="0.25">
      <c r="B6062" t="s">
        <v>133</v>
      </c>
      <c r="C6062" t="s">
        <v>10598</v>
      </c>
      <c r="D6062" t="s">
        <v>6347</v>
      </c>
      <c r="E6062" t="s">
        <v>6348</v>
      </c>
      <c r="F6062" t="s">
        <v>11366</v>
      </c>
      <c r="G6062" t="s">
        <v>6239</v>
      </c>
      <c r="H6062" t="s">
        <v>6322</v>
      </c>
      <c r="I6062" t="s">
        <v>6241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1.0000000000000001E-5</v>
      </c>
      <c r="Q6062">
        <v>0</v>
      </c>
      <c r="R6062">
        <v>1.0000000000000001E-5</v>
      </c>
      <c r="S6062">
        <v>1.0000000000000001E-5</v>
      </c>
      <c r="T6062">
        <v>1.0000000000000001E-5</v>
      </c>
    </row>
    <row r="6063" spans="2:20" x14ac:dyDescent="0.25">
      <c r="B6063" t="s">
        <v>133</v>
      </c>
      <c r="C6063" t="s">
        <v>10598</v>
      </c>
      <c r="D6063" t="s">
        <v>6350</v>
      </c>
      <c r="E6063" t="s">
        <v>6351</v>
      </c>
      <c r="F6063" t="s">
        <v>11367</v>
      </c>
      <c r="G6063" t="s">
        <v>6239</v>
      </c>
      <c r="H6063" t="s">
        <v>6322</v>
      </c>
      <c r="I6063" t="s">
        <v>6241</v>
      </c>
      <c r="K6063">
        <v>4.6999999999999999E-4</v>
      </c>
      <c r="L6063">
        <v>2.5000000000000001E-4</v>
      </c>
      <c r="M6063">
        <v>2.9E-4</v>
      </c>
      <c r="N6063">
        <v>1.9000000000000001E-4</v>
      </c>
      <c r="O6063">
        <v>1.4999999999999999E-4</v>
      </c>
      <c r="P6063">
        <v>1.3999999999999999E-4</v>
      </c>
      <c r="Q6063">
        <v>1.4999999999999999E-4</v>
      </c>
      <c r="R6063">
        <v>1.6000000000000001E-4</v>
      </c>
      <c r="S6063">
        <v>1.1E-4</v>
      </c>
      <c r="T6063">
        <v>6.0000000000000002E-5</v>
      </c>
    </row>
    <row r="6064" spans="2:20" x14ac:dyDescent="0.25">
      <c r="B6064" t="s">
        <v>133</v>
      </c>
      <c r="C6064" t="s">
        <v>10598</v>
      </c>
      <c r="D6064" t="s">
        <v>6353</v>
      </c>
      <c r="E6064" t="s">
        <v>6354</v>
      </c>
      <c r="F6064" t="s">
        <v>11368</v>
      </c>
      <c r="G6064" t="s">
        <v>6239</v>
      </c>
      <c r="H6064" t="s">
        <v>6322</v>
      </c>
      <c r="I6064" t="s">
        <v>6241</v>
      </c>
      <c r="K6064">
        <v>1.60585</v>
      </c>
      <c r="L6064">
        <v>1.5572900000000001</v>
      </c>
      <c r="M6064">
        <v>1.5845199999999999</v>
      </c>
      <c r="N6064">
        <v>1.5382800000000001</v>
      </c>
      <c r="O6064">
        <v>1.58724</v>
      </c>
      <c r="P6064">
        <v>1.57575</v>
      </c>
      <c r="Q6064">
        <v>1.5923499999999999</v>
      </c>
      <c r="R6064">
        <v>1.55287</v>
      </c>
      <c r="S6064">
        <v>1.53905</v>
      </c>
      <c r="T6064">
        <v>1.6297600000000001</v>
      </c>
    </row>
    <row r="6065" spans="2:20" x14ac:dyDescent="0.25">
      <c r="B6065" t="s">
        <v>133</v>
      </c>
      <c r="C6065" t="s">
        <v>10598</v>
      </c>
      <c r="D6065" t="s">
        <v>6356</v>
      </c>
      <c r="E6065" t="s">
        <v>6357</v>
      </c>
      <c r="F6065" t="s">
        <v>11369</v>
      </c>
      <c r="G6065" t="s">
        <v>6239</v>
      </c>
      <c r="H6065" t="s">
        <v>6322</v>
      </c>
      <c r="I6065" t="s">
        <v>6241</v>
      </c>
      <c r="K6065">
        <v>3.89941</v>
      </c>
      <c r="L6065">
        <v>3.5377000000000001</v>
      </c>
      <c r="M6065">
        <v>3.4780000000000002</v>
      </c>
      <c r="N6065">
        <v>3.4288500000000002</v>
      </c>
      <c r="O6065">
        <v>3.3705400000000001</v>
      </c>
      <c r="P6065">
        <v>3.39655</v>
      </c>
      <c r="Q6065">
        <v>3.3731900000000001</v>
      </c>
      <c r="R6065">
        <v>3.3282500000000002</v>
      </c>
      <c r="S6065">
        <v>3.3230499999999998</v>
      </c>
      <c r="T6065">
        <v>3.2792699999999999</v>
      </c>
    </row>
    <row r="6066" spans="2:20" x14ac:dyDescent="0.25">
      <c r="B6066" t="s">
        <v>133</v>
      </c>
      <c r="C6066" t="s">
        <v>10598</v>
      </c>
      <c r="D6066" t="s">
        <v>6359</v>
      </c>
      <c r="E6066" t="s">
        <v>6360</v>
      </c>
      <c r="F6066" t="s">
        <v>11370</v>
      </c>
      <c r="G6066" t="s">
        <v>6239</v>
      </c>
      <c r="H6066" t="s">
        <v>6322</v>
      </c>
      <c r="I6066" t="s">
        <v>6241</v>
      </c>
      <c r="K6066">
        <v>5.2554600000000002</v>
      </c>
      <c r="L6066">
        <v>5.5693999999999999</v>
      </c>
      <c r="M6066">
        <v>5.6773600000000002</v>
      </c>
      <c r="N6066">
        <v>5.7297200000000004</v>
      </c>
      <c r="O6066">
        <v>5.6129600000000002</v>
      </c>
      <c r="P6066">
        <v>5.5136200000000004</v>
      </c>
      <c r="Q6066">
        <v>5.24925</v>
      </c>
      <c r="R6066">
        <v>4.8136799999999997</v>
      </c>
      <c r="S6066">
        <v>4.5635199999999996</v>
      </c>
      <c r="T6066">
        <v>3.9498199999999999</v>
      </c>
    </row>
    <row r="6067" spans="2:20" x14ac:dyDescent="0.25">
      <c r="B6067" t="s">
        <v>133</v>
      </c>
      <c r="C6067" t="s">
        <v>10598</v>
      </c>
      <c r="D6067" t="s">
        <v>6362</v>
      </c>
      <c r="E6067" t="s">
        <v>6363</v>
      </c>
      <c r="F6067" t="s">
        <v>11371</v>
      </c>
      <c r="G6067" t="s">
        <v>6239</v>
      </c>
      <c r="H6067" t="s">
        <v>6322</v>
      </c>
      <c r="I6067" t="s">
        <v>6241</v>
      </c>
      <c r="K6067">
        <v>2.1144099999999999</v>
      </c>
      <c r="L6067">
        <v>2.1298599999999999</v>
      </c>
      <c r="M6067">
        <v>2.2776399999999999</v>
      </c>
      <c r="N6067">
        <v>2.41893</v>
      </c>
      <c r="O6067">
        <v>2.6160299999999999</v>
      </c>
      <c r="P6067">
        <v>2.6849599999999998</v>
      </c>
      <c r="Q6067">
        <v>2.7770000000000001</v>
      </c>
      <c r="R6067">
        <v>2.7384900000000001</v>
      </c>
      <c r="S6067">
        <v>2.8589000000000002</v>
      </c>
      <c r="T6067">
        <v>2.8957799999999998</v>
      </c>
    </row>
    <row r="6068" spans="2:20" x14ac:dyDescent="0.25">
      <c r="B6068" t="s">
        <v>133</v>
      </c>
      <c r="C6068" t="s">
        <v>10598</v>
      </c>
      <c r="D6068" t="s">
        <v>6365</v>
      </c>
      <c r="E6068" t="s">
        <v>6366</v>
      </c>
      <c r="F6068" t="s">
        <v>11372</v>
      </c>
      <c r="G6068" t="s">
        <v>6239</v>
      </c>
      <c r="H6068" t="s">
        <v>6322</v>
      </c>
      <c r="I6068" t="s">
        <v>6241</v>
      </c>
      <c r="K6068">
        <v>2.6863999999999999</v>
      </c>
      <c r="L6068">
        <v>3.5221900000000002</v>
      </c>
      <c r="M6068">
        <v>3.9014899999999999</v>
      </c>
      <c r="N6068">
        <v>3.9628999999999999</v>
      </c>
      <c r="O6068">
        <v>4.07524</v>
      </c>
      <c r="P6068">
        <v>3.9388200000000002</v>
      </c>
      <c r="Q6068">
        <v>3.7564000000000002</v>
      </c>
      <c r="R6068">
        <v>3.2689900000000001</v>
      </c>
      <c r="S6068">
        <v>2.6295500000000001</v>
      </c>
      <c r="T6068">
        <v>1.4299900000000001</v>
      </c>
    </row>
    <row r="6069" spans="2:20" x14ac:dyDescent="0.25">
      <c r="B6069" t="s">
        <v>133</v>
      </c>
      <c r="C6069" t="s">
        <v>10598</v>
      </c>
      <c r="D6069" t="s">
        <v>6368</v>
      </c>
      <c r="E6069" t="s">
        <v>6369</v>
      </c>
      <c r="F6069" t="s">
        <v>11373</v>
      </c>
      <c r="G6069" t="s">
        <v>6239</v>
      </c>
      <c r="H6069" t="s">
        <v>6322</v>
      </c>
      <c r="I6069" t="s">
        <v>6241</v>
      </c>
      <c r="K6069">
        <v>52.981250000000003</v>
      </c>
      <c r="L6069">
        <v>53.252020000000002</v>
      </c>
      <c r="M6069">
        <v>52.452800000000003</v>
      </c>
      <c r="N6069">
        <v>52.018239999999999</v>
      </c>
      <c r="O6069">
        <v>50.968600000000002</v>
      </c>
      <c r="P6069">
        <v>50.812600000000003</v>
      </c>
      <c r="Q6069">
        <v>50.010199999999998</v>
      </c>
      <c r="R6069">
        <v>49.957299999999996</v>
      </c>
      <c r="S6069">
        <v>50.2438</v>
      </c>
      <c r="T6069">
        <v>47.649500000000003</v>
      </c>
    </row>
    <row r="6070" spans="2:20" x14ac:dyDescent="0.25">
      <c r="B6070" t="s">
        <v>133</v>
      </c>
      <c r="C6070" t="s">
        <v>10598</v>
      </c>
      <c r="D6070" t="s">
        <v>6371</v>
      </c>
      <c r="E6070" t="s">
        <v>6372</v>
      </c>
      <c r="F6070" t="s">
        <v>11374</v>
      </c>
      <c r="G6070" t="s">
        <v>6239</v>
      </c>
      <c r="H6070" t="s">
        <v>6322</v>
      </c>
      <c r="I6070" t="s">
        <v>6241</v>
      </c>
      <c r="K6070">
        <v>2.9624600000000001</v>
      </c>
      <c r="L6070">
        <v>3.0012099999999999</v>
      </c>
      <c r="M6070">
        <v>3.2425999999999999</v>
      </c>
      <c r="N6070">
        <v>3.6684899999999998</v>
      </c>
      <c r="O6070">
        <v>3.73509</v>
      </c>
      <c r="P6070">
        <v>3.9405899999999998</v>
      </c>
      <c r="Q6070">
        <v>4.3134399999999999</v>
      </c>
      <c r="R6070">
        <v>4.5710699999999997</v>
      </c>
      <c r="S6070">
        <v>4.6995800000000001</v>
      </c>
      <c r="T6070">
        <v>5.8917999999999999</v>
      </c>
    </row>
    <row r="6071" spans="2:20" x14ac:dyDescent="0.25">
      <c r="B6071" t="s">
        <v>133</v>
      </c>
      <c r="C6071" t="s">
        <v>10598</v>
      </c>
      <c r="D6071" t="s">
        <v>6374</v>
      </c>
      <c r="E6071" t="s">
        <v>6375</v>
      </c>
      <c r="F6071" t="s">
        <v>11375</v>
      </c>
      <c r="G6071" t="s">
        <v>6239</v>
      </c>
      <c r="H6071" t="s">
        <v>6322</v>
      </c>
      <c r="I6071" t="s">
        <v>6241</v>
      </c>
      <c r="K6071">
        <v>4.5945400000000003</v>
      </c>
      <c r="L6071">
        <v>4.2270099999999999</v>
      </c>
      <c r="M6071">
        <v>4.2782</v>
      </c>
      <c r="N6071">
        <v>4.0952799999999998</v>
      </c>
      <c r="O6071">
        <v>4.2236099999999999</v>
      </c>
      <c r="P6071">
        <v>4.1026600000000002</v>
      </c>
      <c r="Q6071">
        <v>4.3357700000000001</v>
      </c>
      <c r="R6071">
        <v>4.1755000000000004</v>
      </c>
      <c r="S6071">
        <v>4.3468299999999997</v>
      </c>
      <c r="T6071">
        <v>5.3558700000000004</v>
      </c>
    </row>
    <row r="6072" spans="2:20" x14ac:dyDescent="0.25">
      <c r="B6072" t="s">
        <v>133</v>
      </c>
      <c r="C6072" t="s">
        <v>10598</v>
      </c>
      <c r="D6072" t="s">
        <v>6377</v>
      </c>
      <c r="E6072" t="s">
        <v>6378</v>
      </c>
      <c r="F6072" t="s">
        <v>11376</v>
      </c>
      <c r="G6072" t="s">
        <v>6239</v>
      </c>
      <c r="H6072" t="s">
        <v>6322</v>
      </c>
      <c r="I6072" t="s">
        <v>6241</v>
      </c>
      <c r="K6072">
        <v>1.1730000000000001E-2</v>
      </c>
      <c r="L6072">
        <v>8.5900000000000004E-3</v>
      </c>
      <c r="M6072">
        <v>6.4900000000000001E-3</v>
      </c>
      <c r="N6072">
        <v>7.9900000000000006E-3</v>
      </c>
      <c r="O6072">
        <v>1.848E-2</v>
      </c>
      <c r="P6072">
        <v>1.473E-2</v>
      </c>
      <c r="Q6072">
        <v>1.3180000000000001E-2</v>
      </c>
      <c r="R6072">
        <v>1.643E-2</v>
      </c>
      <c r="S6072">
        <v>1.5699999999999999E-2</v>
      </c>
      <c r="T6072">
        <v>2.8119999999999999E-2</v>
      </c>
    </row>
    <row r="6073" spans="2:20" x14ac:dyDescent="0.25">
      <c r="B6073" t="s">
        <v>133</v>
      </c>
      <c r="C6073" t="s">
        <v>10598</v>
      </c>
      <c r="D6073" t="s">
        <v>6380</v>
      </c>
      <c r="E6073" t="s">
        <v>6381</v>
      </c>
      <c r="F6073" t="s">
        <v>11377</v>
      </c>
      <c r="G6073" t="s">
        <v>6239</v>
      </c>
      <c r="H6073" t="s">
        <v>6322</v>
      </c>
      <c r="I6073" t="s">
        <v>6241</v>
      </c>
      <c r="K6073">
        <v>2.0455299999999998</v>
      </c>
      <c r="L6073">
        <v>1.99122</v>
      </c>
      <c r="M6073">
        <v>2.00088</v>
      </c>
      <c r="N6073">
        <v>1.9170499999999999</v>
      </c>
      <c r="O6073">
        <v>1.90821</v>
      </c>
      <c r="P6073">
        <v>1.7008099999999999</v>
      </c>
      <c r="Q6073">
        <v>1.4911300000000001</v>
      </c>
      <c r="R6073">
        <v>1.3100400000000001</v>
      </c>
      <c r="S6073">
        <v>1.05986</v>
      </c>
      <c r="T6073">
        <v>0.75871</v>
      </c>
    </row>
    <row r="6074" spans="2:20" x14ac:dyDescent="0.25">
      <c r="B6074" t="s">
        <v>133</v>
      </c>
      <c r="C6074" t="s">
        <v>10598</v>
      </c>
      <c r="D6074" t="s">
        <v>6383</v>
      </c>
      <c r="E6074" t="s">
        <v>6384</v>
      </c>
      <c r="F6074" t="s">
        <v>11378</v>
      </c>
      <c r="G6074" t="s">
        <v>6239</v>
      </c>
      <c r="H6074" t="s">
        <v>6322</v>
      </c>
      <c r="I6074" t="s">
        <v>6241</v>
      </c>
      <c r="K6074">
        <v>4.3454800000000002</v>
      </c>
      <c r="L6074">
        <v>4.63767</v>
      </c>
      <c r="M6074">
        <v>4.8012499999999996</v>
      </c>
      <c r="N6074">
        <v>5.0640400000000003</v>
      </c>
      <c r="O6074">
        <v>5.3882599999999998</v>
      </c>
      <c r="P6074">
        <v>5.7943899999999999</v>
      </c>
      <c r="Q6074">
        <v>6.36754</v>
      </c>
      <c r="R6074">
        <v>7.4519399999999996</v>
      </c>
      <c r="S6074">
        <v>7.8795999999999999</v>
      </c>
      <c r="T6074">
        <v>9.45749</v>
      </c>
    </row>
    <row r="6075" spans="2:20" x14ac:dyDescent="0.25">
      <c r="B6075" t="s">
        <v>133</v>
      </c>
      <c r="C6075" t="s">
        <v>10598</v>
      </c>
      <c r="D6075" t="s">
        <v>6386</v>
      </c>
      <c r="E6075" t="s">
        <v>6387</v>
      </c>
      <c r="F6075" t="s">
        <v>11379</v>
      </c>
      <c r="G6075" t="s">
        <v>6239</v>
      </c>
      <c r="H6075" t="s">
        <v>6322</v>
      </c>
      <c r="I6075" t="s">
        <v>6241</v>
      </c>
      <c r="K6075">
        <v>6.6302300000000001</v>
      </c>
      <c r="L6075">
        <v>6.4665600000000003</v>
      </c>
      <c r="M6075">
        <v>6.25943</v>
      </c>
      <c r="N6075">
        <v>6.3484800000000003</v>
      </c>
      <c r="O6075">
        <v>6.4184599999999996</v>
      </c>
      <c r="P6075">
        <v>6.4232300000000002</v>
      </c>
      <c r="Q6075">
        <v>6.2890899999999998</v>
      </c>
      <c r="R6075">
        <v>6.2787699999999997</v>
      </c>
      <c r="S6075">
        <v>6.4313700000000003</v>
      </c>
      <c r="T6075">
        <v>7.1076100000000002</v>
      </c>
    </row>
    <row r="6076" spans="2:20" x14ac:dyDescent="0.25">
      <c r="B6076" t="s">
        <v>133</v>
      </c>
      <c r="C6076" t="s">
        <v>10598</v>
      </c>
      <c r="D6076" t="s">
        <v>6389</v>
      </c>
      <c r="E6076" t="s">
        <v>6390</v>
      </c>
      <c r="F6076" t="s">
        <v>11380</v>
      </c>
      <c r="G6076" t="s">
        <v>6239</v>
      </c>
      <c r="H6076" t="s">
        <v>6322</v>
      </c>
      <c r="I6076" t="s">
        <v>6241</v>
      </c>
      <c r="K6076">
        <v>0.27512999999999999</v>
      </c>
      <c r="L6076">
        <v>0.29455999999999999</v>
      </c>
      <c r="M6076">
        <v>0.27689999999999998</v>
      </c>
      <c r="N6076">
        <v>0.25096000000000002</v>
      </c>
      <c r="O6076">
        <v>0.33383000000000002</v>
      </c>
      <c r="P6076">
        <v>0.39290999999999998</v>
      </c>
      <c r="Q6076">
        <v>0.47310000000000002</v>
      </c>
      <c r="R6076">
        <v>0.54139000000000004</v>
      </c>
      <c r="S6076">
        <v>0.58986000000000005</v>
      </c>
      <c r="T6076">
        <v>0.75907999999999998</v>
      </c>
    </row>
    <row r="6077" spans="2:20" x14ac:dyDescent="0.25">
      <c r="B6077" t="s">
        <v>133</v>
      </c>
      <c r="C6077" t="s">
        <v>10598</v>
      </c>
      <c r="D6077" t="s">
        <v>6392</v>
      </c>
      <c r="E6077" t="s">
        <v>6393</v>
      </c>
      <c r="F6077" t="s">
        <v>11381</v>
      </c>
      <c r="G6077" t="s">
        <v>6239</v>
      </c>
      <c r="H6077" t="s">
        <v>6322</v>
      </c>
      <c r="I6077" t="s">
        <v>6241</v>
      </c>
      <c r="K6077">
        <v>4.0991600000000004</v>
      </c>
      <c r="L6077">
        <v>4.0435299999999996</v>
      </c>
      <c r="M6077">
        <v>4.0883200000000004</v>
      </c>
      <c r="N6077">
        <v>4.1133300000000004</v>
      </c>
      <c r="O6077">
        <v>4.3442699999999999</v>
      </c>
      <c r="P6077">
        <v>4.3160499999999997</v>
      </c>
      <c r="Q6077">
        <v>4.4112400000000003</v>
      </c>
      <c r="R6077">
        <v>4.3217299999999996</v>
      </c>
      <c r="S6077">
        <v>4.2578100000000001</v>
      </c>
      <c r="T6077">
        <v>3.9739399999999998</v>
      </c>
    </row>
    <row r="6078" spans="2:20" x14ac:dyDescent="0.25">
      <c r="B6078" t="s">
        <v>133</v>
      </c>
      <c r="C6078" t="s">
        <v>10598</v>
      </c>
      <c r="D6078" t="s">
        <v>6395</v>
      </c>
      <c r="E6078" t="s">
        <v>6396</v>
      </c>
      <c r="F6078" t="s">
        <v>11382</v>
      </c>
      <c r="G6078" t="s">
        <v>6239</v>
      </c>
      <c r="H6078" t="s">
        <v>6398</v>
      </c>
      <c r="I6078" t="s">
        <v>6241</v>
      </c>
      <c r="K6078">
        <v>110918.74006443153</v>
      </c>
      <c r="L6078">
        <v>147554.32289231979</v>
      </c>
      <c r="M6078">
        <v>171466.46711169343</v>
      </c>
      <c r="N6078">
        <v>193570.89322134713</v>
      </c>
      <c r="O6078">
        <v>217084.70137392462</v>
      </c>
      <c r="P6078">
        <v>243141.91255037326</v>
      </c>
      <c r="Q6078">
        <v>274848.48614733142</v>
      </c>
      <c r="R6078">
        <v>312894.34166148375</v>
      </c>
      <c r="S6078">
        <v>375177.99902807787</v>
      </c>
      <c r="T6078">
        <v>561475.85142987722</v>
      </c>
    </row>
    <row r="6079" spans="2:20" x14ac:dyDescent="0.25">
      <c r="B6079" t="s">
        <v>133</v>
      </c>
      <c r="C6079" t="s">
        <v>10598</v>
      </c>
      <c r="D6079" t="s">
        <v>6399</v>
      </c>
      <c r="E6079" t="s">
        <v>6400</v>
      </c>
      <c r="F6079" t="s">
        <v>11383</v>
      </c>
      <c r="G6079" t="s">
        <v>6239</v>
      </c>
      <c r="H6079" t="s">
        <v>6402</v>
      </c>
      <c r="I6079" t="s">
        <v>6241</v>
      </c>
      <c r="K6079">
        <v>1335082271691.657</v>
      </c>
      <c r="L6079">
        <v>1775238086259.1953</v>
      </c>
      <c r="M6079">
        <v>2062285190318.1641</v>
      </c>
      <c r="N6079">
        <v>2328421475375.3423</v>
      </c>
      <c r="O6079">
        <v>2612417404004.6216</v>
      </c>
      <c r="P6079">
        <v>2924790685227.9141</v>
      </c>
      <c r="Q6079">
        <v>3305484854737.0352</v>
      </c>
      <c r="R6079">
        <v>3763601032884.5908</v>
      </c>
      <c r="S6079">
        <v>4513112433472.8896</v>
      </c>
      <c r="T6079">
        <v>6752908679998.6982</v>
      </c>
    </row>
    <row r="6080" spans="2:20" x14ac:dyDescent="0.25">
      <c r="B6080" t="s">
        <v>133</v>
      </c>
      <c r="C6080" t="s">
        <v>10598</v>
      </c>
      <c r="D6080" t="s">
        <v>6403</v>
      </c>
      <c r="E6080" t="s">
        <v>6404</v>
      </c>
      <c r="F6080" t="s">
        <v>11384</v>
      </c>
      <c r="G6080" t="s">
        <v>6239</v>
      </c>
      <c r="H6080" t="s">
        <v>6406</v>
      </c>
      <c r="I6080" t="s">
        <v>6241</v>
      </c>
      <c r="K6080">
        <v>12036579.850403292</v>
      </c>
      <c r="L6080">
        <v>12031081.512635212</v>
      </c>
      <c r="M6080">
        <v>12027338.202371601</v>
      </c>
      <c r="N6080">
        <v>12028778.896591684</v>
      </c>
      <c r="O6080">
        <v>12034092.625922903</v>
      </c>
      <c r="P6080">
        <v>12029150.608174009</v>
      </c>
      <c r="Q6080">
        <v>12026571.079475192</v>
      </c>
      <c r="R6080">
        <v>12028344.817294205</v>
      </c>
      <c r="S6080">
        <v>12029256.633289773</v>
      </c>
      <c r="T6080">
        <v>12027068.77384213</v>
      </c>
    </row>
    <row r="6081" spans="2:20" x14ac:dyDescent="0.25">
      <c r="B6081" t="s">
        <v>133</v>
      </c>
      <c r="C6081" t="s">
        <v>10598</v>
      </c>
      <c r="D6081" t="s">
        <v>6407</v>
      </c>
      <c r="E6081" t="s">
        <v>6408</v>
      </c>
      <c r="F6081" t="s">
        <v>11385</v>
      </c>
      <c r="G6081" t="s">
        <v>6239</v>
      </c>
      <c r="H6081" t="s">
        <v>6410</v>
      </c>
      <c r="I6081" t="s">
        <v>6241</v>
      </c>
      <c r="K6081">
        <v>2.2910225973652767</v>
      </c>
      <c r="L6081">
        <v>2.8124515520894735</v>
      </c>
      <c r="M6081">
        <v>3.219780964479642</v>
      </c>
      <c r="N6081">
        <v>3.4364327021690602</v>
      </c>
      <c r="O6081">
        <v>3.8444843611205455</v>
      </c>
      <c r="P6081">
        <v>4.2767708893080059</v>
      </c>
      <c r="Q6081">
        <v>4.8780278724944299</v>
      </c>
      <c r="R6081">
        <v>5.66998019181493</v>
      </c>
      <c r="S6081">
        <v>6.965710696688582</v>
      </c>
      <c r="T6081">
        <v>10.796244668314678</v>
      </c>
    </row>
    <row r="6082" spans="2:20" x14ac:dyDescent="0.25">
      <c r="B6082" t="s">
        <v>133</v>
      </c>
      <c r="C6082" t="s">
        <v>10598</v>
      </c>
      <c r="D6082" t="s">
        <v>6411</v>
      </c>
      <c r="E6082" t="s">
        <v>6412</v>
      </c>
      <c r="F6082" t="s">
        <v>11386</v>
      </c>
      <c r="G6082" t="s">
        <v>6239</v>
      </c>
      <c r="H6082" t="s">
        <v>6410</v>
      </c>
      <c r="I6082" t="s">
        <v>6241</v>
      </c>
      <c r="K6082">
        <v>2.1713513328205045</v>
      </c>
      <c r="L6082">
        <v>2.6934489085283659</v>
      </c>
      <c r="M6082">
        <v>3.1296479934018158</v>
      </c>
      <c r="N6082">
        <v>3.5764664316652746</v>
      </c>
      <c r="O6082">
        <v>4.0327417080077517</v>
      </c>
      <c r="P6082">
        <v>4.6583548588681349</v>
      </c>
      <c r="Q6082">
        <v>5.3752677729653291</v>
      </c>
      <c r="R6082">
        <v>6.05253850354595</v>
      </c>
      <c r="S6082">
        <v>7.811889583293401</v>
      </c>
      <c r="T6082">
        <v>12.225172252082229</v>
      </c>
    </row>
    <row r="6083" spans="2:20" x14ac:dyDescent="0.25">
      <c r="B6083" t="s">
        <v>133</v>
      </c>
      <c r="C6083" t="s">
        <v>10598</v>
      </c>
      <c r="D6083" t="s">
        <v>6414</v>
      </c>
      <c r="E6083" t="s">
        <v>6415</v>
      </c>
      <c r="F6083" t="s">
        <v>11387</v>
      </c>
      <c r="G6083" t="s">
        <v>6239</v>
      </c>
      <c r="H6083" t="s">
        <v>6410</v>
      </c>
      <c r="I6083" t="s">
        <v>6241</v>
      </c>
      <c r="K6083">
        <v>4.4264752240390104</v>
      </c>
      <c r="L6083">
        <v>5.4350314268699256</v>
      </c>
      <c r="M6083">
        <v>6.2234360387997212</v>
      </c>
      <c r="N6083">
        <v>6.9333869367058485</v>
      </c>
      <c r="O6083">
        <v>7.7913084679319553</v>
      </c>
      <c r="P6083">
        <v>8.8127023934169912</v>
      </c>
      <c r="Q6083">
        <v>10.227531754175601</v>
      </c>
      <c r="R6083">
        <v>12.042434069124324</v>
      </c>
      <c r="S6083">
        <v>14.62894526646277</v>
      </c>
      <c r="T6083">
        <v>23.47874842247386</v>
      </c>
    </row>
    <row r="6084" spans="2:20" x14ac:dyDescent="0.25">
      <c r="B6084" t="s">
        <v>133</v>
      </c>
      <c r="C6084" t="s">
        <v>10598</v>
      </c>
      <c r="D6084" t="s">
        <v>6417</v>
      </c>
      <c r="E6084" t="s">
        <v>6418</v>
      </c>
      <c r="F6084" t="s">
        <v>11388</v>
      </c>
      <c r="G6084" t="s">
        <v>6239</v>
      </c>
      <c r="H6084" t="s">
        <v>6420</v>
      </c>
      <c r="K6084">
        <v>-2.271665857898535E-2</v>
      </c>
    </row>
    <row r="6085" spans="2:20" x14ac:dyDescent="0.25">
      <c r="B6085" t="s">
        <v>133</v>
      </c>
      <c r="C6085" t="s">
        <v>10598</v>
      </c>
      <c r="D6085" t="s">
        <v>6421</v>
      </c>
      <c r="E6085" t="s">
        <v>6422</v>
      </c>
      <c r="F6085" t="s">
        <v>11389</v>
      </c>
      <c r="G6085" t="s">
        <v>6239</v>
      </c>
      <c r="H6085" t="s">
        <v>6420</v>
      </c>
      <c r="K6085">
        <v>-2.570850378315202E-2</v>
      </c>
    </row>
    <row r="6086" spans="2:20" x14ac:dyDescent="0.25">
      <c r="B6086" t="s">
        <v>133</v>
      </c>
      <c r="C6086" t="s">
        <v>10598</v>
      </c>
      <c r="D6086" t="s">
        <v>6424</v>
      </c>
      <c r="E6086" t="s">
        <v>6425</v>
      </c>
      <c r="F6086" t="s">
        <v>11390</v>
      </c>
      <c r="G6086" t="s">
        <v>6239</v>
      </c>
      <c r="H6086" t="s">
        <v>6420</v>
      </c>
      <c r="K6086">
        <v>-2.3071317196817594E-2</v>
      </c>
    </row>
    <row r="6087" spans="2:20" x14ac:dyDescent="0.25">
      <c r="B6087" t="s">
        <v>133</v>
      </c>
      <c r="C6087" t="s">
        <v>10598</v>
      </c>
      <c r="D6087" t="s">
        <v>6427</v>
      </c>
      <c r="E6087" t="s">
        <v>6428</v>
      </c>
      <c r="F6087" t="s">
        <v>11391</v>
      </c>
      <c r="G6087" t="s">
        <v>6239</v>
      </c>
      <c r="H6087" t="s">
        <v>6430</v>
      </c>
      <c r="K6087">
        <v>-0.60374399354592245</v>
      </c>
    </row>
    <row r="6088" spans="2:20" x14ac:dyDescent="0.25">
      <c r="B6088" t="s">
        <v>133</v>
      </c>
      <c r="C6088" t="s">
        <v>10598</v>
      </c>
      <c r="D6088" t="s">
        <v>6431</v>
      </c>
      <c r="E6088" t="s">
        <v>6432</v>
      </c>
      <c r="F6088" t="s">
        <v>11392</v>
      </c>
      <c r="G6088" t="s">
        <v>6239</v>
      </c>
      <c r="H6088" t="s">
        <v>6430</v>
      </c>
      <c r="K6088">
        <v>-0.42813128492957053</v>
      </c>
    </row>
    <row r="6089" spans="2:20" x14ac:dyDescent="0.25">
      <c r="B6089" t="s">
        <v>133</v>
      </c>
      <c r="C6089" t="s">
        <v>10598</v>
      </c>
      <c r="D6089" t="s">
        <v>6434</v>
      </c>
      <c r="E6089" t="s">
        <v>6435</v>
      </c>
      <c r="F6089" t="s">
        <v>11393</v>
      </c>
      <c r="G6089" t="s">
        <v>6239</v>
      </c>
      <c r="H6089" t="s">
        <v>6430</v>
      </c>
      <c r="K6089">
        <v>-0.75793194709306588</v>
      </c>
    </row>
    <row r="6090" spans="2:20" x14ac:dyDescent="0.25">
      <c r="B6090" t="s">
        <v>133</v>
      </c>
      <c r="C6090" t="s">
        <v>10598</v>
      </c>
      <c r="D6090" t="s">
        <v>6437</v>
      </c>
      <c r="E6090" t="s">
        <v>6438</v>
      </c>
      <c r="F6090" t="s">
        <v>11394</v>
      </c>
      <c r="G6090" t="s">
        <v>6239</v>
      </c>
      <c r="H6090" t="s">
        <v>6440</v>
      </c>
      <c r="K6090">
        <v>0</v>
      </c>
    </row>
    <row r="6091" spans="2:20" x14ac:dyDescent="0.25">
      <c r="B6091" t="s">
        <v>133</v>
      </c>
      <c r="C6091" t="s">
        <v>10598</v>
      </c>
      <c r="D6091" t="s">
        <v>6441</v>
      </c>
      <c r="E6091" t="s">
        <v>6442</v>
      </c>
      <c r="F6091" t="s">
        <v>11395</v>
      </c>
      <c r="G6091" t="s">
        <v>6239</v>
      </c>
      <c r="H6091" t="s">
        <v>6440</v>
      </c>
      <c r="K6091">
        <v>6.9662862559172538</v>
      </c>
    </row>
    <row r="6092" spans="2:20" x14ac:dyDescent="0.25">
      <c r="B6092" t="s">
        <v>133</v>
      </c>
      <c r="C6092" t="s">
        <v>10598</v>
      </c>
      <c r="D6092" t="s">
        <v>6444</v>
      </c>
      <c r="E6092" t="s">
        <v>6445</v>
      </c>
      <c r="F6092" t="s">
        <v>11396</v>
      </c>
      <c r="G6092" t="s">
        <v>6239</v>
      </c>
      <c r="H6092" t="s">
        <v>6440</v>
      </c>
      <c r="K6092">
        <v>0</v>
      </c>
    </row>
    <row r="6093" spans="2:20" x14ac:dyDescent="0.25">
      <c r="B6093" t="s">
        <v>133</v>
      </c>
      <c r="C6093" t="s">
        <v>10598</v>
      </c>
      <c r="D6093" t="s">
        <v>6447</v>
      </c>
      <c r="E6093" t="s">
        <v>6448</v>
      </c>
      <c r="F6093" t="s">
        <v>11397</v>
      </c>
      <c r="G6093" t="s">
        <v>6239</v>
      </c>
      <c r="H6093" t="s">
        <v>6440</v>
      </c>
      <c r="K6093">
        <v>0</v>
      </c>
    </row>
    <row r="6094" spans="2:20" x14ac:dyDescent="0.25">
      <c r="B6094" t="s">
        <v>133</v>
      </c>
      <c r="C6094" t="s">
        <v>10598</v>
      </c>
      <c r="D6094" t="s">
        <v>6450</v>
      </c>
      <c r="E6094" t="s">
        <v>6451</v>
      </c>
      <c r="F6094" t="s">
        <v>11398</v>
      </c>
      <c r="G6094" t="s">
        <v>6239</v>
      </c>
      <c r="H6094" t="s">
        <v>6440</v>
      </c>
      <c r="K6094">
        <v>0</v>
      </c>
    </row>
    <row r="6095" spans="2:20" x14ac:dyDescent="0.25">
      <c r="B6095" t="s">
        <v>133</v>
      </c>
      <c r="C6095" t="s">
        <v>10598</v>
      </c>
      <c r="D6095" t="s">
        <v>6453</v>
      </c>
      <c r="E6095" t="s">
        <v>6454</v>
      </c>
      <c r="F6095" t="s">
        <v>11399</v>
      </c>
      <c r="G6095" t="s">
        <v>6239</v>
      </c>
      <c r="H6095" t="s">
        <v>6440</v>
      </c>
      <c r="K6095">
        <v>0</v>
      </c>
    </row>
    <row r="6096" spans="2:20" x14ac:dyDescent="0.25">
      <c r="B6096" t="s">
        <v>133</v>
      </c>
      <c r="C6096" t="s">
        <v>10598</v>
      </c>
      <c r="D6096" t="s">
        <v>6456</v>
      </c>
      <c r="E6096" t="s">
        <v>6457</v>
      </c>
      <c r="F6096" t="s">
        <v>11400</v>
      </c>
      <c r="G6096" t="s">
        <v>6239</v>
      </c>
      <c r="H6096" t="s">
        <v>6440</v>
      </c>
      <c r="K6096">
        <v>0</v>
      </c>
    </row>
    <row r="6097" spans="2:20" x14ac:dyDescent="0.25">
      <c r="B6097" t="s">
        <v>133</v>
      </c>
      <c r="C6097" t="s">
        <v>10598</v>
      </c>
      <c r="D6097" t="s">
        <v>6459</v>
      </c>
      <c r="E6097" t="s">
        <v>6460</v>
      </c>
      <c r="F6097" t="s">
        <v>11401</v>
      </c>
      <c r="G6097" t="s">
        <v>6239</v>
      </c>
      <c r="H6097" t="s">
        <v>6440</v>
      </c>
      <c r="K6097">
        <v>0</v>
      </c>
    </row>
    <row r="6098" spans="2:20" x14ac:dyDescent="0.25">
      <c r="B6098" t="s">
        <v>133</v>
      </c>
      <c r="C6098" t="s">
        <v>10598</v>
      </c>
      <c r="D6098" t="s">
        <v>6462</v>
      </c>
      <c r="E6098" t="s">
        <v>6463</v>
      </c>
      <c r="F6098" t="s">
        <v>11402</v>
      </c>
      <c r="G6098" t="s">
        <v>6239</v>
      </c>
      <c r="H6098" t="s">
        <v>6440</v>
      </c>
      <c r="K6098">
        <v>8.4248432200820761E-2</v>
      </c>
    </row>
    <row r="6099" spans="2:20" x14ac:dyDescent="0.25">
      <c r="B6099" t="s">
        <v>133</v>
      </c>
      <c r="C6099" t="s">
        <v>10598</v>
      </c>
      <c r="D6099" t="s">
        <v>6465</v>
      </c>
      <c r="E6099" t="s">
        <v>6466</v>
      </c>
      <c r="F6099" t="s">
        <v>11403</v>
      </c>
      <c r="G6099" t="s">
        <v>6239</v>
      </c>
      <c r="H6099" t="s">
        <v>6440</v>
      </c>
      <c r="K6099">
        <v>0.20787175659420534</v>
      </c>
    </row>
    <row r="6100" spans="2:20" x14ac:dyDescent="0.25">
      <c r="B6100" t="s">
        <v>133</v>
      </c>
      <c r="C6100" t="s">
        <v>10598</v>
      </c>
      <c r="D6100" t="s">
        <v>6468</v>
      </c>
      <c r="E6100" t="s">
        <v>6469</v>
      </c>
      <c r="F6100" t="s">
        <v>11404</v>
      </c>
      <c r="G6100" t="s">
        <v>6239</v>
      </c>
      <c r="H6100" t="s">
        <v>6440</v>
      </c>
      <c r="K6100">
        <v>3.0662970023179203E-2</v>
      </c>
    </row>
    <row r="6101" spans="2:20" x14ac:dyDescent="0.25">
      <c r="B6101" t="s">
        <v>133</v>
      </c>
      <c r="C6101" t="s">
        <v>10598</v>
      </c>
      <c r="D6101" t="s">
        <v>6471</v>
      </c>
      <c r="E6101" t="s">
        <v>6472</v>
      </c>
      <c r="F6101" t="s">
        <v>11405</v>
      </c>
      <c r="G6101" t="s">
        <v>6239</v>
      </c>
      <c r="H6101" t="s">
        <v>6440</v>
      </c>
      <c r="K6101">
        <v>1.1683660123740901E-2</v>
      </c>
    </row>
    <row r="6102" spans="2:20" x14ac:dyDescent="0.25">
      <c r="B6102" t="s">
        <v>133</v>
      </c>
      <c r="C6102" t="s">
        <v>10598</v>
      </c>
      <c r="D6102" t="s">
        <v>6474</v>
      </c>
      <c r="E6102" t="s">
        <v>6475</v>
      </c>
      <c r="F6102" t="s">
        <v>11406</v>
      </c>
      <c r="G6102" t="s">
        <v>6239</v>
      </c>
      <c r="H6102" t="s">
        <v>6440</v>
      </c>
      <c r="K6102">
        <v>3.3245431225385515E-2</v>
      </c>
    </row>
    <row r="6103" spans="2:20" x14ac:dyDescent="0.25">
      <c r="B6103" t="s">
        <v>133</v>
      </c>
      <c r="C6103" t="s">
        <v>10598</v>
      </c>
      <c r="D6103" t="s">
        <v>6477</v>
      </c>
      <c r="E6103" t="s">
        <v>6478</v>
      </c>
      <c r="F6103" t="s">
        <v>11407</v>
      </c>
      <c r="G6103" t="s">
        <v>6239</v>
      </c>
      <c r="H6103" t="s">
        <v>6440</v>
      </c>
      <c r="K6103">
        <v>2.5509784918894819E-2</v>
      </c>
    </row>
    <row r="6104" spans="2:20" x14ac:dyDescent="0.25">
      <c r="B6104" t="s">
        <v>133</v>
      </c>
      <c r="C6104" t="s">
        <v>10598</v>
      </c>
      <c r="D6104" t="s">
        <v>6480</v>
      </c>
      <c r="E6104" t="s">
        <v>6481</v>
      </c>
      <c r="F6104" t="s">
        <v>11408</v>
      </c>
      <c r="G6104" t="s">
        <v>6239</v>
      </c>
      <c r="H6104" t="s">
        <v>6440</v>
      </c>
      <c r="K6104">
        <v>3.9406366956040384E-2</v>
      </c>
    </row>
    <row r="6105" spans="2:20" x14ac:dyDescent="0.25">
      <c r="B6105" t="s">
        <v>133</v>
      </c>
      <c r="C6105" t="s">
        <v>10598</v>
      </c>
      <c r="D6105" t="s">
        <v>6483</v>
      </c>
      <c r="E6105" t="s">
        <v>6484</v>
      </c>
      <c r="F6105" t="s">
        <v>11409</v>
      </c>
      <c r="G6105" t="s">
        <v>6239</v>
      </c>
      <c r="H6105" t="s">
        <v>6440</v>
      </c>
      <c r="K6105">
        <v>2.7596223570562087E-2</v>
      </c>
    </row>
    <row r="6106" spans="2:20" x14ac:dyDescent="0.25">
      <c r="B6106" t="s">
        <v>133</v>
      </c>
      <c r="C6106" t="s">
        <v>10598</v>
      </c>
      <c r="D6106" t="s">
        <v>6486</v>
      </c>
      <c r="E6106" t="s">
        <v>6487</v>
      </c>
      <c r="F6106" t="s">
        <v>11410</v>
      </c>
      <c r="G6106" t="s">
        <v>6239</v>
      </c>
      <c r="H6106" t="s">
        <v>6440</v>
      </c>
      <c r="K6106">
        <v>1.314848919755838E-2</v>
      </c>
    </row>
    <row r="6107" spans="2:20" x14ac:dyDescent="0.25">
      <c r="B6107" t="s">
        <v>133</v>
      </c>
      <c r="C6107" t="s">
        <v>10598</v>
      </c>
      <c r="D6107" t="s">
        <v>6489</v>
      </c>
      <c r="E6107" t="s">
        <v>6490</v>
      </c>
      <c r="F6107" t="s">
        <v>11411</v>
      </c>
      <c r="G6107" t="s">
        <v>6239</v>
      </c>
      <c r="H6107" t="s">
        <v>6440</v>
      </c>
      <c r="K6107">
        <v>5.5515563970656677E-2</v>
      </c>
    </row>
    <row r="6108" spans="2:20" x14ac:dyDescent="0.25">
      <c r="B6108" t="s">
        <v>133</v>
      </c>
      <c r="C6108" t="s">
        <v>10598</v>
      </c>
      <c r="D6108" t="s">
        <v>6492</v>
      </c>
      <c r="E6108" t="s">
        <v>6493</v>
      </c>
      <c r="F6108" t="s">
        <v>11412</v>
      </c>
      <c r="G6108" t="s">
        <v>6239</v>
      </c>
      <c r="H6108" t="s">
        <v>6440</v>
      </c>
      <c r="K6108">
        <v>0.12095486588897741</v>
      </c>
    </row>
    <row r="6109" spans="2:20" x14ac:dyDescent="0.25">
      <c r="B6109" t="s">
        <v>133</v>
      </c>
      <c r="C6109" t="s">
        <v>10598</v>
      </c>
      <c r="D6109" t="s">
        <v>6495</v>
      </c>
      <c r="E6109" t="s">
        <v>6496</v>
      </c>
      <c r="F6109" t="s">
        <v>11413</v>
      </c>
      <c r="G6109" t="s">
        <v>6239</v>
      </c>
      <c r="H6109" t="s">
        <v>6440</v>
      </c>
      <c r="K6109">
        <v>3.0639658350993446E-2</v>
      </c>
    </row>
    <row r="6110" spans="2:20" x14ac:dyDescent="0.25">
      <c r="B6110" t="s">
        <v>133</v>
      </c>
      <c r="C6110" t="s">
        <v>10598</v>
      </c>
      <c r="D6110" t="s">
        <v>6498</v>
      </c>
      <c r="E6110" t="s">
        <v>6499</v>
      </c>
      <c r="F6110" t="s">
        <v>11414</v>
      </c>
      <c r="G6110" t="s">
        <v>6239</v>
      </c>
      <c r="H6110" t="s">
        <v>6440</v>
      </c>
      <c r="K6110">
        <v>3.026682278050228E-2</v>
      </c>
    </row>
    <row r="6111" spans="2:20" x14ac:dyDescent="0.25">
      <c r="B6111" t="s">
        <v>133</v>
      </c>
      <c r="C6111" t="s">
        <v>10598</v>
      </c>
      <c r="D6111" t="s">
        <v>6501</v>
      </c>
      <c r="E6111" t="s">
        <v>6502</v>
      </c>
      <c r="F6111" t="s">
        <v>11415</v>
      </c>
      <c r="G6111" t="s">
        <v>6239</v>
      </c>
      <c r="H6111" t="s">
        <v>6440</v>
      </c>
      <c r="K6111">
        <v>5.1369815725637293E-2</v>
      </c>
    </row>
    <row r="6112" spans="2:20" x14ac:dyDescent="0.25">
      <c r="B6112" t="s">
        <v>133</v>
      </c>
      <c r="C6112" t="s">
        <v>10598</v>
      </c>
      <c r="D6112" t="s">
        <v>6504</v>
      </c>
      <c r="E6112" t="s">
        <v>6505</v>
      </c>
      <c r="F6112" t="s">
        <v>11416</v>
      </c>
      <c r="G6112" t="s">
        <v>6239</v>
      </c>
      <c r="H6112" t="s">
        <v>6507</v>
      </c>
      <c r="I6112" t="s">
        <v>6241</v>
      </c>
      <c r="K6112">
        <v>0.23419999999999999</v>
      </c>
      <c r="L6112">
        <v>0.17605000000000001</v>
      </c>
      <c r="M6112">
        <v>0.1515</v>
      </c>
      <c r="N6112">
        <v>0.13420000000000001</v>
      </c>
      <c r="O6112">
        <v>0.11966</v>
      </c>
      <c r="P6112">
        <v>0.10684</v>
      </c>
      <c r="Q6112">
        <v>9.4509999999999997E-2</v>
      </c>
      <c r="R6112">
        <v>8.3019999999999997E-2</v>
      </c>
      <c r="S6112">
        <v>6.9239999999999996E-2</v>
      </c>
      <c r="T6112">
        <v>4.6269999999999999E-2</v>
      </c>
    </row>
    <row r="6113" spans="2:20" x14ac:dyDescent="0.25">
      <c r="B6113" t="s">
        <v>133</v>
      </c>
      <c r="C6113" t="s">
        <v>10598</v>
      </c>
      <c r="D6113" t="s">
        <v>6508</v>
      </c>
      <c r="E6113" t="s">
        <v>6509</v>
      </c>
      <c r="F6113" t="s">
        <v>11417</v>
      </c>
      <c r="G6113" t="s">
        <v>6239</v>
      </c>
      <c r="H6113" t="s">
        <v>6511</v>
      </c>
      <c r="I6113" t="s">
        <v>6241</v>
      </c>
      <c r="K6113">
        <v>0.65273999999999999</v>
      </c>
      <c r="L6113">
        <v>0.39684999999999998</v>
      </c>
      <c r="M6113">
        <v>0.28477000000000002</v>
      </c>
      <c r="N6113">
        <v>0.22570000000000001</v>
      </c>
      <c r="O6113">
        <v>0.17765</v>
      </c>
      <c r="P6113">
        <v>0.14623</v>
      </c>
      <c r="Q6113">
        <v>0.12429</v>
      </c>
      <c r="R6113">
        <v>0.11171</v>
      </c>
      <c r="S6113">
        <v>9.0109999999999996E-2</v>
      </c>
      <c r="T6113">
        <v>5.7729999999999997E-2</v>
      </c>
    </row>
    <row r="6114" spans="2:20" x14ac:dyDescent="0.25">
      <c r="B6114" t="s">
        <v>133</v>
      </c>
      <c r="C6114" t="s">
        <v>10598</v>
      </c>
      <c r="D6114" t="s">
        <v>6512</v>
      </c>
      <c r="E6114" t="s">
        <v>6513</v>
      </c>
      <c r="F6114" t="s">
        <v>11418</v>
      </c>
      <c r="G6114" t="s">
        <v>6239</v>
      </c>
      <c r="H6114" t="s">
        <v>6515</v>
      </c>
      <c r="I6114" t="s">
        <v>6241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</row>
    <row r="6115" spans="2:20" x14ac:dyDescent="0.25">
      <c r="B6115" t="s">
        <v>133</v>
      </c>
      <c r="C6115" t="s">
        <v>10598</v>
      </c>
      <c r="D6115" t="s">
        <v>6516</v>
      </c>
      <c r="E6115" t="s">
        <v>6517</v>
      </c>
      <c r="F6115" t="s">
        <v>11419</v>
      </c>
      <c r="G6115" t="s">
        <v>6239</v>
      </c>
      <c r="H6115" t="s">
        <v>6519</v>
      </c>
      <c r="I6115" t="s">
        <v>6241</v>
      </c>
      <c r="K6115">
        <v>0.39032</v>
      </c>
      <c r="L6115">
        <v>0.29337999999999997</v>
      </c>
      <c r="M6115">
        <v>0.25253999999999999</v>
      </c>
      <c r="N6115">
        <v>0.22358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</row>
    <row r="6116" spans="2:20" x14ac:dyDescent="0.25">
      <c r="B6116" t="s">
        <v>133</v>
      </c>
      <c r="C6116" t="s">
        <v>10598</v>
      </c>
      <c r="D6116" t="s">
        <v>6520</v>
      </c>
      <c r="E6116" t="s">
        <v>6521</v>
      </c>
      <c r="F6116" t="s">
        <v>11420</v>
      </c>
      <c r="G6116" t="s">
        <v>6239</v>
      </c>
      <c r="H6116" t="s">
        <v>6240</v>
      </c>
      <c r="I6116" t="s">
        <v>6241</v>
      </c>
      <c r="K6116">
        <v>-0.26041999999999998</v>
      </c>
      <c r="L6116">
        <v>-0.24046999999999999</v>
      </c>
      <c r="M6116">
        <v>-0.23702999999999999</v>
      </c>
      <c r="N6116">
        <v>-0.23388999999999999</v>
      </c>
      <c r="O6116">
        <v>-0.23426</v>
      </c>
      <c r="P6116">
        <v>-0.23666999999999999</v>
      </c>
      <c r="Q6116">
        <v>-0.24303</v>
      </c>
      <c r="R6116">
        <v>-0.25131999999999999</v>
      </c>
      <c r="S6116">
        <v>-0.25459999999999999</v>
      </c>
      <c r="T6116">
        <v>-0.27309</v>
      </c>
    </row>
    <row r="6117" spans="2:20" x14ac:dyDescent="0.25">
      <c r="B6117" t="s">
        <v>133</v>
      </c>
      <c r="C6117" t="s">
        <v>10598</v>
      </c>
      <c r="D6117" t="s">
        <v>6523</v>
      </c>
      <c r="E6117" t="s">
        <v>6524</v>
      </c>
      <c r="F6117" t="s">
        <v>11421</v>
      </c>
      <c r="K6117">
        <v>2030</v>
      </c>
    </row>
    <row r="6118" spans="2:20" x14ac:dyDescent="0.25">
      <c r="B6118" t="s">
        <v>133</v>
      </c>
      <c r="C6118" t="s">
        <v>10598</v>
      </c>
      <c r="D6118" t="s">
        <v>6526</v>
      </c>
      <c r="E6118" t="s">
        <v>6527</v>
      </c>
      <c r="F6118" t="s">
        <v>11422</v>
      </c>
      <c r="K6118" t="s">
        <v>660</v>
      </c>
    </row>
    <row r="6119" spans="2:20" x14ac:dyDescent="0.25">
      <c r="B6119" t="s">
        <v>133</v>
      </c>
      <c r="C6119" t="s">
        <v>10598</v>
      </c>
      <c r="D6119" t="s">
        <v>6529</v>
      </c>
      <c r="E6119" t="s">
        <v>6530</v>
      </c>
      <c r="F6119" t="s">
        <v>138</v>
      </c>
      <c r="G6119" t="s">
        <v>6239</v>
      </c>
      <c r="H6119" t="s">
        <v>6507</v>
      </c>
      <c r="I6119" t="s">
        <v>6241</v>
      </c>
      <c r="K6119">
        <v>0.23419856158755561</v>
      </c>
      <c r="L6119">
        <v>0.17605048003338403</v>
      </c>
      <c r="M6119">
        <v>0.15149906459128473</v>
      </c>
      <c r="N6119">
        <v>0.13419894356993689</v>
      </c>
      <c r="O6119">
        <v>0.11966301269405852</v>
      </c>
      <c r="P6119">
        <v>0.10683887900574122</v>
      </c>
      <c r="Q6119">
        <v>9.4513925618891617E-2</v>
      </c>
      <c r="R6119">
        <v>8.3021665518956636E-2</v>
      </c>
      <c r="S6119">
        <v>6.9239159661517766E-2</v>
      </c>
      <c r="T6119">
        <v>4.6265586151282796E-2</v>
      </c>
    </row>
    <row r="6120" spans="2:20" x14ac:dyDescent="0.25">
      <c r="B6120" t="s">
        <v>133</v>
      </c>
      <c r="C6120" t="s">
        <v>10598</v>
      </c>
      <c r="D6120" t="s">
        <v>6531</v>
      </c>
      <c r="E6120" t="s">
        <v>6532</v>
      </c>
      <c r="F6120" t="s">
        <v>138</v>
      </c>
      <c r="G6120" t="s">
        <v>6239</v>
      </c>
      <c r="H6120" t="s">
        <v>6511</v>
      </c>
      <c r="I6120" t="s">
        <v>6241</v>
      </c>
      <c r="K6120">
        <v>0.65273839757855823</v>
      </c>
      <c r="L6120">
        <v>0.39684710005636448</v>
      </c>
      <c r="M6120">
        <v>0.28476958811353442</v>
      </c>
      <c r="N6120">
        <v>0.22570021810670041</v>
      </c>
      <c r="O6120">
        <v>0.17764994618298832</v>
      </c>
      <c r="P6120">
        <v>0.1462293359290836</v>
      </c>
      <c r="Q6120">
        <v>0.12428658187403671</v>
      </c>
      <c r="R6120">
        <v>0.11171419688883968</v>
      </c>
      <c r="S6120">
        <v>9.0110866892214092E-2</v>
      </c>
      <c r="T6120">
        <v>5.7725454518299607E-2</v>
      </c>
    </row>
    <row r="6121" spans="2:20" x14ac:dyDescent="0.25">
      <c r="B6121" t="s">
        <v>133</v>
      </c>
      <c r="C6121" t="s">
        <v>10598</v>
      </c>
      <c r="D6121" t="s">
        <v>6533</v>
      </c>
      <c r="E6121" t="s">
        <v>6534</v>
      </c>
      <c r="F6121" t="s">
        <v>138</v>
      </c>
      <c r="G6121" t="s">
        <v>6239</v>
      </c>
      <c r="H6121" t="s">
        <v>6515</v>
      </c>
      <c r="I6121" t="s">
        <v>6241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</row>
    <row r="6122" spans="2:20" x14ac:dyDescent="0.25">
      <c r="B6122" t="s">
        <v>133</v>
      </c>
      <c r="C6122" t="s">
        <v>10598</v>
      </c>
      <c r="D6122" t="s">
        <v>6535</v>
      </c>
      <c r="E6122" t="s">
        <v>6536</v>
      </c>
      <c r="F6122" t="s">
        <v>138</v>
      </c>
      <c r="G6122" t="s">
        <v>6239</v>
      </c>
      <c r="H6122" t="s">
        <v>6519</v>
      </c>
      <c r="I6122" t="s">
        <v>6241</v>
      </c>
      <c r="K6122">
        <v>0.39032093540211499</v>
      </c>
      <c r="L6122">
        <v>0.29337933744091771</v>
      </c>
      <c r="M6122">
        <v>0.2525442048421318</v>
      </c>
      <c r="N6122">
        <v>0.22357600111521553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2:20" x14ac:dyDescent="0.25">
      <c r="B6123" t="s">
        <v>133</v>
      </c>
      <c r="C6123" t="s">
        <v>10598</v>
      </c>
      <c r="D6123" t="s">
        <v>6537</v>
      </c>
      <c r="E6123" t="s">
        <v>6538</v>
      </c>
      <c r="F6123" t="s">
        <v>138</v>
      </c>
      <c r="G6123" t="s">
        <v>6239</v>
      </c>
      <c r="H6123" t="s">
        <v>6539</v>
      </c>
      <c r="I6123" t="s">
        <v>6241</v>
      </c>
      <c r="K6123">
        <v>1.2772578945682289</v>
      </c>
      <c r="L6123">
        <v>0.86627691753066616</v>
      </c>
      <c r="M6123">
        <v>0.68881285754695099</v>
      </c>
      <c r="N6123">
        <v>0.58347516279185285</v>
      </c>
      <c r="O6123">
        <v>0.29731295887704684</v>
      </c>
      <c r="P6123">
        <v>0.25306821493482484</v>
      </c>
      <c r="Q6123">
        <v>0.21880050749292834</v>
      </c>
      <c r="R6123">
        <v>0.19473586240779633</v>
      </c>
      <c r="S6123">
        <v>0.15935002655373187</v>
      </c>
      <c r="T6123">
        <v>0.1039910406695824</v>
      </c>
    </row>
    <row r="6124" spans="2:20" x14ac:dyDescent="0.25">
      <c r="B6124" t="s">
        <v>133</v>
      </c>
      <c r="C6124" t="s">
        <v>10598</v>
      </c>
      <c r="D6124" t="s">
        <v>6540</v>
      </c>
      <c r="E6124" t="s">
        <v>6541</v>
      </c>
      <c r="F6124" t="s">
        <v>138</v>
      </c>
      <c r="G6124" t="s">
        <v>6239</v>
      </c>
      <c r="H6124" t="s">
        <v>6507</v>
      </c>
      <c r="I6124" t="s">
        <v>6241</v>
      </c>
      <c r="K6124">
        <v>0.2476401629297745</v>
      </c>
      <c r="L6124">
        <v>0.18776892124956338</v>
      </c>
      <c r="M6124">
        <v>0.16279146996872657</v>
      </c>
      <c r="N6124">
        <v>0.14520125653362251</v>
      </c>
      <c r="O6124">
        <v>0.13075768010617403</v>
      </c>
      <c r="P6124">
        <v>0.1177320337634313</v>
      </c>
      <c r="Q6124">
        <v>0.10532779763697997</v>
      </c>
      <c r="R6124">
        <v>9.2850229229048661E-2</v>
      </c>
      <c r="S6124">
        <v>7.9293411773421169E-2</v>
      </c>
      <c r="T6124">
        <v>5.5149578810106376E-2</v>
      </c>
    </row>
    <row r="6125" spans="2:20" x14ac:dyDescent="0.25">
      <c r="B6125" t="s">
        <v>133</v>
      </c>
      <c r="C6125" t="s">
        <v>10598</v>
      </c>
      <c r="D6125" t="s">
        <v>6542</v>
      </c>
      <c r="E6125" t="s">
        <v>6543</v>
      </c>
      <c r="F6125" t="s">
        <v>138</v>
      </c>
      <c r="G6125" t="s">
        <v>6239</v>
      </c>
      <c r="H6125" t="s">
        <v>6511</v>
      </c>
      <c r="I6125" t="s">
        <v>6241</v>
      </c>
      <c r="K6125">
        <v>0.83859640152803405</v>
      </c>
      <c r="L6125">
        <v>0.53091005752138931</v>
      </c>
      <c r="M6125">
        <v>0.40930089288225296</v>
      </c>
      <c r="N6125">
        <v>0.32695934496478402</v>
      </c>
      <c r="O6125">
        <v>0.27177188607221731</v>
      </c>
      <c r="P6125">
        <v>0.22981270087030289</v>
      </c>
      <c r="Q6125">
        <v>0.19180006202819314</v>
      </c>
      <c r="R6125">
        <v>0.17607896391858838</v>
      </c>
      <c r="S6125">
        <v>0.15461384562330394</v>
      </c>
      <c r="T6125">
        <v>0.11232808476014614</v>
      </c>
    </row>
    <row r="6126" spans="2:20" x14ac:dyDescent="0.25">
      <c r="B6126" t="s">
        <v>133</v>
      </c>
      <c r="C6126" t="s">
        <v>10598</v>
      </c>
      <c r="D6126" t="s">
        <v>6544</v>
      </c>
      <c r="E6126" t="s">
        <v>6545</v>
      </c>
      <c r="F6126" t="s">
        <v>138</v>
      </c>
      <c r="G6126" t="s">
        <v>6239</v>
      </c>
      <c r="H6126" t="s">
        <v>6515</v>
      </c>
      <c r="I6126" t="s">
        <v>6241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2:20" x14ac:dyDescent="0.25">
      <c r="B6127" t="s">
        <v>133</v>
      </c>
      <c r="C6127" t="s">
        <v>10598</v>
      </c>
      <c r="D6127" t="s">
        <v>6546</v>
      </c>
      <c r="E6127" t="s">
        <v>6547</v>
      </c>
      <c r="F6127" t="s">
        <v>138</v>
      </c>
      <c r="G6127" t="s">
        <v>6239</v>
      </c>
      <c r="H6127" t="s">
        <v>6519</v>
      </c>
      <c r="I6127" t="s">
        <v>6241</v>
      </c>
      <c r="K6127">
        <v>0.41272303033230001</v>
      </c>
      <c r="L6127">
        <v>0.31290753480335098</v>
      </c>
      <c r="M6127">
        <v>0.27136829160791326</v>
      </c>
      <c r="N6127">
        <v>0.24190590051682287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2:20" x14ac:dyDescent="0.25">
      <c r="B6128" t="s">
        <v>133</v>
      </c>
      <c r="C6128" t="s">
        <v>10598</v>
      </c>
      <c r="D6128" t="s">
        <v>6548</v>
      </c>
      <c r="E6128" t="s">
        <v>6549</v>
      </c>
      <c r="F6128" t="s">
        <v>138</v>
      </c>
      <c r="G6128" t="s">
        <v>6239</v>
      </c>
      <c r="H6128" t="s">
        <v>6539</v>
      </c>
      <c r="I6128" t="s">
        <v>6241</v>
      </c>
      <c r="K6128">
        <v>1.4989595947901084</v>
      </c>
      <c r="L6128">
        <v>1.0315865135743036</v>
      </c>
      <c r="M6128">
        <v>0.84346065445889273</v>
      </c>
      <c r="N6128">
        <v>0.71406650201522948</v>
      </c>
      <c r="O6128">
        <v>0.40252956617839131</v>
      </c>
      <c r="P6128">
        <v>0.3475447346337342</v>
      </c>
      <c r="Q6128">
        <v>0.29712785966517308</v>
      </c>
      <c r="R6128">
        <v>0.26892919314763702</v>
      </c>
      <c r="S6128">
        <v>0.2339072573967251</v>
      </c>
      <c r="T6128">
        <v>0.16747766357025251</v>
      </c>
    </row>
    <row r="6129" spans="2:20" x14ac:dyDescent="0.25">
      <c r="B6129" t="s">
        <v>133</v>
      </c>
      <c r="C6129" t="s">
        <v>10598</v>
      </c>
      <c r="D6129" t="s">
        <v>6550</v>
      </c>
      <c r="E6129" t="s">
        <v>6551</v>
      </c>
      <c r="F6129" t="s">
        <v>138</v>
      </c>
      <c r="G6129" t="s">
        <v>6239</v>
      </c>
      <c r="H6129" t="s">
        <v>6507</v>
      </c>
      <c r="I6129" t="s">
        <v>6241</v>
      </c>
      <c r="K6129">
        <v>0.21294312237544205</v>
      </c>
      <c r="L6129">
        <v>0.1591868086453716</v>
      </c>
      <c r="M6129">
        <v>0.13639681089531977</v>
      </c>
      <c r="N6129">
        <v>0.11928931288636228</v>
      </c>
      <c r="O6129">
        <v>0.10667139237087407</v>
      </c>
      <c r="P6129">
        <v>9.4067293197293983E-2</v>
      </c>
      <c r="Q6129">
        <v>8.4262125412379874E-2</v>
      </c>
      <c r="R6129">
        <v>7.2468798179457214E-2</v>
      </c>
      <c r="S6129">
        <v>6.1125113894849287E-2</v>
      </c>
      <c r="T6129">
        <v>4.0806552366589477E-2</v>
      </c>
    </row>
    <row r="6130" spans="2:20" x14ac:dyDescent="0.25">
      <c r="B6130" t="s">
        <v>133</v>
      </c>
      <c r="C6130" t="s">
        <v>10598</v>
      </c>
      <c r="D6130" t="s">
        <v>6552</v>
      </c>
      <c r="E6130" t="s">
        <v>6553</v>
      </c>
      <c r="F6130" t="s">
        <v>138</v>
      </c>
      <c r="G6130" t="s">
        <v>6239</v>
      </c>
      <c r="H6130" t="s">
        <v>6511</v>
      </c>
      <c r="I6130" t="s">
        <v>6241</v>
      </c>
      <c r="K6130">
        <v>0.34475467500845064</v>
      </c>
      <c r="L6130">
        <v>0.19281108305628517</v>
      </c>
      <c r="M6130">
        <v>0.1420646381787867</v>
      </c>
      <c r="N6130">
        <v>0.10799604863610314</v>
      </c>
      <c r="O6130">
        <v>7.8404637390347698E-2</v>
      </c>
      <c r="P6130">
        <v>6.6525072751633926E-2</v>
      </c>
      <c r="Q6130">
        <v>6.357359523066114E-2</v>
      </c>
      <c r="R6130">
        <v>5.7206996987363999E-2</v>
      </c>
      <c r="S6130">
        <v>5.0811108409303536E-2</v>
      </c>
      <c r="T6130">
        <v>3.7949560797197135E-2</v>
      </c>
    </row>
    <row r="6131" spans="2:20" x14ac:dyDescent="0.25">
      <c r="B6131" t="s">
        <v>133</v>
      </c>
      <c r="C6131" t="s">
        <v>10598</v>
      </c>
      <c r="D6131" t="s">
        <v>6554</v>
      </c>
      <c r="E6131" t="s">
        <v>6555</v>
      </c>
      <c r="F6131" t="s">
        <v>138</v>
      </c>
      <c r="G6131" t="s">
        <v>6239</v>
      </c>
      <c r="H6131" t="s">
        <v>6515</v>
      </c>
      <c r="I6131" t="s">
        <v>6241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</row>
    <row r="6132" spans="2:20" x14ac:dyDescent="0.25">
      <c r="B6132" t="s">
        <v>133</v>
      </c>
      <c r="C6132" t="s">
        <v>10598</v>
      </c>
      <c r="D6132" t="s">
        <v>6556</v>
      </c>
      <c r="E6132" t="s">
        <v>6557</v>
      </c>
      <c r="F6132" t="s">
        <v>138</v>
      </c>
      <c r="G6132" t="s">
        <v>6239</v>
      </c>
      <c r="H6132" t="s">
        <v>6519</v>
      </c>
      <c r="I6132" t="s">
        <v>6241</v>
      </c>
      <c r="K6132">
        <v>0.35489611101627722</v>
      </c>
      <c r="L6132">
        <v>0.26527687082055817</v>
      </c>
      <c r="M6132">
        <v>0.22736922002449603</v>
      </c>
      <c r="N6132">
        <v>0.19873649405455726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</row>
    <row r="6133" spans="2:20" x14ac:dyDescent="0.25">
      <c r="B6133" t="s">
        <v>133</v>
      </c>
      <c r="C6133" t="s">
        <v>10598</v>
      </c>
      <c r="D6133" t="s">
        <v>6558</v>
      </c>
      <c r="E6133" t="s">
        <v>6559</v>
      </c>
      <c r="F6133" t="s">
        <v>138</v>
      </c>
      <c r="G6133" t="s">
        <v>6239</v>
      </c>
      <c r="H6133" t="s">
        <v>6539</v>
      </c>
      <c r="I6133" t="s">
        <v>6241</v>
      </c>
      <c r="K6133">
        <v>0.91259390840016996</v>
      </c>
      <c r="L6133">
        <v>0.61727476252221491</v>
      </c>
      <c r="M6133">
        <v>0.50583066909860253</v>
      </c>
      <c r="N6133">
        <v>0.42602185557702266</v>
      </c>
      <c r="O6133">
        <v>0.18507602976122178</v>
      </c>
      <c r="P6133">
        <v>0.1605923659489279</v>
      </c>
      <c r="Q6133">
        <v>0.14783572064304101</v>
      </c>
      <c r="R6133">
        <v>0.12967579516682121</v>
      </c>
      <c r="S6133">
        <v>0.11193622230415282</v>
      </c>
      <c r="T6133">
        <v>7.8756113163786612E-2</v>
      </c>
    </row>
    <row r="6134" spans="2:20" x14ac:dyDescent="0.25">
      <c r="B6134" t="s">
        <v>133</v>
      </c>
      <c r="C6134" t="s">
        <v>10598</v>
      </c>
      <c r="D6134" t="s">
        <v>6560</v>
      </c>
      <c r="E6134" t="s">
        <v>6478</v>
      </c>
      <c r="F6134" t="s">
        <v>11407</v>
      </c>
      <c r="G6134" t="s">
        <v>6239</v>
      </c>
      <c r="H6134" t="s">
        <v>6440</v>
      </c>
      <c r="K6134">
        <v>2.5509784918894819E-2</v>
      </c>
    </row>
    <row r="6135" spans="2:20" x14ac:dyDescent="0.25">
      <c r="B6135" t="s">
        <v>133</v>
      </c>
      <c r="C6135" t="s">
        <v>10598</v>
      </c>
      <c r="D6135" t="s">
        <v>6561</v>
      </c>
      <c r="E6135" t="s">
        <v>6475</v>
      </c>
      <c r="F6135" t="s">
        <v>11406</v>
      </c>
      <c r="G6135" t="s">
        <v>6239</v>
      </c>
      <c r="H6135" t="s">
        <v>6440</v>
      </c>
      <c r="K6135">
        <v>3.3245431225385515E-2</v>
      </c>
    </row>
    <row r="6136" spans="2:20" x14ac:dyDescent="0.25">
      <c r="B6136" t="s">
        <v>133</v>
      </c>
      <c r="C6136" t="s">
        <v>10598</v>
      </c>
      <c r="D6136" t="s">
        <v>6562</v>
      </c>
      <c r="E6136" t="s">
        <v>6481</v>
      </c>
      <c r="F6136" t="s">
        <v>11408</v>
      </c>
      <c r="G6136" t="s">
        <v>6239</v>
      </c>
      <c r="H6136" t="s">
        <v>6440</v>
      </c>
      <c r="K6136">
        <v>3.9406366956040384E-2</v>
      </c>
    </row>
    <row r="6137" spans="2:20" x14ac:dyDescent="0.25">
      <c r="B6137" t="s">
        <v>133</v>
      </c>
      <c r="C6137" t="s">
        <v>10598</v>
      </c>
      <c r="D6137" t="s">
        <v>6563</v>
      </c>
      <c r="E6137" t="s">
        <v>6469</v>
      </c>
      <c r="F6137" t="s">
        <v>11404</v>
      </c>
      <c r="G6137" t="s">
        <v>6239</v>
      </c>
      <c r="H6137" t="s">
        <v>6440</v>
      </c>
      <c r="K6137">
        <v>3.0662970023179203E-2</v>
      </c>
    </row>
    <row r="6138" spans="2:20" x14ac:dyDescent="0.25">
      <c r="B6138" t="s">
        <v>133</v>
      </c>
      <c r="C6138" t="s">
        <v>10598</v>
      </c>
      <c r="D6138" t="s">
        <v>6564</v>
      </c>
      <c r="E6138" t="s">
        <v>6484</v>
      </c>
      <c r="F6138" t="s">
        <v>11409</v>
      </c>
      <c r="G6138" t="s">
        <v>6239</v>
      </c>
      <c r="H6138" t="s">
        <v>6440</v>
      </c>
      <c r="K6138">
        <v>2.7596223570562087E-2</v>
      </c>
    </row>
    <row r="6139" spans="2:20" x14ac:dyDescent="0.25">
      <c r="B6139" t="s">
        <v>133</v>
      </c>
      <c r="C6139" t="s">
        <v>10598</v>
      </c>
      <c r="D6139" t="s">
        <v>6565</v>
      </c>
      <c r="E6139" t="s">
        <v>6463</v>
      </c>
      <c r="F6139" t="s">
        <v>11402</v>
      </c>
      <c r="G6139" t="s">
        <v>6239</v>
      </c>
      <c r="H6139" t="s">
        <v>6440</v>
      </c>
      <c r="K6139">
        <v>8.4248432200820761E-2</v>
      </c>
    </row>
    <row r="6140" spans="2:20" x14ac:dyDescent="0.25">
      <c r="B6140" t="s">
        <v>133</v>
      </c>
      <c r="C6140" t="s">
        <v>10598</v>
      </c>
      <c r="D6140" t="s">
        <v>6566</v>
      </c>
      <c r="E6140" t="s">
        <v>6466</v>
      </c>
      <c r="F6140" t="s">
        <v>11403</v>
      </c>
      <c r="G6140" t="s">
        <v>6239</v>
      </c>
      <c r="H6140" t="s">
        <v>6440</v>
      </c>
      <c r="K6140">
        <v>0.20787175659420534</v>
      </c>
    </row>
    <row r="6141" spans="2:20" x14ac:dyDescent="0.25">
      <c r="B6141" t="s">
        <v>133</v>
      </c>
      <c r="C6141" t="s">
        <v>10598</v>
      </c>
      <c r="D6141" t="s">
        <v>6567</v>
      </c>
      <c r="E6141" t="s">
        <v>6502</v>
      </c>
      <c r="F6141" t="s">
        <v>11415</v>
      </c>
      <c r="G6141" t="s">
        <v>6239</v>
      </c>
      <c r="H6141" t="s">
        <v>6440</v>
      </c>
      <c r="K6141">
        <v>5.1369815725637293E-2</v>
      </c>
    </row>
    <row r="6142" spans="2:20" x14ac:dyDescent="0.25">
      <c r="B6142" t="s">
        <v>133</v>
      </c>
      <c r="C6142" t="s">
        <v>10598</v>
      </c>
      <c r="D6142" t="s">
        <v>6568</v>
      </c>
      <c r="E6142" t="s">
        <v>6499</v>
      </c>
      <c r="F6142" t="s">
        <v>11414</v>
      </c>
      <c r="G6142" t="s">
        <v>6239</v>
      </c>
      <c r="H6142" t="s">
        <v>6440</v>
      </c>
      <c r="K6142">
        <v>3.0266822780502283E-2</v>
      </c>
    </row>
    <row r="6143" spans="2:20" x14ac:dyDescent="0.25">
      <c r="B6143" t="s">
        <v>133</v>
      </c>
      <c r="C6143" t="s">
        <v>10598</v>
      </c>
      <c r="D6143" t="s">
        <v>6569</v>
      </c>
      <c r="E6143" t="s">
        <v>6490</v>
      </c>
      <c r="F6143" t="s">
        <v>11411</v>
      </c>
      <c r="G6143" t="s">
        <v>6239</v>
      </c>
      <c r="H6143" t="s">
        <v>6440</v>
      </c>
      <c r="K6143">
        <v>5.5515563970656677E-2</v>
      </c>
    </row>
    <row r="6144" spans="2:20" x14ac:dyDescent="0.25">
      <c r="B6144" t="s">
        <v>133</v>
      </c>
      <c r="C6144" t="s">
        <v>10598</v>
      </c>
      <c r="D6144" t="s">
        <v>6570</v>
      </c>
      <c r="E6144" t="s">
        <v>6472</v>
      </c>
      <c r="F6144" t="s">
        <v>11405</v>
      </c>
      <c r="G6144" t="s">
        <v>6239</v>
      </c>
      <c r="H6144" t="s">
        <v>6440</v>
      </c>
      <c r="K6144">
        <v>1.1683660123740901E-2</v>
      </c>
    </row>
    <row r="6145" spans="2:12" x14ac:dyDescent="0.25">
      <c r="B6145" t="s">
        <v>133</v>
      </c>
      <c r="C6145" t="s">
        <v>10598</v>
      </c>
      <c r="D6145" t="s">
        <v>6571</v>
      </c>
      <c r="E6145" t="s">
        <v>6493</v>
      </c>
      <c r="F6145" t="s">
        <v>11412</v>
      </c>
      <c r="G6145" t="s">
        <v>6239</v>
      </c>
      <c r="H6145" t="s">
        <v>6440</v>
      </c>
      <c r="K6145">
        <v>0.1209548658889774</v>
      </c>
    </row>
    <row r="6146" spans="2:12" x14ac:dyDescent="0.25">
      <c r="B6146" t="s">
        <v>133</v>
      </c>
      <c r="C6146" t="s">
        <v>10598</v>
      </c>
      <c r="D6146" t="s">
        <v>6572</v>
      </c>
      <c r="E6146" t="s">
        <v>6496</v>
      </c>
      <c r="F6146" t="s">
        <v>11413</v>
      </c>
      <c r="G6146" t="s">
        <v>6239</v>
      </c>
      <c r="H6146" t="s">
        <v>6440</v>
      </c>
      <c r="K6146">
        <v>3.0639658350993446E-2</v>
      </c>
    </row>
    <row r="6147" spans="2:12" x14ac:dyDescent="0.25">
      <c r="B6147" t="s">
        <v>133</v>
      </c>
      <c r="C6147" t="s">
        <v>10598</v>
      </c>
      <c r="D6147" t="s">
        <v>3170</v>
      </c>
      <c r="E6147" t="s">
        <v>6487</v>
      </c>
      <c r="F6147" t="s">
        <v>11410</v>
      </c>
      <c r="G6147" t="s">
        <v>6239</v>
      </c>
      <c r="H6147" t="s">
        <v>6440</v>
      </c>
      <c r="K6147">
        <v>1.3148489197558379E-2</v>
      </c>
    </row>
    <row r="6148" spans="2:12" x14ac:dyDescent="0.25">
      <c r="B6148" t="s">
        <v>133</v>
      </c>
      <c r="C6148" t="s">
        <v>10598</v>
      </c>
      <c r="D6148" t="s">
        <v>6573</v>
      </c>
      <c r="E6148" t="s">
        <v>6574</v>
      </c>
      <c r="F6148" t="s">
        <v>11423</v>
      </c>
      <c r="G6148" t="s">
        <v>6239</v>
      </c>
      <c r="K6148">
        <v>6.5553041185394678E-2</v>
      </c>
      <c r="L6148">
        <v>6.5553041185394678E-2</v>
      </c>
    </row>
    <row r="6149" spans="2:12" x14ac:dyDescent="0.25">
      <c r="B6149" t="s">
        <v>133</v>
      </c>
      <c r="C6149" t="s">
        <v>10598</v>
      </c>
      <c r="D6149" t="s">
        <v>6576</v>
      </c>
      <c r="E6149" t="s">
        <v>6577</v>
      </c>
      <c r="F6149" t="s">
        <v>11424</v>
      </c>
      <c r="G6149" t="s">
        <v>6239</v>
      </c>
      <c r="K6149">
        <v>2.6393957116236128E-2</v>
      </c>
      <c r="L6149">
        <v>2.6393957116236128E-2</v>
      </c>
    </row>
    <row r="6150" spans="2:12" x14ac:dyDescent="0.25">
      <c r="B6150" t="s">
        <v>133</v>
      </c>
      <c r="C6150" t="s">
        <v>10598</v>
      </c>
      <c r="D6150" t="s">
        <v>1113</v>
      </c>
      <c r="E6150" t="s">
        <v>6579</v>
      </c>
      <c r="F6150" t="s">
        <v>11425</v>
      </c>
      <c r="G6150" t="s">
        <v>6239</v>
      </c>
      <c r="K6150">
        <v>2.4964587542100368E-2</v>
      </c>
      <c r="L6150">
        <v>2.4964587542100368E-2</v>
      </c>
    </row>
    <row r="6151" spans="2:12" x14ac:dyDescent="0.25">
      <c r="B6151" t="s">
        <v>133</v>
      </c>
      <c r="C6151" t="s">
        <v>10598</v>
      </c>
      <c r="D6151" t="s">
        <v>873</v>
      </c>
      <c r="E6151" t="s">
        <v>6581</v>
      </c>
      <c r="F6151" t="s">
        <v>11426</v>
      </c>
      <c r="G6151" t="s">
        <v>6239</v>
      </c>
      <c r="K6151">
        <v>5.4157418149480697E-2</v>
      </c>
      <c r="L6151">
        <v>5.4157418149480697E-2</v>
      </c>
    </row>
    <row r="6152" spans="2:12" x14ac:dyDescent="0.25">
      <c r="B6152" t="s">
        <v>133</v>
      </c>
      <c r="C6152" t="s">
        <v>10598</v>
      </c>
      <c r="D6152" t="s">
        <v>871</v>
      </c>
      <c r="E6152" t="s">
        <v>6583</v>
      </c>
      <c r="F6152" t="s">
        <v>11427</v>
      </c>
      <c r="G6152" t="s">
        <v>6239</v>
      </c>
      <c r="K6152">
        <v>7.3881513350513309E-2</v>
      </c>
      <c r="L6152">
        <v>7.3881513350513309E-2</v>
      </c>
    </row>
    <row r="6153" spans="2:12" x14ac:dyDescent="0.25">
      <c r="B6153" t="s">
        <v>133</v>
      </c>
      <c r="C6153" t="s">
        <v>10598</v>
      </c>
      <c r="D6153" t="s">
        <v>6585</v>
      </c>
      <c r="E6153" t="s">
        <v>6586</v>
      </c>
      <c r="F6153" t="s">
        <v>11428</v>
      </c>
      <c r="G6153" t="s">
        <v>6239</v>
      </c>
      <c r="K6153">
        <v>0.18245413242346115</v>
      </c>
      <c r="L6153">
        <v>0.18245413242346115</v>
      </c>
    </row>
    <row r="6154" spans="2:12" x14ac:dyDescent="0.25">
      <c r="B6154" t="s">
        <v>133</v>
      </c>
      <c r="C6154" t="s">
        <v>10598</v>
      </c>
      <c r="D6154" t="s">
        <v>6588</v>
      </c>
      <c r="E6154" t="s">
        <v>6589</v>
      </c>
      <c r="F6154" t="s">
        <v>11429</v>
      </c>
      <c r="G6154" t="s">
        <v>6239</v>
      </c>
      <c r="K6154">
        <v>4.2008107354236685E-2</v>
      </c>
      <c r="L6154">
        <v>4.2008107354236685E-2</v>
      </c>
    </row>
    <row r="6155" spans="2:12" x14ac:dyDescent="0.25">
      <c r="B6155" t="s">
        <v>133</v>
      </c>
      <c r="C6155" t="s">
        <v>10598</v>
      </c>
      <c r="D6155" t="s">
        <v>870</v>
      </c>
      <c r="E6155" t="s">
        <v>6591</v>
      </c>
      <c r="F6155" t="s">
        <v>11430</v>
      </c>
      <c r="G6155" t="s">
        <v>6239</v>
      </c>
      <c r="K6155">
        <v>0.12657014442355649</v>
      </c>
      <c r="L6155">
        <v>0.12657014442355649</v>
      </c>
    </row>
    <row r="6156" spans="2:12" x14ac:dyDescent="0.25">
      <c r="B6156" t="s">
        <v>133</v>
      </c>
      <c r="C6156" t="s">
        <v>10598</v>
      </c>
      <c r="D6156" t="s">
        <v>112</v>
      </c>
      <c r="E6156" t="s">
        <v>6593</v>
      </c>
      <c r="F6156" t="s">
        <v>11431</v>
      </c>
      <c r="G6156" t="s">
        <v>6239</v>
      </c>
      <c r="K6156">
        <v>5.3389921701720564E-2</v>
      </c>
      <c r="L6156">
        <v>5.3389921701720564E-2</v>
      </c>
    </row>
    <row r="6157" spans="2:12" x14ac:dyDescent="0.25">
      <c r="B6157" t="s">
        <v>133</v>
      </c>
      <c r="C6157" t="s">
        <v>10598</v>
      </c>
      <c r="D6157" t="s">
        <v>6595</v>
      </c>
      <c r="E6157" t="s">
        <v>6596</v>
      </c>
      <c r="F6157" t="s">
        <v>11432</v>
      </c>
      <c r="G6157" t="s">
        <v>6239</v>
      </c>
      <c r="K6157">
        <v>5.3801205310920641E-2</v>
      </c>
      <c r="L6157">
        <v>5.3801205310920641E-2</v>
      </c>
    </row>
    <row r="6158" spans="2:12" x14ac:dyDescent="0.25">
      <c r="B6158" t="s">
        <v>133</v>
      </c>
      <c r="C6158" t="s">
        <v>10598</v>
      </c>
      <c r="D6158" t="s">
        <v>232</v>
      </c>
      <c r="E6158" t="s">
        <v>6598</v>
      </c>
      <c r="F6158" t="s">
        <v>11433</v>
      </c>
      <c r="G6158" t="s">
        <v>6239</v>
      </c>
      <c r="K6158">
        <v>3.3765110810232715E-2</v>
      </c>
      <c r="L6158">
        <v>3.3765110810232715E-2</v>
      </c>
    </row>
    <row r="6159" spans="2:12" x14ac:dyDescent="0.25">
      <c r="B6159" t="s">
        <v>133</v>
      </c>
      <c r="C6159" t="s">
        <v>10598</v>
      </c>
      <c r="D6159" t="s">
        <v>32</v>
      </c>
      <c r="E6159" t="s">
        <v>6600</v>
      </c>
      <c r="F6159" t="s">
        <v>11434</v>
      </c>
      <c r="G6159" t="s">
        <v>6239</v>
      </c>
    </row>
    <row r="6160" spans="2:12" x14ac:dyDescent="0.25">
      <c r="B6160" t="s">
        <v>133</v>
      </c>
      <c r="C6160" t="s">
        <v>10598</v>
      </c>
      <c r="D6160" t="s">
        <v>6573</v>
      </c>
      <c r="E6160" t="s">
        <v>6602</v>
      </c>
      <c r="F6160" t="s">
        <v>11435</v>
      </c>
      <c r="G6160" t="s">
        <v>6239</v>
      </c>
      <c r="K6160">
        <v>0.18245413242346115</v>
      </c>
      <c r="L6160">
        <v>0.18245413242346115</v>
      </c>
    </row>
    <row r="6161" spans="2:30" x14ac:dyDescent="0.25">
      <c r="B6161" t="s">
        <v>133</v>
      </c>
      <c r="C6161" t="s">
        <v>10598</v>
      </c>
      <c r="D6161" t="s">
        <v>6595</v>
      </c>
      <c r="E6161" t="s">
        <v>6604</v>
      </c>
      <c r="F6161" t="s">
        <v>11436</v>
      </c>
      <c r="G6161" t="s">
        <v>6239</v>
      </c>
      <c r="K6161">
        <v>0.12657014442355649</v>
      </c>
      <c r="L6161">
        <v>0.12657014442355649</v>
      </c>
    </row>
    <row r="6162" spans="2:30" x14ac:dyDescent="0.25">
      <c r="B6162" t="s">
        <v>133</v>
      </c>
      <c r="C6162" t="s">
        <v>10598</v>
      </c>
      <c r="D6162" t="s">
        <v>112</v>
      </c>
      <c r="E6162" t="s">
        <v>6606</v>
      </c>
      <c r="F6162" t="s">
        <v>11437</v>
      </c>
      <c r="G6162" t="s">
        <v>6239</v>
      </c>
      <c r="K6162">
        <v>7.3881513350513309E-2</v>
      </c>
      <c r="L6162">
        <v>7.3881513350513309E-2</v>
      </c>
    </row>
    <row r="6163" spans="2:30" x14ac:dyDescent="0.25">
      <c r="B6163" t="s">
        <v>133</v>
      </c>
      <c r="C6163" t="s">
        <v>10598</v>
      </c>
      <c r="D6163" t="s">
        <v>6585</v>
      </c>
      <c r="E6163" t="s">
        <v>6608</v>
      </c>
      <c r="F6163" t="s">
        <v>11438</v>
      </c>
      <c r="G6163" t="s">
        <v>6239</v>
      </c>
      <c r="K6163">
        <v>6.5553041185394678E-2</v>
      </c>
      <c r="L6163">
        <v>6.5553041185394678E-2</v>
      </c>
    </row>
    <row r="6164" spans="2:30" x14ac:dyDescent="0.25">
      <c r="B6164" t="s">
        <v>133</v>
      </c>
      <c r="C6164" t="s">
        <v>10598</v>
      </c>
      <c r="D6164" t="s">
        <v>870</v>
      </c>
      <c r="E6164" t="s">
        <v>6610</v>
      </c>
      <c r="F6164" t="s">
        <v>11439</v>
      </c>
      <c r="G6164" t="s">
        <v>6239</v>
      </c>
      <c r="K6164">
        <v>5.4157418149480697E-2</v>
      </c>
      <c r="L6164">
        <v>5.4157418149480697E-2</v>
      </c>
    </row>
    <row r="6165" spans="2:30" x14ac:dyDescent="0.25">
      <c r="B6165" t="s">
        <v>133</v>
      </c>
      <c r="C6165" t="s">
        <v>10598</v>
      </c>
      <c r="D6165" t="s">
        <v>6588</v>
      </c>
      <c r="E6165" t="s">
        <v>6612</v>
      </c>
      <c r="F6165" t="s">
        <v>11440</v>
      </c>
      <c r="G6165" t="s">
        <v>6239</v>
      </c>
      <c r="K6165">
        <v>5.3801205310920641E-2</v>
      </c>
      <c r="L6165">
        <v>5.3801205310920641E-2</v>
      </c>
    </row>
    <row r="6166" spans="2:30" x14ac:dyDescent="0.25">
      <c r="B6166" t="s">
        <v>133</v>
      </c>
      <c r="C6166" t="s">
        <v>10598</v>
      </c>
      <c r="D6166" t="s">
        <v>6576</v>
      </c>
      <c r="E6166" t="s">
        <v>6614</v>
      </c>
      <c r="F6166" t="s">
        <v>11441</v>
      </c>
      <c r="G6166" t="s">
        <v>6239</v>
      </c>
      <c r="K6166">
        <v>5.3389921701720564E-2</v>
      </c>
      <c r="L6166">
        <v>5.3389921701720564E-2</v>
      </c>
    </row>
    <row r="6167" spans="2:30" x14ac:dyDescent="0.25">
      <c r="B6167" t="s">
        <v>133</v>
      </c>
      <c r="C6167" t="s">
        <v>10598</v>
      </c>
      <c r="D6167" t="s">
        <v>871</v>
      </c>
      <c r="E6167" t="s">
        <v>6616</v>
      </c>
      <c r="F6167" t="s">
        <v>11442</v>
      </c>
      <c r="G6167" t="s">
        <v>6239</v>
      </c>
      <c r="K6167">
        <v>4.2008107354236685E-2</v>
      </c>
      <c r="L6167">
        <v>4.2008107354236685E-2</v>
      </c>
    </row>
    <row r="6168" spans="2:30" x14ac:dyDescent="0.25">
      <c r="B6168" t="s">
        <v>133</v>
      </c>
      <c r="C6168" t="s">
        <v>10598</v>
      </c>
      <c r="D6168" t="s">
        <v>232</v>
      </c>
      <c r="E6168" t="s">
        <v>6618</v>
      </c>
      <c r="F6168" t="s">
        <v>11443</v>
      </c>
      <c r="G6168" t="s">
        <v>6239</v>
      </c>
      <c r="K6168">
        <v>3.3765110810232715E-2</v>
      </c>
      <c r="L6168">
        <v>3.3765110810232715E-2</v>
      </c>
    </row>
    <row r="6169" spans="2:30" x14ac:dyDescent="0.25">
      <c r="B6169" t="s">
        <v>133</v>
      </c>
      <c r="C6169" t="s">
        <v>10598</v>
      </c>
      <c r="D6169" t="s">
        <v>873</v>
      </c>
      <c r="E6169" t="s">
        <v>6620</v>
      </c>
      <c r="F6169" t="s">
        <v>11444</v>
      </c>
      <c r="G6169" t="s">
        <v>6239</v>
      </c>
      <c r="K6169">
        <v>2.6393957116236128E-2</v>
      </c>
      <c r="L6169">
        <v>2.6393957116236128E-2</v>
      </c>
    </row>
    <row r="6170" spans="2:30" x14ac:dyDescent="0.25">
      <c r="B6170" t="s">
        <v>133</v>
      </c>
      <c r="C6170" t="s">
        <v>10598</v>
      </c>
      <c r="D6170" t="s">
        <v>1113</v>
      </c>
      <c r="E6170" t="s">
        <v>6622</v>
      </c>
      <c r="F6170" t="s">
        <v>11445</v>
      </c>
      <c r="G6170" t="s">
        <v>6239</v>
      </c>
      <c r="K6170">
        <v>2.4964587542100368E-2</v>
      </c>
      <c r="L6170">
        <v>2.4964587542100368E-2</v>
      </c>
    </row>
    <row r="6171" spans="2:30" x14ac:dyDescent="0.25">
      <c r="B6171" t="s">
        <v>133</v>
      </c>
      <c r="C6171" t="s">
        <v>10598</v>
      </c>
      <c r="D6171" t="s">
        <v>6624</v>
      </c>
      <c r="E6171" t="s">
        <v>6625</v>
      </c>
      <c r="F6171" t="s">
        <v>11446</v>
      </c>
      <c r="G6171" t="s">
        <v>3890</v>
      </c>
      <c r="H6171" t="s">
        <v>6627</v>
      </c>
      <c r="K6171">
        <v>1.0009999999999999</v>
      </c>
      <c r="L6171">
        <v>1.0009999999999999</v>
      </c>
      <c r="M6171">
        <v>0.995</v>
      </c>
      <c r="N6171">
        <v>0.99199999999999999</v>
      </c>
      <c r="O6171">
        <v>0.98199999999999998</v>
      </c>
      <c r="P6171">
        <v>0.97599999999999998</v>
      </c>
      <c r="Q6171">
        <v>0.96699999999999997</v>
      </c>
      <c r="R6171">
        <v>0.95599999999999996</v>
      </c>
      <c r="S6171">
        <v>0.94599999999999995</v>
      </c>
      <c r="T6171">
        <v>0.94</v>
      </c>
      <c r="U6171">
        <v>0.93799999999999994</v>
      </c>
      <c r="V6171">
        <v>0.93500000000000005</v>
      </c>
      <c r="W6171">
        <v>0.93300000000000005</v>
      </c>
      <c r="X6171">
        <v>0.93100000000000005</v>
      </c>
      <c r="Y6171">
        <v>0.92900000000000005</v>
      </c>
      <c r="Z6171">
        <v>0.92700000000000005</v>
      </c>
      <c r="AA6171">
        <v>0.92600000000000005</v>
      </c>
      <c r="AB6171">
        <v>0.92400000000000004</v>
      </c>
      <c r="AC6171">
        <v>0.92300000000000004</v>
      </c>
      <c r="AD6171">
        <v>0.92200000000000004</v>
      </c>
    </row>
    <row r="6172" spans="2:30" x14ac:dyDescent="0.25">
      <c r="B6172" t="s">
        <v>133</v>
      </c>
      <c r="C6172" t="s">
        <v>10598</v>
      </c>
      <c r="D6172" t="s">
        <v>6628</v>
      </c>
      <c r="E6172" t="s">
        <v>6629</v>
      </c>
      <c r="F6172" t="s">
        <v>11447</v>
      </c>
      <c r="G6172" t="s">
        <v>3890</v>
      </c>
      <c r="H6172" t="s">
        <v>6627</v>
      </c>
      <c r="K6172">
        <v>0.66800000000000004</v>
      </c>
      <c r="L6172">
        <v>0.66800000000000004</v>
      </c>
      <c r="M6172">
        <v>0.66300000000000003</v>
      </c>
      <c r="N6172">
        <v>0.66100000000000003</v>
      </c>
      <c r="O6172">
        <v>0.65500000000000003</v>
      </c>
      <c r="P6172">
        <v>0.65</v>
      </c>
      <c r="Q6172">
        <v>0.64500000000000002</v>
      </c>
      <c r="R6172">
        <v>0.63700000000000001</v>
      </c>
      <c r="S6172">
        <v>0.63100000000000001</v>
      </c>
      <c r="T6172">
        <v>0.627</v>
      </c>
      <c r="U6172">
        <v>0.625</v>
      </c>
      <c r="V6172">
        <v>0.624</v>
      </c>
      <c r="W6172">
        <v>0.622</v>
      </c>
      <c r="X6172">
        <v>0.621</v>
      </c>
      <c r="Y6172">
        <v>0.61899999999999999</v>
      </c>
      <c r="Z6172">
        <v>0.61799999999999999</v>
      </c>
      <c r="AA6172">
        <v>0.61699999999999999</v>
      </c>
      <c r="AB6172">
        <v>0.61599999999999999</v>
      </c>
      <c r="AC6172">
        <v>0.61499999999999999</v>
      </c>
      <c r="AD6172">
        <v>0.61399999999999999</v>
      </c>
    </row>
    <row r="6173" spans="2:30" x14ac:dyDescent="0.25">
      <c r="B6173" t="s">
        <v>133</v>
      </c>
      <c r="C6173" t="s">
        <v>10598</v>
      </c>
      <c r="D6173" t="s">
        <v>6631</v>
      </c>
      <c r="E6173" t="s">
        <v>6632</v>
      </c>
      <c r="F6173" t="s">
        <v>11448</v>
      </c>
      <c r="G6173" t="s">
        <v>3890</v>
      </c>
      <c r="H6173" t="s">
        <v>6627</v>
      </c>
      <c r="K6173">
        <v>0.51400000000000001</v>
      </c>
      <c r="L6173">
        <v>0.51400000000000001</v>
      </c>
      <c r="M6173">
        <v>0.51</v>
      </c>
      <c r="N6173">
        <v>0.50900000000000001</v>
      </c>
      <c r="O6173">
        <v>0.504</v>
      </c>
      <c r="P6173">
        <v>0.5</v>
      </c>
      <c r="Q6173">
        <v>0.496</v>
      </c>
      <c r="R6173">
        <v>0.49</v>
      </c>
      <c r="S6173">
        <v>0.48499999999999999</v>
      </c>
      <c r="T6173">
        <v>0.48199999999999998</v>
      </c>
      <c r="U6173">
        <v>0.48099999999999998</v>
      </c>
      <c r="V6173">
        <v>0.48</v>
      </c>
      <c r="W6173">
        <v>0.47799999999999998</v>
      </c>
      <c r="X6173">
        <v>0.47699999999999998</v>
      </c>
      <c r="Y6173">
        <v>0.47599999999999998</v>
      </c>
      <c r="Z6173">
        <v>0.47599999999999998</v>
      </c>
      <c r="AA6173">
        <v>0.47499999999999998</v>
      </c>
      <c r="AB6173">
        <v>0.47399999999999998</v>
      </c>
      <c r="AC6173">
        <v>0.47299999999999998</v>
      </c>
      <c r="AD6173">
        <v>0.47299999999999998</v>
      </c>
    </row>
    <row r="6174" spans="2:30" x14ac:dyDescent="0.25">
      <c r="B6174" t="s">
        <v>133</v>
      </c>
      <c r="C6174" t="s">
        <v>10598</v>
      </c>
      <c r="D6174" t="s">
        <v>6634</v>
      </c>
      <c r="E6174" t="s">
        <v>3917</v>
      </c>
      <c r="F6174" t="s">
        <v>11449</v>
      </c>
      <c r="G6174" t="s">
        <v>3890</v>
      </c>
      <c r="H6174" t="s">
        <v>6636</v>
      </c>
      <c r="K6174">
        <v>546.971</v>
      </c>
      <c r="L6174">
        <v>567.53899999999999</v>
      </c>
      <c r="M6174">
        <v>581.15300000000002</v>
      </c>
      <c r="N6174">
        <v>606.67899999999997</v>
      </c>
      <c r="O6174">
        <v>632.40099999999995</v>
      </c>
      <c r="P6174">
        <v>662.94100000000003</v>
      </c>
      <c r="Q6174">
        <v>699.63599999999997</v>
      </c>
      <c r="R6174">
        <v>736.20399999999995</v>
      </c>
      <c r="S6174">
        <v>771.85</v>
      </c>
      <c r="T6174">
        <v>808.81200000000001</v>
      </c>
      <c r="U6174">
        <v>847.11400000000003</v>
      </c>
      <c r="V6174">
        <v>886.779</v>
      </c>
      <c r="W6174">
        <v>927.83100000000002</v>
      </c>
      <c r="X6174">
        <v>970.29</v>
      </c>
      <c r="Y6174">
        <v>1014.177</v>
      </c>
      <c r="Z6174">
        <v>1059.509</v>
      </c>
      <c r="AA6174">
        <v>1106.3050000000001</v>
      </c>
      <c r="AB6174">
        <v>1154.58</v>
      </c>
      <c r="AC6174">
        <v>1204.348</v>
      </c>
      <c r="AD6174">
        <v>1255.6210000000001</v>
      </c>
    </row>
    <row r="6175" spans="2:30" x14ac:dyDescent="0.25">
      <c r="B6175" t="s">
        <v>133</v>
      </c>
      <c r="C6175" t="s">
        <v>10598</v>
      </c>
      <c r="D6175" t="s">
        <v>6637</v>
      </c>
      <c r="E6175" t="s">
        <v>6638</v>
      </c>
      <c r="F6175" t="s">
        <v>11450</v>
      </c>
      <c r="G6175" t="s">
        <v>3890</v>
      </c>
      <c r="H6175" t="s">
        <v>3126</v>
      </c>
      <c r="K6175">
        <v>82.215000000000003</v>
      </c>
      <c r="L6175">
        <v>78.516000000000005</v>
      </c>
      <c r="M6175">
        <v>90.733999999999995</v>
      </c>
      <c r="N6175">
        <v>95.161000000000001</v>
      </c>
      <c r="O6175">
        <v>92.507000000000005</v>
      </c>
      <c r="P6175">
        <v>91.156999999999996</v>
      </c>
      <c r="Q6175">
        <v>92.626999999999995</v>
      </c>
      <c r="R6175">
        <v>93.087999999999994</v>
      </c>
      <c r="S6175">
        <v>93.721000000000004</v>
      </c>
      <c r="T6175">
        <v>93.686000000000007</v>
      </c>
      <c r="U6175">
        <v>94.73</v>
      </c>
      <c r="V6175">
        <v>94.777000000000001</v>
      </c>
      <c r="W6175">
        <v>96.649000000000001</v>
      </c>
      <c r="X6175">
        <v>97.069000000000003</v>
      </c>
      <c r="Y6175">
        <v>100.13200000000001</v>
      </c>
      <c r="Z6175">
        <v>104.18899999999999</v>
      </c>
      <c r="AA6175">
        <v>106.67100000000001</v>
      </c>
      <c r="AB6175">
        <v>115.333</v>
      </c>
      <c r="AC6175">
        <v>114.44499999999999</v>
      </c>
      <c r="AD6175">
        <v>129.64599999999999</v>
      </c>
    </row>
    <row r="6176" spans="2:30" x14ac:dyDescent="0.25">
      <c r="B6176" t="s">
        <v>133</v>
      </c>
      <c r="C6176" t="s">
        <v>10598</v>
      </c>
      <c r="D6176" t="s">
        <v>6640</v>
      </c>
      <c r="E6176" t="s">
        <v>3126</v>
      </c>
      <c r="F6176" t="s">
        <v>11451</v>
      </c>
      <c r="G6176" t="s">
        <v>3890</v>
      </c>
      <c r="H6176" t="s">
        <v>3126</v>
      </c>
      <c r="K6176">
        <v>210.916</v>
      </c>
      <c r="L6176">
        <v>207.059</v>
      </c>
      <c r="M6176">
        <v>233.304</v>
      </c>
      <c r="N6176">
        <v>242.23699999999999</v>
      </c>
      <c r="O6176">
        <v>244.184</v>
      </c>
      <c r="P6176">
        <v>250.39099999999999</v>
      </c>
      <c r="Q6176">
        <v>259.68</v>
      </c>
      <c r="R6176">
        <v>269.24700000000001</v>
      </c>
      <c r="S6176">
        <v>279.73</v>
      </c>
      <c r="T6176">
        <v>290.94900000000001</v>
      </c>
      <c r="U6176">
        <v>303.86099999999999</v>
      </c>
      <c r="V6176">
        <v>316.57</v>
      </c>
      <c r="W6176">
        <v>331.67099999999999</v>
      </c>
      <c r="X6176">
        <v>345.97500000000002</v>
      </c>
      <c r="Y6176">
        <v>363.25599999999997</v>
      </c>
      <c r="Z6176">
        <v>382.16399999999999</v>
      </c>
      <c r="AA6176">
        <v>400.142</v>
      </c>
      <c r="AB6176">
        <v>424.94600000000003</v>
      </c>
      <c r="AC6176">
        <v>440.88600000000002</v>
      </c>
      <c r="AD6176">
        <v>473.45600000000002</v>
      </c>
    </row>
    <row r="6177" spans="2:30" x14ac:dyDescent="0.25">
      <c r="B6177" t="s">
        <v>133</v>
      </c>
      <c r="C6177" t="s">
        <v>10598</v>
      </c>
      <c r="D6177" t="s">
        <v>6642</v>
      </c>
      <c r="E6177" t="s">
        <v>6643</v>
      </c>
      <c r="F6177" t="s">
        <v>11452</v>
      </c>
      <c r="G6177" t="s">
        <v>3890</v>
      </c>
      <c r="H6177" t="s">
        <v>6645</v>
      </c>
      <c r="K6177">
        <v>0.38561000000000001</v>
      </c>
      <c r="L6177">
        <v>0.36484</v>
      </c>
      <c r="M6177">
        <v>0.40144999999999997</v>
      </c>
      <c r="N6177">
        <v>0.39928000000000002</v>
      </c>
      <c r="O6177">
        <v>0.38612000000000002</v>
      </c>
      <c r="P6177">
        <v>0.37769999999999998</v>
      </c>
      <c r="Q6177">
        <v>0.37115999999999999</v>
      </c>
      <c r="R6177">
        <v>0.36571999999999999</v>
      </c>
      <c r="S6177">
        <v>0.36241000000000001</v>
      </c>
      <c r="T6177">
        <v>0.35971999999999998</v>
      </c>
      <c r="U6177">
        <v>0.35870000000000002</v>
      </c>
      <c r="V6177">
        <v>0.35698999999999997</v>
      </c>
      <c r="W6177">
        <v>0.35747000000000001</v>
      </c>
      <c r="X6177">
        <v>0.35657</v>
      </c>
      <c r="Y6177">
        <v>0.35818</v>
      </c>
      <c r="Z6177">
        <v>0.36070000000000002</v>
      </c>
      <c r="AA6177">
        <v>0.36169000000000001</v>
      </c>
      <c r="AB6177">
        <v>0.36804999999999999</v>
      </c>
      <c r="AC6177">
        <v>0.36608000000000002</v>
      </c>
      <c r="AD6177">
        <v>0.37707000000000002</v>
      </c>
    </row>
    <row r="6178" spans="2:30" x14ac:dyDescent="0.25">
      <c r="B6178" t="s">
        <v>133</v>
      </c>
      <c r="C6178" t="s">
        <v>10598</v>
      </c>
      <c r="D6178" t="s">
        <v>6646</v>
      </c>
      <c r="E6178" t="s">
        <v>5467</v>
      </c>
      <c r="F6178" t="s">
        <v>11453</v>
      </c>
      <c r="G6178" t="s">
        <v>3890</v>
      </c>
      <c r="H6178" t="s">
        <v>5467</v>
      </c>
      <c r="K6178">
        <v>208.74</v>
      </c>
      <c r="L6178">
        <v>202.17599999999999</v>
      </c>
      <c r="M6178">
        <v>232.196</v>
      </c>
      <c r="N6178">
        <v>257.23</v>
      </c>
      <c r="O6178">
        <v>270.62599999999998</v>
      </c>
      <c r="P6178">
        <v>275.01499999999999</v>
      </c>
      <c r="Q6178">
        <v>282.78199999999998</v>
      </c>
      <c r="R6178">
        <v>290.49</v>
      </c>
      <c r="S6178">
        <v>298.66699999999997</v>
      </c>
      <c r="T6178">
        <v>305.73</v>
      </c>
      <c r="U6178">
        <v>314.77100000000002</v>
      </c>
      <c r="V6178">
        <v>322.536</v>
      </c>
      <c r="W6178">
        <v>334.01499999999999</v>
      </c>
      <c r="X6178">
        <v>344.053</v>
      </c>
      <c r="Y6178">
        <v>359.67899999999997</v>
      </c>
      <c r="Z6178">
        <v>380.48</v>
      </c>
      <c r="AA6178">
        <v>399.334</v>
      </c>
      <c r="AB6178">
        <v>432.64499999999998</v>
      </c>
      <c r="AC6178">
        <v>450.99700000000001</v>
      </c>
      <c r="AD6178">
        <v>500.11399999999998</v>
      </c>
    </row>
    <row r="6179" spans="2:30" x14ac:dyDescent="0.25">
      <c r="B6179" t="s">
        <v>133</v>
      </c>
      <c r="C6179" t="s">
        <v>10598</v>
      </c>
      <c r="D6179" t="s">
        <v>6648</v>
      </c>
      <c r="E6179" t="s">
        <v>6649</v>
      </c>
      <c r="F6179" t="s">
        <v>11454</v>
      </c>
      <c r="G6179" t="s">
        <v>3890</v>
      </c>
      <c r="H6179" t="s">
        <v>6651</v>
      </c>
      <c r="K6179">
        <v>0.12144000000000001</v>
      </c>
      <c r="L6179">
        <v>0.13532</v>
      </c>
      <c r="M6179">
        <v>0.1159</v>
      </c>
      <c r="N6179">
        <v>0.17374000000000001</v>
      </c>
      <c r="O6179">
        <v>0.23710000000000001</v>
      </c>
      <c r="P6179">
        <v>0.25963000000000003</v>
      </c>
      <c r="Q6179">
        <v>0.26545999999999997</v>
      </c>
      <c r="R6179">
        <v>0.27939000000000003</v>
      </c>
      <c r="S6179">
        <v>0.29237999999999997</v>
      </c>
      <c r="T6179">
        <v>0.30758999999999997</v>
      </c>
      <c r="U6179">
        <v>0.31802000000000002</v>
      </c>
      <c r="V6179">
        <v>0.33295000000000002</v>
      </c>
      <c r="W6179">
        <v>0.34109</v>
      </c>
      <c r="X6179">
        <v>0.35654000000000002</v>
      </c>
      <c r="Y6179">
        <v>0.36291000000000001</v>
      </c>
      <c r="Z6179">
        <v>0.37106</v>
      </c>
      <c r="AA6179">
        <v>0.38524999999999998</v>
      </c>
      <c r="AB6179">
        <v>0.38307999999999998</v>
      </c>
      <c r="AC6179">
        <v>0.41316000000000003</v>
      </c>
      <c r="AD6179">
        <v>0.39585999999999999</v>
      </c>
    </row>
    <row r="6180" spans="2:30" x14ac:dyDescent="0.25">
      <c r="B6180" t="s">
        <v>133</v>
      </c>
      <c r="C6180" t="s">
        <v>10598</v>
      </c>
      <c r="D6180" t="s">
        <v>6652</v>
      </c>
      <c r="E6180" t="s">
        <v>6651</v>
      </c>
      <c r="F6180" t="s">
        <v>11455</v>
      </c>
      <c r="G6180" t="s">
        <v>3890</v>
      </c>
      <c r="H6180" t="s">
        <v>6651</v>
      </c>
      <c r="K6180">
        <v>5.1270000000000003E-2</v>
      </c>
      <c r="L6180">
        <v>6.1170000000000002E-2</v>
      </c>
      <c r="M6180">
        <v>5.1339999999999997E-2</v>
      </c>
      <c r="N6180">
        <v>7.6130000000000003E-2</v>
      </c>
      <c r="O6180">
        <v>0.10351</v>
      </c>
      <c r="P6180">
        <v>0.12439</v>
      </c>
      <c r="Q6180">
        <v>0.13178000000000001</v>
      </c>
      <c r="R6180">
        <v>0.14623</v>
      </c>
      <c r="S6180">
        <v>0.15984999999999999</v>
      </c>
      <c r="T6180">
        <v>0.17494999999999999</v>
      </c>
      <c r="U6180">
        <v>0.18620999999999999</v>
      </c>
      <c r="V6180">
        <v>0.20080000000000001</v>
      </c>
      <c r="W6180">
        <v>0.21023</v>
      </c>
      <c r="X6180">
        <v>0.22539999999999999</v>
      </c>
      <c r="Y6180">
        <v>0.23372999999999999</v>
      </c>
      <c r="Z6180">
        <v>0.24456</v>
      </c>
      <c r="AA6180">
        <v>0.25940999999999997</v>
      </c>
      <c r="AB6180">
        <v>0.26269999999999999</v>
      </c>
      <c r="AC6180">
        <v>0.27799000000000001</v>
      </c>
      <c r="AD6180">
        <v>0.27050999999999997</v>
      </c>
    </row>
    <row r="6181" spans="2:30" x14ac:dyDescent="0.25">
      <c r="B6181" t="s">
        <v>133</v>
      </c>
      <c r="C6181" t="s">
        <v>10598</v>
      </c>
      <c r="D6181" t="s">
        <v>6654</v>
      </c>
      <c r="E6181" t="s">
        <v>6655</v>
      </c>
      <c r="F6181" t="s">
        <v>11456</v>
      </c>
      <c r="G6181" t="s">
        <v>3890</v>
      </c>
      <c r="H6181" t="s">
        <v>6657</v>
      </c>
      <c r="K6181">
        <v>0.39385999999999999</v>
      </c>
      <c r="L6181">
        <v>0.38835999999999998</v>
      </c>
      <c r="M6181">
        <v>0.39076</v>
      </c>
      <c r="N6181">
        <v>0.36995</v>
      </c>
      <c r="O6181">
        <v>0.34183000000000002</v>
      </c>
      <c r="P6181">
        <v>0.33145999999999998</v>
      </c>
      <c r="Q6181">
        <v>0.32756000000000002</v>
      </c>
      <c r="R6181">
        <v>0.32045000000000001</v>
      </c>
      <c r="S6181">
        <v>0.31380000000000002</v>
      </c>
      <c r="T6181">
        <v>0.30642999999999998</v>
      </c>
      <c r="U6181">
        <v>0.30095</v>
      </c>
      <c r="V6181">
        <v>0.29385</v>
      </c>
      <c r="W6181">
        <v>0.28936000000000001</v>
      </c>
      <c r="X6181">
        <v>0.28212999999999999</v>
      </c>
      <c r="Y6181">
        <v>0.27839000000000003</v>
      </c>
      <c r="Z6181">
        <v>0.27383999999999997</v>
      </c>
      <c r="AA6181">
        <v>0.26712000000000002</v>
      </c>
      <c r="AB6181">
        <v>0.26657999999999998</v>
      </c>
      <c r="AC6181">
        <v>0.25375999999999999</v>
      </c>
      <c r="AD6181">
        <v>0.25923000000000002</v>
      </c>
    </row>
    <row r="6182" spans="2:30" x14ac:dyDescent="0.25">
      <c r="B6182" t="s">
        <v>133</v>
      </c>
      <c r="C6182" t="s">
        <v>10598</v>
      </c>
      <c r="D6182" t="s">
        <v>6658</v>
      </c>
      <c r="E6182" t="s">
        <v>6659</v>
      </c>
      <c r="F6182" t="s">
        <v>11457</v>
      </c>
      <c r="G6182" t="s">
        <v>3890</v>
      </c>
      <c r="H6182" t="s">
        <v>6661</v>
      </c>
      <c r="J6182">
        <v>1</v>
      </c>
      <c r="K6182">
        <v>0.18672085273605965</v>
      </c>
    </row>
    <row r="6183" spans="2:30" x14ac:dyDescent="0.25">
      <c r="B6183" t="s">
        <v>133</v>
      </c>
      <c r="C6183" t="s">
        <v>10598</v>
      </c>
      <c r="D6183" t="s">
        <v>6662</v>
      </c>
      <c r="E6183" t="s">
        <v>6663</v>
      </c>
      <c r="F6183" t="s">
        <v>11458</v>
      </c>
      <c r="G6183" t="s">
        <v>3890</v>
      </c>
      <c r="H6183" t="s">
        <v>6665</v>
      </c>
      <c r="J6183">
        <v>1</v>
      </c>
      <c r="K6183">
        <v>3.8744775031930745E-2</v>
      </c>
    </row>
    <row r="6184" spans="2:30" x14ac:dyDescent="0.25">
      <c r="B6184" t="s">
        <v>133</v>
      </c>
      <c r="C6184" t="s">
        <v>10598</v>
      </c>
      <c r="D6184" t="s">
        <v>6666</v>
      </c>
      <c r="E6184" t="s">
        <v>6667</v>
      </c>
      <c r="F6184" t="s">
        <v>11459</v>
      </c>
      <c r="G6184" t="s">
        <v>3890</v>
      </c>
      <c r="H6184" t="s">
        <v>6669</v>
      </c>
      <c r="J6184">
        <v>1</v>
      </c>
      <c r="K6184">
        <v>9.2562380400507804E-3</v>
      </c>
    </row>
    <row r="6185" spans="2:30" x14ac:dyDescent="0.25">
      <c r="B6185" t="s">
        <v>133</v>
      </c>
      <c r="C6185" t="s">
        <v>10598</v>
      </c>
      <c r="D6185" t="s">
        <v>6670</v>
      </c>
      <c r="E6185" t="s">
        <v>6671</v>
      </c>
      <c r="F6185" t="s">
        <v>11460</v>
      </c>
      <c r="G6185" t="s">
        <v>3890</v>
      </c>
      <c r="H6185" t="s">
        <v>6673</v>
      </c>
      <c r="J6185">
        <v>1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</row>
    <row r="6186" spans="2:30" x14ac:dyDescent="0.25">
      <c r="B6186" t="s">
        <v>133</v>
      </c>
      <c r="C6186" t="s">
        <v>10598</v>
      </c>
      <c r="D6186" t="s">
        <v>6674</v>
      </c>
      <c r="E6186" t="s">
        <v>6675</v>
      </c>
      <c r="F6186" t="s">
        <v>11461</v>
      </c>
      <c r="G6186" t="s">
        <v>3890</v>
      </c>
      <c r="H6186" t="s">
        <v>6673</v>
      </c>
      <c r="J6186">
        <v>1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1.993989130676856</v>
      </c>
      <c r="R6186">
        <v>0</v>
      </c>
      <c r="S6186">
        <v>0</v>
      </c>
      <c r="T6186">
        <v>0</v>
      </c>
      <c r="U6186">
        <v>276.17179900438128</v>
      </c>
      <c r="V6186">
        <v>0</v>
      </c>
      <c r="W6186">
        <v>0</v>
      </c>
      <c r="X6186">
        <v>1728.6923838696923</v>
      </c>
      <c r="Y6186">
        <v>0</v>
      </c>
      <c r="Z6186">
        <v>0</v>
      </c>
      <c r="AA6186">
        <v>0</v>
      </c>
      <c r="AB6186">
        <v>0</v>
      </c>
    </row>
    <row r="6187" spans="2:30" x14ac:dyDescent="0.25">
      <c r="B6187" t="s">
        <v>133</v>
      </c>
      <c r="C6187" t="s">
        <v>10598</v>
      </c>
      <c r="D6187" t="s">
        <v>6677</v>
      </c>
      <c r="E6187" t="s">
        <v>6678</v>
      </c>
      <c r="F6187" t="s">
        <v>11462</v>
      </c>
      <c r="G6187" t="s">
        <v>3890</v>
      </c>
      <c r="H6187" t="s">
        <v>6673</v>
      </c>
      <c r="J6187">
        <v>1</v>
      </c>
      <c r="K6187">
        <v>186311.96671707492</v>
      </c>
      <c r="L6187">
        <v>29824.34270264889</v>
      </c>
      <c r="M6187">
        <v>463.90032659835072</v>
      </c>
      <c r="N6187">
        <v>0</v>
      </c>
      <c r="O6187">
        <v>0</v>
      </c>
      <c r="P6187">
        <v>0</v>
      </c>
      <c r="Q6187">
        <v>2743.7479817675635</v>
      </c>
      <c r="R6187">
        <v>0</v>
      </c>
      <c r="S6187">
        <v>0</v>
      </c>
      <c r="T6187">
        <v>0</v>
      </c>
      <c r="U6187">
        <v>1557.4882109374457</v>
      </c>
      <c r="V6187">
        <v>0</v>
      </c>
      <c r="W6187">
        <v>0</v>
      </c>
      <c r="X6187">
        <v>1742.9509630814039</v>
      </c>
      <c r="Y6187">
        <v>951.24441541027238</v>
      </c>
      <c r="Z6187">
        <v>0</v>
      </c>
      <c r="AA6187">
        <v>7033.624667825371</v>
      </c>
      <c r="AB6187">
        <v>0</v>
      </c>
    </row>
    <row r="6188" spans="2:30" x14ac:dyDescent="0.25">
      <c r="B6188" t="s">
        <v>133</v>
      </c>
      <c r="C6188" t="s">
        <v>10598</v>
      </c>
      <c r="D6188" t="s">
        <v>6680</v>
      </c>
      <c r="E6188" t="s">
        <v>6681</v>
      </c>
      <c r="F6188" t="s">
        <v>11463</v>
      </c>
      <c r="G6188" t="s">
        <v>3890</v>
      </c>
      <c r="H6188" t="s">
        <v>6673</v>
      </c>
      <c r="J6188">
        <v>1</v>
      </c>
      <c r="K6188">
        <v>20149.568606494697</v>
      </c>
      <c r="L6188">
        <v>5639.238359032689</v>
      </c>
      <c r="M6188">
        <v>0</v>
      </c>
      <c r="N6188">
        <v>0</v>
      </c>
      <c r="O6188">
        <v>0</v>
      </c>
      <c r="P6188">
        <v>406.19916287344472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3738.2677813151518</v>
      </c>
      <c r="Z6188">
        <v>0</v>
      </c>
      <c r="AA6188">
        <v>458.93271398915772</v>
      </c>
      <c r="AB6188">
        <v>132.16618156616914</v>
      </c>
    </row>
    <row r="6189" spans="2:30" x14ac:dyDescent="0.25">
      <c r="B6189" t="s">
        <v>133</v>
      </c>
      <c r="C6189" t="s">
        <v>10598</v>
      </c>
      <c r="D6189" t="s">
        <v>6683</v>
      </c>
      <c r="E6189" t="s">
        <v>6684</v>
      </c>
      <c r="F6189" t="s">
        <v>11464</v>
      </c>
      <c r="G6189" t="s">
        <v>3890</v>
      </c>
      <c r="H6189" t="s">
        <v>6673</v>
      </c>
      <c r="J6189">
        <v>1</v>
      </c>
      <c r="K6189">
        <v>0</v>
      </c>
      <c r="L6189">
        <v>0</v>
      </c>
      <c r="M6189">
        <v>6886.5366168853025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</row>
    <row r="6190" spans="2:30" x14ac:dyDescent="0.25">
      <c r="B6190" t="s">
        <v>133</v>
      </c>
      <c r="C6190" t="s">
        <v>10598</v>
      </c>
      <c r="D6190" t="s">
        <v>6686</v>
      </c>
      <c r="E6190" t="s">
        <v>6687</v>
      </c>
      <c r="F6190" t="s">
        <v>11465</v>
      </c>
      <c r="G6190" t="s">
        <v>3890</v>
      </c>
      <c r="H6190" t="s">
        <v>6673</v>
      </c>
      <c r="J6190">
        <v>1</v>
      </c>
      <c r="K6190">
        <v>0</v>
      </c>
      <c r="L6190">
        <v>0</v>
      </c>
      <c r="M6190">
        <v>9684.2069787763849</v>
      </c>
      <c r="N6190">
        <v>0</v>
      </c>
      <c r="O6190">
        <v>0</v>
      </c>
      <c r="P6190">
        <v>0</v>
      </c>
      <c r="Q6190">
        <v>0</v>
      </c>
      <c r="R6190">
        <v>1387.0134096766124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5596.4219107402141</v>
      </c>
      <c r="Z6190">
        <v>0</v>
      </c>
      <c r="AA6190">
        <v>1263.5535407034979</v>
      </c>
      <c r="AB6190">
        <v>0</v>
      </c>
    </row>
    <row r="6191" spans="2:30" x14ac:dyDescent="0.25">
      <c r="B6191" t="s">
        <v>133</v>
      </c>
      <c r="C6191" t="s">
        <v>10598</v>
      </c>
      <c r="D6191" t="s">
        <v>6689</v>
      </c>
      <c r="E6191" t="s">
        <v>6690</v>
      </c>
      <c r="F6191" t="s">
        <v>11466</v>
      </c>
      <c r="G6191" t="s">
        <v>3890</v>
      </c>
      <c r="H6191" t="s">
        <v>6673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3.3419856694580128</v>
      </c>
      <c r="R6191">
        <v>0.43375111192193644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5.3963225426605339</v>
      </c>
      <c r="Z6191">
        <v>0</v>
      </c>
      <c r="AA6191">
        <v>0</v>
      </c>
      <c r="AB6191">
        <v>0</v>
      </c>
    </row>
    <row r="6192" spans="2:30" x14ac:dyDescent="0.25">
      <c r="B6192" t="s">
        <v>133</v>
      </c>
      <c r="C6192" t="s">
        <v>10598</v>
      </c>
      <c r="D6192" t="s">
        <v>6692</v>
      </c>
      <c r="E6192" t="s">
        <v>6693</v>
      </c>
      <c r="F6192" t="s">
        <v>11467</v>
      </c>
      <c r="G6192" t="s">
        <v>3890</v>
      </c>
      <c r="H6192" t="s">
        <v>6673</v>
      </c>
      <c r="J6192">
        <v>1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4252.483517832944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25.700629101682985</v>
      </c>
      <c r="Z6192">
        <v>0</v>
      </c>
      <c r="AA6192">
        <v>3382.6414899306828</v>
      </c>
      <c r="AB6192">
        <v>0</v>
      </c>
    </row>
    <row r="6193" spans="2:30" x14ac:dyDescent="0.25">
      <c r="B6193" t="s">
        <v>133</v>
      </c>
      <c r="C6193" t="s">
        <v>10598</v>
      </c>
      <c r="D6193" t="s">
        <v>6695</v>
      </c>
      <c r="E6193" t="s">
        <v>6696</v>
      </c>
      <c r="F6193" t="s">
        <v>11468</v>
      </c>
      <c r="G6193" t="s">
        <v>3890</v>
      </c>
      <c r="H6193" t="s">
        <v>6673</v>
      </c>
      <c r="J6193">
        <v>1</v>
      </c>
      <c r="K6193">
        <v>0</v>
      </c>
      <c r="L6193">
        <v>0</v>
      </c>
      <c r="M6193">
        <v>0</v>
      </c>
      <c r="N6193">
        <v>0</v>
      </c>
      <c r="O6193">
        <v>911.12642426304808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</row>
    <row r="6194" spans="2:30" x14ac:dyDescent="0.25">
      <c r="B6194" t="s">
        <v>133</v>
      </c>
      <c r="C6194" t="s">
        <v>10598</v>
      </c>
      <c r="D6194" t="s">
        <v>6698</v>
      </c>
      <c r="E6194" t="s">
        <v>6699</v>
      </c>
      <c r="F6194" t="s">
        <v>11469</v>
      </c>
      <c r="G6194" t="s">
        <v>3890</v>
      </c>
      <c r="H6194" t="s">
        <v>6673</v>
      </c>
      <c r="J6194">
        <v>1</v>
      </c>
      <c r="K6194">
        <v>14986.852035370563</v>
      </c>
      <c r="L6194">
        <v>420.30197326158748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</row>
    <row r="6195" spans="2:30" x14ac:dyDescent="0.25">
      <c r="B6195" t="s">
        <v>133</v>
      </c>
      <c r="C6195" t="s">
        <v>10598</v>
      </c>
      <c r="D6195" t="s">
        <v>6701</v>
      </c>
      <c r="E6195" t="s">
        <v>6702</v>
      </c>
      <c r="F6195" t="s">
        <v>11470</v>
      </c>
      <c r="G6195" t="s">
        <v>3890</v>
      </c>
      <c r="H6195" t="s">
        <v>6673</v>
      </c>
      <c r="J6195">
        <v>1</v>
      </c>
      <c r="K6195">
        <v>13025.177174955468</v>
      </c>
      <c r="L6195">
        <v>365.93155579022817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</row>
    <row r="6196" spans="2:30" x14ac:dyDescent="0.25">
      <c r="B6196" t="s">
        <v>133</v>
      </c>
      <c r="C6196" t="s">
        <v>10598</v>
      </c>
      <c r="D6196" t="s">
        <v>6704</v>
      </c>
      <c r="E6196" t="s">
        <v>6705</v>
      </c>
      <c r="F6196" t="s">
        <v>11471</v>
      </c>
      <c r="G6196" t="s">
        <v>3890</v>
      </c>
      <c r="H6196" t="s">
        <v>6673</v>
      </c>
      <c r="J6196">
        <v>1</v>
      </c>
      <c r="K6196">
        <v>36152.849196597024</v>
      </c>
      <c r="L6196">
        <v>1254.5881724800295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</row>
    <row r="6197" spans="2:30" x14ac:dyDescent="0.25">
      <c r="B6197" t="s">
        <v>133</v>
      </c>
      <c r="C6197" t="s">
        <v>10598</v>
      </c>
      <c r="D6197" t="s">
        <v>6707</v>
      </c>
      <c r="E6197" t="s">
        <v>6708</v>
      </c>
      <c r="F6197" t="s">
        <v>11472</v>
      </c>
      <c r="G6197" t="s">
        <v>3890</v>
      </c>
      <c r="H6197" t="s">
        <v>6673</v>
      </c>
      <c r="J6197">
        <v>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</row>
    <row r="6198" spans="2:30" x14ac:dyDescent="0.25">
      <c r="B6198" t="s">
        <v>133</v>
      </c>
      <c r="C6198" t="s">
        <v>10598</v>
      </c>
      <c r="D6198" t="s">
        <v>6710</v>
      </c>
      <c r="E6198" t="s">
        <v>6711</v>
      </c>
      <c r="F6198" t="s">
        <v>11473</v>
      </c>
      <c r="G6198" t="s">
        <v>3890</v>
      </c>
      <c r="H6198" t="s">
        <v>6673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</row>
    <row r="6199" spans="2:30" x14ac:dyDescent="0.25">
      <c r="B6199" t="s">
        <v>133</v>
      </c>
      <c r="C6199" t="s">
        <v>10598</v>
      </c>
      <c r="D6199" t="s">
        <v>6713</v>
      </c>
      <c r="E6199" t="s">
        <v>6714</v>
      </c>
      <c r="F6199" t="s">
        <v>11474</v>
      </c>
      <c r="G6199" t="s">
        <v>3890</v>
      </c>
      <c r="H6199" t="s">
        <v>6673</v>
      </c>
      <c r="J6199">
        <v>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1304.2656404773859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</row>
    <row r="6200" spans="2:30" x14ac:dyDescent="0.25">
      <c r="B6200" t="s">
        <v>133</v>
      </c>
      <c r="C6200" t="s">
        <v>10598</v>
      </c>
      <c r="D6200" t="s">
        <v>6716</v>
      </c>
      <c r="E6200" t="s">
        <v>6717</v>
      </c>
      <c r="F6200" t="s">
        <v>11475</v>
      </c>
      <c r="G6200" t="s">
        <v>3890</v>
      </c>
      <c r="H6200" t="s">
        <v>6673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</row>
    <row r="6201" spans="2:30" x14ac:dyDescent="0.25">
      <c r="B6201" t="s">
        <v>133</v>
      </c>
      <c r="C6201" t="s">
        <v>10598</v>
      </c>
      <c r="D6201" t="s">
        <v>6719</v>
      </c>
      <c r="E6201" t="s">
        <v>6720</v>
      </c>
      <c r="F6201" t="s">
        <v>11476</v>
      </c>
      <c r="G6201" t="s">
        <v>3890</v>
      </c>
      <c r="H6201" t="s">
        <v>6673</v>
      </c>
      <c r="J6201">
        <v>1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</row>
    <row r="6202" spans="2:30" x14ac:dyDescent="0.25">
      <c r="B6202" t="s">
        <v>133</v>
      </c>
      <c r="C6202" t="s">
        <v>10598</v>
      </c>
      <c r="D6202" t="s">
        <v>6722</v>
      </c>
      <c r="E6202" t="s">
        <v>6723</v>
      </c>
      <c r="F6202" t="s">
        <v>11477</v>
      </c>
      <c r="G6202" t="s">
        <v>3890</v>
      </c>
      <c r="H6202" t="s">
        <v>6673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</row>
    <row r="6203" spans="2:30" x14ac:dyDescent="0.25">
      <c r="B6203" t="s">
        <v>133</v>
      </c>
      <c r="C6203" t="s">
        <v>10598</v>
      </c>
      <c r="D6203" t="s">
        <v>6725</v>
      </c>
      <c r="E6203" t="s">
        <v>6726</v>
      </c>
      <c r="F6203" t="s">
        <v>11478</v>
      </c>
      <c r="G6203" t="s">
        <v>3890</v>
      </c>
      <c r="H6203" t="s">
        <v>6673</v>
      </c>
      <c r="J6203">
        <v>1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</row>
    <row r="6204" spans="2:30" x14ac:dyDescent="0.25">
      <c r="B6204" t="s">
        <v>133</v>
      </c>
      <c r="C6204" t="s">
        <v>10598</v>
      </c>
      <c r="D6204" t="s">
        <v>6728</v>
      </c>
      <c r="E6204" t="s">
        <v>6729</v>
      </c>
      <c r="F6204" t="s">
        <v>11479</v>
      </c>
      <c r="G6204" t="s">
        <v>3890</v>
      </c>
      <c r="K6204">
        <v>208.73974100000004</v>
      </c>
      <c r="L6204">
        <v>202.17573700254144</v>
      </c>
      <c r="M6204">
        <v>232.19628888015956</v>
      </c>
      <c r="N6204">
        <v>257.22993241027774</v>
      </c>
      <c r="O6204">
        <v>270.62641373049263</v>
      </c>
      <c r="P6204">
        <v>275.01542944374165</v>
      </c>
      <c r="Q6204">
        <v>282.78171152982401</v>
      </c>
      <c r="R6204">
        <v>292.88695538737221</v>
      </c>
      <c r="S6204">
        <v>303.33819120609371</v>
      </c>
      <c r="T6204">
        <v>314.25822880033718</v>
      </c>
      <c r="U6204">
        <v>325.75156006165827</v>
      </c>
      <c r="V6204">
        <v>338.35413530215936</v>
      </c>
      <c r="W6204">
        <v>352.29561639858815</v>
      </c>
      <c r="X6204">
        <v>367.98281566372367</v>
      </c>
      <c r="Y6204">
        <v>385.65573459479606</v>
      </c>
      <c r="Z6204">
        <v>405.74391066212473</v>
      </c>
      <c r="AA6204">
        <v>428.72027458148068</v>
      </c>
      <c r="AB6204">
        <v>455.17876485118734</v>
      </c>
      <c r="AC6204">
        <v>485.61140969269115</v>
      </c>
      <c r="AD6204">
        <v>519.09878414632362</v>
      </c>
    </row>
    <row r="6205" spans="2:30" x14ac:dyDescent="0.25">
      <c r="B6205" t="s">
        <v>133</v>
      </c>
      <c r="C6205" t="s">
        <v>10598</v>
      </c>
      <c r="D6205" t="s">
        <v>6731</v>
      </c>
      <c r="E6205" t="s">
        <v>6732</v>
      </c>
      <c r="F6205" t="s">
        <v>11480</v>
      </c>
      <c r="G6205" t="s">
        <v>3890</v>
      </c>
      <c r="K6205">
        <v>208.73974100000004</v>
      </c>
      <c r="L6205">
        <v>202.17573700254144</v>
      </c>
      <c r="M6205">
        <v>232.19628888015956</v>
      </c>
      <c r="N6205">
        <v>257.22993241027774</v>
      </c>
      <c r="O6205">
        <v>270.62641373049263</v>
      </c>
      <c r="P6205">
        <v>275.01542944374165</v>
      </c>
      <c r="Q6205">
        <v>282.78174931447012</v>
      </c>
      <c r="R6205">
        <v>290.48961592164449</v>
      </c>
      <c r="S6205">
        <v>298.66657862681103</v>
      </c>
      <c r="T6205">
        <v>305.73026495334898</v>
      </c>
      <c r="U6205">
        <v>314.77101770962923</v>
      </c>
      <c r="V6205">
        <v>322.53557131055538</v>
      </c>
      <c r="W6205">
        <v>334.01539657600853</v>
      </c>
      <c r="X6205">
        <v>344.05259374892898</v>
      </c>
      <c r="Y6205">
        <v>359.67943367446708</v>
      </c>
      <c r="Z6205">
        <v>380.48002664791602</v>
      </c>
      <c r="AA6205">
        <v>399.33410158758636</v>
      </c>
      <c r="AB6205">
        <v>432.64482444174041</v>
      </c>
      <c r="AC6205">
        <v>450.99677202679334</v>
      </c>
      <c r="AD6205">
        <v>500.11418452370026</v>
      </c>
    </row>
    <row r="6206" spans="2:30" x14ac:dyDescent="0.25">
      <c r="B6206" t="s">
        <v>133</v>
      </c>
      <c r="C6206" t="s">
        <v>10598</v>
      </c>
      <c r="D6206" t="s">
        <v>6734</v>
      </c>
      <c r="E6206" t="s">
        <v>6735</v>
      </c>
      <c r="F6206" t="s">
        <v>11481</v>
      </c>
      <c r="G6206" t="s">
        <v>3890</v>
      </c>
      <c r="H6206" t="s">
        <v>6737</v>
      </c>
      <c r="I6206" t="s">
        <v>6738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</row>
    <row r="6207" spans="2:30" x14ac:dyDescent="0.25">
      <c r="B6207" t="s">
        <v>133</v>
      </c>
      <c r="C6207" t="s">
        <v>10598</v>
      </c>
      <c r="D6207" t="s">
        <v>6739</v>
      </c>
      <c r="E6207" t="s">
        <v>6740</v>
      </c>
      <c r="F6207" t="s">
        <v>11482</v>
      </c>
      <c r="G6207" t="s">
        <v>3890</v>
      </c>
      <c r="H6207" t="s">
        <v>6742</v>
      </c>
      <c r="I6207" t="s">
        <v>6738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</row>
    <row r="6208" spans="2:30" x14ac:dyDescent="0.25">
      <c r="B6208" t="s">
        <v>133</v>
      </c>
      <c r="C6208" t="s">
        <v>10598</v>
      </c>
      <c r="D6208" t="s">
        <v>6743</v>
      </c>
      <c r="E6208" t="s">
        <v>6744</v>
      </c>
      <c r="F6208" t="s">
        <v>11483</v>
      </c>
      <c r="G6208" t="s">
        <v>3890</v>
      </c>
      <c r="H6208" t="s">
        <v>6746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</row>
    <row r="6209" spans="2:30" x14ac:dyDescent="0.25">
      <c r="B6209" t="s">
        <v>133</v>
      </c>
      <c r="C6209" t="s">
        <v>10598</v>
      </c>
      <c r="D6209" t="s">
        <v>6747</v>
      </c>
      <c r="E6209" t="s">
        <v>6748</v>
      </c>
      <c r="F6209" t="s">
        <v>11484</v>
      </c>
      <c r="G6209" t="s">
        <v>3890</v>
      </c>
      <c r="H6209" t="s">
        <v>6746</v>
      </c>
      <c r="J6209">
        <v>1</v>
      </c>
      <c r="K6209">
        <v>805.95961391973492</v>
      </c>
      <c r="L6209">
        <v>0</v>
      </c>
      <c r="M6209">
        <v>2040.3778086602601</v>
      </c>
      <c r="N6209">
        <v>2304.3482542661814</v>
      </c>
      <c r="O6209">
        <v>2471.9114533007887</v>
      </c>
      <c r="P6209">
        <v>1435.6913396425737</v>
      </c>
      <c r="Q6209">
        <v>1820.6499276213412</v>
      </c>
      <c r="R6209">
        <v>2084.5526161435255</v>
      </c>
      <c r="S6209">
        <v>2120.9847587309005</v>
      </c>
      <c r="T6209">
        <v>2207.9707994489268</v>
      </c>
      <c r="U6209">
        <v>2305.2559186959675</v>
      </c>
      <c r="V6209">
        <v>2462.0138701987953</v>
      </c>
      <c r="W6209">
        <v>2643.6608934562469</v>
      </c>
      <c r="X6209">
        <v>2870.756978480304</v>
      </c>
      <c r="Y6209">
        <v>3129.0055062729721</v>
      </c>
      <c r="Z6209">
        <v>3433.8315667191118</v>
      </c>
      <c r="AA6209">
        <v>3794.5558004182717</v>
      </c>
      <c r="AB6209">
        <v>4269.7419469460856</v>
      </c>
      <c r="AC6209">
        <v>4552.9896451352515</v>
      </c>
      <c r="AD6209">
        <v>4859.8841870772612</v>
      </c>
    </row>
    <row r="6210" spans="2:30" x14ac:dyDescent="0.25">
      <c r="B6210" t="s">
        <v>133</v>
      </c>
      <c r="C6210" t="s">
        <v>10598</v>
      </c>
      <c r="D6210" t="s">
        <v>6750</v>
      </c>
      <c r="E6210" t="s">
        <v>6751</v>
      </c>
      <c r="F6210" t="s">
        <v>11485</v>
      </c>
      <c r="G6210" t="s">
        <v>3890</v>
      </c>
      <c r="H6210" t="s">
        <v>6746</v>
      </c>
      <c r="J6210">
        <v>1</v>
      </c>
      <c r="K6210">
        <v>19.434151922131466</v>
      </c>
      <c r="L6210">
        <v>0</v>
      </c>
      <c r="M6210">
        <v>3447.32489463196</v>
      </c>
      <c r="N6210">
        <v>138.70540668286202</v>
      </c>
      <c r="O6210">
        <v>101.95638440937793</v>
      </c>
      <c r="P6210">
        <v>64.416503483641478</v>
      </c>
      <c r="Q6210">
        <v>81.688799790566023</v>
      </c>
      <c r="R6210">
        <v>93.529568056789486</v>
      </c>
      <c r="S6210">
        <v>95.164203005886861</v>
      </c>
      <c r="T6210">
        <v>99.067086892012341</v>
      </c>
      <c r="U6210">
        <v>103.43206914818701</v>
      </c>
      <c r="V6210">
        <v>110.46547448417262</v>
      </c>
      <c r="W6210">
        <v>118.61560103530847</v>
      </c>
      <c r="X6210">
        <v>128.80493306521083</v>
      </c>
      <c r="Y6210">
        <v>140.3920108240996</v>
      </c>
      <c r="Z6210">
        <v>154.06892621840848</v>
      </c>
      <c r="AA6210">
        <v>170.25387713028118</v>
      </c>
      <c r="AB6210">
        <v>188.09988516996475</v>
      </c>
      <c r="AC6210">
        <v>208.27009742232821</v>
      </c>
      <c r="AD6210">
        <v>227.24084890588921</v>
      </c>
    </row>
    <row r="6211" spans="2:30" x14ac:dyDescent="0.25">
      <c r="B6211" t="s">
        <v>133</v>
      </c>
      <c r="C6211" t="s">
        <v>10598</v>
      </c>
      <c r="D6211" t="s">
        <v>6753</v>
      </c>
      <c r="E6211" t="s">
        <v>6754</v>
      </c>
      <c r="F6211" t="s">
        <v>11486</v>
      </c>
      <c r="G6211" t="s">
        <v>3890</v>
      </c>
      <c r="H6211" t="s">
        <v>6746</v>
      </c>
      <c r="J6211">
        <v>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</row>
    <row r="6212" spans="2:30" x14ac:dyDescent="0.25">
      <c r="B6212" t="s">
        <v>133</v>
      </c>
      <c r="C6212" t="s">
        <v>10598</v>
      </c>
      <c r="D6212" t="s">
        <v>6756</v>
      </c>
      <c r="E6212" t="s">
        <v>6757</v>
      </c>
      <c r="F6212" t="s">
        <v>11487</v>
      </c>
      <c r="G6212" t="s">
        <v>3890</v>
      </c>
      <c r="H6212" t="s">
        <v>6746</v>
      </c>
      <c r="J6212">
        <v>1</v>
      </c>
      <c r="K6212">
        <v>602.95086128679395</v>
      </c>
      <c r="L6212">
        <v>0</v>
      </c>
      <c r="M6212">
        <v>1539.8051196022761</v>
      </c>
      <c r="N6212">
        <v>1739.0148158862114</v>
      </c>
      <c r="O6212">
        <v>1919.5977281545797</v>
      </c>
      <c r="P6212">
        <v>1092.2536853934698</v>
      </c>
      <c r="Q6212">
        <v>1405.1709562061765</v>
      </c>
      <c r="R6212">
        <v>1623.0477582998385</v>
      </c>
      <c r="S6212">
        <v>1663.0639883193519</v>
      </c>
      <c r="T6212">
        <v>1721.5065540523653</v>
      </c>
      <c r="U6212">
        <v>1792.5700636951369</v>
      </c>
      <c r="V6212">
        <v>1915.1116298601403</v>
      </c>
      <c r="W6212">
        <v>2061.3694805461159</v>
      </c>
      <c r="X6212">
        <v>2248.3000904132145</v>
      </c>
      <c r="Y6212">
        <v>2459.3306385272517</v>
      </c>
      <c r="Z6212">
        <v>2715.6640154730367</v>
      </c>
      <c r="AA6212">
        <v>3021.7174935731846</v>
      </c>
      <c r="AB6212">
        <v>3234.6311454244237</v>
      </c>
      <c r="AC6212">
        <v>3435.9895188620699</v>
      </c>
      <c r="AD6212">
        <v>3667.5925998476396</v>
      </c>
    </row>
    <row r="6213" spans="2:30" x14ac:dyDescent="0.25">
      <c r="B6213" t="s">
        <v>133</v>
      </c>
      <c r="C6213" t="s">
        <v>10598</v>
      </c>
      <c r="D6213" t="s">
        <v>6759</v>
      </c>
      <c r="E6213" t="s">
        <v>6760</v>
      </c>
      <c r="F6213" t="s">
        <v>11488</v>
      </c>
      <c r="G6213" t="s">
        <v>3890</v>
      </c>
      <c r="H6213" t="s">
        <v>6746</v>
      </c>
      <c r="J6213">
        <v>1</v>
      </c>
      <c r="K6213">
        <v>297.34754076203683</v>
      </c>
      <c r="L6213">
        <v>0</v>
      </c>
      <c r="M6213">
        <v>2566.3418660037933</v>
      </c>
      <c r="N6213">
        <v>2898.3580264770189</v>
      </c>
      <c r="O6213">
        <v>1377.3717767420226</v>
      </c>
      <c r="P6213">
        <v>876.43011736880885</v>
      </c>
      <c r="Q6213">
        <v>1255.4009742322939</v>
      </c>
      <c r="R6213">
        <v>1621.5764095964125</v>
      </c>
      <c r="S6213">
        <v>1853.11235046719</v>
      </c>
      <c r="T6213">
        <v>1965.8377226285727</v>
      </c>
      <c r="U6213">
        <v>2097.786645907172</v>
      </c>
      <c r="V6213">
        <v>2290.6530495235397</v>
      </c>
      <c r="W6213">
        <v>2526.7789816381573</v>
      </c>
      <c r="X6213">
        <v>2824.3068856188011</v>
      </c>
      <c r="Y6213">
        <v>3162.8727604923752</v>
      </c>
      <c r="Z6213">
        <v>3579.2087739505923</v>
      </c>
      <c r="AA6213">
        <v>4070.4731677359232</v>
      </c>
      <c r="AB6213">
        <v>4782.9376266933468</v>
      </c>
      <c r="AC6213">
        <v>5726.6491981034487</v>
      </c>
      <c r="AD6213">
        <v>6112.6543330793993</v>
      </c>
    </row>
    <row r="6214" spans="2:30" x14ac:dyDescent="0.25">
      <c r="B6214" t="s">
        <v>133</v>
      </c>
      <c r="C6214" t="s">
        <v>10598</v>
      </c>
      <c r="D6214" t="s">
        <v>6762</v>
      </c>
      <c r="E6214" t="s">
        <v>6763</v>
      </c>
      <c r="F6214" t="s">
        <v>11489</v>
      </c>
      <c r="G6214" t="s">
        <v>3890</v>
      </c>
      <c r="H6214" t="s">
        <v>6746</v>
      </c>
      <c r="J6214">
        <v>1</v>
      </c>
      <c r="K6214">
        <v>90.935703837345002</v>
      </c>
      <c r="L6214">
        <v>0</v>
      </c>
      <c r="M6214">
        <v>2671.4619869672465</v>
      </c>
      <c r="N6214">
        <v>2916.900344154114</v>
      </c>
      <c r="O6214">
        <v>274.96334326337751</v>
      </c>
      <c r="P6214">
        <v>159.69928458208554</v>
      </c>
      <c r="Q6214">
        <v>202.52019559297483</v>
      </c>
      <c r="R6214">
        <v>231.87544027027025</v>
      </c>
      <c r="S6214">
        <v>235.92797367096961</v>
      </c>
      <c r="T6214">
        <v>245.60387550844627</v>
      </c>
      <c r="U6214">
        <v>256.42539648251801</v>
      </c>
      <c r="V6214">
        <v>273.86238451490897</v>
      </c>
      <c r="W6214">
        <v>294.06791119023353</v>
      </c>
      <c r="X6214">
        <v>319.32896926610334</v>
      </c>
      <c r="Y6214">
        <v>348.05527275076003</v>
      </c>
      <c r="Z6214">
        <v>381.9626332195802</v>
      </c>
      <c r="AA6214">
        <v>422.08783315811201</v>
      </c>
      <c r="AB6214">
        <v>466.33107149698526</v>
      </c>
      <c r="AC6214">
        <v>833.60410166860527</v>
      </c>
      <c r="AD6214">
        <v>1163.6493548969411</v>
      </c>
    </row>
    <row r="6215" spans="2:30" x14ac:dyDescent="0.25">
      <c r="B6215" t="s">
        <v>133</v>
      </c>
      <c r="C6215" t="s">
        <v>10598</v>
      </c>
      <c r="D6215" t="s">
        <v>6765</v>
      </c>
      <c r="E6215" t="s">
        <v>6766</v>
      </c>
      <c r="F6215" t="s">
        <v>11490</v>
      </c>
      <c r="G6215" t="s">
        <v>3890</v>
      </c>
      <c r="H6215" t="s">
        <v>6746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</row>
    <row r="6216" spans="2:30" x14ac:dyDescent="0.25">
      <c r="B6216" t="s">
        <v>133</v>
      </c>
      <c r="C6216" t="s">
        <v>10598</v>
      </c>
      <c r="D6216" t="s">
        <v>6768</v>
      </c>
      <c r="E6216" t="s">
        <v>6769</v>
      </c>
      <c r="F6216" t="s">
        <v>11491</v>
      </c>
      <c r="G6216" t="s">
        <v>3890</v>
      </c>
      <c r="H6216" t="s">
        <v>6746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</row>
    <row r="6217" spans="2:30" x14ac:dyDescent="0.25">
      <c r="B6217" t="s">
        <v>133</v>
      </c>
      <c r="C6217" t="s">
        <v>10598</v>
      </c>
      <c r="D6217" t="s">
        <v>6771</v>
      </c>
      <c r="E6217" t="s">
        <v>6772</v>
      </c>
      <c r="F6217" t="s">
        <v>11492</v>
      </c>
      <c r="G6217" t="s">
        <v>3890</v>
      </c>
      <c r="H6217" t="s">
        <v>6746</v>
      </c>
      <c r="J6217">
        <v>2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</row>
    <row r="6218" spans="2:30" x14ac:dyDescent="0.25">
      <c r="B6218" t="s">
        <v>133</v>
      </c>
      <c r="C6218" t="s">
        <v>10598</v>
      </c>
      <c r="D6218" t="s">
        <v>6774</v>
      </c>
      <c r="E6218" t="s">
        <v>6775</v>
      </c>
      <c r="F6218" t="s">
        <v>11493</v>
      </c>
      <c r="G6218" t="s">
        <v>3890</v>
      </c>
      <c r="H6218" t="s">
        <v>6746</v>
      </c>
      <c r="J6218">
        <v>2</v>
      </c>
      <c r="K6218">
        <v>805.95961391973492</v>
      </c>
      <c r="L6218">
        <v>0</v>
      </c>
      <c r="M6218">
        <v>2040.3778086602601</v>
      </c>
      <c r="N6218">
        <v>2304.3482542661814</v>
      </c>
      <c r="O6218">
        <v>2471.9114533007887</v>
      </c>
      <c r="P6218">
        <v>1426.6253775647315</v>
      </c>
      <c r="Q6218">
        <v>1624.8876571672872</v>
      </c>
      <c r="R6218">
        <v>1608.0999412284284</v>
      </c>
      <c r="S6218">
        <v>1599.8229176395587</v>
      </c>
      <c r="T6218">
        <v>1514.7447261419261</v>
      </c>
      <c r="U6218">
        <v>1668.2510287822033</v>
      </c>
      <c r="V6218">
        <v>1570.8527745155882</v>
      </c>
      <c r="W6218">
        <v>1871.7381069160513</v>
      </c>
      <c r="X6218">
        <v>1774.4884553874242</v>
      </c>
      <c r="Y6218">
        <v>2344.4461047925975</v>
      </c>
      <c r="Z6218">
        <v>2999.5263451568358</v>
      </c>
      <c r="AA6218">
        <v>2831.4617811657545</v>
      </c>
      <c r="AB6218">
        <v>3989.8304967455142</v>
      </c>
      <c r="AC6218">
        <v>2918.4449162480519</v>
      </c>
      <c r="AD6218">
        <v>4510.8168146457747</v>
      </c>
    </row>
    <row r="6219" spans="2:30" x14ac:dyDescent="0.25">
      <c r="B6219" t="s">
        <v>133</v>
      </c>
      <c r="C6219" t="s">
        <v>10598</v>
      </c>
      <c r="D6219" t="s">
        <v>6777</v>
      </c>
      <c r="E6219" t="s">
        <v>6778</v>
      </c>
      <c r="F6219" t="s">
        <v>11494</v>
      </c>
      <c r="G6219" t="s">
        <v>3890</v>
      </c>
      <c r="H6219" t="s">
        <v>6746</v>
      </c>
      <c r="J6219">
        <v>2</v>
      </c>
      <c r="K6219">
        <v>19.434151922131466</v>
      </c>
      <c r="L6219">
        <v>0</v>
      </c>
      <c r="M6219">
        <v>3447.32489463196</v>
      </c>
      <c r="N6219">
        <v>138.70540668286202</v>
      </c>
      <c r="O6219">
        <v>101.95638440937793</v>
      </c>
      <c r="P6219">
        <v>62.328845963522106</v>
      </c>
      <c r="Q6219">
        <v>58.03689039568475</v>
      </c>
      <c r="R6219">
        <v>67.467594133620352</v>
      </c>
      <c r="S6219">
        <v>78.476359298834865</v>
      </c>
      <c r="T6219">
        <v>85.963608544732068</v>
      </c>
      <c r="U6219">
        <v>114.58479508103767</v>
      </c>
      <c r="V6219">
        <v>122.7869756055843</v>
      </c>
      <c r="W6219">
        <v>179.7371275668952</v>
      </c>
      <c r="X6219">
        <v>187.74719774342864</v>
      </c>
      <c r="Y6219">
        <v>227.72426426881705</v>
      </c>
      <c r="Z6219">
        <v>298.80804822015961</v>
      </c>
      <c r="AA6219">
        <v>237.7647243919242</v>
      </c>
      <c r="AB6219">
        <v>441.96703609456119</v>
      </c>
      <c r="AC6219">
        <v>215.78032367803002</v>
      </c>
      <c r="AD6219">
        <v>434.69934058472916</v>
      </c>
    </row>
    <row r="6220" spans="2:30" x14ac:dyDescent="0.25">
      <c r="B6220" t="s">
        <v>133</v>
      </c>
      <c r="C6220" t="s">
        <v>10598</v>
      </c>
      <c r="D6220" t="s">
        <v>6780</v>
      </c>
      <c r="E6220" t="s">
        <v>6781</v>
      </c>
      <c r="F6220" t="s">
        <v>11495</v>
      </c>
      <c r="G6220" t="s">
        <v>3890</v>
      </c>
      <c r="H6220" t="s">
        <v>6746</v>
      </c>
      <c r="J6220">
        <v>2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</row>
    <row r="6221" spans="2:30" x14ac:dyDescent="0.25">
      <c r="B6221" t="s">
        <v>133</v>
      </c>
      <c r="C6221" t="s">
        <v>10598</v>
      </c>
      <c r="D6221" t="s">
        <v>6783</v>
      </c>
      <c r="E6221" t="s">
        <v>6784</v>
      </c>
      <c r="F6221" t="s">
        <v>11496</v>
      </c>
      <c r="G6221" t="s">
        <v>3890</v>
      </c>
      <c r="H6221" t="s">
        <v>6746</v>
      </c>
      <c r="J6221">
        <v>2</v>
      </c>
      <c r="K6221">
        <v>602.95086128679395</v>
      </c>
      <c r="L6221">
        <v>0</v>
      </c>
      <c r="M6221">
        <v>1539.8051196022761</v>
      </c>
      <c r="N6221">
        <v>1739.0148158862114</v>
      </c>
      <c r="O6221">
        <v>1919.5977281545797</v>
      </c>
      <c r="P6221">
        <v>1103.6962732978939</v>
      </c>
      <c r="Q6221">
        <v>1626.519540447631</v>
      </c>
      <c r="R6221">
        <v>1612.7003913112626</v>
      </c>
      <c r="S6221">
        <v>1692.1522887986598</v>
      </c>
      <c r="T6221">
        <v>1579.4997268131679</v>
      </c>
      <c r="U6221">
        <v>1825.4250182264557</v>
      </c>
      <c r="V6221">
        <v>1702.5658304969222</v>
      </c>
      <c r="W6221">
        <v>2127.3193696669441</v>
      </c>
      <c r="X6221">
        <v>1988.5534917382954</v>
      </c>
      <c r="Y6221">
        <v>2545.0146128141837</v>
      </c>
      <c r="Z6221">
        <v>2709.2061765734829</v>
      </c>
      <c r="AA6221">
        <v>2867.5059708919671</v>
      </c>
      <c r="AB6221">
        <v>3010.9920815439477</v>
      </c>
      <c r="AC6221">
        <v>2896.2476721025946</v>
      </c>
      <c r="AD6221">
        <v>3404.1630894526775</v>
      </c>
    </row>
    <row r="6222" spans="2:30" x14ac:dyDescent="0.25">
      <c r="B6222" t="s">
        <v>133</v>
      </c>
      <c r="C6222" t="s">
        <v>10598</v>
      </c>
      <c r="D6222" t="s">
        <v>6786</v>
      </c>
      <c r="E6222" t="s">
        <v>6787</v>
      </c>
      <c r="F6222" t="s">
        <v>11497</v>
      </c>
      <c r="G6222" t="s">
        <v>3890</v>
      </c>
      <c r="H6222" t="s">
        <v>6746</v>
      </c>
      <c r="J6222">
        <v>2</v>
      </c>
      <c r="K6222">
        <v>297.34754076203683</v>
      </c>
      <c r="L6222">
        <v>0</v>
      </c>
      <c r="M6222">
        <v>2566.3418660037933</v>
      </c>
      <c r="N6222">
        <v>2898.3580264770189</v>
      </c>
      <c r="O6222">
        <v>1377.3717767420226</v>
      </c>
      <c r="P6222">
        <v>884.46814944689515</v>
      </c>
      <c r="Q6222">
        <v>1447.9377078172736</v>
      </c>
      <c r="R6222">
        <v>1622.1455457140441</v>
      </c>
      <c r="S6222">
        <v>1912.5414797629537</v>
      </c>
      <c r="T6222">
        <v>1839.510984233721</v>
      </c>
      <c r="U6222">
        <v>2196.2615340274947</v>
      </c>
      <c r="V6222">
        <v>2100.3237026094966</v>
      </c>
      <c r="W6222">
        <v>2706.138126388053</v>
      </c>
      <c r="X6222">
        <v>2592.3270373825189</v>
      </c>
      <c r="Y6222">
        <v>3374.7478753165037</v>
      </c>
      <c r="Z6222">
        <v>4297.666281222474</v>
      </c>
      <c r="AA6222">
        <v>3977.3458354338104</v>
      </c>
      <c r="AB6222">
        <v>5018.3201359065797</v>
      </c>
      <c r="AC6222">
        <v>4337.2277427044601</v>
      </c>
      <c r="AD6222">
        <v>5673.6051490877953</v>
      </c>
    </row>
    <row r="6223" spans="2:30" x14ac:dyDescent="0.25">
      <c r="B6223" t="s">
        <v>133</v>
      </c>
      <c r="C6223" t="s">
        <v>10598</v>
      </c>
      <c r="D6223" t="s">
        <v>6789</v>
      </c>
      <c r="E6223" t="s">
        <v>6790</v>
      </c>
      <c r="F6223" t="s">
        <v>11498</v>
      </c>
      <c r="G6223" t="s">
        <v>3890</v>
      </c>
      <c r="H6223" t="s">
        <v>6746</v>
      </c>
      <c r="J6223">
        <v>2</v>
      </c>
      <c r="K6223">
        <v>90.935703837345002</v>
      </c>
      <c r="L6223">
        <v>0</v>
      </c>
      <c r="M6223">
        <v>2671.4619869672465</v>
      </c>
      <c r="N6223">
        <v>2916.900344154114</v>
      </c>
      <c r="O6223">
        <v>274.96334326337751</v>
      </c>
      <c r="P6223">
        <v>160.9286792701763</v>
      </c>
      <c r="Q6223">
        <v>232.37771062327604</v>
      </c>
      <c r="R6223">
        <v>237.20044421635404</v>
      </c>
      <c r="S6223">
        <v>256.25392021042222</v>
      </c>
      <c r="T6223">
        <v>247.87491920979528</v>
      </c>
      <c r="U6223">
        <v>298.92540149758935</v>
      </c>
      <c r="V6223">
        <v>286.63591094157471</v>
      </c>
      <c r="W6223">
        <v>372.33681839679173</v>
      </c>
      <c r="X6223">
        <v>354.42218501121067</v>
      </c>
      <c r="Y6223">
        <v>441.72584499726321</v>
      </c>
      <c r="Z6223">
        <v>560.03241134816597</v>
      </c>
      <c r="AA6223">
        <v>482.31467128539629</v>
      </c>
      <c r="AB6223">
        <v>2344.9956905747185</v>
      </c>
      <c r="AC6223">
        <v>456.46122023933987</v>
      </c>
      <c r="AD6223">
        <v>5673.8203030884661</v>
      </c>
    </row>
    <row r="6224" spans="2:30" x14ac:dyDescent="0.25">
      <c r="B6224" t="s">
        <v>133</v>
      </c>
      <c r="C6224" t="s">
        <v>10598</v>
      </c>
      <c r="D6224" t="s">
        <v>6792</v>
      </c>
      <c r="E6224" t="s">
        <v>6793</v>
      </c>
      <c r="F6224" t="s">
        <v>11499</v>
      </c>
      <c r="G6224" t="s">
        <v>3890</v>
      </c>
      <c r="H6224" t="s">
        <v>6746</v>
      </c>
      <c r="J6224">
        <v>2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</row>
    <row r="6225" spans="2:30" x14ac:dyDescent="0.25">
      <c r="B6225" t="s">
        <v>133</v>
      </c>
      <c r="C6225" t="s">
        <v>10598</v>
      </c>
      <c r="D6225" t="s">
        <v>6795</v>
      </c>
      <c r="E6225" t="s">
        <v>6796</v>
      </c>
      <c r="F6225" t="s">
        <v>11500</v>
      </c>
      <c r="G6225" t="s">
        <v>3890</v>
      </c>
      <c r="H6225" t="s">
        <v>6746</v>
      </c>
      <c r="J6225">
        <v>2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</row>
    <row r="6226" spans="2:30" x14ac:dyDescent="0.25">
      <c r="B6226" t="s">
        <v>133</v>
      </c>
      <c r="C6226" t="s">
        <v>10598</v>
      </c>
      <c r="D6226" t="s">
        <v>6798</v>
      </c>
      <c r="E6226" t="s">
        <v>6799</v>
      </c>
      <c r="F6226" t="s">
        <v>11501</v>
      </c>
      <c r="G6226" t="s">
        <v>3890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</row>
    <row r="6227" spans="2:30" x14ac:dyDescent="0.25">
      <c r="B6227" t="s">
        <v>133</v>
      </c>
      <c r="C6227" t="s">
        <v>10598</v>
      </c>
      <c r="D6227" t="s">
        <v>6801</v>
      </c>
      <c r="E6227" t="s">
        <v>6802</v>
      </c>
      <c r="F6227" t="s">
        <v>11502</v>
      </c>
      <c r="G6227" t="s">
        <v>3890</v>
      </c>
      <c r="K6227">
        <v>1.0511284986760485</v>
      </c>
      <c r="L6227">
        <v>0</v>
      </c>
      <c r="M6227">
        <v>2.6610505361656678</v>
      </c>
      <c r="N6227">
        <v>3.0053194714726823</v>
      </c>
      <c r="O6227">
        <v>3.2238545578376221</v>
      </c>
      <c r="P6227">
        <v>1.8724214667051462</v>
      </c>
      <c r="Q6227">
        <v>2.374482532354115</v>
      </c>
      <c r="R6227">
        <v>2.7186630992113052</v>
      </c>
      <c r="S6227">
        <v>2.7661777174130466</v>
      </c>
      <c r="T6227">
        <v>2.8796244767872925</v>
      </c>
      <c r="U6227">
        <v>3.0065032428836878</v>
      </c>
      <c r="V6227">
        <v>3.2109461794439174</v>
      </c>
      <c r="W6227">
        <v>3.4478493189411696</v>
      </c>
      <c r="X6227">
        <v>3.7440268975491198</v>
      </c>
      <c r="Y6227">
        <v>4.0808333362536784</v>
      </c>
      <c r="Z6227">
        <v>4.4783859601572313</v>
      </c>
      <c r="AA6227">
        <v>4.9488407021265077</v>
      </c>
      <c r="AB6227">
        <v>5.5685760984973491</v>
      </c>
      <c r="AC6227">
        <v>5.9379863302371687</v>
      </c>
      <c r="AD6227">
        <v>6.3382366573652282</v>
      </c>
    </row>
    <row r="6228" spans="2:30" x14ac:dyDescent="0.25">
      <c r="B6228" t="s">
        <v>133</v>
      </c>
      <c r="C6228" t="s">
        <v>10598</v>
      </c>
      <c r="D6228" t="s">
        <v>6804</v>
      </c>
      <c r="E6228" t="s">
        <v>6805</v>
      </c>
      <c r="F6228" t="s">
        <v>11503</v>
      </c>
      <c r="G6228" t="s">
        <v>3890</v>
      </c>
      <c r="K6228">
        <v>2.6146318836059706E-2</v>
      </c>
      <c r="L6228">
        <v>0</v>
      </c>
      <c r="M6228">
        <v>4.6379618821384359</v>
      </c>
      <c r="N6228">
        <v>0.18661147663899094</v>
      </c>
      <c r="O6228">
        <v>0.13717007795455624</v>
      </c>
      <c r="P6228">
        <v>8.6664673875962897E-2</v>
      </c>
      <c r="Q6228">
        <v>0.10990247545749005</v>
      </c>
      <c r="R6228">
        <v>0.12583280797691504</v>
      </c>
      <c r="S6228">
        <v>0.12803201310461573</v>
      </c>
      <c r="T6228">
        <v>0.13328287493154978</v>
      </c>
      <c r="U6228">
        <v>0.13915543465224015</v>
      </c>
      <c r="V6228">
        <v>0.1486180373505602</v>
      </c>
      <c r="W6228">
        <v>0.15958305440991338</v>
      </c>
      <c r="X6228">
        <v>0.17329157768624495</v>
      </c>
      <c r="Y6228">
        <v>0.18888060007713783</v>
      </c>
      <c r="Z6228">
        <v>0.20728124817468516</v>
      </c>
      <c r="AA6228">
        <v>0.22905615703530222</v>
      </c>
      <c r="AB6228">
        <v>0.25306581889376917</v>
      </c>
      <c r="AC6228">
        <v>0.28020241855885258</v>
      </c>
      <c r="AD6228">
        <v>0.30572528772424074</v>
      </c>
    </row>
    <row r="6229" spans="2:30" x14ac:dyDescent="0.25">
      <c r="B6229" t="s">
        <v>133</v>
      </c>
      <c r="C6229" t="s">
        <v>10598</v>
      </c>
      <c r="D6229" t="s">
        <v>6807</v>
      </c>
      <c r="E6229" t="s">
        <v>6808</v>
      </c>
      <c r="F6229" t="s">
        <v>11504</v>
      </c>
      <c r="G6229" t="s">
        <v>3890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</row>
    <row r="6230" spans="2:30" x14ac:dyDescent="0.25">
      <c r="B6230" t="s">
        <v>133</v>
      </c>
      <c r="C6230" t="s">
        <v>10598</v>
      </c>
      <c r="D6230" t="s">
        <v>6810</v>
      </c>
      <c r="E6230" t="s">
        <v>6811</v>
      </c>
      <c r="F6230" t="s">
        <v>11505</v>
      </c>
      <c r="G6230" t="s">
        <v>3890</v>
      </c>
      <c r="K6230">
        <v>0.78383611967283207</v>
      </c>
      <c r="L6230">
        <v>0</v>
      </c>
      <c r="M6230">
        <v>2.0017466554829593</v>
      </c>
      <c r="N6230">
        <v>2.2607192606520754</v>
      </c>
      <c r="O6230">
        <v>2.4954770466009535</v>
      </c>
      <c r="P6230">
        <v>1.4199297910115107</v>
      </c>
      <c r="Q6230">
        <v>1.8267222430680294</v>
      </c>
      <c r="R6230">
        <v>2.1099620857897898</v>
      </c>
      <c r="S6230">
        <v>2.1619831848151576</v>
      </c>
      <c r="T6230">
        <v>2.2379585202680752</v>
      </c>
      <c r="U6230">
        <v>2.3303410828036775</v>
      </c>
      <c r="V6230">
        <v>2.4896451188181827</v>
      </c>
      <c r="W6230">
        <v>2.679780324709951</v>
      </c>
      <c r="X6230">
        <v>2.9227901175371791</v>
      </c>
      <c r="Y6230">
        <v>3.1971298300854269</v>
      </c>
      <c r="Z6230">
        <v>3.5303632201149475</v>
      </c>
      <c r="AA6230">
        <v>3.9282327416451404</v>
      </c>
      <c r="AB6230">
        <v>4.2050204890517504</v>
      </c>
      <c r="AC6230">
        <v>4.4667863745206917</v>
      </c>
      <c r="AD6230">
        <v>4.7678703798019315</v>
      </c>
    </row>
    <row r="6231" spans="2:30" x14ac:dyDescent="0.25">
      <c r="B6231" t="s">
        <v>133</v>
      </c>
      <c r="C6231" t="s">
        <v>10598</v>
      </c>
      <c r="D6231" t="s">
        <v>6813</v>
      </c>
      <c r="E6231" t="s">
        <v>6814</v>
      </c>
      <c r="F6231" t="s">
        <v>11506</v>
      </c>
      <c r="G6231" t="s">
        <v>3890</v>
      </c>
      <c r="K6231">
        <v>0.36356178318154947</v>
      </c>
      <c r="L6231">
        <v>0</v>
      </c>
      <c r="M6231">
        <v>3.1378225717511161</v>
      </c>
      <c r="N6231">
        <v>3.5437730868870014</v>
      </c>
      <c r="O6231">
        <v>1.6840890561022663</v>
      </c>
      <c r="P6231">
        <v>1.0715962051948473</v>
      </c>
      <c r="Q6231">
        <v>1.5349574293772639</v>
      </c>
      <c r="R6231">
        <v>1.9826739092145704</v>
      </c>
      <c r="S6231">
        <v>2.2657689680062747</v>
      </c>
      <c r="T6231">
        <v>2.4035963642166713</v>
      </c>
      <c r="U6231">
        <v>2.5649280695777188</v>
      </c>
      <c r="V6231">
        <v>2.8007425425505899</v>
      </c>
      <c r="W6231">
        <v>3.0894497056062873</v>
      </c>
      <c r="X6231">
        <v>3.4532320158290521</v>
      </c>
      <c r="Y6231">
        <v>3.867190755417099</v>
      </c>
      <c r="Z6231">
        <v>4.3762377213602326</v>
      </c>
      <c r="AA6231">
        <v>4.9768983441468615</v>
      </c>
      <c r="AB6231">
        <v>5.8480165262183021</v>
      </c>
      <c r="AC6231">
        <v>7.001876621484719</v>
      </c>
      <c r="AD6231">
        <v>7.4738385379325187</v>
      </c>
    </row>
    <row r="6232" spans="2:30" x14ac:dyDescent="0.25">
      <c r="B6232" t="s">
        <v>133</v>
      </c>
      <c r="C6232" t="s">
        <v>10598</v>
      </c>
      <c r="D6232" t="s">
        <v>6816</v>
      </c>
      <c r="E6232" t="s">
        <v>6817</v>
      </c>
      <c r="F6232" t="s">
        <v>11507</v>
      </c>
      <c r="G6232" t="s">
        <v>3890</v>
      </c>
      <c r="K6232">
        <v>0.30008782266323852</v>
      </c>
      <c r="L6232">
        <v>0</v>
      </c>
      <c r="M6232">
        <v>8.8158245569919149</v>
      </c>
      <c r="N6232">
        <v>9.6257711357085753</v>
      </c>
      <c r="O6232">
        <v>0.90737903276914578</v>
      </c>
      <c r="P6232">
        <v>0.52700763912088222</v>
      </c>
      <c r="Q6232">
        <v>0.6683166454568169</v>
      </c>
      <c r="R6232">
        <v>0.76518895289189182</v>
      </c>
      <c r="S6232">
        <v>0.77856231311419966</v>
      </c>
      <c r="T6232">
        <v>0.81049278917787271</v>
      </c>
      <c r="U6232">
        <v>0.84620380839230946</v>
      </c>
      <c r="V6232">
        <v>0.90374586889919961</v>
      </c>
      <c r="W6232">
        <v>0.9704241069277707</v>
      </c>
      <c r="X6232">
        <v>1.0537855985781412</v>
      </c>
      <c r="Y6232">
        <v>1.148582400077508</v>
      </c>
      <c r="Z6232">
        <v>1.2604766896246145</v>
      </c>
      <c r="AA6232">
        <v>1.3928898494217696</v>
      </c>
      <c r="AB6232">
        <v>1.5388925359400514</v>
      </c>
      <c r="AC6232">
        <v>2.7508935355063979</v>
      </c>
      <c r="AD6232">
        <v>3.8400428711599055</v>
      </c>
    </row>
    <row r="6233" spans="2:30" x14ac:dyDescent="0.25">
      <c r="B6233" t="s">
        <v>133</v>
      </c>
      <c r="C6233" t="s">
        <v>10598</v>
      </c>
      <c r="D6233" t="s">
        <v>6819</v>
      </c>
      <c r="E6233" t="s">
        <v>6820</v>
      </c>
      <c r="F6233" t="s">
        <v>11508</v>
      </c>
      <c r="G6233" t="s">
        <v>3890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</row>
    <row r="6234" spans="2:30" x14ac:dyDescent="0.25">
      <c r="B6234" t="s">
        <v>133</v>
      </c>
      <c r="C6234" t="s">
        <v>10598</v>
      </c>
      <c r="D6234" t="s">
        <v>6822</v>
      </c>
      <c r="E6234" t="s">
        <v>6823</v>
      </c>
      <c r="F6234" t="s">
        <v>11509</v>
      </c>
      <c r="G6234" t="s">
        <v>3890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</row>
    <row r="6235" spans="2:30" x14ac:dyDescent="0.25">
      <c r="B6235" t="s">
        <v>133</v>
      </c>
      <c r="C6235" t="s">
        <v>10598</v>
      </c>
      <c r="D6235" t="s">
        <v>6825</v>
      </c>
      <c r="E6235" t="s">
        <v>6826</v>
      </c>
      <c r="F6235" t="s">
        <v>11510</v>
      </c>
      <c r="G6235" t="s">
        <v>3890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</row>
    <row r="6236" spans="2:30" x14ac:dyDescent="0.25">
      <c r="B6236" t="s">
        <v>133</v>
      </c>
      <c r="C6236" t="s">
        <v>10598</v>
      </c>
      <c r="D6236" t="s">
        <v>6828</v>
      </c>
      <c r="E6236" t="s">
        <v>6829</v>
      </c>
      <c r="F6236" t="s">
        <v>11511</v>
      </c>
      <c r="G6236" t="s">
        <v>3890</v>
      </c>
      <c r="K6236">
        <v>1.0511284986760485</v>
      </c>
      <c r="L6236">
        <v>0</v>
      </c>
      <c r="M6236">
        <v>2.6610505361656678</v>
      </c>
      <c r="N6236">
        <v>3.0053194714726823</v>
      </c>
      <c r="O6236">
        <v>3.2238545578376221</v>
      </c>
      <c r="P6236">
        <v>1.860597684293035</v>
      </c>
      <c r="Q6236">
        <v>2.1191703580392902</v>
      </c>
      <c r="R6236">
        <v>2.0972759028504102</v>
      </c>
      <c r="S6236">
        <v>2.0864810500709239</v>
      </c>
      <c r="T6236">
        <v>1.9755224981106692</v>
      </c>
      <c r="U6236">
        <v>2.1757246504826058</v>
      </c>
      <c r="V6236">
        <v>2.0486983342593574</v>
      </c>
      <c r="W6236">
        <v>2.4411114803493796</v>
      </c>
      <c r="X6236">
        <v>2.314278971074001</v>
      </c>
      <c r="Y6236">
        <v>3.0576148876399816</v>
      </c>
      <c r="Z6236">
        <v>3.9119672617218195</v>
      </c>
      <c r="AA6236">
        <v>3.6927782976874708</v>
      </c>
      <c r="AB6236">
        <v>5.2035169847030156</v>
      </c>
      <c r="AC6236">
        <v>3.8062212675461278</v>
      </c>
      <c r="AD6236">
        <v>5.8829847355769465</v>
      </c>
    </row>
    <row r="6237" spans="2:30" x14ac:dyDescent="0.25">
      <c r="B6237" t="s">
        <v>133</v>
      </c>
      <c r="C6237" t="s">
        <v>10598</v>
      </c>
      <c r="D6237" t="s">
        <v>6831</v>
      </c>
      <c r="E6237" t="s">
        <v>6832</v>
      </c>
      <c r="F6237" t="s">
        <v>11512</v>
      </c>
      <c r="G6237" t="s">
        <v>3890</v>
      </c>
      <c r="K6237">
        <v>2.6146318836059706E-2</v>
      </c>
      <c r="L6237">
        <v>0</v>
      </c>
      <c r="M6237">
        <v>4.6379618821384359</v>
      </c>
      <c r="N6237">
        <v>0.18661147663899094</v>
      </c>
      <c r="O6237">
        <v>0.13717007795455624</v>
      </c>
      <c r="P6237">
        <v>8.3855981252778322E-2</v>
      </c>
      <c r="Q6237">
        <v>7.8081670176251061E-2</v>
      </c>
      <c r="R6237">
        <v>9.0769550139754018E-2</v>
      </c>
      <c r="S6237">
        <v>0.10558052234756193</v>
      </c>
      <c r="T6237">
        <v>0.115653717554261</v>
      </c>
      <c r="U6237">
        <v>0.15416008879407742</v>
      </c>
      <c r="V6237">
        <v>0.16519513822690055</v>
      </c>
      <c r="W6237">
        <v>0.2418147322749836</v>
      </c>
      <c r="X6237">
        <v>0.25259132029251136</v>
      </c>
      <c r="Y6237">
        <v>0.30637566507335301</v>
      </c>
      <c r="Z6237">
        <v>0.40201036458132849</v>
      </c>
      <c r="AA6237">
        <v>0.31988389906737386</v>
      </c>
      <c r="AB6237">
        <v>0.59461360017449671</v>
      </c>
      <c r="AC6237">
        <v>0.29030652657443867</v>
      </c>
      <c r="AD6237">
        <v>0.58483578816783688</v>
      </c>
    </row>
    <row r="6238" spans="2:30" x14ac:dyDescent="0.25">
      <c r="B6238" t="s">
        <v>133</v>
      </c>
      <c r="C6238" t="s">
        <v>10598</v>
      </c>
      <c r="D6238" t="s">
        <v>6834</v>
      </c>
      <c r="E6238" t="s">
        <v>6835</v>
      </c>
      <c r="F6238" t="s">
        <v>11513</v>
      </c>
      <c r="G6238" t="s">
        <v>3890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</row>
    <row r="6239" spans="2:30" x14ac:dyDescent="0.25">
      <c r="B6239" t="s">
        <v>133</v>
      </c>
      <c r="C6239" t="s">
        <v>10598</v>
      </c>
      <c r="D6239" t="s">
        <v>6837</v>
      </c>
      <c r="E6239" t="s">
        <v>6838</v>
      </c>
      <c r="F6239" t="s">
        <v>11514</v>
      </c>
      <c r="G6239" t="s">
        <v>3890</v>
      </c>
      <c r="K6239">
        <v>0.78383611967283207</v>
      </c>
      <c r="L6239">
        <v>0</v>
      </c>
      <c r="M6239">
        <v>2.0017466554829593</v>
      </c>
      <c r="N6239">
        <v>2.2607192606520754</v>
      </c>
      <c r="O6239">
        <v>2.4954770466009535</v>
      </c>
      <c r="P6239">
        <v>1.434805155287262</v>
      </c>
      <c r="Q6239">
        <v>2.1144754025819203</v>
      </c>
      <c r="R6239">
        <v>2.0965105087046414</v>
      </c>
      <c r="S6239">
        <v>2.1997979754382575</v>
      </c>
      <c r="T6239">
        <v>2.0533496448571182</v>
      </c>
      <c r="U6239">
        <v>2.3730525236943922</v>
      </c>
      <c r="V6239">
        <v>2.2133355796459986</v>
      </c>
      <c r="W6239">
        <v>2.7655151805670277</v>
      </c>
      <c r="X6239">
        <v>2.5851195392597837</v>
      </c>
      <c r="Y6239">
        <v>3.3085189966584387</v>
      </c>
      <c r="Z6239">
        <v>3.5219680295455276</v>
      </c>
      <c r="AA6239">
        <v>3.7277577621595568</v>
      </c>
      <c r="AB6239">
        <v>3.914289706007132</v>
      </c>
      <c r="AC6239">
        <v>3.7651219737333732</v>
      </c>
      <c r="AD6239">
        <v>4.4254120162884814</v>
      </c>
    </row>
    <row r="6240" spans="2:30" x14ac:dyDescent="0.25">
      <c r="B6240" t="s">
        <v>133</v>
      </c>
      <c r="C6240" t="s">
        <v>10598</v>
      </c>
      <c r="D6240" t="s">
        <v>6840</v>
      </c>
      <c r="E6240" t="s">
        <v>6841</v>
      </c>
      <c r="F6240" t="s">
        <v>11515</v>
      </c>
      <c r="G6240" t="s">
        <v>3890</v>
      </c>
      <c r="K6240">
        <v>0.36356178318154947</v>
      </c>
      <c r="L6240">
        <v>0</v>
      </c>
      <c r="M6240">
        <v>3.1378225717511161</v>
      </c>
      <c r="N6240">
        <v>3.5437730868870014</v>
      </c>
      <c r="O6240">
        <v>1.6840890561022663</v>
      </c>
      <c r="P6240">
        <v>1.0814241703701779</v>
      </c>
      <c r="Q6240">
        <v>1.7703688204071475</v>
      </c>
      <c r="R6240">
        <v>1.9833697822702845</v>
      </c>
      <c r="S6240">
        <v>2.3384319541010075</v>
      </c>
      <c r="T6240">
        <v>2.2491388087358386</v>
      </c>
      <c r="U6240">
        <v>2.6853316412093391</v>
      </c>
      <c r="V6240">
        <v>2.568030085677687</v>
      </c>
      <c r="W6240">
        <v>3.3087490827865236</v>
      </c>
      <c r="X6240">
        <v>3.1695941990479706</v>
      </c>
      <c r="Y6240">
        <v>4.1262468564356087</v>
      </c>
      <c r="Z6240">
        <v>5.2546835017239379</v>
      </c>
      <c r="AA6240">
        <v>4.8630331381057177</v>
      </c>
      <c r="AB6240">
        <v>6.1358147187306651</v>
      </c>
      <c r="AC6240">
        <v>5.3030546281331175</v>
      </c>
      <c r="AD6240">
        <v>6.9370205645021121</v>
      </c>
    </row>
    <row r="6241" spans="2:30" x14ac:dyDescent="0.25">
      <c r="B6241" t="s">
        <v>133</v>
      </c>
      <c r="C6241" t="s">
        <v>10598</v>
      </c>
      <c r="D6241" t="s">
        <v>6843</v>
      </c>
      <c r="E6241" t="s">
        <v>6844</v>
      </c>
      <c r="F6241" t="s">
        <v>11516</v>
      </c>
      <c r="G6241" t="s">
        <v>3890</v>
      </c>
      <c r="K6241">
        <v>0.30008782266323852</v>
      </c>
      <c r="L6241">
        <v>0</v>
      </c>
      <c r="M6241">
        <v>8.8158245569919149</v>
      </c>
      <c r="N6241">
        <v>9.6257711357085753</v>
      </c>
      <c r="O6241">
        <v>0.90737903276914578</v>
      </c>
      <c r="P6241">
        <v>0.53106464159158184</v>
      </c>
      <c r="Q6241">
        <v>0.76684644505681088</v>
      </c>
      <c r="R6241">
        <v>0.78276146591396845</v>
      </c>
      <c r="S6241">
        <v>0.84563793669439324</v>
      </c>
      <c r="T6241">
        <v>0.81798723339232449</v>
      </c>
      <c r="U6241">
        <v>0.98645382494204481</v>
      </c>
      <c r="V6241">
        <v>0.94589850610719661</v>
      </c>
      <c r="W6241">
        <v>1.2287115007094125</v>
      </c>
      <c r="X6241">
        <v>1.1695932105369953</v>
      </c>
      <c r="Y6241">
        <v>1.4576952884909686</v>
      </c>
      <c r="Z6241">
        <v>1.8481069574489477</v>
      </c>
      <c r="AA6241">
        <v>1.5916384152418077</v>
      </c>
      <c r="AB6241">
        <v>7.7384857788965711</v>
      </c>
      <c r="AC6241">
        <v>1.5063220267898214</v>
      </c>
      <c r="AD6241">
        <v>18.72360700019194</v>
      </c>
    </row>
    <row r="6242" spans="2:30" x14ac:dyDescent="0.25">
      <c r="B6242" t="s">
        <v>133</v>
      </c>
      <c r="C6242" t="s">
        <v>10598</v>
      </c>
      <c r="D6242" t="s">
        <v>6846</v>
      </c>
      <c r="E6242" t="s">
        <v>6847</v>
      </c>
      <c r="F6242" t="s">
        <v>11517</v>
      </c>
      <c r="G6242" t="s">
        <v>3890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</row>
    <row r="6243" spans="2:30" x14ac:dyDescent="0.25">
      <c r="B6243" t="s">
        <v>133</v>
      </c>
      <c r="C6243" t="s">
        <v>10598</v>
      </c>
      <c r="D6243" t="s">
        <v>6849</v>
      </c>
      <c r="E6243" t="s">
        <v>6850</v>
      </c>
      <c r="F6243" t="s">
        <v>11518</v>
      </c>
      <c r="G6243" t="s">
        <v>3890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</row>
    <row r="6244" spans="2:30" x14ac:dyDescent="0.25">
      <c r="B6244" t="s">
        <v>133</v>
      </c>
      <c r="C6244" t="s">
        <v>10598</v>
      </c>
      <c r="D6244" t="s">
        <v>6852</v>
      </c>
      <c r="E6244" t="s">
        <v>6853</v>
      </c>
      <c r="F6244" t="s">
        <v>11519</v>
      </c>
      <c r="G6244" t="s">
        <v>3890</v>
      </c>
      <c r="H6244" t="s">
        <v>6853</v>
      </c>
      <c r="I6244" t="s">
        <v>4165</v>
      </c>
      <c r="K6244">
        <v>1.1368175895069652</v>
      </c>
      <c r="L6244">
        <v>1.0917610197470982</v>
      </c>
      <c r="M6244">
        <v>1.0604552177698889</v>
      </c>
      <c r="N6244">
        <v>1.03227909878657</v>
      </c>
      <c r="O6244">
        <v>1</v>
      </c>
      <c r="P6244">
        <v>0.97903567880143105</v>
      </c>
      <c r="Q6244">
        <v>0.95811374720502052</v>
      </c>
      <c r="R6244">
        <v>0.93759960694773214</v>
      </c>
      <c r="S6244">
        <v>0.91750779927332549</v>
      </c>
      <c r="T6244">
        <v>0.897896011223145</v>
      </c>
      <c r="U6244">
        <v>0.897896011223145</v>
      </c>
      <c r="V6244">
        <v>0.897896011223145</v>
      </c>
      <c r="W6244">
        <v>0.897896011223145</v>
      </c>
      <c r="X6244">
        <v>0.897896011223145</v>
      </c>
      <c r="Y6244">
        <v>0.897896011223145</v>
      </c>
      <c r="Z6244">
        <v>0.897896011223145</v>
      </c>
      <c r="AA6244">
        <v>0.897896011223145</v>
      </c>
      <c r="AB6244">
        <v>0.897896011223145</v>
      </c>
      <c r="AC6244">
        <v>0.897896011223145</v>
      </c>
      <c r="AD6244">
        <v>0.897896011223145</v>
      </c>
    </row>
    <row r="6245" spans="2:30" x14ac:dyDescent="0.25">
      <c r="B6245" t="s">
        <v>133</v>
      </c>
      <c r="C6245" t="s">
        <v>10598</v>
      </c>
      <c r="D6245" t="s">
        <v>6855</v>
      </c>
      <c r="E6245" t="s">
        <v>4476</v>
      </c>
      <c r="F6245" t="s">
        <v>11520</v>
      </c>
      <c r="G6245" t="s">
        <v>3890</v>
      </c>
      <c r="H6245" t="s">
        <v>4476</v>
      </c>
      <c r="I6245" t="s">
        <v>3892</v>
      </c>
      <c r="K6245">
        <v>0.14000000000000001</v>
      </c>
      <c r="L6245">
        <v>0.14000000000000001</v>
      </c>
      <c r="M6245">
        <v>0.14000000000000001</v>
      </c>
      <c r="N6245">
        <v>0.14000000000000001</v>
      </c>
      <c r="O6245">
        <v>0.14000000000000001</v>
      </c>
      <c r="P6245">
        <v>0.14000000000000001</v>
      </c>
      <c r="Q6245">
        <v>0.14000000000000001</v>
      </c>
      <c r="R6245">
        <v>0.14000000000000001</v>
      </c>
      <c r="S6245">
        <v>0.14000000000000001</v>
      </c>
      <c r="T6245">
        <v>0.14000000000000001</v>
      </c>
      <c r="U6245">
        <v>0.14000000000000001</v>
      </c>
      <c r="V6245">
        <v>0.14000000000000001</v>
      </c>
      <c r="W6245">
        <v>0.14000000000000001</v>
      </c>
      <c r="X6245">
        <v>0.14000000000000001</v>
      </c>
      <c r="Y6245">
        <v>0.14000000000000001</v>
      </c>
      <c r="Z6245">
        <v>0.14000000000000001</v>
      </c>
      <c r="AA6245">
        <v>0.14000000000000001</v>
      </c>
      <c r="AB6245">
        <v>0.14000000000000001</v>
      </c>
      <c r="AC6245">
        <v>0.14000000000000001</v>
      </c>
      <c r="AD6245">
        <v>0.14000000000000001</v>
      </c>
    </row>
    <row r="6246" spans="2:30" x14ac:dyDescent="0.25">
      <c r="B6246" t="s">
        <v>133</v>
      </c>
      <c r="C6246" t="s">
        <v>10598</v>
      </c>
      <c r="D6246" t="s">
        <v>6857</v>
      </c>
      <c r="E6246" t="s">
        <v>6858</v>
      </c>
      <c r="F6246" t="s">
        <v>11521</v>
      </c>
      <c r="G6246" t="s">
        <v>3890</v>
      </c>
      <c r="H6246" t="s">
        <v>6858</v>
      </c>
      <c r="I6246" t="s">
        <v>6860</v>
      </c>
      <c r="K6246">
        <v>111.75716230528862</v>
      </c>
      <c r="L6246">
        <v>89.403538478705627</v>
      </c>
      <c r="M6246">
        <v>84.949161735266472</v>
      </c>
      <c r="N6246">
        <v>72.686827484089392</v>
      </c>
      <c r="O6246">
        <v>76.093255999999997</v>
      </c>
      <c r="P6246">
        <v>70.958268078865274</v>
      </c>
      <c r="Q6246">
        <v>69.545549719803304</v>
      </c>
      <c r="R6246">
        <v>68.833425107272674</v>
      </c>
      <c r="S6246">
        <v>68.210667701936828</v>
      </c>
      <c r="T6246">
        <v>67.534099175383218</v>
      </c>
      <c r="U6246">
        <v>67.534099175383218</v>
      </c>
      <c r="V6246">
        <v>67.534099175383218</v>
      </c>
      <c r="W6246">
        <v>67.534099175383218</v>
      </c>
      <c r="X6246">
        <v>67.534099175383218</v>
      </c>
      <c r="Y6246">
        <v>67.534099175383218</v>
      </c>
      <c r="Z6246">
        <v>67.534099175383218</v>
      </c>
      <c r="AA6246">
        <v>67.534099175383218</v>
      </c>
      <c r="AB6246">
        <v>67.534099175383218</v>
      </c>
      <c r="AC6246">
        <v>67.534099175383218</v>
      </c>
      <c r="AD6246">
        <v>67.534099175383218</v>
      </c>
    </row>
    <row r="6247" spans="2:30" x14ac:dyDescent="0.25">
      <c r="B6247" t="s">
        <v>133</v>
      </c>
      <c r="C6247" t="s">
        <v>10598</v>
      </c>
      <c r="D6247" t="s">
        <v>6861</v>
      </c>
      <c r="E6247" t="s">
        <v>6862</v>
      </c>
      <c r="F6247" t="s">
        <v>11522</v>
      </c>
      <c r="G6247" t="s">
        <v>3890</v>
      </c>
      <c r="H6247" t="s">
        <v>6862</v>
      </c>
      <c r="I6247" t="s">
        <v>6864</v>
      </c>
      <c r="K6247">
        <v>409.80694455874033</v>
      </c>
      <c r="L6247">
        <v>195.64124003578868</v>
      </c>
      <c r="M6247">
        <v>147.93633497530044</v>
      </c>
      <c r="N6247">
        <v>119.54828976084644</v>
      </c>
      <c r="O6247">
        <v>120.300743</v>
      </c>
      <c r="P6247">
        <v>122.55003123620016</v>
      </c>
      <c r="Q6247">
        <v>121.48350328436834</v>
      </c>
      <c r="R6247">
        <v>120.3397797631516</v>
      </c>
      <c r="S6247">
        <v>119.11569833746792</v>
      </c>
      <c r="T6247">
        <v>117.93440993934053</v>
      </c>
      <c r="U6247">
        <v>117.93440993934054</v>
      </c>
      <c r="V6247">
        <v>117.93440993934055</v>
      </c>
      <c r="W6247">
        <v>117.93440993934054</v>
      </c>
      <c r="X6247">
        <v>117.93440993934053</v>
      </c>
      <c r="Y6247">
        <v>117.93440993934054</v>
      </c>
      <c r="Z6247">
        <v>117.93440993934051</v>
      </c>
      <c r="AA6247">
        <v>117.93440993934053</v>
      </c>
      <c r="AB6247">
        <v>117.93440993934053</v>
      </c>
      <c r="AC6247">
        <v>117.93440993934053</v>
      </c>
      <c r="AD6247">
        <v>117.93440993934051</v>
      </c>
    </row>
    <row r="6248" spans="2:30" x14ac:dyDescent="0.25">
      <c r="B6248" t="s">
        <v>133</v>
      </c>
      <c r="C6248" t="s">
        <v>10598</v>
      </c>
      <c r="D6248" t="s">
        <v>6865</v>
      </c>
      <c r="E6248" t="s">
        <v>6866</v>
      </c>
      <c r="F6248" t="s">
        <v>11523</v>
      </c>
      <c r="G6248" t="s">
        <v>3890</v>
      </c>
      <c r="H6248" t="s">
        <v>6866</v>
      </c>
      <c r="I6248" t="s">
        <v>6868</v>
      </c>
      <c r="K6248">
        <v>26.693896382197355</v>
      </c>
      <c r="L6248">
        <v>10.670418595749961</v>
      </c>
      <c r="M6248">
        <v>8.9942369846005317</v>
      </c>
      <c r="N6248">
        <v>9.6066996433622407</v>
      </c>
      <c r="O6248">
        <v>9.9645608333333335</v>
      </c>
      <c r="P6248">
        <v>9.0393681253503324</v>
      </c>
      <c r="Q6248">
        <v>7.9510314623354663</v>
      </c>
      <c r="R6248">
        <v>7.563351911337068</v>
      </c>
      <c r="S6248">
        <v>7.4533706916082316</v>
      </c>
      <c r="T6248">
        <v>7.3910456015428156</v>
      </c>
      <c r="U6248">
        <v>7.3910456015428165</v>
      </c>
      <c r="V6248">
        <v>7.3910456015428165</v>
      </c>
      <c r="W6248">
        <v>7.3910456015428165</v>
      </c>
      <c r="X6248">
        <v>7.3910456015428156</v>
      </c>
      <c r="Y6248">
        <v>7.3910456015428165</v>
      </c>
      <c r="Z6248">
        <v>7.3910456015428165</v>
      </c>
      <c r="AA6248">
        <v>7.3910456015428156</v>
      </c>
      <c r="AB6248">
        <v>7.3910456015428156</v>
      </c>
      <c r="AC6248">
        <v>7.3910456015428174</v>
      </c>
      <c r="AD6248">
        <v>7.3910456015428156</v>
      </c>
    </row>
    <row r="6249" spans="2:30" x14ac:dyDescent="0.25">
      <c r="B6249" t="s">
        <v>133</v>
      </c>
      <c r="C6249" t="s">
        <v>10598</v>
      </c>
      <c r="D6249" t="s">
        <v>6857</v>
      </c>
      <c r="E6249" t="s">
        <v>6869</v>
      </c>
      <c r="F6249" t="s">
        <v>11524</v>
      </c>
      <c r="G6249" t="s">
        <v>3890</v>
      </c>
      <c r="H6249" t="s">
        <v>6869</v>
      </c>
      <c r="I6249" t="s">
        <v>6860</v>
      </c>
      <c r="K6249">
        <v>18.260974232890298</v>
      </c>
      <c r="L6249">
        <v>14.608421320049938</v>
      </c>
      <c r="M6249">
        <v>13.880581982886678</v>
      </c>
      <c r="N6249">
        <v>11.876932595439444</v>
      </c>
      <c r="O6249">
        <v>12.433538562091503</v>
      </c>
      <c r="P6249">
        <v>11.5944882481806</v>
      </c>
      <c r="Q6249">
        <v>11.36365191500054</v>
      </c>
      <c r="R6249">
        <v>11.247291684194881</v>
      </c>
      <c r="S6249">
        <v>11.145533938224972</v>
      </c>
      <c r="T6249">
        <v>11.034983525389414</v>
      </c>
      <c r="U6249">
        <v>11.034983525389414</v>
      </c>
      <c r="V6249">
        <v>11.034983525389414</v>
      </c>
      <c r="W6249">
        <v>11.034983525389414</v>
      </c>
      <c r="X6249">
        <v>11.034983525389414</v>
      </c>
      <c r="Y6249">
        <v>11.034983525389414</v>
      </c>
      <c r="Z6249">
        <v>11.034983525389414</v>
      </c>
      <c r="AA6249">
        <v>11.034983525389414</v>
      </c>
      <c r="AB6249">
        <v>11.034983525389414</v>
      </c>
      <c r="AC6249">
        <v>11.034983525389414</v>
      </c>
      <c r="AD6249">
        <v>11.034983525389414</v>
      </c>
    </row>
    <row r="6250" spans="2:30" x14ac:dyDescent="0.25">
      <c r="B6250" t="s">
        <v>133</v>
      </c>
      <c r="C6250" t="s">
        <v>10598</v>
      </c>
      <c r="D6250" t="s">
        <v>6861</v>
      </c>
      <c r="E6250" t="s">
        <v>6871</v>
      </c>
      <c r="F6250" t="s">
        <v>11525</v>
      </c>
      <c r="G6250" t="s">
        <v>3890</v>
      </c>
      <c r="H6250" t="s">
        <v>6871</v>
      </c>
      <c r="I6250" t="s">
        <v>6864</v>
      </c>
      <c r="K6250">
        <v>16.300992225884656</v>
      </c>
      <c r="L6250">
        <v>7.7820700093790238</v>
      </c>
      <c r="M6250">
        <v>5.8845001979037557</v>
      </c>
      <c r="N6250">
        <v>4.7553018997950049</v>
      </c>
      <c r="O6250">
        <v>4.7852324184566415</v>
      </c>
      <c r="P6250">
        <v>4.8747029131344526</v>
      </c>
      <c r="Q6250">
        <v>4.8322793669199813</v>
      </c>
      <c r="R6250">
        <v>4.7867851934427836</v>
      </c>
      <c r="S6250">
        <v>4.7380946037178955</v>
      </c>
      <c r="T6250">
        <v>4.6911062028377293</v>
      </c>
      <c r="U6250">
        <v>4.6911062028377293</v>
      </c>
      <c r="V6250">
        <v>4.6911062028377302</v>
      </c>
      <c r="W6250">
        <v>4.6911062028377293</v>
      </c>
      <c r="X6250">
        <v>4.6911062028377293</v>
      </c>
      <c r="Y6250">
        <v>4.6911062028377293</v>
      </c>
      <c r="Z6250">
        <v>4.6911062028377284</v>
      </c>
      <c r="AA6250">
        <v>4.6911062028377293</v>
      </c>
      <c r="AB6250">
        <v>4.6911062028377293</v>
      </c>
      <c r="AC6250">
        <v>4.6911062028377293</v>
      </c>
      <c r="AD6250">
        <v>4.6911062028377284</v>
      </c>
    </row>
    <row r="6251" spans="2:30" x14ac:dyDescent="0.25">
      <c r="B6251" t="s">
        <v>133</v>
      </c>
      <c r="C6251" t="s">
        <v>10598</v>
      </c>
      <c r="D6251" t="s">
        <v>6865</v>
      </c>
      <c r="E6251" t="s">
        <v>6873</v>
      </c>
      <c r="F6251" t="s">
        <v>11526</v>
      </c>
      <c r="G6251" t="s">
        <v>3890</v>
      </c>
      <c r="H6251" t="s">
        <v>6873</v>
      </c>
      <c r="I6251" t="s">
        <v>6868</v>
      </c>
      <c r="K6251">
        <v>25.300928464647711</v>
      </c>
      <c r="L6251">
        <v>10.113604013199263</v>
      </c>
      <c r="M6251">
        <v>8.5248906073237176</v>
      </c>
      <c r="N6251">
        <v>9.1053931197606968</v>
      </c>
      <c r="O6251">
        <v>9.4445800349302154</v>
      </c>
      <c r="P6251">
        <v>8.5676666692102899</v>
      </c>
      <c r="Q6251">
        <v>7.5361226914357777</v>
      </c>
      <c r="R6251">
        <v>7.1686734271328421</v>
      </c>
      <c r="S6251">
        <v>7.0644313587224108</v>
      </c>
      <c r="T6251">
        <v>7.0053585795851747</v>
      </c>
      <c r="U6251">
        <v>7.0053585795851756</v>
      </c>
      <c r="V6251">
        <v>7.0053585795851756</v>
      </c>
      <c r="W6251">
        <v>7.0053585795851756</v>
      </c>
      <c r="X6251">
        <v>7.0053585795851747</v>
      </c>
      <c r="Y6251">
        <v>7.0053585795851756</v>
      </c>
      <c r="Z6251">
        <v>7.0053585795851756</v>
      </c>
      <c r="AA6251">
        <v>7.0053585795851747</v>
      </c>
      <c r="AB6251">
        <v>7.0053585795851747</v>
      </c>
      <c r="AC6251">
        <v>7.0053585795851756</v>
      </c>
      <c r="AD6251">
        <v>7.0053585795851747</v>
      </c>
    </row>
    <row r="6252" spans="2:30" x14ac:dyDescent="0.25">
      <c r="B6252" t="s">
        <v>133</v>
      </c>
      <c r="C6252" t="s">
        <v>10598</v>
      </c>
      <c r="D6252" t="s">
        <v>6875</v>
      </c>
      <c r="E6252" t="s">
        <v>6876</v>
      </c>
      <c r="F6252" t="s">
        <v>11527</v>
      </c>
      <c r="G6252" t="s">
        <v>3890</v>
      </c>
      <c r="H6252" t="s">
        <v>6876</v>
      </c>
      <c r="I6252" t="s">
        <v>6878</v>
      </c>
      <c r="K6252">
        <v>0.66649403623702208</v>
      </c>
      <c r="L6252">
        <v>0.52974010355228474</v>
      </c>
      <c r="M6252">
        <v>0.5026069413629517</v>
      </c>
      <c r="N6252">
        <v>0.44257796119644682</v>
      </c>
      <c r="O6252">
        <v>0.46331913590053142</v>
      </c>
      <c r="P6252">
        <v>0.43205305147276285</v>
      </c>
      <c r="Q6252">
        <v>0.4234512451656256</v>
      </c>
      <c r="R6252">
        <v>0.41911523725276678</v>
      </c>
      <c r="S6252">
        <v>0.4153233713492252</v>
      </c>
      <c r="T6252">
        <v>0.41120385850960756</v>
      </c>
      <c r="U6252">
        <v>0.41120385850960756</v>
      </c>
      <c r="V6252">
        <v>0.41120385850960756</v>
      </c>
      <c r="W6252">
        <v>0.41120385850960756</v>
      </c>
      <c r="X6252">
        <v>0.41120385850960756</v>
      </c>
      <c r="Y6252">
        <v>0.41120385850960756</v>
      </c>
      <c r="Z6252">
        <v>0.41120385850960756</v>
      </c>
      <c r="AA6252">
        <v>0.41120385850960756</v>
      </c>
      <c r="AB6252">
        <v>0.41120385850960756</v>
      </c>
      <c r="AC6252">
        <v>0.41120385850960756</v>
      </c>
      <c r="AD6252">
        <v>0.41120385850960756</v>
      </c>
    </row>
    <row r="6253" spans="2:30" x14ac:dyDescent="0.25">
      <c r="B6253" t="s">
        <v>133</v>
      </c>
      <c r="C6253" t="s">
        <v>10598</v>
      </c>
      <c r="D6253" t="s">
        <v>6879</v>
      </c>
      <c r="E6253" t="s">
        <v>6880</v>
      </c>
      <c r="F6253" t="s">
        <v>11528</v>
      </c>
      <c r="G6253" t="s">
        <v>3890</v>
      </c>
      <c r="H6253" t="s">
        <v>6880</v>
      </c>
      <c r="I6253" t="s">
        <v>6878</v>
      </c>
      <c r="K6253">
        <v>0.69186626801993456</v>
      </c>
      <c r="L6253">
        <v>0.54990635855423164</v>
      </c>
      <c r="M6253">
        <v>0.52174028557704244</v>
      </c>
      <c r="N6253">
        <v>0.45942610987139121</v>
      </c>
      <c r="O6253">
        <v>0.48095686387165837</v>
      </c>
      <c r="P6253">
        <v>0.44850053572389442</v>
      </c>
      <c r="Q6253">
        <v>0.43957127408856161</v>
      </c>
      <c r="R6253">
        <v>0.43507020213642233</v>
      </c>
      <c r="S6253">
        <v>0.43113398670330721</v>
      </c>
      <c r="T6253">
        <v>0.42685765140329729</v>
      </c>
      <c r="U6253">
        <v>0.42685765140329729</v>
      </c>
      <c r="V6253">
        <v>0.42685765140329729</v>
      </c>
      <c r="W6253">
        <v>0.42685765140329729</v>
      </c>
      <c r="X6253">
        <v>0.42685765140329729</v>
      </c>
      <c r="Y6253">
        <v>0.42685765140329729</v>
      </c>
      <c r="Z6253">
        <v>0.42685765140329729</v>
      </c>
      <c r="AA6253">
        <v>0.42685765140329729</v>
      </c>
      <c r="AB6253">
        <v>0.42685765140329729</v>
      </c>
      <c r="AC6253">
        <v>0.42685765140329729</v>
      </c>
      <c r="AD6253">
        <v>0.42685765140329729</v>
      </c>
    </row>
    <row r="6254" spans="2:30" x14ac:dyDescent="0.25">
      <c r="B6254" t="s">
        <v>133</v>
      </c>
      <c r="C6254" t="s">
        <v>10598</v>
      </c>
      <c r="D6254" t="s">
        <v>6882</v>
      </c>
      <c r="E6254" t="s">
        <v>6883</v>
      </c>
      <c r="F6254" t="s">
        <v>11529</v>
      </c>
      <c r="G6254" t="s">
        <v>3890</v>
      </c>
      <c r="H6254" t="s">
        <v>6883</v>
      </c>
      <c r="I6254" t="s">
        <v>6878</v>
      </c>
      <c r="K6254">
        <v>0.69186626801993456</v>
      </c>
      <c r="L6254">
        <v>0.54990635855423164</v>
      </c>
      <c r="M6254">
        <v>0.52174028557704244</v>
      </c>
      <c r="N6254">
        <v>0.45942610987139121</v>
      </c>
      <c r="O6254">
        <v>0.48095686387165837</v>
      </c>
      <c r="P6254">
        <v>0.44850053572389442</v>
      </c>
      <c r="Q6254">
        <v>0.43957127408856161</v>
      </c>
      <c r="R6254">
        <v>0.43507020213642233</v>
      </c>
      <c r="S6254">
        <v>0.43113398670330721</v>
      </c>
      <c r="T6254">
        <v>0.42685765140329729</v>
      </c>
      <c r="U6254">
        <v>0.42685765140329729</v>
      </c>
      <c r="V6254">
        <v>0.42685765140329729</v>
      </c>
      <c r="W6254">
        <v>0.42685765140329729</v>
      </c>
      <c r="X6254">
        <v>0.42685765140329729</v>
      </c>
      <c r="Y6254">
        <v>0.42685765140329729</v>
      </c>
      <c r="Z6254">
        <v>0.42685765140329729</v>
      </c>
      <c r="AA6254">
        <v>0.42685765140329729</v>
      </c>
      <c r="AB6254">
        <v>0.42685765140329729</v>
      </c>
      <c r="AC6254">
        <v>0.42685765140329729</v>
      </c>
      <c r="AD6254">
        <v>0.42685765140329729</v>
      </c>
    </row>
    <row r="6255" spans="2:30" x14ac:dyDescent="0.25">
      <c r="B6255" t="s">
        <v>133</v>
      </c>
      <c r="C6255" t="s">
        <v>10598</v>
      </c>
      <c r="D6255" t="s">
        <v>6885</v>
      </c>
      <c r="E6255" t="s">
        <v>6886</v>
      </c>
      <c r="F6255" t="s">
        <v>11530</v>
      </c>
      <c r="G6255" t="s">
        <v>3890</v>
      </c>
      <c r="H6255" t="s">
        <v>6886</v>
      </c>
      <c r="I6255" t="s">
        <v>6878</v>
      </c>
      <c r="K6255">
        <v>0.55763179275081687</v>
      </c>
      <c r="L6255">
        <v>0.44321465395800225</v>
      </c>
      <c r="M6255">
        <v>0.42051330473054166</v>
      </c>
      <c r="N6255">
        <v>0.37028919767589552</v>
      </c>
      <c r="O6255">
        <v>0.38764259891455777</v>
      </c>
      <c r="P6255">
        <v>0.36148338103139183</v>
      </c>
      <c r="Q6255">
        <v>0.35428655643709278</v>
      </c>
      <c r="R6255">
        <v>0.35065877323969097</v>
      </c>
      <c r="S6255">
        <v>0.34748625425722457</v>
      </c>
      <c r="T6255">
        <v>0.34403960476732715</v>
      </c>
      <c r="U6255">
        <v>0.34403960476732715</v>
      </c>
      <c r="V6255">
        <v>0.34403960476732715</v>
      </c>
      <c r="W6255">
        <v>0.34403960476732715</v>
      </c>
      <c r="X6255">
        <v>0.34403960476732715</v>
      </c>
      <c r="Y6255">
        <v>0.34403960476732715</v>
      </c>
      <c r="Z6255">
        <v>0.34403960476732715</v>
      </c>
      <c r="AA6255">
        <v>0.34403960476732715</v>
      </c>
      <c r="AB6255">
        <v>0.34403960476732715</v>
      </c>
      <c r="AC6255">
        <v>0.34403960476732715</v>
      </c>
      <c r="AD6255">
        <v>0.34403960476732715</v>
      </c>
    </row>
    <row r="6256" spans="2:30" x14ac:dyDescent="0.25">
      <c r="B6256" t="s">
        <v>133</v>
      </c>
      <c r="C6256" t="s">
        <v>10598</v>
      </c>
      <c r="D6256" t="s">
        <v>6888</v>
      </c>
      <c r="E6256" t="s">
        <v>6889</v>
      </c>
      <c r="F6256" t="s">
        <v>11531</v>
      </c>
      <c r="G6256" t="s">
        <v>3890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</row>
    <row r="6257" spans="2:30" x14ac:dyDescent="0.25">
      <c r="B6257" t="s">
        <v>133</v>
      </c>
      <c r="C6257" t="s">
        <v>10598</v>
      </c>
      <c r="D6257" t="s">
        <v>6891</v>
      </c>
      <c r="E6257" t="s">
        <v>6892</v>
      </c>
      <c r="F6257" t="s">
        <v>11532</v>
      </c>
      <c r="G6257" t="s">
        <v>3890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</row>
    <row r="6258" spans="2:30" x14ac:dyDescent="0.25">
      <c r="B6258" t="s">
        <v>133</v>
      </c>
      <c r="C6258" t="s">
        <v>10598</v>
      </c>
      <c r="D6258" t="s">
        <v>6894</v>
      </c>
      <c r="E6258" t="s">
        <v>6895</v>
      </c>
      <c r="F6258" t="s">
        <v>11533</v>
      </c>
      <c r="G6258" t="s">
        <v>3890</v>
      </c>
      <c r="H6258" t="s">
        <v>6897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</row>
    <row r="6259" spans="2:30" x14ac:dyDescent="0.25">
      <c r="B6259" t="s">
        <v>133</v>
      </c>
      <c r="C6259" t="s">
        <v>10598</v>
      </c>
      <c r="D6259" t="s">
        <v>6898</v>
      </c>
      <c r="E6259" t="s">
        <v>6899</v>
      </c>
      <c r="F6259" t="s">
        <v>11534</v>
      </c>
      <c r="G6259" t="s">
        <v>3890</v>
      </c>
      <c r="H6259" t="s">
        <v>6897</v>
      </c>
      <c r="J6259">
        <v>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</row>
    <row r="6260" spans="2:30" x14ac:dyDescent="0.25">
      <c r="B6260" t="s">
        <v>133</v>
      </c>
      <c r="C6260" t="s">
        <v>10598</v>
      </c>
      <c r="D6260" t="s">
        <v>6901</v>
      </c>
      <c r="E6260" t="s">
        <v>6902</v>
      </c>
      <c r="F6260" t="s">
        <v>11535</v>
      </c>
      <c r="G6260" t="s">
        <v>3890</v>
      </c>
      <c r="H6260" t="s">
        <v>6897</v>
      </c>
      <c r="J6260">
        <v>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</row>
    <row r="6261" spans="2:30" x14ac:dyDescent="0.25">
      <c r="B6261" t="s">
        <v>133</v>
      </c>
      <c r="C6261" t="s">
        <v>10598</v>
      </c>
      <c r="D6261" t="s">
        <v>6904</v>
      </c>
      <c r="E6261" t="s">
        <v>6905</v>
      </c>
      <c r="F6261" t="s">
        <v>11536</v>
      </c>
      <c r="G6261" t="s">
        <v>3890</v>
      </c>
      <c r="H6261" t="s">
        <v>6897</v>
      </c>
      <c r="J6261">
        <v>1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</row>
    <row r="6262" spans="2:30" x14ac:dyDescent="0.25">
      <c r="B6262" t="s">
        <v>133</v>
      </c>
      <c r="C6262" t="s">
        <v>10598</v>
      </c>
      <c r="D6262" t="s">
        <v>6907</v>
      </c>
      <c r="E6262" t="s">
        <v>6908</v>
      </c>
      <c r="F6262" t="s">
        <v>11537</v>
      </c>
      <c r="G6262" t="s">
        <v>3890</v>
      </c>
      <c r="H6262" t="s">
        <v>6897</v>
      </c>
      <c r="J6262">
        <v>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</row>
    <row r="6263" spans="2:30" x14ac:dyDescent="0.25">
      <c r="B6263" t="s">
        <v>133</v>
      </c>
      <c r="C6263" t="s">
        <v>10598</v>
      </c>
      <c r="D6263" t="s">
        <v>6910</v>
      </c>
      <c r="E6263" t="s">
        <v>6911</v>
      </c>
      <c r="F6263" t="s">
        <v>11538</v>
      </c>
      <c r="G6263" t="s">
        <v>3890</v>
      </c>
      <c r="H6263" t="s">
        <v>6897</v>
      </c>
      <c r="J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</row>
    <row r="6264" spans="2:30" x14ac:dyDescent="0.25">
      <c r="B6264" t="s">
        <v>133</v>
      </c>
      <c r="C6264" t="s">
        <v>10598</v>
      </c>
      <c r="D6264" t="s">
        <v>6913</v>
      </c>
      <c r="E6264" t="s">
        <v>6914</v>
      </c>
      <c r="F6264" t="s">
        <v>11539</v>
      </c>
      <c r="G6264" t="s">
        <v>3890</v>
      </c>
      <c r="H6264" t="s">
        <v>6897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</row>
    <row r="6265" spans="2:30" x14ac:dyDescent="0.25">
      <c r="B6265" t="s">
        <v>133</v>
      </c>
      <c r="C6265" t="s">
        <v>10598</v>
      </c>
      <c r="D6265" t="s">
        <v>6916</v>
      </c>
      <c r="E6265" t="s">
        <v>6917</v>
      </c>
      <c r="F6265" t="s">
        <v>11540</v>
      </c>
      <c r="G6265" t="s">
        <v>3890</v>
      </c>
      <c r="H6265" t="s">
        <v>6897</v>
      </c>
      <c r="J6265">
        <v>1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</row>
    <row r="6266" spans="2:30" x14ac:dyDescent="0.25">
      <c r="B6266" t="s">
        <v>133</v>
      </c>
      <c r="C6266" t="s">
        <v>10598</v>
      </c>
      <c r="D6266" t="s">
        <v>6919</v>
      </c>
      <c r="E6266" t="s">
        <v>6920</v>
      </c>
      <c r="F6266" t="s">
        <v>11541</v>
      </c>
      <c r="G6266" t="s">
        <v>3890</v>
      </c>
      <c r="H6266" t="s">
        <v>6897</v>
      </c>
      <c r="J6266">
        <v>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</row>
    <row r="6267" spans="2:30" x14ac:dyDescent="0.25">
      <c r="B6267" t="s">
        <v>133</v>
      </c>
      <c r="C6267" t="s">
        <v>10598</v>
      </c>
      <c r="D6267" t="s">
        <v>6922</v>
      </c>
      <c r="E6267" t="s">
        <v>6923</v>
      </c>
      <c r="F6267" t="s">
        <v>11542</v>
      </c>
      <c r="G6267" t="s">
        <v>3890</v>
      </c>
      <c r="H6267" t="s">
        <v>6925</v>
      </c>
      <c r="J6267">
        <v>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</row>
    <row r="6268" spans="2:30" x14ac:dyDescent="0.25">
      <c r="B6268" t="s">
        <v>133</v>
      </c>
      <c r="C6268" t="s">
        <v>10598</v>
      </c>
      <c r="D6268" t="s">
        <v>6926</v>
      </c>
      <c r="E6268" t="s">
        <v>6927</v>
      </c>
      <c r="F6268" t="s">
        <v>11543</v>
      </c>
      <c r="G6268" t="s">
        <v>3890</v>
      </c>
      <c r="H6268" t="s">
        <v>6925</v>
      </c>
      <c r="J6268">
        <v>1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</row>
    <row r="6269" spans="2:30" x14ac:dyDescent="0.25">
      <c r="B6269" t="s">
        <v>133</v>
      </c>
      <c r="C6269" t="s">
        <v>10598</v>
      </c>
      <c r="D6269" t="s">
        <v>6929</v>
      </c>
      <c r="E6269" t="s">
        <v>6930</v>
      </c>
      <c r="F6269" t="s">
        <v>11544</v>
      </c>
      <c r="G6269" t="s">
        <v>3890</v>
      </c>
      <c r="H6269" t="s">
        <v>6925</v>
      </c>
      <c r="J6269">
        <v>1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</row>
    <row r="6270" spans="2:30" x14ac:dyDescent="0.25">
      <c r="B6270" t="s">
        <v>133</v>
      </c>
      <c r="C6270" t="s">
        <v>10598</v>
      </c>
      <c r="D6270" t="s">
        <v>6932</v>
      </c>
      <c r="E6270" t="s">
        <v>6933</v>
      </c>
      <c r="F6270" t="s">
        <v>11545</v>
      </c>
      <c r="G6270" t="s">
        <v>3890</v>
      </c>
      <c r="H6270" t="s">
        <v>6925</v>
      </c>
      <c r="J6270">
        <v>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</row>
    <row r="6271" spans="2:30" x14ac:dyDescent="0.25">
      <c r="B6271" t="s">
        <v>133</v>
      </c>
      <c r="C6271" t="s">
        <v>10598</v>
      </c>
      <c r="D6271" t="s">
        <v>6935</v>
      </c>
      <c r="E6271" t="s">
        <v>6936</v>
      </c>
      <c r="F6271" t="s">
        <v>11546</v>
      </c>
      <c r="G6271" t="s">
        <v>3890</v>
      </c>
      <c r="H6271" t="s">
        <v>6925</v>
      </c>
      <c r="J6271">
        <v>1</v>
      </c>
      <c r="K6271">
        <v>6.5115671266546826E-4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</row>
    <row r="6272" spans="2:30" x14ac:dyDescent="0.25">
      <c r="B6272" t="s">
        <v>133</v>
      </c>
      <c r="C6272" t="s">
        <v>10598</v>
      </c>
      <c r="D6272" t="s">
        <v>6938</v>
      </c>
      <c r="E6272" t="s">
        <v>6939</v>
      </c>
      <c r="F6272" t="s">
        <v>11547</v>
      </c>
      <c r="G6272" t="s">
        <v>3890</v>
      </c>
      <c r="H6272" t="s">
        <v>6925</v>
      </c>
      <c r="J6272">
        <v>1</v>
      </c>
      <c r="K6272">
        <v>0.16861237962541242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</row>
    <row r="6273" spans="2:30" x14ac:dyDescent="0.25">
      <c r="B6273" t="s">
        <v>133</v>
      </c>
      <c r="C6273" t="s">
        <v>10598</v>
      </c>
      <c r="D6273" t="s">
        <v>6941</v>
      </c>
      <c r="E6273" t="s">
        <v>6942</v>
      </c>
      <c r="F6273" t="s">
        <v>11548</v>
      </c>
      <c r="G6273" t="s">
        <v>3890</v>
      </c>
      <c r="H6273" t="s">
        <v>6925</v>
      </c>
      <c r="J6273">
        <v>1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</row>
    <row r="6274" spans="2:30" x14ac:dyDescent="0.25">
      <c r="B6274" t="s">
        <v>133</v>
      </c>
      <c r="C6274" t="s">
        <v>10598</v>
      </c>
      <c r="D6274" t="s">
        <v>6944</v>
      </c>
      <c r="E6274" t="s">
        <v>6945</v>
      </c>
      <c r="F6274" t="s">
        <v>11549</v>
      </c>
      <c r="G6274" t="s">
        <v>3890</v>
      </c>
      <c r="H6274" t="s">
        <v>6925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</row>
    <row r="6275" spans="2:30" x14ac:dyDescent="0.25">
      <c r="B6275" t="s">
        <v>133</v>
      </c>
      <c r="C6275" t="s">
        <v>10598</v>
      </c>
      <c r="D6275" t="s">
        <v>6947</v>
      </c>
      <c r="E6275" t="s">
        <v>6948</v>
      </c>
      <c r="F6275" t="s">
        <v>11550</v>
      </c>
      <c r="G6275" t="s">
        <v>3890</v>
      </c>
      <c r="H6275" t="s">
        <v>6925</v>
      </c>
      <c r="J6275">
        <v>1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</row>
    <row r="6276" spans="2:30" x14ac:dyDescent="0.25">
      <c r="B6276" t="s">
        <v>133</v>
      </c>
      <c r="C6276" t="s">
        <v>10598</v>
      </c>
      <c r="D6276" t="s">
        <v>6950</v>
      </c>
      <c r="E6276" t="s">
        <v>6951</v>
      </c>
      <c r="F6276" t="s">
        <v>11551</v>
      </c>
      <c r="G6276" t="s">
        <v>3890</v>
      </c>
      <c r="H6276" t="s">
        <v>6925</v>
      </c>
      <c r="J6276">
        <v>1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</row>
    <row r="6277" spans="2:30" x14ac:dyDescent="0.25">
      <c r="B6277" t="s">
        <v>133</v>
      </c>
      <c r="C6277" t="s">
        <v>10598</v>
      </c>
      <c r="D6277" t="s">
        <v>6953</v>
      </c>
      <c r="E6277" t="s">
        <v>6954</v>
      </c>
      <c r="F6277" t="s">
        <v>11552</v>
      </c>
      <c r="G6277" t="s">
        <v>3890</v>
      </c>
      <c r="H6277" t="s">
        <v>6925</v>
      </c>
      <c r="J6277">
        <v>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</row>
    <row r="6278" spans="2:30" x14ac:dyDescent="0.25">
      <c r="B6278" t="s">
        <v>133</v>
      </c>
      <c r="C6278" t="s">
        <v>10598</v>
      </c>
      <c r="D6278" t="s">
        <v>6956</v>
      </c>
      <c r="E6278" t="s">
        <v>6957</v>
      </c>
      <c r="F6278" t="s">
        <v>11553</v>
      </c>
      <c r="G6278" t="s">
        <v>3890</v>
      </c>
      <c r="H6278" t="s">
        <v>6925</v>
      </c>
      <c r="J6278">
        <v>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</row>
    <row r="6279" spans="2:30" x14ac:dyDescent="0.25">
      <c r="B6279" t="s">
        <v>133</v>
      </c>
      <c r="C6279" t="s">
        <v>10598</v>
      </c>
      <c r="D6279" t="s">
        <v>6959</v>
      </c>
      <c r="E6279" t="s">
        <v>6960</v>
      </c>
      <c r="F6279" t="s">
        <v>11554</v>
      </c>
      <c r="G6279" t="s">
        <v>3890</v>
      </c>
      <c r="H6279" t="s">
        <v>4401</v>
      </c>
      <c r="J6279">
        <v>1</v>
      </c>
      <c r="K6279">
        <v>13.300765797231492</v>
      </c>
      <c r="L6279">
        <v>6.6597422204572982</v>
      </c>
      <c r="M6279">
        <v>5.9120378390671311</v>
      </c>
      <c r="N6279">
        <v>10.667339738862136</v>
      </c>
      <c r="O6279">
        <v>10.697270257523773</v>
      </c>
      <c r="P6279">
        <v>10.786740752201585</v>
      </c>
      <c r="Q6279">
        <v>10.744317205987112</v>
      </c>
      <c r="R6279">
        <v>10.698823032509914</v>
      </c>
      <c r="S6279">
        <v>10.650132442785026</v>
      </c>
      <c r="T6279">
        <v>10.60314404190486</v>
      </c>
      <c r="U6279">
        <v>10.60314404190486</v>
      </c>
      <c r="V6279">
        <v>10.603144041904862</v>
      </c>
      <c r="W6279">
        <v>10.60314404190486</v>
      </c>
      <c r="X6279">
        <v>10.60314404190486</v>
      </c>
      <c r="Y6279">
        <v>10.60314404190486</v>
      </c>
      <c r="Z6279">
        <v>10.603144041904859</v>
      </c>
      <c r="AA6279">
        <v>10.60314404190486</v>
      </c>
      <c r="AB6279">
        <v>10.60314404190486</v>
      </c>
      <c r="AC6279">
        <v>10.60314404190486</v>
      </c>
      <c r="AD6279">
        <v>10.603144041904859</v>
      </c>
    </row>
    <row r="6280" spans="2:30" x14ac:dyDescent="0.25">
      <c r="B6280" t="s">
        <v>133</v>
      </c>
      <c r="C6280" t="s">
        <v>10598</v>
      </c>
      <c r="D6280" t="s">
        <v>6962</v>
      </c>
      <c r="E6280" t="s">
        <v>6963</v>
      </c>
      <c r="F6280" t="s">
        <v>11555</v>
      </c>
      <c r="G6280" t="s">
        <v>3890</v>
      </c>
      <c r="H6280" t="s">
        <v>4401</v>
      </c>
      <c r="J6280">
        <v>1</v>
      </c>
      <c r="K6280">
        <v>20.341077129048131</v>
      </c>
      <c r="L6280">
        <v>13.728894823319759</v>
      </c>
      <c r="M6280">
        <v>12.932251380703796</v>
      </c>
      <c r="N6280">
        <v>4.7553018997950049</v>
      </c>
      <c r="O6280">
        <v>4.7852324184566415</v>
      </c>
      <c r="P6280">
        <v>4.8747029131344526</v>
      </c>
      <c r="Q6280">
        <v>4.8322793669199813</v>
      </c>
      <c r="R6280">
        <v>4.7867851934427836</v>
      </c>
      <c r="S6280">
        <v>4.7380946037178955</v>
      </c>
      <c r="T6280">
        <v>4.6911062028377293</v>
      </c>
      <c r="U6280">
        <v>4.6911062028377293</v>
      </c>
      <c r="V6280">
        <v>4.6911062028377302</v>
      </c>
      <c r="W6280">
        <v>4.6911062028377293</v>
      </c>
      <c r="X6280">
        <v>4.6911062028377293</v>
      </c>
      <c r="Y6280">
        <v>4.6911062028377293</v>
      </c>
      <c r="Z6280">
        <v>4.6911062028377284</v>
      </c>
      <c r="AA6280">
        <v>4.6911062028377293</v>
      </c>
      <c r="AB6280">
        <v>4.6911062028377293</v>
      </c>
      <c r="AC6280">
        <v>4.6911062028377293</v>
      </c>
      <c r="AD6280">
        <v>4.6911062028377284</v>
      </c>
    </row>
    <row r="6281" spans="2:30" x14ac:dyDescent="0.25">
      <c r="B6281" t="s">
        <v>133</v>
      </c>
      <c r="C6281" t="s">
        <v>10598</v>
      </c>
      <c r="D6281" t="s">
        <v>6965</v>
      </c>
      <c r="E6281" t="s">
        <v>6966</v>
      </c>
      <c r="F6281" t="s">
        <v>11556</v>
      </c>
      <c r="G6281" t="s">
        <v>3890</v>
      </c>
      <c r="H6281" t="s">
        <v>4401</v>
      </c>
      <c r="J6281">
        <v>1</v>
      </c>
      <c r="K6281">
        <v>11.120349660557133</v>
      </c>
      <c r="L6281">
        <v>8.6107191627453634</v>
      </c>
      <c r="M6281">
        <v>7.5769525309658565</v>
      </c>
      <c r="N6281">
        <v>4.7553018997950049</v>
      </c>
      <c r="O6281">
        <v>4.7852324184566415</v>
      </c>
      <c r="P6281">
        <v>4.8747029131344526</v>
      </c>
      <c r="Q6281">
        <v>4.8322793669199813</v>
      </c>
      <c r="R6281">
        <v>4.7867851934427836</v>
      </c>
      <c r="S6281">
        <v>4.7380946037178955</v>
      </c>
      <c r="T6281">
        <v>4.6911062028377293</v>
      </c>
      <c r="U6281">
        <v>4.6911062028377293</v>
      </c>
      <c r="V6281">
        <v>4.6911062028377302</v>
      </c>
      <c r="W6281">
        <v>4.6911062028377293</v>
      </c>
      <c r="X6281">
        <v>4.6911062028377293</v>
      </c>
      <c r="Y6281">
        <v>4.6911062028377293</v>
      </c>
      <c r="Z6281">
        <v>4.6911062028377284</v>
      </c>
      <c r="AA6281">
        <v>4.6911062028377293</v>
      </c>
      <c r="AB6281">
        <v>4.6911062028377293</v>
      </c>
      <c r="AC6281">
        <v>4.6911062028377293</v>
      </c>
      <c r="AD6281">
        <v>4.6911062028377284</v>
      </c>
    </row>
    <row r="6282" spans="2:30" x14ac:dyDescent="0.25">
      <c r="B6282" t="s">
        <v>133</v>
      </c>
      <c r="C6282" t="s">
        <v>10598</v>
      </c>
      <c r="D6282" t="s">
        <v>6968</v>
      </c>
      <c r="E6282" t="s">
        <v>6969</v>
      </c>
      <c r="F6282" t="s">
        <v>11557</v>
      </c>
      <c r="G6282" t="s">
        <v>3890</v>
      </c>
      <c r="H6282" t="s">
        <v>4401</v>
      </c>
      <c r="J6282">
        <v>1</v>
      </c>
      <c r="K6282">
        <v>11.487541741967885</v>
      </c>
      <c r="L6282">
        <v>9.3891447698250445</v>
      </c>
      <c r="M6282">
        <v>8.7667832853036707</v>
      </c>
      <c r="N6282">
        <v>9.1053931197606968</v>
      </c>
      <c r="O6282">
        <v>9.4445800349302154</v>
      </c>
      <c r="P6282">
        <v>8.5676666692102899</v>
      </c>
      <c r="Q6282">
        <v>7.5361226914357777</v>
      </c>
      <c r="R6282">
        <v>7.1686734271328421</v>
      </c>
      <c r="S6282">
        <v>7.0644313587224108</v>
      </c>
      <c r="T6282">
        <v>7.0053585795851747</v>
      </c>
      <c r="U6282">
        <v>7.0053585795851756</v>
      </c>
      <c r="V6282">
        <v>7.0053585795851756</v>
      </c>
      <c r="W6282">
        <v>7.0053585795851756</v>
      </c>
      <c r="X6282">
        <v>7.0053585795851747</v>
      </c>
      <c r="Y6282">
        <v>7.0053585795851756</v>
      </c>
      <c r="Z6282">
        <v>7.0053585795851756</v>
      </c>
      <c r="AA6282">
        <v>7.0053585795851747</v>
      </c>
      <c r="AB6282">
        <v>7.0053585795851747</v>
      </c>
      <c r="AC6282">
        <v>7.0053585795851756</v>
      </c>
      <c r="AD6282">
        <v>7.0053585795851747</v>
      </c>
    </row>
    <row r="6283" spans="2:30" x14ac:dyDescent="0.25">
      <c r="B6283" t="s">
        <v>133</v>
      </c>
      <c r="C6283" t="s">
        <v>10598</v>
      </c>
      <c r="D6283" t="s">
        <v>6971</v>
      </c>
      <c r="E6283" t="s">
        <v>6972</v>
      </c>
      <c r="F6283" t="s">
        <v>11558</v>
      </c>
      <c r="G6283" t="s">
        <v>3890</v>
      </c>
      <c r="H6283" t="s">
        <v>4401</v>
      </c>
      <c r="J6283">
        <v>1</v>
      </c>
      <c r="K6283">
        <v>16.896519832842024</v>
      </c>
      <c r="L6283">
        <v>15.007346977443612</v>
      </c>
      <c r="M6283">
        <v>14.387195939484084</v>
      </c>
      <c r="N6283">
        <v>9.1053931197606968</v>
      </c>
      <c r="O6283">
        <v>9.4445800349302154</v>
      </c>
      <c r="P6283">
        <v>8.5676666692102899</v>
      </c>
      <c r="Q6283">
        <v>7.5361226914357777</v>
      </c>
      <c r="R6283">
        <v>7.1686734271328421</v>
      </c>
      <c r="S6283">
        <v>7.0644313587224108</v>
      </c>
      <c r="T6283">
        <v>7.0053585795851747</v>
      </c>
      <c r="U6283">
        <v>7.0053585795851756</v>
      </c>
      <c r="V6283">
        <v>7.0053585795851756</v>
      </c>
      <c r="W6283">
        <v>7.0053585795851756</v>
      </c>
      <c r="X6283">
        <v>7.0053585795851747</v>
      </c>
      <c r="Y6283">
        <v>7.0053585795851756</v>
      </c>
      <c r="Z6283">
        <v>7.0053585795851756</v>
      </c>
      <c r="AA6283">
        <v>7.0053585795851747</v>
      </c>
      <c r="AB6283">
        <v>7.0053585795851747</v>
      </c>
      <c r="AC6283">
        <v>7.0053585795851756</v>
      </c>
      <c r="AD6283">
        <v>7.0053585795851747</v>
      </c>
    </row>
    <row r="6284" spans="2:30" x14ac:dyDescent="0.25">
      <c r="B6284" t="s">
        <v>133</v>
      </c>
      <c r="C6284" t="s">
        <v>10598</v>
      </c>
      <c r="D6284" t="s">
        <v>6974</v>
      </c>
      <c r="E6284" t="s">
        <v>6975</v>
      </c>
      <c r="F6284" t="s">
        <v>11559</v>
      </c>
      <c r="G6284" t="s">
        <v>3890</v>
      </c>
      <c r="H6284" t="s">
        <v>4401</v>
      </c>
      <c r="J6284">
        <v>1</v>
      </c>
      <c r="K6284">
        <v>12.26057770283262</v>
      </c>
      <c r="L6284">
        <v>10.191589119339163</v>
      </c>
      <c r="M6284">
        <v>9.5695478851554761</v>
      </c>
      <c r="N6284">
        <v>9.1053931197606968</v>
      </c>
      <c r="O6284">
        <v>9.4445800349302154</v>
      </c>
      <c r="P6284">
        <v>8.5676666692102899</v>
      </c>
      <c r="Q6284">
        <v>7.5361226914357777</v>
      </c>
      <c r="R6284">
        <v>7.1686734271328421</v>
      </c>
      <c r="S6284">
        <v>7.0644313587224108</v>
      </c>
      <c r="T6284">
        <v>7.0053585795851747</v>
      </c>
      <c r="U6284">
        <v>7.0053585795851756</v>
      </c>
      <c r="V6284">
        <v>7.0053585795851756</v>
      </c>
      <c r="W6284">
        <v>7.0053585795851756</v>
      </c>
      <c r="X6284">
        <v>7.0053585795851747</v>
      </c>
      <c r="Y6284">
        <v>7.0053585795851756</v>
      </c>
      <c r="Z6284">
        <v>7.0053585795851756</v>
      </c>
      <c r="AA6284">
        <v>7.0053585795851747</v>
      </c>
      <c r="AB6284">
        <v>7.0053585795851747</v>
      </c>
      <c r="AC6284">
        <v>7.0053585795851756</v>
      </c>
      <c r="AD6284">
        <v>7.0053585795851747</v>
      </c>
    </row>
    <row r="6285" spans="2:30" x14ac:dyDescent="0.25">
      <c r="B6285" t="s">
        <v>133</v>
      </c>
      <c r="C6285" t="s">
        <v>10598</v>
      </c>
      <c r="D6285" t="s">
        <v>6977</v>
      </c>
      <c r="E6285" t="s">
        <v>6978</v>
      </c>
      <c r="F6285" t="s">
        <v>11560</v>
      </c>
      <c r="G6285" t="s">
        <v>3890</v>
      </c>
      <c r="H6285" t="s">
        <v>4401</v>
      </c>
      <c r="J6285">
        <v>1</v>
      </c>
      <c r="K6285">
        <v>0.96288449831239953</v>
      </c>
      <c r="L6285">
        <v>0.81772900379057656</v>
      </c>
      <c r="M6285">
        <v>0.76352775679432006</v>
      </c>
      <c r="N6285">
        <v>0.44257796119644682</v>
      </c>
      <c r="O6285">
        <v>0.46331913590053142</v>
      </c>
      <c r="P6285">
        <v>0.43205305147276285</v>
      </c>
      <c r="Q6285">
        <v>0.4234512451656256</v>
      </c>
      <c r="R6285">
        <v>0.41911523725276678</v>
      </c>
      <c r="S6285">
        <v>0.4153233713492252</v>
      </c>
      <c r="T6285">
        <v>0.41120385850960756</v>
      </c>
      <c r="U6285">
        <v>0.41120385850960756</v>
      </c>
      <c r="V6285">
        <v>0.41120385850960756</v>
      </c>
      <c r="W6285">
        <v>0.41120385850960756</v>
      </c>
      <c r="X6285">
        <v>0.41120385850960756</v>
      </c>
      <c r="Y6285">
        <v>0.41120385850960756</v>
      </c>
      <c r="Z6285">
        <v>0.41120385850960756</v>
      </c>
      <c r="AA6285">
        <v>0.41120385850960756</v>
      </c>
      <c r="AB6285">
        <v>0.41120385850960756</v>
      </c>
      <c r="AC6285">
        <v>0.41120385850960756</v>
      </c>
      <c r="AD6285">
        <v>0.41120385850960756</v>
      </c>
    </row>
    <row r="6286" spans="2:30" x14ac:dyDescent="0.25">
      <c r="B6286" t="s">
        <v>133</v>
      </c>
      <c r="C6286" t="s">
        <v>10598</v>
      </c>
      <c r="D6286" t="s">
        <v>6980</v>
      </c>
      <c r="E6286" t="s">
        <v>6981</v>
      </c>
      <c r="F6286" t="s">
        <v>11561</v>
      </c>
      <c r="G6286" t="s">
        <v>3890</v>
      </c>
      <c r="H6286" t="s">
        <v>4401</v>
      </c>
      <c r="J6286">
        <v>1</v>
      </c>
      <c r="K6286">
        <v>1.0765662572630961</v>
      </c>
      <c r="L6286">
        <v>0.85484887846197788</v>
      </c>
      <c r="M6286">
        <v>0.77837412984309851</v>
      </c>
      <c r="N6286">
        <v>0.44257796119644682</v>
      </c>
      <c r="O6286">
        <v>0.48095686387165837</v>
      </c>
      <c r="P6286">
        <v>0.44850053572389442</v>
      </c>
      <c r="Q6286">
        <v>0.43957127408856161</v>
      </c>
      <c r="R6286">
        <v>0.43507020213642233</v>
      </c>
      <c r="S6286">
        <v>0.43113398670330721</v>
      </c>
      <c r="T6286">
        <v>0.42685765140329729</v>
      </c>
      <c r="U6286">
        <v>0.42685765140329729</v>
      </c>
      <c r="V6286">
        <v>0.42685765140329729</v>
      </c>
      <c r="W6286">
        <v>0.42685765140329729</v>
      </c>
      <c r="X6286">
        <v>0.42685765140329729</v>
      </c>
      <c r="Y6286">
        <v>0.42685765140329729</v>
      </c>
      <c r="Z6286">
        <v>0.42685765140329729</v>
      </c>
      <c r="AA6286">
        <v>0.42685765140329729</v>
      </c>
      <c r="AB6286">
        <v>0.42685765140329729</v>
      </c>
      <c r="AC6286">
        <v>0.42685765140329729</v>
      </c>
      <c r="AD6286">
        <v>0.42685765140329729</v>
      </c>
    </row>
    <row r="6287" spans="2:30" x14ac:dyDescent="0.25">
      <c r="B6287" t="s">
        <v>133</v>
      </c>
      <c r="C6287" t="s">
        <v>10598</v>
      </c>
      <c r="D6287" t="s">
        <v>6983</v>
      </c>
      <c r="E6287" t="s">
        <v>6984</v>
      </c>
      <c r="F6287" t="s">
        <v>11562</v>
      </c>
      <c r="G6287" t="s">
        <v>3890</v>
      </c>
      <c r="H6287" t="s">
        <v>4401</v>
      </c>
      <c r="J6287">
        <v>1</v>
      </c>
      <c r="K6287">
        <v>0.67072237780910948</v>
      </c>
      <c r="L6287">
        <v>0.57754157944621498</v>
      </c>
      <c r="M6287">
        <v>0.54295307149818317</v>
      </c>
      <c r="N6287">
        <v>0.37028919767589552</v>
      </c>
      <c r="O6287">
        <v>0.38764259891455777</v>
      </c>
      <c r="P6287">
        <v>0.36148338103139183</v>
      </c>
      <c r="Q6287">
        <v>0.35428655643709278</v>
      </c>
      <c r="R6287">
        <v>0.35065877323969097</v>
      </c>
      <c r="S6287">
        <v>0.34748625425722457</v>
      </c>
      <c r="T6287">
        <v>0.34403960476732715</v>
      </c>
      <c r="U6287">
        <v>0.34403960476732715</v>
      </c>
      <c r="V6287">
        <v>0.34403960476732715</v>
      </c>
      <c r="W6287">
        <v>0.34403960476732715</v>
      </c>
      <c r="X6287">
        <v>0.34403960476732715</v>
      </c>
      <c r="Y6287">
        <v>0.34403960476732715</v>
      </c>
      <c r="Z6287">
        <v>0.34403960476732715</v>
      </c>
      <c r="AA6287">
        <v>0.34403960476732715</v>
      </c>
      <c r="AB6287">
        <v>0.34403960476732715</v>
      </c>
      <c r="AC6287">
        <v>0.34403960476732715</v>
      </c>
      <c r="AD6287">
        <v>0.34403960476732715</v>
      </c>
    </row>
    <row r="6288" spans="2:30" x14ac:dyDescent="0.25">
      <c r="B6288" t="s">
        <v>133</v>
      </c>
      <c r="C6288" t="s">
        <v>10598</v>
      </c>
      <c r="D6288" t="s">
        <v>6986</v>
      </c>
      <c r="E6288" t="s">
        <v>6987</v>
      </c>
      <c r="F6288" t="s">
        <v>11563</v>
      </c>
      <c r="G6288" t="s">
        <v>3890</v>
      </c>
      <c r="H6288" t="s">
        <v>4401</v>
      </c>
      <c r="J6288">
        <v>1</v>
      </c>
      <c r="K6288">
        <v>0.78326731917029901</v>
      </c>
      <c r="L6288">
        <v>0.69872705263814272</v>
      </c>
      <c r="M6288">
        <v>0.69141680198596767</v>
      </c>
      <c r="N6288">
        <v>0.45942610987139121</v>
      </c>
      <c r="O6288">
        <v>0.48095686387165837</v>
      </c>
      <c r="P6288">
        <v>0.44850053572389442</v>
      </c>
      <c r="Q6288">
        <v>0.43957127408856161</v>
      </c>
      <c r="R6288">
        <v>0.43507020213642233</v>
      </c>
      <c r="S6288">
        <v>0.43113398670330721</v>
      </c>
      <c r="T6288">
        <v>0.42685765140329729</v>
      </c>
      <c r="U6288">
        <v>0.42685765140329729</v>
      </c>
      <c r="V6288">
        <v>0.42685765140329729</v>
      </c>
      <c r="W6288">
        <v>0.42685765140329729</v>
      </c>
      <c r="X6288">
        <v>0.42685765140329729</v>
      </c>
      <c r="Y6288">
        <v>0.42685765140329729</v>
      </c>
      <c r="Z6288">
        <v>0.42685765140329729</v>
      </c>
      <c r="AA6288">
        <v>0.42685765140329729</v>
      </c>
      <c r="AB6288">
        <v>0.42685765140329729</v>
      </c>
      <c r="AC6288">
        <v>0.42685765140329729</v>
      </c>
      <c r="AD6288">
        <v>0.42685765140329729</v>
      </c>
    </row>
    <row r="6289" spans="2:30" x14ac:dyDescent="0.25">
      <c r="B6289" t="s">
        <v>133</v>
      </c>
      <c r="C6289" t="s">
        <v>10598</v>
      </c>
      <c r="D6289" t="s">
        <v>6989</v>
      </c>
      <c r="E6289" t="s">
        <v>6990</v>
      </c>
      <c r="F6289" t="s">
        <v>11564</v>
      </c>
      <c r="G6289" t="s">
        <v>3890</v>
      </c>
      <c r="H6289" t="s">
        <v>4401</v>
      </c>
      <c r="J6289">
        <v>1</v>
      </c>
      <c r="K6289">
        <v>116.49765611990527</v>
      </c>
      <c r="L6289">
        <v>95.069457838557554</v>
      </c>
      <c r="M6289">
        <v>91.60742398705186</v>
      </c>
      <c r="N6289">
        <v>78.383975634268623</v>
      </c>
      <c r="O6289">
        <v>82.05739789017133</v>
      </c>
      <c r="P6289">
        <v>76.519932822231851</v>
      </c>
      <c r="Q6289">
        <v>74.996486480333985</v>
      </c>
      <c r="R6289">
        <v>74.228545985347012</v>
      </c>
      <c r="S6289">
        <v>73.556977243450959</v>
      </c>
      <c r="T6289">
        <v>72.827379698257502</v>
      </c>
      <c r="U6289">
        <v>72.827379698257502</v>
      </c>
      <c r="V6289">
        <v>72.827379698257502</v>
      </c>
      <c r="W6289">
        <v>72.827379698257502</v>
      </c>
      <c r="X6289">
        <v>72.827379698257502</v>
      </c>
      <c r="Y6289">
        <v>72.827379698257502</v>
      </c>
      <c r="Z6289">
        <v>72.827379698257502</v>
      </c>
      <c r="AA6289">
        <v>72.827379698257502</v>
      </c>
      <c r="AB6289">
        <v>72.827379698257502</v>
      </c>
      <c r="AC6289">
        <v>72.827379698257502</v>
      </c>
      <c r="AD6289">
        <v>72.827379698257502</v>
      </c>
    </row>
    <row r="6290" spans="2:30" x14ac:dyDescent="0.25">
      <c r="B6290" t="s">
        <v>133</v>
      </c>
      <c r="C6290" t="s">
        <v>10598</v>
      </c>
      <c r="D6290" t="s">
        <v>6992</v>
      </c>
      <c r="E6290" t="s">
        <v>4362</v>
      </c>
      <c r="F6290" t="s">
        <v>10757</v>
      </c>
      <c r="G6290" t="s">
        <v>3890</v>
      </c>
      <c r="H6290" t="s">
        <v>4262</v>
      </c>
      <c r="J6290">
        <v>1</v>
      </c>
      <c r="K6290">
        <v>13.300765797231492</v>
      </c>
      <c r="L6290">
        <v>6.6597422204572982</v>
      </c>
      <c r="M6290">
        <v>5.9120378390671311</v>
      </c>
      <c r="N6290">
        <v>5.0316224519831581</v>
      </c>
      <c r="O6290">
        <v>5.0549587333229749</v>
      </c>
      <c r="P6290">
        <v>5.1247172516773594</v>
      </c>
      <c r="Q6290">
        <v>5.0916403838460447</v>
      </c>
      <c r="R6290">
        <v>5.056169403754172</v>
      </c>
      <c r="S6290">
        <v>5.0182062360166881</v>
      </c>
      <c r="T6290">
        <v>4.9815702339799719</v>
      </c>
      <c r="U6290">
        <v>4.9815702339799719</v>
      </c>
      <c r="V6290">
        <v>4.9815702339799728</v>
      </c>
      <c r="W6290">
        <v>4.9815702339799719</v>
      </c>
      <c r="X6290">
        <v>4.9815702339799719</v>
      </c>
      <c r="Y6290">
        <v>4.9815702339799719</v>
      </c>
      <c r="Z6290">
        <v>4.981570233979971</v>
      </c>
      <c r="AA6290">
        <v>4.9815702339799719</v>
      </c>
      <c r="AB6290">
        <v>4.9815702339799719</v>
      </c>
      <c r="AC6290">
        <v>4.9815702339799719</v>
      </c>
      <c r="AD6290">
        <v>4.981570233979971</v>
      </c>
    </row>
    <row r="6291" spans="2:30" x14ac:dyDescent="0.25">
      <c r="B6291" t="s">
        <v>133</v>
      </c>
      <c r="C6291" t="s">
        <v>10598</v>
      </c>
      <c r="D6291" t="s">
        <v>6993</v>
      </c>
      <c r="E6291" t="s">
        <v>4356</v>
      </c>
      <c r="F6291" t="s">
        <v>10755</v>
      </c>
      <c r="G6291" t="s">
        <v>3890</v>
      </c>
      <c r="H6291" t="s">
        <v>4262</v>
      </c>
      <c r="J6291">
        <v>1</v>
      </c>
      <c r="K6291">
        <v>23.399139181173656</v>
      </c>
      <c r="L6291">
        <v>15.863833497435211</v>
      </c>
      <c r="M6291">
        <v>14.743508892654766</v>
      </c>
      <c r="N6291">
        <v>13.652285126927826</v>
      </c>
      <c r="O6291">
        <v>13.68120909301847</v>
      </c>
      <c r="P6291">
        <v>13.767670727159517</v>
      </c>
      <c r="Q6291">
        <v>13.726673869536567</v>
      </c>
      <c r="R6291">
        <v>13.682709648740651</v>
      </c>
      <c r="S6291">
        <v>13.635656506025111</v>
      </c>
      <c r="T6291">
        <v>13.59024830815604</v>
      </c>
      <c r="U6291">
        <v>13.59024830815604</v>
      </c>
      <c r="V6291">
        <v>13.59024830815604</v>
      </c>
      <c r="W6291">
        <v>13.59024830815604</v>
      </c>
      <c r="X6291">
        <v>13.59024830815604</v>
      </c>
      <c r="Y6291">
        <v>13.59024830815604</v>
      </c>
      <c r="Z6291">
        <v>13.590248308156037</v>
      </c>
      <c r="AA6291">
        <v>13.59024830815604</v>
      </c>
      <c r="AB6291">
        <v>13.59024830815604</v>
      </c>
      <c r="AC6291">
        <v>13.59024830815604</v>
      </c>
      <c r="AD6291">
        <v>13.590248308156037</v>
      </c>
    </row>
    <row r="6292" spans="2:30" x14ac:dyDescent="0.25">
      <c r="B6292" t="s">
        <v>133</v>
      </c>
      <c r="C6292" t="s">
        <v>10598</v>
      </c>
      <c r="D6292" t="s">
        <v>6994</v>
      </c>
      <c r="E6292" t="s">
        <v>4350</v>
      </c>
      <c r="F6292" t="s">
        <v>10753</v>
      </c>
      <c r="G6292" t="s">
        <v>3890</v>
      </c>
      <c r="H6292" t="s">
        <v>4262</v>
      </c>
      <c r="J6292">
        <v>1</v>
      </c>
      <c r="K6292">
        <v>11.465942207767251</v>
      </c>
      <c r="L6292">
        <v>8.8301631277145294</v>
      </c>
      <c r="M6292">
        <v>7.7455649105912689</v>
      </c>
      <c r="N6292">
        <v>7.0537973643552112</v>
      </c>
      <c r="O6292">
        <v>7.072133347934721</v>
      </c>
      <c r="P6292">
        <v>7.1269446106398249</v>
      </c>
      <c r="Q6292">
        <v>7.1009551697094144</v>
      </c>
      <c r="R6292">
        <v>7.0730846063131816</v>
      </c>
      <c r="S6292">
        <v>7.0432558598164983</v>
      </c>
      <c r="T6292">
        <v>7.0144699053629092</v>
      </c>
      <c r="U6292">
        <v>7.0144699053629092</v>
      </c>
      <c r="V6292">
        <v>7.0144699053629092</v>
      </c>
      <c r="W6292">
        <v>7.0144699053629092</v>
      </c>
      <c r="X6292">
        <v>7.0144699053629092</v>
      </c>
      <c r="Y6292">
        <v>7.0144699053629092</v>
      </c>
      <c r="Z6292">
        <v>7.0144699053629083</v>
      </c>
      <c r="AA6292">
        <v>7.0144699053629092</v>
      </c>
      <c r="AB6292">
        <v>7.0144699053629092</v>
      </c>
      <c r="AC6292">
        <v>7.0144699053629092</v>
      </c>
      <c r="AD6292">
        <v>7.0144699053629083</v>
      </c>
    </row>
    <row r="6293" spans="2:30" x14ac:dyDescent="0.25">
      <c r="B6293" t="s">
        <v>133</v>
      </c>
      <c r="C6293" t="s">
        <v>10598</v>
      </c>
      <c r="D6293" t="s">
        <v>6995</v>
      </c>
      <c r="E6293" t="s">
        <v>4365</v>
      </c>
      <c r="F6293" t="s">
        <v>10758</v>
      </c>
      <c r="G6293" t="s">
        <v>3890</v>
      </c>
      <c r="H6293" t="s">
        <v>4262</v>
      </c>
      <c r="J6293">
        <v>1</v>
      </c>
      <c r="K6293">
        <v>2.7840662767025575</v>
      </c>
      <c r="L6293">
        <v>2.6136758812745531</v>
      </c>
      <c r="M6293">
        <v>2.6543194100780321</v>
      </c>
      <c r="N6293">
        <v>2.6543194100780321</v>
      </c>
      <c r="O6293">
        <v>2.6543194100780321</v>
      </c>
      <c r="P6293">
        <v>2.6543194100780321</v>
      </c>
      <c r="Q6293">
        <v>2.6543194100780321</v>
      </c>
      <c r="R6293">
        <v>2.6543194100780321</v>
      </c>
      <c r="S6293">
        <v>2.6543194100780321</v>
      </c>
      <c r="T6293">
        <v>2.6543194100780321</v>
      </c>
      <c r="U6293">
        <v>2.6543194100780321</v>
      </c>
      <c r="V6293">
        <v>2.6543194100780321</v>
      </c>
      <c r="W6293">
        <v>2.6543194100780321</v>
      </c>
      <c r="X6293">
        <v>2.6543194100780321</v>
      </c>
      <c r="Y6293">
        <v>2.6543194100780321</v>
      </c>
      <c r="Z6293">
        <v>2.6543194100780321</v>
      </c>
      <c r="AA6293">
        <v>2.6543194100780321</v>
      </c>
      <c r="AB6293">
        <v>2.6543194100780321</v>
      </c>
      <c r="AC6293">
        <v>2.6543194100780321</v>
      </c>
      <c r="AD6293">
        <v>2.6543194100780321</v>
      </c>
    </row>
    <row r="6294" spans="2:30" x14ac:dyDescent="0.25">
      <c r="B6294" t="s">
        <v>133</v>
      </c>
      <c r="C6294" t="s">
        <v>10598</v>
      </c>
      <c r="D6294" t="s">
        <v>6996</v>
      </c>
      <c r="E6294" t="s">
        <v>4359</v>
      </c>
      <c r="F6294" t="s">
        <v>10756</v>
      </c>
      <c r="G6294" t="s">
        <v>3890</v>
      </c>
      <c r="H6294" t="s">
        <v>4262</v>
      </c>
      <c r="J6294">
        <v>1</v>
      </c>
      <c r="K6294">
        <v>4.6336684948303901</v>
      </c>
      <c r="L6294">
        <v>3.2086856370367216</v>
      </c>
      <c r="M6294">
        <v>2.3308805686582157</v>
      </c>
      <c r="N6294">
        <v>2.3308805686582161</v>
      </c>
      <c r="O6294">
        <v>2.3308805686582161</v>
      </c>
      <c r="P6294">
        <v>2.3308805686582161</v>
      </c>
      <c r="Q6294">
        <v>2.3308805686582161</v>
      </c>
      <c r="R6294">
        <v>2.3308805686582161</v>
      </c>
      <c r="S6294">
        <v>2.3308805686582161</v>
      </c>
      <c r="T6294">
        <v>2.3308805686582161</v>
      </c>
      <c r="U6294">
        <v>2.3308805686582161</v>
      </c>
      <c r="V6294">
        <v>2.3308805686582161</v>
      </c>
      <c r="W6294">
        <v>2.3308805686582161</v>
      </c>
      <c r="X6294">
        <v>2.3308805686582161</v>
      </c>
      <c r="Y6294">
        <v>2.3308805686582161</v>
      </c>
      <c r="Z6294">
        <v>2.3308805686582161</v>
      </c>
      <c r="AA6294">
        <v>2.3308805686582161</v>
      </c>
      <c r="AB6294">
        <v>2.3308805686582161</v>
      </c>
      <c r="AC6294">
        <v>2.3308805686582161</v>
      </c>
      <c r="AD6294">
        <v>2.3308805686582161</v>
      </c>
    </row>
    <row r="6295" spans="2:30" x14ac:dyDescent="0.25">
      <c r="B6295" t="s">
        <v>133</v>
      </c>
      <c r="C6295" t="s">
        <v>10598</v>
      </c>
      <c r="D6295" t="s">
        <v>6997</v>
      </c>
      <c r="E6295" t="s">
        <v>4353</v>
      </c>
      <c r="F6295" t="s">
        <v>10754</v>
      </c>
      <c r="G6295" t="s">
        <v>3890</v>
      </c>
      <c r="H6295" t="s">
        <v>4262</v>
      </c>
      <c r="J6295">
        <v>1</v>
      </c>
      <c r="K6295">
        <v>5.3362217651456945</v>
      </c>
      <c r="L6295">
        <v>5.0100913196194341</v>
      </c>
      <c r="M6295">
        <v>5.0870036796421569</v>
      </c>
      <c r="N6295">
        <v>5.0870036796421569</v>
      </c>
      <c r="O6295">
        <v>5.0870036796421569</v>
      </c>
      <c r="P6295">
        <v>5.0870036796421569</v>
      </c>
      <c r="Q6295">
        <v>5.0870036796421569</v>
      </c>
      <c r="R6295">
        <v>5.0870036796421569</v>
      </c>
      <c r="S6295">
        <v>5.0870036796421569</v>
      </c>
      <c r="T6295">
        <v>5.0870036796421569</v>
      </c>
      <c r="U6295">
        <v>5.0870036796421569</v>
      </c>
      <c r="V6295">
        <v>5.0870036796421569</v>
      </c>
      <c r="W6295">
        <v>5.0870036796421569</v>
      </c>
      <c r="X6295">
        <v>5.0870036796421569</v>
      </c>
      <c r="Y6295">
        <v>5.0870036796421569</v>
      </c>
      <c r="Z6295">
        <v>5.0870036796421569</v>
      </c>
      <c r="AA6295">
        <v>5.0870036796421569</v>
      </c>
      <c r="AB6295">
        <v>5.0870036796421569</v>
      </c>
      <c r="AC6295">
        <v>5.0870036796421569</v>
      </c>
      <c r="AD6295">
        <v>5.0870036796421569</v>
      </c>
    </row>
    <row r="6296" spans="2:30" x14ac:dyDescent="0.25">
      <c r="B6296" t="s">
        <v>133</v>
      </c>
      <c r="C6296" t="s">
        <v>10598</v>
      </c>
      <c r="D6296" t="s">
        <v>6998</v>
      </c>
      <c r="E6296" t="s">
        <v>6999</v>
      </c>
      <c r="F6296" t="s">
        <v>11565</v>
      </c>
      <c r="G6296" t="s">
        <v>3890</v>
      </c>
      <c r="H6296" t="s">
        <v>4262</v>
      </c>
      <c r="J6296">
        <v>1</v>
      </c>
      <c r="K6296">
        <v>0.41380160258053544</v>
      </c>
      <c r="L6296">
        <v>0.28058258207500419</v>
      </c>
      <c r="M6296">
        <v>0.24920697617592391</v>
      </c>
      <c r="N6296">
        <v>0.24920697617592391</v>
      </c>
      <c r="O6296">
        <v>0.24920697617592391</v>
      </c>
      <c r="P6296">
        <v>0.24920697617592391</v>
      </c>
      <c r="Q6296">
        <v>0.24920697617592391</v>
      </c>
      <c r="R6296">
        <v>0.24920697617592391</v>
      </c>
      <c r="S6296">
        <v>0.24920697617592391</v>
      </c>
      <c r="T6296">
        <v>0.24920697617592391</v>
      </c>
      <c r="U6296">
        <v>0.24920697617592391</v>
      </c>
      <c r="V6296">
        <v>0.24920697617592391</v>
      </c>
      <c r="W6296">
        <v>0.24920697617592391</v>
      </c>
      <c r="X6296">
        <v>0.24920697617592391</v>
      </c>
      <c r="Y6296">
        <v>0.24920697617592391</v>
      </c>
      <c r="Z6296">
        <v>0.24920697617592391</v>
      </c>
      <c r="AA6296">
        <v>0.24920697617592391</v>
      </c>
      <c r="AB6296">
        <v>0.24920697617592391</v>
      </c>
      <c r="AC6296">
        <v>0.24920697617592391</v>
      </c>
      <c r="AD6296">
        <v>0.24920697617592391</v>
      </c>
    </row>
    <row r="6297" spans="2:30" x14ac:dyDescent="0.25">
      <c r="B6297" t="s">
        <v>133</v>
      </c>
      <c r="C6297" t="s">
        <v>10598</v>
      </c>
      <c r="D6297" t="s">
        <v>7001</v>
      </c>
      <c r="E6297" t="s">
        <v>7002</v>
      </c>
      <c r="F6297" t="s">
        <v>11566</v>
      </c>
      <c r="G6297" t="s">
        <v>3890</v>
      </c>
      <c r="H6297" t="s">
        <v>4262</v>
      </c>
      <c r="J6297">
        <v>1</v>
      </c>
      <c r="K6297">
        <v>0.17506990878407264</v>
      </c>
      <c r="L6297">
        <v>0.10153377483648018</v>
      </c>
      <c r="M6297">
        <v>8.8017783074900768E-2</v>
      </c>
      <c r="N6297">
        <v>8.8017783074900768E-2</v>
      </c>
      <c r="O6297">
        <v>8.8017783074900768E-2</v>
      </c>
      <c r="P6297">
        <v>8.8017783074900768E-2</v>
      </c>
      <c r="Q6297">
        <v>8.8017783074900768E-2</v>
      </c>
      <c r="R6297">
        <v>8.8017783074900768E-2</v>
      </c>
      <c r="S6297">
        <v>8.8017783074900768E-2</v>
      </c>
      <c r="T6297">
        <v>8.8017783074900768E-2</v>
      </c>
      <c r="U6297">
        <v>8.8017783074900768E-2</v>
      </c>
      <c r="V6297">
        <v>8.8017783074900768E-2</v>
      </c>
      <c r="W6297">
        <v>8.8017783074900768E-2</v>
      </c>
      <c r="X6297">
        <v>8.8017783074900768E-2</v>
      </c>
      <c r="Y6297">
        <v>8.8017783074900768E-2</v>
      </c>
      <c r="Z6297">
        <v>8.8017783074900768E-2</v>
      </c>
      <c r="AA6297">
        <v>8.8017783074900768E-2</v>
      </c>
      <c r="AB6297">
        <v>8.8017783074900768E-2</v>
      </c>
      <c r="AC6297">
        <v>8.8017783074900768E-2</v>
      </c>
      <c r="AD6297">
        <v>8.8017783074900768E-2</v>
      </c>
    </row>
    <row r="6298" spans="2:30" x14ac:dyDescent="0.25">
      <c r="B6298" t="s">
        <v>133</v>
      </c>
      <c r="C6298" t="s">
        <v>10598</v>
      </c>
      <c r="D6298" t="s">
        <v>7004</v>
      </c>
      <c r="E6298" t="s">
        <v>7005</v>
      </c>
      <c r="F6298" t="s">
        <v>11567</v>
      </c>
      <c r="G6298" t="s">
        <v>3890</v>
      </c>
      <c r="H6298" t="s">
        <v>4262</v>
      </c>
      <c r="J6298">
        <v>1</v>
      </c>
      <c r="K6298">
        <v>0.41380160258053539</v>
      </c>
      <c r="L6298">
        <v>0.25874736168006218</v>
      </c>
      <c r="M6298">
        <v>0.24390470008707449</v>
      </c>
      <c r="N6298">
        <v>0.24390470008707449</v>
      </c>
      <c r="O6298">
        <v>0.24390470008707449</v>
      </c>
      <c r="P6298">
        <v>0.24390470008707449</v>
      </c>
      <c r="Q6298">
        <v>0.24390470008707449</v>
      </c>
      <c r="R6298">
        <v>0.24390470008707449</v>
      </c>
      <c r="S6298">
        <v>0.24390470008707449</v>
      </c>
      <c r="T6298">
        <v>0.24390470008707449</v>
      </c>
      <c r="U6298">
        <v>0.24390470008707449</v>
      </c>
      <c r="V6298">
        <v>0.24390470008707449</v>
      </c>
      <c r="W6298">
        <v>0.24390470008707449</v>
      </c>
      <c r="X6298">
        <v>0.24390470008707449</v>
      </c>
      <c r="Y6298">
        <v>0.24390470008707449</v>
      </c>
      <c r="Z6298">
        <v>0.24390470008707449</v>
      </c>
      <c r="AA6298">
        <v>0.24390470008707449</v>
      </c>
      <c r="AB6298">
        <v>0.24390470008707449</v>
      </c>
      <c r="AC6298">
        <v>0.24390470008707449</v>
      </c>
      <c r="AD6298">
        <v>0.24390470008707449</v>
      </c>
    </row>
    <row r="6299" spans="2:30" x14ac:dyDescent="0.25">
      <c r="B6299" t="s">
        <v>133</v>
      </c>
      <c r="C6299" t="s">
        <v>10598</v>
      </c>
      <c r="D6299" t="s">
        <v>7007</v>
      </c>
      <c r="E6299" t="s">
        <v>7008</v>
      </c>
      <c r="F6299" t="s">
        <v>11568</v>
      </c>
      <c r="G6299" t="s">
        <v>3890</v>
      </c>
      <c r="H6299" t="s">
        <v>4262</v>
      </c>
      <c r="J6299">
        <v>1</v>
      </c>
      <c r="K6299">
        <v>33.050697779735998</v>
      </c>
      <c r="L6299">
        <v>26.300522965707586</v>
      </c>
      <c r="M6299">
        <v>23.176248784360922</v>
      </c>
      <c r="N6299">
        <v>15</v>
      </c>
      <c r="O6299">
        <v>15</v>
      </c>
      <c r="P6299">
        <v>15</v>
      </c>
      <c r="Q6299">
        <v>15</v>
      </c>
      <c r="R6299">
        <v>15</v>
      </c>
      <c r="S6299">
        <v>15</v>
      </c>
      <c r="T6299">
        <v>15</v>
      </c>
      <c r="U6299">
        <v>15</v>
      </c>
      <c r="V6299">
        <v>15</v>
      </c>
      <c r="W6299">
        <v>15</v>
      </c>
      <c r="X6299">
        <v>15</v>
      </c>
      <c r="Y6299">
        <v>15</v>
      </c>
      <c r="Z6299">
        <v>15</v>
      </c>
      <c r="AA6299">
        <v>15</v>
      </c>
      <c r="AB6299">
        <v>15</v>
      </c>
      <c r="AC6299">
        <v>15</v>
      </c>
      <c r="AD6299">
        <v>15</v>
      </c>
    </row>
    <row r="6300" spans="2:30" x14ac:dyDescent="0.25">
      <c r="B6300" t="s">
        <v>133</v>
      </c>
      <c r="C6300" t="s">
        <v>10598</v>
      </c>
      <c r="D6300" t="s">
        <v>7010</v>
      </c>
      <c r="E6300" t="s">
        <v>7011</v>
      </c>
      <c r="F6300" t="s">
        <v>11569</v>
      </c>
      <c r="G6300" t="s">
        <v>3890</v>
      </c>
      <c r="H6300" t="s">
        <v>7013</v>
      </c>
      <c r="J6300">
        <v>1</v>
      </c>
      <c r="K6300">
        <v>0.61781329947639674</v>
      </c>
      <c r="L6300">
        <v>0.6195087385311161</v>
      </c>
      <c r="M6300">
        <v>0.61795996668478836</v>
      </c>
      <c r="N6300">
        <v>0.61641506676807645</v>
      </c>
      <c r="O6300">
        <v>0.61487402910115629</v>
      </c>
      <c r="P6300">
        <v>0.61333684402840338</v>
      </c>
      <c r="Q6300">
        <v>0.61180350191833244</v>
      </c>
      <c r="R6300">
        <v>0.61027399316353659</v>
      </c>
      <c r="S6300">
        <v>0.60874830818062775</v>
      </c>
      <c r="T6300">
        <v>0.60722643741017623</v>
      </c>
      <c r="U6300">
        <v>0.60570837131665078</v>
      </c>
      <c r="V6300">
        <v>0.60419410038835919</v>
      </c>
      <c r="W6300">
        <v>0.60268361513738833</v>
      </c>
      <c r="X6300">
        <v>0.60117690609954488</v>
      </c>
      <c r="Y6300">
        <v>0.59967396383429605</v>
      </c>
      <c r="Z6300">
        <v>0.59817477892471038</v>
      </c>
      <c r="AA6300">
        <v>0.59667934197739869</v>
      </c>
      <c r="AB6300">
        <v>0.59518764362245524</v>
      </c>
      <c r="AC6300">
        <v>0.59369967451339911</v>
      </c>
      <c r="AD6300">
        <v>0.59221542532711569</v>
      </c>
    </row>
    <row r="6301" spans="2:30" x14ac:dyDescent="0.25">
      <c r="B6301" t="s">
        <v>133</v>
      </c>
      <c r="C6301" t="s">
        <v>10598</v>
      </c>
      <c r="D6301" t="s">
        <v>7014</v>
      </c>
      <c r="E6301" t="s">
        <v>7015</v>
      </c>
      <c r="F6301" t="s">
        <v>11570</v>
      </c>
      <c r="G6301" t="s">
        <v>3890</v>
      </c>
      <c r="H6301" t="s">
        <v>7013</v>
      </c>
      <c r="J6301">
        <v>2</v>
      </c>
      <c r="K6301">
        <v>0.61781329947639674</v>
      </c>
      <c r="L6301">
        <v>0.6195087385311161</v>
      </c>
      <c r="M6301">
        <v>0.61795996668478836</v>
      </c>
      <c r="N6301">
        <v>0.61641506676807645</v>
      </c>
      <c r="O6301">
        <v>0.61487402910115629</v>
      </c>
      <c r="P6301">
        <v>0.61333684402840338</v>
      </c>
      <c r="Q6301">
        <v>0.61180350191833244</v>
      </c>
      <c r="R6301">
        <v>0.61027399316353659</v>
      </c>
      <c r="S6301">
        <v>0.60874830818062775</v>
      </c>
      <c r="T6301">
        <v>0.60722643741017623</v>
      </c>
      <c r="U6301">
        <v>0.60570837131665078</v>
      </c>
      <c r="V6301">
        <v>0.60419410038835919</v>
      </c>
      <c r="W6301">
        <v>0.60268361513738833</v>
      </c>
      <c r="X6301">
        <v>0.60117690609954488</v>
      </c>
      <c r="Y6301">
        <v>0.59967396383429605</v>
      </c>
      <c r="Z6301">
        <v>0.59817477892471038</v>
      </c>
      <c r="AA6301">
        <v>0.59667934197739869</v>
      </c>
      <c r="AB6301">
        <v>0.59518764362245524</v>
      </c>
      <c r="AC6301">
        <v>0.59369967451339911</v>
      </c>
      <c r="AD6301">
        <v>0.59221542532711569</v>
      </c>
    </row>
    <row r="6302" spans="2:30" x14ac:dyDescent="0.25">
      <c r="B6302" t="s">
        <v>133</v>
      </c>
      <c r="C6302" t="s">
        <v>10598</v>
      </c>
      <c r="D6302" t="s">
        <v>7017</v>
      </c>
      <c r="E6302" t="s">
        <v>7018</v>
      </c>
      <c r="F6302" t="s">
        <v>11571</v>
      </c>
      <c r="G6302" t="s">
        <v>3890</v>
      </c>
      <c r="H6302" t="s">
        <v>7013</v>
      </c>
      <c r="J6302">
        <v>1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</row>
    <row r="6303" spans="2:30" x14ac:dyDescent="0.25">
      <c r="B6303" t="s">
        <v>133</v>
      </c>
      <c r="C6303" t="s">
        <v>10598</v>
      </c>
      <c r="D6303" t="s">
        <v>7020</v>
      </c>
      <c r="E6303" t="s">
        <v>7021</v>
      </c>
      <c r="F6303" t="s">
        <v>11572</v>
      </c>
      <c r="G6303" t="s">
        <v>3890</v>
      </c>
      <c r="H6303" t="s">
        <v>7013</v>
      </c>
      <c r="J6303">
        <v>2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</row>
    <row r="6304" spans="2:30" x14ac:dyDescent="0.25">
      <c r="B6304" t="s">
        <v>133</v>
      </c>
      <c r="C6304" t="s">
        <v>10598</v>
      </c>
      <c r="D6304" t="s">
        <v>7023</v>
      </c>
      <c r="E6304" t="s">
        <v>4116</v>
      </c>
      <c r="F6304" t="s">
        <v>10682</v>
      </c>
      <c r="G6304" t="s">
        <v>3890</v>
      </c>
      <c r="H6304" t="s">
        <v>7013</v>
      </c>
      <c r="J6304">
        <v>1</v>
      </c>
      <c r="K6304">
        <v>1.9183594836308</v>
      </c>
      <c r="L6304">
        <v>1.9236239568823399</v>
      </c>
      <c r="M6304">
        <v>1.9495780256401187</v>
      </c>
      <c r="N6304">
        <v>1.9528319166460941</v>
      </c>
      <c r="O6304">
        <v>1.9534439722194796</v>
      </c>
      <c r="P6304">
        <v>1.9551539594789236</v>
      </c>
      <c r="Q6304">
        <v>1.9589968159542679</v>
      </c>
      <c r="R6304">
        <v>1.9630212129721305</v>
      </c>
      <c r="S6304">
        <v>1.9667601690414818</v>
      </c>
      <c r="T6304">
        <v>1.9705513164395547</v>
      </c>
      <c r="U6304">
        <v>1.960262079853526</v>
      </c>
      <c r="V6304">
        <v>1.9502851376444088</v>
      </c>
      <c r="W6304">
        <v>1.9406113610357976</v>
      </c>
      <c r="X6304">
        <v>1.9313154910413786</v>
      </c>
      <c r="Y6304">
        <v>1.9224034182281791</v>
      </c>
      <c r="Z6304">
        <v>1.9126512726824023</v>
      </c>
      <c r="AA6304">
        <v>1.9034368098451628</v>
      </c>
      <c r="AB6304">
        <v>1.8948537515444903</v>
      </c>
      <c r="AC6304">
        <v>1.8870112347442751</v>
      </c>
      <c r="AD6304">
        <v>1.8792372714815473</v>
      </c>
    </row>
    <row r="6305" spans="2:30" x14ac:dyDescent="0.25">
      <c r="B6305" t="s">
        <v>133</v>
      </c>
      <c r="C6305" t="s">
        <v>10598</v>
      </c>
      <c r="D6305" t="s">
        <v>7024</v>
      </c>
      <c r="E6305" t="s">
        <v>4122</v>
      </c>
      <c r="F6305" t="s">
        <v>10684</v>
      </c>
      <c r="G6305" t="s">
        <v>3890</v>
      </c>
      <c r="H6305" t="s">
        <v>7013</v>
      </c>
      <c r="J6305">
        <v>1</v>
      </c>
      <c r="K6305">
        <v>15.788350712964199</v>
      </c>
      <c r="L6305">
        <v>17.709445005999601</v>
      </c>
      <c r="M6305">
        <v>18.013645438268195</v>
      </c>
      <c r="N6305">
        <v>18.257946899703906</v>
      </c>
      <c r="O6305">
        <v>18.54387298167482</v>
      </c>
      <c r="P6305">
        <v>18.938934819449567</v>
      </c>
      <c r="Q6305">
        <v>19.358782038364822</v>
      </c>
      <c r="R6305">
        <v>19.807872441783321</v>
      </c>
      <c r="S6305">
        <v>20.258477071761995</v>
      </c>
      <c r="T6305">
        <v>20.860030119397162</v>
      </c>
      <c r="U6305">
        <v>21.634014903127714</v>
      </c>
      <c r="V6305">
        <v>22.435010302638723</v>
      </c>
      <c r="W6305">
        <v>23.263891338460716</v>
      </c>
      <c r="X6305">
        <v>24.121558811041407</v>
      </c>
      <c r="Y6305">
        <v>25.008939966964491</v>
      </c>
      <c r="Z6305">
        <v>25.926989179128281</v>
      </c>
      <c r="AA6305">
        <v>26.876688641065538</v>
      </c>
      <c r="AB6305">
        <v>27.859049075584327</v>
      </c>
      <c r="AC6305">
        <v>28.875110457908111</v>
      </c>
      <c r="AD6305">
        <v>29.92594275349088</v>
      </c>
    </row>
    <row r="6306" spans="2:30" x14ac:dyDescent="0.25">
      <c r="B6306" t="s">
        <v>133</v>
      </c>
      <c r="C6306" t="s">
        <v>10598</v>
      </c>
      <c r="D6306" t="s">
        <v>7025</v>
      </c>
      <c r="E6306" t="s">
        <v>4128</v>
      </c>
      <c r="F6306" t="s">
        <v>10686</v>
      </c>
      <c r="G6306" t="s">
        <v>3890</v>
      </c>
      <c r="H6306" t="s">
        <v>7013</v>
      </c>
      <c r="J6306">
        <v>1</v>
      </c>
      <c r="K6306">
        <v>35.126042972388703</v>
      </c>
      <c r="L6306">
        <v>35.772328129626999</v>
      </c>
      <c r="M6306">
        <v>36.324796517729354</v>
      </c>
      <c r="N6306">
        <v>36.808206357318902</v>
      </c>
      <c r="O6306">
        <v>37.257086922652057</v>
      </c>
      <c r="P6306">
        <v>38.002228661105107</v>
      </c>
      <c r="Q6306">
        <v>38.762273234327196</v>
      </c>
      <c r="R6306">
        <v>39.537518629955187</v>
      </c>
      <c r="S6306">
        <v>40.32826905089528</v>
      </c>
      <c r="T6306">
        <v>41.538117156951415</v>
      </c>
      <c r="U6306">
        <v>43.199641663677241</v>
      </c>
      <c r="V6306">
        <v>44.927627143490007</v>
      </c>
      <c r="W6306">
        <v>46.724732035025916</v>
      </c>
      <c r="X6306">
        <v>48.593721114455107</v>
      </c>
      <c r="Y6306">
        <v>50.537469748982602</v>
      </c>
      <c r="Z6306">
        <v>52.558968320489171</v>
      </c>
      <c r="AA6306">
        <v>54.661326826117879</v>
      </c>
      <c r="AB6306">
        <v>56.847779662884115</v>
      </c>
      <c r="AC6306">
        <v>59.121690603669862</v>
      </c>
      <c r="AD6306">
        <v>61.486557972257835</v>
      </c>
    </row>
    <row r="6307" spans="2:30" x14ac:dyDescent="0.25">
      <c r="B6307" t="s">
        <v>133</v>
      </c>
      <c r="C6307" t="s">
        <v>10598</v>
      </c>
      <c r="D6307" t="s">
        <v>7026</v>
      </c>
      <c r="E6307" t="s">
        <v>4131</v>
      </c>
      <c r="F6307" t="s">
        <v>10687</v>
      </c>
      <c r="G6307" t="s">
        <v>3890</v>
      </c>
      <c r="H6307" t="s">
        <v>7013</v>
      </c>
      <c r="J6307">
        <v>1</v>
      </c>
      <c r="K6307">
        <v>8.9167735999999997E-2</v>
      </c>
      <c r="L6307">
        <v>0.106864256591645</v>
      </c>
      <c r="M6307">
        <v>0.10843425056703646</v>
      </c>
      <c r="N6307">
        <v>0.11010891080745402</v>
      </c>
      <c r="O6307">
        <v>0.11157423851781936</v>
      </c>
      <c r="P6307">
        <v>0.11293489996315863</v>
      </c>
      <c r="Q6307">
        <v>0.1151935979624218</v>
      </c>
      <c r="R6307">
        <v>0.11749746992167022</v>
      </c>
      <c r="S6307">
        <v>0.1198474191107711</v>
      </c>
      <c r="T6307">
        <v>0.12224436763951929</v>
      </c>
      <c r="U6307">
        <v>0.12591169877337113</v>
      </c>
      <c r="V6307">
        <v>0.13094816618004138</v>
      </c>
      <c r="W6307">
        <v>0.13618609226120784</v>
      </c>
      <c r="X6307">
        <v>0.14163353536297957</v>
      </c>
      <c r="Y6307">
        <v>0.14729887616527509</v>
      </c>
      <c r="Z6307">
        <v>0.15319083057517352</v>
      </c>
      <c r="AA6307">
        <v>0.15931846313599937</v>
      </c>
      <c r="AB6307">
        <v>0.16569120097277101</v>
      </c>
      <c r="AC6307">
        <v>0.17231884829546679</v>
      </c>
      <c r="AD6307">
        <v>0.1792116014824218</v>
      </c>
    </row>
    <row r="6308" spans="2:30" x14ac:dyDescent="0.25">
      <c r="B6308" t="s">
        <v>133</v>
      </c>
      <c r="C6308" t="s">
        <v>10598</v>
      </c>
      <c r="D6308" t="s">
        <v>7027</v>
      </c>
      <c r="E6308" t="s">
        <v>4110</v>
      </c>
      <c r="F6308" t="s">
        <v>10680</v>
      </c>
      <c r="G6308" t="s">
        <v>3890</v>
      </c>
      <c r="H6308" t="s">
        <v>7013</v>
      </c>
      <c r="J6308">
        <v>1</v>
      </c>
      <c r="K6308">
        <v>53.087639112183702</v>
      </c>
      <c r="L6308">
        <v>55.678150773981152</v>
      </c>
      <c r="M6308">
        <v>56.591948867542605</v>
      </c>
      <c r="N6308">
        <v>57.34045259418123</v>
      </c>
      <c r="O6308">
        <v>58.083367879767209</v>
      </c>
      <c r="P6308">
        <v>59.233699236790713</v>
      </c>
      <c r="Q6308">
        <v>60.428261287523682</v>
      </c>
      <c r="R6308">
        <v>61.667207939465698</v>
      </c>
      <c r="S6308">
        <v>62.922474733584934</v>
      </c>
      <c r="T6308">
        <v>64.748003401025059</v>
      </c>
      <c r="U6308">
        <v>67.184913820615279</v>
      </c>
      <c r="V6308">
        <v>69.717120218788224</v>
      </c>
      <c r="W6308">
        <v>72.346978350843145</v>
      </c>
      <c r="X6308">
        <v>75.078235602849347</v>
      </c>
      <c r="Y6308">
        <v>77.914707775673349</v>
      </c>
      <c r="Z6308">
        <v>80.859123289515139</v>
      </c>
      <c r="AA6308">
        <v>83.916959875607418</v>
      </c>
      <c r="AB6308">
        <v>87.092564421671469</v>
      </c>
      <c r="AC6308">
        <v>90.39045813119985</v>
      </c>
      <c r="AD6308">
        <v>93.814545907880699</v>
      </c>
    </row>
    <row r="6309" spans="2:30" x14ac:dyDescent="0.25">
      <c r="B6309" t="s">
        <v>133</v>
      </c>
      <c r="C6309" t="s">
        <v>10598</v>
      </c>
      <c r="D6309" t="s">
        <v>7028</v>
      </c>
      <c r="E6309" t="s">
        <v>4113</v>
      </c>
      <c r="F6309" t="s">
        <v>10681</v>
      </c>
      <c r="G6309" t="s">
        <v>3890</v>
      </c>
      <c r="H6309" t="s">
        <v>7013</v>
      </c>
      <c r="J6309">
        <v>1</v>
      </c>
      <c r="K6309">
        <v>53.087639112183702</v>
      </c>
      <c r="L6309">
        <v>55.678150773981152</v>
      </c>
      <c r="M6309">
        <v>56.591948867542605</v>
      </c>
      <c r="N6309">
        <v>57.34045259418123</v>
      </c>
      <c r="O6309">
        <v>58.083367879767209</v>
      </c>
      <c r="P6309">
        <v>59.233699236790713</v>
      </c>
      <c r="Q6309">
        <v>60.428261287523682</v>
      </c>
      <c r="R6309">
        <v>61.667207939465698</v>
      </c>
      <c r="S6309">
        <v>62.922474733584934</v>
      </c>
      <c r="T6309">
        <v>64.748003401025059</v>
      </c>
      <c r="U6309">
        <v>67.184913820615279</v>
      </c>
      <c r="V6309">
        <v>69.717120218788224</v>
      </c>
      <c r="W6309">
        <v>72.346978350843145</v>
      </c>
      <c r="X6309">
        <v>75.078235602849347</v>
      </c>
      <c r="Y6309">
        <v>77.914707775673349</v>
      </c>
      <c r="Z6309">
        <v>80.859123289515139</v>
      </c>
      <c r="AA6309">
        <v>83.916959875607418</v>
      </c>
      <c r="AB6309">
        <v>87.092564421671469</v>
      </c>
      <c r="AC6309">
        <v>90.39045813119985</v>
      </c>
      <c r="AD6309">
        <v>93.814545907880699</v>
      </c>
    </row>
    <row r="6310" spans="2:30" x14ac:dyDescent="0.25">
      <c r="B6310" t="s">
        <v>133</v>
      </c>
      <c r="C6310" t="s">
        <v>10598</v>
      </c>
      <c r="D6310" t="s">
        <v>7029</v>
      </c>
      <c r="E6310" t="s">
        <v>4143</v>
      </c>
      <c r="F6310" t="s">
        <v>10691</v>
      </c>
      <c r="G6310" t="s">
        <v>3890</v>
      </c>
      <c r="H6310" t="s">
        <v>7013</v>
      </c>
      <c r="J6310">
        <v>2</v>
      </c>
      <c r="K6310">
        <v>1.9183594836308</v>
      </c>
      <c r="L6310">
        <v>1.9236239568823399</v>
      </c>
      <c r="M6310">
        <v>1.9495780256401187</v>
      </c>
      <c r="N6310">
        <v>1.9528319166460941</v>
      </c>
      <c r="O6310">
        <v>1.9534439722194796</v>
      </c>
      <c r="P6310">
        <v>1.9551313223340847</v>
      </c>
      <c r="Q6310">
        <v>1.958716762797047</v>
      </c>
      <c r="R6310">
        <v>1.9618286448055673</v>
      </c>
      <c r="S6310">
        <v>1.9649537183680723</v>
      </c>
      <c r="T6310">
        <v>1.9676592593226609</v>
      </c>
      <c r="U6310">
        <v>1.9568812624711105</v>
      </c>
      <c r="V6310">
        <v>1.9455044890261524</v>
      </c>
      <c r="W6310">
        <v>1.9354294578208784</v>
      </c>
      <c r="X6310">
        <v>1.9244158919330678</v>
      </c>
      <c r="Y6310">
        <v>1.9151969291387856</v>
      </c>
      <c r="Z6310">
        <v>1.9053844406796197</v>
      </c>
      <c r="AA6310">
        <v>1.8945432038420482</v>
      </c>
      <c r="AB6310">
        <v>1.8879816180297282</v>
      </c>
      <c r="AC6310">
        <v>1.8749570410995102</v>
      </c>
      <c r="AD6310">
        <v>1.8729356542527174</v>
      </c>
    </row>
    <row r="6311" spans="2:30" x14ac:dyDescent="0.25">
      <c r="B6311" t="s">
        <v>133</v>
      </c>
      <c r="C6311" t="s">
        <v>10598</v>
      </c>
      <c r="D6311" t="s">
        <v>7030</v>
      </c>
      <c r="E6311" t="s">
        <v>4148</v>
      </c>
      <c r="F6311" t="s">
        <v>10693</v>
      </c>
      <c r="G6311" t="s">
        <v>3890</v>
      </c>
      <c r="H6311" t="s">
        <v>7013</v>
      </c>
      <c r="J6311">
        <v>2</v>
      </c>
      <c r="K6311">
        <v>15.788350712964199</v>
      </c>
      <c r="L6311">
        <v>17.709445005999601</v>
      </c>
      <c r="M6311">
        <v>18.013645438268195</v>
      </c>
      <c r="N6311">
        <v>18.257946899703906</v>
      </c>
      <c r="O6311">
        <v>18.54387298167482</v>
      </c>
      <c r="P6311">
        <v>18.938934819449567</v>
      </c>
      <c r="Q6311">
        <v>19.358782038364822</v>
      </c>
      <c r="R6311">
        <v>19.807872959586454</v>
      </c>
      <c r="S6311">
        <v>20.258574945187366</v>
      </c>
      <c r="T6311">
        <v>20.860011493127697</v>
      </c>
      <c r="U6311">
        <v>21.633915491103142</v>
      </c>
      <c r="V6311">
        <v>22.43463486038798</v>
      </c>
      <c r="W6311">
        <v>23.263501044653161</v>
      </c>
      <c r="X6311">
        <v>24.121169816663979</v>
      </c>
      <c r="Y6311">
        <v>25.009099511971204</v>
      </c>
      <c r="Z6311">
        <v>25.927660501495815</v>
      </c>
      <c r="AA6311">
        <v>26.878501745489661</v>
      </c>
      <c r="AB6311">
        <v>27.863064927970154</v>
      </c>
      <c r="AC6311">
        <v>28.880774337787908</v>
      </c>
      <c r="AD6311">
        <v>29.935485966503784</v>
      </c>
    </row>
    <row r="6312" spans="2:30" x14ac:dyDescent="0.25">
      <c r="B6312" t="s">
        <v>133</v>
      </c>
      <c r="C6312" t="s">
        <v>10598</v>
      </c>
      <c r="D6312" t="s">
        <v>7031</v>
      </c>
      <c r="E6312" t="s">
        <v>4154</v>
      </c>
      <c r="F6312" t="s">
        <v>10695</v>
      </c>
      <c r="G6312" t="s">
        <v>3890</v>
      </c>
      <c r="H6312" t="s">
        <v>7013</v>
      </c>
      <c r="J6312">
        <v>2</v>
      </c>
      <c r="K6312">
        <v>35.126042972388703</v>
      </c>
      <c r="L6312">
        <v>35.772328129626999</v>
      </c>
      <c r="M6312">
        <v>36.324796517729354</v>
      </c>
      <c r="N6312">
        <v>36.808206357318902</v>
      </c>
      <c r="O6312">
        <v>37.257086922652057</v>
      </c>
      <c r="P6312">
        <v>38.002228661105107</v>
      </c>
      <c r="Q6312">
        <v>38.762273234327196</v>
      </c>
      <c r="R6312">
        <v>39.537518629955187</v>
      </c>
      <c r="S6312">
        <v>40.32826905089528</v>
      </c>
      <c r="T6312">
        <v>41.538117156951415</v>
      </c>
      <c r="U6312">
        <v>43.199641663677241</v>
      </c>
      <c r="V6312">
        <v>44.927627143490007</v>
      </c>
      <c r="W6312">
        <v>46.724732035025916</v>
      </c>
      <c r="X6312">
        <v>48.593721114455107</v>
      </c>
      <c r="Y6312">
        <v>50.537469748982602</v>
      </c>
      <c r="Z6312">
        <v>52.558968320489171</v>
      </c>
      <c r="AA6312">
        <v>54.661326826117879</v>
      </c>
      <c r="AB6312">
        <v>56.847779662884115</v>
      </c>
      <c r="AC6312">
        <v>59.121690603669862</v>
      </c>
      <c r="AD6312">
        <v>61.486557972257835</v>
      </c>
    </row>
    <row r="6313" spans="2:30" x14ac:dyDescent="0.25">
      <c r="B6313" t="s">
        <v>133</v>
      </c>
      <c r="C6313" t="s">
        <v>10598</v>
      </c>
      <c r="D6313" t="s">
        <v>7032</v>
      </c>
      <c r="E6313" t="s">
        <v>4157</v>
      </c>
      <c r="F6313" t="s">
        <v>10696</v>
      </c>
      <c r="G6313" t="s">
        <v>3890</v>
      </c>
      <c r="H6313" t="s">
        <v>7013</v>
      </c>
      <c r="J6313">
        <v>2</v>
      </c>
      <c r="K6313">
        <v>8.9167735999999997E-2</v>
      </c>
      <c r="L6313">
        <v>0.106864256591645</v>
      </c>
      <c r="M6313">
        <v>0.10843425056703646</v>
      </c>
      <c r="N6313">
        <v>0.11010891080745402</v>
      </c>
      <c r="O6313">
        <v>0.11157423851781936</v>
      </c>
      <c r="P6313">
        <v>0.11293489996315863</v>
      </c>
      <c r="Q6313">
        <v>0.1151935979624218</v>
      </c>
      <c r="R6313">
        <v>0.11749746992167022</v>
      </c>
      <c r="S6313">
        <v>0.1198474191107711</v>
      </c>
      <c r="T6313">
        <v>0.12224436763951929</v>
      </c>
      <c r="U6313">
        <v>0.12591169877337113</v>
      </c>
      <c r="V6313">
        <v>0.13094816618004138</v>
      </c>
      <c r="W6313">
        <v>0.13618609226120784</v>
      </c>
      <c r="X6313">
        <v>0.14163353536297957</v>
      </c>
      <c r="Y6313">
        <v>0.14729887616527509</v>
      </c>
      <c r="Z6313">
        <v>0.15319083057517352</v>
      </c>
      <c r="AA6313">
        <v>0.15931846313599937</v>
      </c>
      <c r="AB6313">
        <v>0.16569120097277101</v>
      </c>
      <c r="AC6313">
        <v>0.17231884829546679</v>
      </c>
      <c r="AD6313">
        <v>0.1792116014824218</v>
      </c>
    </row>
    <row r="6314" spans="2:30" x14ac:dyDescent="0.25">
      <c r="B6314" t="s">
        <v>133</v>
      </c>
      <c r="C6314" t="s">
        <v>10598</v>
      </c>
      <c r="D6314" t="s">
        <v>7033</v>
      </c>
      <c r="E6314" t="s">
        <v>4137</v>
      </c>
      <c r="F6314" t="s">
        <v>10689</v>
      </c>
      <c r="G6314" t="s">
        <v>3890</v>
      </c>
      <c r="H6314" t="s">
        <v>7013</v>
      </c>
      <c r="J6314">
        <v>2</v>
      </c>
      <c r="K6314">
        <v>53.087639112183702</v>
      </c>
      <c r="L6314">
        <v>55.678150773981152</v>
      </c>
      <c r="M6314">
        <v>56.591948867542605</v>
      </c>
      <c r="N6314">
        <v>57.34045259418123</v>
      </c>
      <c r="O6314">
        <v>58.083367879767209</v>
      </c>
      <c r="P6314">
        <v>59.233445202726934</v>
      </c>
      <c r="Q6314">
        <v>60.425322847683979</v>
      </c>
      <c r="R6314">
        <v>61.663707523498111</v>
      </c>
      <c r="S6314">
        <v>62.918494232200587</v>
      </c>
      <c r="T6314">
        <v>64.743268907664941</v>
      </c>
      <c r="U6314">
        <v>67.179800953475009</v>
      </c>
      <c r="V6314">
        <v>69.710841800043454</v>
      </c>
      <c r="W6314">
        <v>72.340714462981808</v>
      </c>
      <c r="X6314">
        <v>75.070885373347849</v>
      </c>
      <c r="Y6314">
        <v>77.907635099837591</v>
      </c>
      <c r="Z6314">
        <v>80.852602586486285</v>
      </c>
      <c r="AA6314">
        <v>83.910179173479136</v>
      </c>
      <c r="AB6314">
        <v>87.090327785680955</v>
      </c>
      <c r="AC6314">
        <v>90.385227382864301</v>
      </c>
      <c r="AD6314">
        <v>93.819563147169418</v>
      </c>
    </row>
    <row r="6315" spans="2:30" x14ac:dyDescent="0.25">
      <c r="B6315" t="s">
        <v>133</v>
      </c>
      <c r="C6315" t="s">
        <v>10598</v>
      </c>
      <c r="D6315" t="s">
        <v>7034</v>
      </c>
      <c r="E6315" t="s">
        <v>4140</v>
      </c>
      <c r="F6315" t="s">
        <v>10690</v>
      </c>
      <c r="G6315" t="s">
        <v>3890</v>
      </c>
      <c r="H6315" t="s">
        <v>7013</v>
      </c>
      <c r="J6315">
        <v>2</v>
      </c>
      <c r="K6315">
        <v>53.087639112183702</v>
      </c>
      <c r="L6315">
        <v>55.678150773981152</v>
      </c>
      <c r="M6315">
        <v>56.591948867542605</v>
      </c>
      <c r="N6315">
        <v>57.34045259418123</v>
      </c>
      <c r="O6315">
        <v>58.083367879767209</v>
      </c>
      <c r="P6315">
        <v>59.233445202726934</v>
      </c>
      <c r="Q6315">
        <v>60.425322847683979</v>
      </c>
      <c r="R6315">
        <v>61.663707523498111</v>
      </c>
      <c r="S6315">
        <v>62.918494232200587</v>
      </c>
      <c r="T6315">
        <v>64.743268907664941</v>
      </c>
      <c r="U6315">
        <v>67.179800953475009</v>
      </c>
      <c r="V6315">
        <v>69.710841800043454</v>
      </c>
      <c r="W6315">
        <v>72.340714462981808</v>
      </c>
      <c r="X6315">
        <v>75.070885373347849</v>
      </c>
      <c r="Y6315">
        <v>77.907635099837591</v>
      </c>
      <c r="Z6315">
        <v>80.852602586486285</v>
      </c>
      <c r="AA6315">
        <v>83.910179173479136</v>
      </c>
      <c r="AB6315">
        <v>87.090327785680955</v>
      </c>
      <c r="AC6315">
        <v>90.385227382864301</v>
      </c>
      <c r="AD6315">
        <v>93.819563147169418</v>
      </c>
    </row>
    <row r="6316" spans="2:30" x14ac:dyDescent="0.25">
      <c r="B6316" t="s">
        <v>133</v>
      </c>
      <c r="C6316" t="s">
        <v>10598</v>
      </c>
      <c r="D6316" t="s">
        <v>7035</v>
      </c>
      <c r="E6316" t="s">
        <v>7036</v>
      </c>
      <c r="F6316" t="s">
        <v>11573</v>
      </c>
      <c r="G6316" t="s">
        <v>3890</v>
      </c>
      <c r="H6316" t="s">
        <v>7013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</row>
    <row r="6317" spans="2:30" x14ac:dyDescent="0.25">
      <c r="B6317" t="s">
        <v>133</v>
      </c>
      <c r="C6317" t="s">
        <v>10598</v>
      </c>
      <c r="D6317" t="s">
        <v>7038</v>
      </c>
      <c r="E6317" t="s">
        <v>7039</v>
      </c>
      <c r="F6317" t="s">
        <v>11574</v>
      </c>
      <c r="G6317" t="s">
        <v>3890</v>
      </c>
      <c r="H6317" t="s">
        <v>7013</v>
      </c>
      <c r="J6317">
        <v>1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</row>
    <row r="6318" spans="2:30" x14ac:dyDescent="0.25">
      <c r="B6318" t="s">
        <v>133</v>
      </c>
      <c r="C6318" t="s">
        <v>10598</v>
      </c>
      <c r="D6318" t="s">
        <v>7041</v>
      </c>
      <c r="E6318" t="s">
        <v>7042</v>
      </c>
      <c r="F6318" t="s">
        <v>11575</v>
      </c>
      <c r="G6318" t="s">
        <v>3890</v>
      </c>
      <c r="H6318" t="s">
        <v>7013</v>
      </c>
      <c r="J6318">
        <v>1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</row>
    <row r="6319" spans="2:30" x14ac:dyDescent="0.25">
      <c r="B6319" t="s">
        <v>133</v>
      </c>
      <c r="C6319" t="s">
        <v>10598</v>
      </c>
      <c r="D6319" t="s">
        <v>7044</v>
      </c>
      <c r="E6319" t="s">
        <v>7045</v>
      </c>
      <c r="F6319" t="s">
        <v>11576</v>
      </c>
      <c r="G6319" t="s">
        <v>3890</v>
      </c>
      <c r="H6319" t="s">
        <v>7013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</row>
    <row r="6320" spans="2:30" x14ac:dyDescent="0.25">
      <c r="B6320" t="s">
        <v>133</v>
      </c>
      <c r="C6320" t="s">
        <v>10598</v>
      </c>
      <c r="D6320" t="s">
        <v>7047</v>
      </c>
      <c r="E6320" t="s">
        <v>7048</v>
      </c>
      <c r="F6320" t="s">
        <v>11577</v>
      </c>
      <c r="G6320" t="s">
        <v>3890</v>
      </c>
      <c r="H6320" t="s">
        <v>7013</v>
      </c>
      <c r="J6320">
        <v>1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</row>
    <row r="6321" spans="2:30" x14ac:dyDescent="0.25">
      <c r="B6321" t="s">
        <v>133</v>
      </c>
      <c r="C6321" t="s">
        <v>10598</v>
      </c>
      <c r="D6321" t="s">
        <v>7050</v>
      </c>
      <c r="E6321" t="s">
        <v>7051</v>
      </c>
      <c r="F6321" t="s">
        <v>11578</v>
      </c>
      <c r="G6321" t="s">
        <v>3890</v>
      </c>
      <c r="H6321" t="s">
        <v>7013</v>
      </c>
      <c r="J6321">
        <v>1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</row>
    <row r="6322" spans="2:30" x14ac:dyDescent="0.25">
      <c r="B6322" t="s">
        <v>133</v>
      </c>
      <c r="C6322" t="s">
        <v>10598</v>
      </c>
      <c r="D6322" t="s">
        <v>7053</v>
      </c>
      <c r="E6322" t="s">
        <v>7054</v>
      </c>
      <c r="F6322" t="s">
        <v>11579</v>
      </c>
      <c r="G6322" t="s">
        <v>3890</v>
      </c>
      <c r="H6322" t="s">
        <v>7013</v>
      </c>
      <c r="J6322">
        <v>1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</row>
    <row r="6323" spans="2:30" x14ac:dyDescent="0.25">
      <c r="B6323" t="s">
        <v>133</v>
      </c>
      <c r="C6323" t="s">
        <v>10598</v>
      </c>
      <c r="D6323" t="s">
        <v>7056</v>
      </c>
      <c r="E6323" t="s">
        <v>7057</v>
      </c>
      <c r="F6323" t="s">
        <v>11580</v>
      </c>
      <c r="G6323" t="s">
        <v>3890</v>
      </c>
      <c r="H6323" t="s">
        <v>7013</v>
      </c>
      <c r="J6323">
        <v>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</row>
    <row r="6324" spans="2:30" x14ac:dyDescent="0.25">
      <c r="B6324" t="s">
        <v>133</v>
      </c>
      <c r="C6324" t="s">
        <v>10598</v>
      </c>
      <c r="D6324" t="s">
        <v>7059</v>
      </c>
      <c r="E6324" t="s">
        <v>7060</v>
      </c>
      <c r="F6324" t="s">
        <v>11581</v>
      </c>
      <c r="G6324" t="s">
        <v>3890</v>
      </c>
      <c r="H6324" t="s">
        <v>7013</v>
      </c>
      <c r="J6324">
        <v>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</row>
    <row r="6325" spans="2:30" x14ac:dyDescent="0.25">
      <c r="B6325" t="s">
        <v>133</v>
      </c>
      <c r="C6325" t="s">
        <v>10598</v>
      </c>
      <c r="D6325" t="s">
        <v>7062</v>
      </c>
      <c r="E6325" t="s">
        <v>7063</v>
      </c>
      <c r="F6325" t="s">
        <v>11582</v>
      </c>
      <c r="G6325" t="s">
        <v>3890</v>
      </c>
      <c r="H6325" t="s">
        <v>7013</v>
      </c>
      <c r="J6325">
        <v>1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</row>
    <row r="6326" spans="2:30" x14ac:dyDescent="0.25">
      <c r="B6326" t="s">
        <v>133</v>
      </c>
      <c r="C6326" t="s">
        <v>10598</v>
      </c>
      <c r="D6326" t="s">
        <v>7065</v>
      </c>
      <c r="E6326" t="s">
        <v>7066</v>
      </c>
      <c r="F6326" t="s">
        <v>11583</v>
      </c>
      <c r="G6326" t="s">
        <v>3890</v>
      </c>
      <c r="H6326" t="s">
        <v>7068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1</v>
      </c>
      <c r="S6326">
        <v>1</v>
      </c>
      <c r="T6326">
        <v>1</v>
      </c>
      <c r="U6326">
        <v>1</v>
      </c>
      <c r="V6326">
        <v>1</v>
      </c>
      <c r="W6326">
        <v>1</v>
      </c>
      <c r="X6326">
        <v>1</v>
      </c>
      <c r="Y6326">
        <v>1</v>
      </c>
      <c r="Z6326">
        <v>1</v>
      </c>
      <c r="AA6326">
        <v>1</v>
      </c>
      <c r="AB6326">
        <v>1</v>
      </c>
      <c r="AC6326">
        <v>1</v>
      </c>
      <c r="AD6326">
        <v>1</v>
      </c>
    </row>
    <row r="6327" spans="2:30" x14ac:dyDescent="0.25">
      <c r="B6327" t="s">
        <v>133</v>
      </c>
      <c r="C6327" t="s">
        <v>10598</v>
      </c>
      <c r="D6327" t="s">
        <v>7069</v>
      </c>
      <c r="E6327" t="s">
        <v>7070</v>
      </c>
      <c r="F6327" t="s">
        <v>11584</v>
      </c>
      <c r="G6327" t="s">
        <v>3890</v>
      </c>
      <c r="H6327" t="s">
        <v>4476</v>
      </c>
      <c r="J6327">
        <v>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</row>
    <row r="6328" spans="2:30" x14ac:dyDescent="0.25">
      <c r="B6328" t="s">
        <v>133</v>
      </c>
      <c r="C6328" t="s">
        <v>10598</v>
      </c>
      <c r="D6328" t="s">
        <v>7072</v>
      </c>
      <c r="E6328" t="s">
        <v>7073</v>
      </c>
      <c r="F6328" t="s">
        <v>11585</v>
      </c>
      <c r="G6328" t="s">
        <v>3890</v>
      </c>
      <c r="H6328" t="s">
        <v>884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1</v>
      </c>
      <c r="Z6328">
        <v>1</v>
      </c>
      <c r="AA6328">
        <v>1</v>
      </c>
      <c r="AB6328">
        <v>1</v>
      </c>
      <c r="AC6328">
        <v>1</v>
      </c>
      <c r="AD6328">
        <v>1</v>
      </c>
    </row>
    <row r="6329" spans="2:30" x14ac:dyDescent="0.25">
      <c r="B6329" t="s">
        <v>133</v>
      </c>
      <c r="C6329" t="s">
        <v>10598</v>
      </c>
      <c r="D6329" t="s">
        <v>7075</v>
      </c>
      <c r="E6329" t="s">
        <v>7076</v>
      </c>
      <c r="F6329" t="s">
        <v>11586</v>
      </c>
      <c r="G6329" t="s">
        <v>3890</v>
      </c>
      <c r="H6329" t="s">
        <v>7078</v>
      </c>
      <c r="J6329">
        <v>1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  <c r="W6329" t="e">
        <v>#N/A</v>
      </c>
      <c r="X6329" t="e">
        <v>#N/A</v>
      </c>
      <c r="Y6329" t="e">
        <v>#N/A</v>
      </c>
      <c r="Z6329" t="e">
        <v>#N/A</v>
      </c>
      <c r="AA6329" t="e">
        <v>#N/A</v>
      </c>
      <c r="AB6329" t="e">
        <v>#N/A</v>
      </c>
      <c r="AC6329" t="e">
        <v>#N/A</v>
      </c>
      <c r="AD6329" t="e">
        <v>#N/A</v>
      </c>
    </row>
    <row r="6330" spans="2:30" x14ac:dyDescent="0.25">
      <c r="B6330" t="s">
        <v>133</v>
      </c>
      <c r="C6330" t="s">
        <v>10598</v>
      </c>
      <c r="D6330" t="s">
        <v>7079</v>
      </c>
      <c r="E6330" t="s">
        <v>7080</v>
      </c>
      <c r="F6330" t="s">
        <v>11587</v>
      </c>
      <c r="G6330" t="s">
        <v>3890</v>
      </c>
      <c r="H6330" t="s">
        <v>7082</v>
      </c>
      <c r="J6330">
        <v>1</v>
      </c>
      <c r="K6330">
        <v>8.8716917086029241</v>
      </c>
      <c r="L6330">
        <v>8.5644978351756595</v>
      </c>
      <c r="M6330">
        <v>8.3886588486919944</v>
      </c>
      <c r="N6330">
        <v>8.0920965483836973</v>
      </c>
      <c r="O6330">
        <v>8.2513019612812162</v>
      </c>
      <c r="P6330">
        <v>9.0448654267797277</v>
      </c>
      <c r="Q6330">
        <v>9.9024312371334275</v>
      </c>
      <c r="R6330">
        <v>10.830429417337079</v>
      </c>
      <c r="S6330">
        <v>11.937329869291304</v>
      </c>
      <c r="T6330">
        <v>13.245864479105258</v>
      </c>
      <c r="U6330">
        <v>14.659603599109307</v>
      </c>
      <c r="V6330">
        <v>16.170955829457984</v>
      </c>
      <c r="W6330">
        <v>17.771959864521129</v>
      </c>
      <c r="X6330">
        <v>19.453947782354163</v>
      </c>
      <c r="Y6330">
        <v>21.205650019447415</v>
      </c>
      <c r="Z6330">
        <v>23.042872194723678</v>
      </c>
      <c r="AA6330">
        <v>24.962694281014663</v>
      </c>
      <c r="AB6330">
        <v>26.962109012185223</v>
      </c>
      <c r="AC6330">
        <v>29.039069371308585</v>
      </c>
      <c r="AD6330">
        <v>31.153532277183039</v>
      </c>
    </row>
    <row r="6331" spans="2:30" x14ac:dyDescent="0.25">
      <c r="B6331" t="s">
        <v>133</v>
      </c>
      <c r="C6331" t="s">
        <v>10598</v>
      </c>
      <c r="D6331" t="s">
        <v>7083</v>
      </c>
      <c r="E6331" t="s">
        <v>7084</v>
      </c>
      <c r="F6331" t="s">
        <v>11588</v>
      </c>
      <c r="G6331" t="s">
        <v>3890</v>
      </c>
      <c r="H6331" t="s">
        <v>7086</v>
      </c>
      <c r="J6331">
        <v>1</v>
      </c>
      <c r="K6331">
        <v>3.2172729633843065</v>
      </c>
      <c r="L6331">
        <v>3.4876935640271411</v>
      </c>
      <c r="M6331">
        <v>3.5939020066595377</v>
      </c>
      <c r="N6331">
        <v>2.7186556230175296</v>
      </c>
      <c r="O6331">
        <v>2.9840769507201821</v>
      </c>
      <c r="P6331">
        <v>2.9208651343774727</v>
      </c>
      <c r="Q6331">
        <v>3.0923180046331722</v>
      </c>
      <c r="R6331">
        <v>3.3239579117726987</v>
      </c>
      <c r="S6331">
        <v>3.6076220050487424</v>
      </c>
      <c r="T6331">
        <v>3.9355061529413216</v>
      </c>
      <c r="U6331">
        <v>4.3555451027740331</v>
      </c>
      <c r="V6331">
        <v>4.8045860854280082</v>
      </c>
      <c r="W6331">
        <v>5.2802637009444622</v>
      </c>
      <c r="X6331">
        <v>5.7800026051320135</v>
      </c>
      <c r="Y6331">
        <v>6.3004544747005324</v>
      </c>
      <c r="Z6331">
        <v>6.8463153497325537</v>
      </c>
      <c r="AA6331">
        <v>7.4167176549251845</v>
      </c>
      <c r="AB6331">
        <v>8.0107678952259054</v>
      </c>
      <c r="AC6331">
        <v>8.627857877207763</v>
      </c>
      <c r="AD6331">
        <v>9.2560903183113137</v>
      </c>
    </row>
    <row r="6332" spans="2:30" x14ac:dyDescent="0.25">
      <c r="B6332" t="s">
        <v>133</v>
      </c>
      <c r="C6332" t="s">
        <v>10598</v>
      </c>
      <c r="D6332" t="s">
        <v>7087</v>
      </c>
      <c r="E6332" t="s">
        <v>7088</v>
      </c>
      <c r="F6332" t="s">
        <v>11589</v>
      </c>
      <c r="G6332" t="s">
        <v>3890</v>
      </c>
      <c r="H6332" t="s">
        <v>7090</v>
      </c>
      <c r="J6332">
        <v>1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  <c r="W6332" t="e">
        <v>#N/A</v>
      </c>
      <c r="X6332" t="e">
        <v>#N/A</v>
      </c>
      <c r="Y6332" t="e">
        <v>#N/A</v>
      </c>
      <c r="Z6332" t="e">
        <v>#N/A</v>
      </c>
      <c r="AA6332" t="e">
        <v>#N/A</v>
      </c>
      <c r="AB6332" t="e">
        <v>#N/A</v>
      </c>
      <c r="AC6332" t="e">
        <v>#N/A</v>
      </c>
      <c r="AD6332" t="e">
        <v>#N/A</v>
      </c>
    </row>
    <row r="6333" spans="2:30" x14ac:dyDescent="0.25">
      <c r="B6333" t="s">
        <v>133</v>
      </c>
      <c r="C6333" t="s">
        <v>10598</v>
      </c>
      <c r="D6333" t="s">
        <v>7091</v>
      </c>
      <c r="E6333" t="s">
        <v>7092</v>
      </c>
      <c r="F6333" t="s">
        <v>11590</v>
      </c>
      <c r="G6333" t="s">
        <v>3890</v>
      </c>
      <c r="H6333" t="s">
        <v>7068</v>
      </c>
      <c r="J6333">
        <v>1</v>
      </c>
      <c r="K6333">
        <v>0.65794924908352259</v>
      </c>
      <c r="L6333">
        <v>0.60845193959275345</v>
      </c>
      <c r="M6333">
        <v>0.54630541792531939</v>
      </c>
      <c r="N6333">
        <v>0.53003725334707352</v>
      </c>
      <c r="O6333">
        <v>0.54007591380097097</v>
      </c>
      <c r="P6333">
        <v>0.55729901228151901</v>
      </c>
      <c r="Q6333">
        <v>0.57353529360378053</v>
      </c>
      <c r="R6333">
        <v>0.58991413651847269</v>
      </c>
      <c r="S6333">
        <v>0.60850355337294981</v>
      </c>
      <c r="T6333">
        <v>0.62857511110475939</v>
      </c>
      <c r="U6333">
        <v>0.64784576878344247</v>
      </c>
      <c r="V6333">
        <v>0.66607122797369978</v>
      </c>
      <c r="W6333">
        <v>0.68295973796164067</v>
      </c>
      <c r="X6333">
        <v>0.69864231030899482</v>
      </c>
      <c r="Y6333">
        <v>0.71313752682621911</v>
      </c>
      <c r="Z6333">
        <v>0.72662762166536721</v>
      </c>
      <c r="AA6333">
        <v>0.7391837727817947</v>
      </c>
      <c r="AB6333">
        <v>0.75089918919432774</v>
      </c>
      <c r="AC6333">
        <v>0.76186151260115687</v>
      </c>
      <c r="AD6333">
        <v>0.7720811067147455</v>
      </c>
    </row>
    <row r="6334" spans="2:30" x14ac:dyDescent="0.25">
      <c r="B6334" t="s">
        <v>133</v>
      </c>
      <c r="C6334" t="s">
        <v>10598</v>
      </c>
      <c r="D6334" t="s">
        <v>7094</v>
      </c>
      <c r="E6334" t="s">
        <v>7095</v>
      </c>
      <c r="F6334" t="s">
        <v>11591</v>
      </c>
      <c r="G6334" t="s">
        <v>3890</v>
      </c>
      <c r="H6334" t="s">
        <v>4476</v>
      </c>
      <c r="J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</row>
    <row r="6335" spans="2:30" x14ac:dyDescent="0.25">
      <c r="B6335" t="s">
        <v>133</v>
      </c>
      <c r="C6335" t="s">
        <v>10598</v>
      </c>
      <c r="D6335" t="s">
        <v>7097</v>
      </c>
      <c r="E6335" t="s">
        <v>7098</v>
      </c>
      <c r="F6335" t="s">
        <v>11592</v>
      </c>
      <c r="G6335" t="s">
        <v>3890</v>
      </c>
      <c r="H6335" t="s">
        <v>884</v>
      </c>
      <c r="J6335">
        <v>1</v>
      </c>
      <c r="K6335">
        <v>3.1462278217077255E-2</v>
      </c>
      <c r="L6335">
        <v>3.1462278217077255E-2</v>
      </c>
      <c r="M6335">
        <v>3.1462278217077255E-2</v>
      </c>
      <c r="N6335">
        <v>3.1462278217077255E-2</v>
      </c>
      <c r="O6335">
        <v>3.1462278217077255E-2</v>
      </c>
      <c r="P6335">
        <v>3.1462278217077255E-2</v>
      </c>
      <c r="Q6335">
        <v>3.1462278217077255E-2</v>
      </c>
      <c r="R6335">
        <v>3.1462278217077255E-2</v>
      </c>
      <c r="S6335">
        <v>3.1462278217077255E-2</v>
      </c>
      <c r="T6335">
        <v>3.1462278217077255E-2</v>
      </c>
      <c r="U6335">
        <v>3.1462278217077255E-2</v>
      </c>
      <c r="V6335">
        <v>3.1462278217077255E-2</v>
      </c>
      <c r="W6335">
        <v>3.1462278217077255E-2</v>
      </c>
      <c r="X6335">
        <v>3.1462278217077255E-2</v>
      </c>
      <c r="Y6335">
        <v>3.1462278217077255E-2</v>
      </c>
      <c r="Z6335">
        <v>3.1462278217077255E-2</v>
      </c>
      <c r="AA6335">
        <v>3.1462278217077255E-2</v>
      </c>
      <c r="AB6335">
        <v>3.1462278217077255E-2</v>
      </c>
      <c r="AC6335">
        <v>3.1462278217077255E-2</v>
      </c>
      <c r="AD6335">
        <v>3.1462278217077255E-2</v>
      </c>
    </row>
    <row r="6336" spans="2:30" x14ac:dyDescent="0.25">
      <c r="B6336" t="s">
        <v>133</v>
      </c>
      <c r="C6336" t="s">
        <v>10598</v>
      </c>
      <c r="D6336" t="s">
        <v>7100</v>
      </c>
      <c r="E6336" t="s">
        <v>7101</v>
      </c>
      <c r="F6336" t="s">
        <v>11593</v>
      </c>
      <c r="G6336" t="s">
        <v>3890</v>
      </c>
      <c r="H6336" t="s">
        <v>7078</v>
      </c>
      <c r="J6336">
        <v>1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  <c r="W6336" t="e">
        <v>#N/A</v>
      </c>
      <c r="X6336" t="e">
        <v>#N/A</v>
      </c>
      <c r="Y6336" t="e">
        <v>#N/A</v>
      </c>
      <c r="Z6336" t="e">
        <v>#N/A</v>
      </c>
      <c r="AA6336" t="e">
        <v>#N/A</v>
      </c>
      <c r="AB6336" t="e">
        <v>#N/A</v>
      </c>
      <c r="AC6336" t="e">
        <v>#N/A</v>
      </c>
      <c r="AD6336" t="e">
        <v>#N/A</v>
      </c>
    </row>
    <row r="6337" spans="2:30" x14ac:dyDescent="0.25">
      <c r="B6337" t="s">
        <v>133</v>
      </c>
      <c r="C6337" t="s">
        <v>10598</v>
      </c>
      <c r="D6337" t="s">
        <v>7103</v>
      </c>
      <c r="E6337" t="s">
        <v>7104</v>
      </c>
      <c r="F6337" t="s">
        <v>11594</v>
      </c>
      <c r="G6337" t="s">
        <v>3890</v>
      </c>
      <c r="H6337" t="s">
        <v>7082</v>
      </c>
      <c r="J6337">
        <v>1</v>
      </c>
      <c r="K6337">
        <v>17.093399168632743</v>
      </c>
      <c r="L6337">
        <v>18.164558263381714</v>
      </c>
      <c r="M6337">
        <v>19.625046708005698</v>
      </c>
      <c r="N6337">
        <v>19.335582542555347</v>
      </c>
      <c r="O6337">
        <v>20.145147556338291</v>
      </c>
      <c r="P6337">
        <v>21.396616015750215</v>
      </c>
      <c r="Q6337">
        <v>22.778580583773433</v>
      </c>
      <c r="R6337">
        <v>24.251237948100801</v>
      </c>
      <c r="S6337">
        <v>25.953300201814237</v>
      </c>
      <c r="T6337">
        <v>27.937863372485943</v>
      </c>
      <c r="U6337">
        <v>30.08450932791796</v>
      </c>
      <c r="V6337">
        <v>32.382001546936927</v>
      </c>
      <c r="W6337">
        <v>34.801419065632096</v>
      </c>
      <c r="X6337">
        <v>37.347124938226187</v>
      </c>
      <c r="Y6337">
        <v>40.010140476730491</v>
      </c>
      <c r="Z6337">
        <v>42.802765143694458</v>
      </c>
      <c r="AA6337">
        <v>45.7251065446981</v>
      </c>
      <c r="AB6337">
        <v>48.781956171161148</v>
      </c>
      <c r="AC6337">
        <v>51.979701267053535</v>
      </c>
      <c r="AD6337">
        <v>55.309262303675631</v>
      </c>
    </row>
    <row r="6338" spans="2:30" x14ac:dyDescent="0.25">
      <c r="B6338" t="s">
        <v>133</v>
      </c>
      <c r="C6338" t="s">
        <v>10598</v>
      </c>
      <c r="D6338" t="s">
        <v>7106</v>
      </c>
      <c r="E6338" t="s">
        <v>7107</v>
      </c>
      <c r="F6338" t="s">
        <v>11595</v>
      </c>
      <c r="G6338" t="s">
        <v>3890</v>
      </c>
      <c r="H6338" t="s">
        <v>7086</v>
      </c>
      <c r="J6338">
        <v>1</v>
      </c>
      <c r="K6338">
        <v>11.328900797350048</v>
      </c>
      <c r="L6338">
        <v>10.431293599417616</v>
      </c>
      <c r="M6338">
        <v>10.384930107060731</v>
      </c>
      <c r="N6338">
        <v>8.4025576431049362</v>
      </c>
      <c r="O6338">
        <v>9.2837853479862744</v>
      </c>
      <c r="P6338">
        <v>9.0128716206580268</v>
      </c>
      <c r="Q6338">
        <v>9.3467316904583875</v>
      </c>
      <c r="R6338">
        <v>9.8177714288528524</v>
      </c>
      <c r="S6338">
        <v>10.382134422293531</v>
      </c>
      <c r="T6338">
        <v>11.030195888998909</v>
      </c>
      <c r="U6338">
        <v>11.877716870723701</v>
      </c>
      <c r="V6338">
        <v>12.784793725218856</v>
      </c>
      <c r="W6338">
        <v>13.740008116981015</v>
      </c>
      <c r="X6338">
        <v>14.74508263095195</v>
      </c>
      <c r="Y6338">
        <v>15.796472375884212</v>
      </c>
      <c r="Z6338">
        <v>16.899033323741047</v>
      </c>
      <c r="AA6338">
        <v>18.052807958466577</v>
      </c>
      <c r="AB6338">
        <v>19.259688017029205</v>
      </c>
      <c r="AC6338">
        <v>20.522195258206256</v>
      </c>
      <c r="AD6338">
        <v>21.836744977655762</v>
      </c>
    </row>
    <row r="6339" spans="2:30" x14ac:dyDescent="0.25">
      <c r="B6339" t="s">
        <v>133</v>
      </c>
      <c r="C6339" t="s">
        <v>10598</v>
      </c>
      <c r="D6339" t="s">
        <v>7109</v>
      </c>
      <c r="E6339" t="s">
        <v>7110</v>
      </c>
      <c r="F6339" t="s">
        <v>11596</v>
      </c>
      <c r="G6339" t="s">
        <v>3890</v>
      </c>
      <c r="H6339" t="s">
        <v>7090</v>
      </c>
      <c r="J6339">
        <v>1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  <c r="W6339" t="e">
        <v>#N/A</v>
      </c>
      <c r="X6339" t="e">
        <v>#N/A</v>
      </c>
      <c r="Y6339" t="e">
        <v>#N/A</v>
      </c>
      <c r="Z6339" t="e">
        <v>#N/A</v>
      </c>
      <c r="AA6339" t="e">
        <v>#N/A</v>
      </c>
      <c r="AB6339" t="e">
        <v>#N/A</v>
      </c>
      <c r="AC6339" t="e">
        <v>#N/A</v>
      </c>
      <c r="AD6339" t="e">
        <v>#N/A</v>
      </c>
    </row>
    <row r="6340" spans="2:30" x14ac:dyDescent="0.25">
      <c r="B6340" t="s">
        <v>133</v>
      </c>
      <c r="C6340" t="s">
        <v>10598</v>
      </c>
      <c r="D6340" t="s">
        <v>7112</v>
      </c>
      <c r="E6340" t="s">
        <v>7113</v>
      </c>
      <c r="F6340" t="s">
        <v>11597</v>
      </c>
      <c r="G6340" t="s">
        <v>3890</v>
      </c>
      <c r="H6340" t="s">
        <v>4476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</row>
    <row r="6341" spans="2:30" x14ac:dyDescent="0.25">
      <c r="B6341" t="s">
        <v>133</v>
      </c>
      <c r="C6341" t="s">
        <v>10598</v>
      </c>
      <c r="D6341" t="s">
        <v>7115</v>
      </c>
      <c r="E6341" t="s">
        <v>7116</v>
      </c>
      <c r="F6341" t="s">
        <v>11598</v>
      </c>
      <c r="G6341" t="s">
        <v>3890</v>
      </c>
      <c r="H6341" t="s">
        <v>884</v>
      </c>
      <c r="J6341">
        <v>1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  <c r="W6341" t="e">
        <v>#N/A</v>
      </c>
      <c r="X6341" t="e">
        <v>#N/A</v>
      </c>
      <c r="Y6341" t="e">
        <v>#N/A</v>
      </c>
      <c r="Z6341" t="e">
        <v>#N/A</v>
      </c>
      <c r="AA6341" t="e">
        <v>#N/A</v>
      </c>
      <c r="AB6341" t="e">
        <v>#N/A</v>
      </c>
      <c r="AC6341" t="e">
        <v>#N/A</v>
      </c>
      <c r="AD6341" t="e">
        <v>#N/A</v>
      </c>
    </row>
    <row r="6342" spans="2:30" x14ac:dyDescent="0.25">
      <c r="B6342" t="s">
        <v>133</v>
      </c>
      <c r="C6342" t="s">
        <v>10598</v>
      </c>
      <c r="D6342" t="s">
        <v>7118</v>
      </c>
      <c r="E6342" t="s">
        <v>7119</v>
      </c>
      <c r="F6342" t="s">
        <v>11599</v>
      </c>
      <c r="G6342" t="s">
        <v>3890</v>
      </c>
      <c r="H6342" t="s">
        <v>7078</v>
      </c>
      <c r="J6342">
        <v>1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  <c r="W6342" t="e">
        <v>#N/A</v>
      </c>
      <c r="X6342" t="e">
        <v>#N/A</v>
      </c>
      <c r="Y6342" t="e">
        <v>#N/A</v>
      </c>
      <c r="Z6342" t="e">
        <v>#N/A</v>
      </c>
      <c r="AA6342" t="e">
        <v>#N/A</v>
      </c>
      <c r="AB6342" t="e">
        <v>#N/A</v>
      </c>
      <c r="AC6342" t="e">
        <v>#N/A</v>
      </c>
      <c r="AD6342" t="e">
        <v>#N/A</v>
      </c>
    </row>
    <row r="6343" spans="2:30" x14ac:dyDescent="0.25">
      <c r="B6343" t="s">
        <v>133</v>
      </c>
      <c r="C6343" t="s">
        <v>10598</v>
      </c>
      <c r="D6343" t="s">
        <v>7121</v>
      </c>
      <c r="E6343" t="s">
        <v>7122</v>
      </c>
      <c r="F6343" t="s">
        <v>11600</v>
      </c>
      <c r="G6343" t="s">
        <v>3890</v>
      </c>
      <c r="H6343" t="s">
        <v>7082</v>
      </c>
      <c r="J6343">
        <v>1</v>
      </c>
      <c r="K6343">
        <v>8.7592273594097882</v>
      </c>
      <c r="L6343">
        <v>9.8483367689349723</v>
      </c>
      <c r="M6343">
        <v>11.872645748894794</v>
      </c>
      <c r="N6343">
        <v>12.165496369500795</v>
      </c>
      <c r="O6343">
        <v>12.451220798302455</v>
      </c>
      <c r="P6343">
        <v>12.787576079133844</v>
      </c>
      <c r="Q6343">
        <v>13.185926293726901</v>
      </c>
      <c r="R6343">
        <v>13.567516333534819</v>
      </c>
      <c r="S6343">
        <v>13.924630751853487</v>
      </c>
      <c r="T6343">
        <v>14.284805547580049</v>
      </c>
      <c r="U6343">
        <v>14.649307370291794</v>
      </c>
      <c r="V6343">
        <v>15.018063306158167</v>
      </c>
      <c r="W6343">
        <v>15.390998538298842</v>
      </c>
      <c r="X6343">
        <v>15.768036297169033</v>
      </c>
      <c r="Y6343">
        <v>16.149097798433552</v>
      </c>
      <c r="Z6343">
        <v>16.534102168271236</v>
      </c>
      <c r="AA6343">
        <v>16.922966356059909</v>
      </c>
      <c r="AB6343">
        <v>17.315605034396299</v>
      </c>
      <c r="AC6343">
        <v>17.711930486408583</v>
      </c>
      <c r="AD6343">
        <v>18.111852480319339</v>
      </c>
    </row>
    <row r="6344" spans="2:30" x14ac:dyDescent="0.25">
      <c r="B6344" t="s">
        <v>133</v>
      </c>
      <c r="C6344" t="s">
        <v>10598</v>
      </c>
      <c r="D6344" t="s">
        <v>7124</v>
      </c>
      <c r="E6344" t="s">
        <v>7125</v>
      </c>
      <c r="F6344" t="s">
        <v>11601</v>
      </c>
      <c r="G6344" t="s">
        <v>3890</v>
      </c>
      <c r="H6344" t="s">
        <v>7086</v>
      </c>
      <c r="J6344">
        <v>1</v>
      </c>
      <c r="K6344">
        <v>4.3415326674431149</v>
      </c>
      <c r="L6344">
        <v>4.6878851644380655</v>
      </c>
      <c r="M6344">
        <v>5.4012855181209103</v>
      </c>
      <c r="N6344">
        <v>4.7970431075413851</v>
      </c>
      <c r="O6344">
        <v>5.1193866689866239</v>
      </c>
      <c r="P6344">
        <v>4.9330654080764651</v>
      </c>
      <c r="Q6344">
        <v>4.9946480086541092</v>
      </c>
      <c r="R6344">
        <v>5.0914253757795098</v>
      </c>
      <c r="S6344">
        <v>5.1825691281617061</v>
      </c>
      <c r="T6344">
        <v>5.2688435912409322</v>
      </c>
      <c r="U6344">
        <v>5.4032873599148266</v>
      </c>
      <c r="V6344">
        <v>5.539300226379833</v>
      </c>
      <c r="W6344">
        <v>5.6768545949897167</v>
      </c>
      <c r="X6344">
        <v>5.8159221498725753</v>
      </c>
      <c r="Y6344">
        <v>5.9564738320161474</v>
      </c>
      <c r="Z6344">
        <v>6.0984798117169134</v>
      </c>
      <c r="AA6344">
        <v>6.2419094563745929</v>
      </c>
      <c r="AB6344">
        <v>6.3867312936152452</v>
      </c>
      <c r="AC6344">
        <v>6.5329129697273389</v>
      </c>
      <c r="AD6344">
        <v>6.680421203395241</v>
      </c>
    </row>
    <row r="6345" spans="2:30" x14ac:dyDescent="0.25">
      <c r="B6345" t="s">
        <v>133</v>
      </c>
      <c r="C6345" t="s">
        <v>10598</v>
      </c>
      <c r="D6345" t="s">
        <v>7127</v>
      </c>
      <c r="E6345" t="s">
        <v>7128</v>
      </c>
      <c r="F6345" t="s">
        <v>11602</v>
      </c>
      <c r="G6345" t="s">
        <v>3890</v>
      </c>
      <c r="H6345" t="s">
        <v>7090</v>
      </c>
      <c r="J6345">
        <v>1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  <c r="W6345" t="e">
        <v>#N/A</v>
      </c>
      <c r="X6345" t="e">
        <v>#N/A</v>
      </c>
      <c r="Y6345" t="e">
        <v>#N/A</v>
      </c>
      <c r="Z6345" t="e">
        <v>#N/A</v>
      </c>
      <c r="AA6345" t="e">
        <v>#N/A</v>
      </c>
      <c r="AB6345" t="e">
        <v>#N/A</v>
      </c>
      <c r="AC6345" t="e">
        <v>#N/A</v>
      </c>
      <c r="AD6345" t="e">
        <v>#N/A</v>
      </c>
    </row>
    <row r="6346" spans="2:30" x14ac:dyDescent="0.25">
      <c r="B6346" t="s">
        <v>133</v>
      </c>
      <c r="C6346" t="s">
        <v>10598</v>
      </c>
      <c r="D6346" t="s">
        <v>7130</v>
      </c>
      <c r="E6346" t="s">
        <v>7131</v>
      </c>
      <c r="F6346" t="s">
        <v>11603</v>
      </c>
      <c r="G6346" t="s">
        <v>3890</v>
      </c>
      <c r="H6346" t="s">
        <v>4476</v>
      </c>
      <c r="J6346">
        <v>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</row>
    <row r="6347" spans="2:30" x14ac:dyDescent="0.25">
      <c r="B6347" t="s">
        <v>133</v>
      </c>
      <c r="C6347" t="s">
        <v>10598</v>
      </c>
      <c r="D6347" t="s">
        <v>7133</v>
      </c>
      <c r="E6347" t="s">
        <v>7134</v>
      </c>
      <c r="F6347" t="s">
        <v>11604</v>
      </c>
      <c r="G6347" t="s">
        <v>3890</v>
      </c>
      <c r="H6347" t="s">
        <v>884</v>
      </c>
      <c r="J6347">
        <v>1</v>
      </c>
      <c r="K6347">
        <v>0.38980710506439209</v>
      </c>
      <c r="L6347">
        <v>0.38980710506439209</v>
      </c>
      <c r="M6347">
        <v>0.38980710506439209</v>
      </c>
      <c r="N6347">
        <v>0.38980710506439209</v>
      </c>
      <c r="O6347">
        <v>0.38980710506439209</v>
      </c>
      <c r="P6347">
        <v>0.38980710506439209</v>
      </c>
      <c r="Q6347">
        <v>0.38980710506439209</v>
      </c>
      <c r="R6347">
        <v>0.38980710506439209</v>
      </c>
      <c r="S6347">
        <v>0.38980710506439209</v>
      </c>
      <c r="T6347">
        <v>0.38980710506439209</v>
      </c>
      <c r="U6347">
        <v>0.38980710506439209</v>
      </c>
      <c r="V6347">
        <v>0.38980710506439209</v>
      </c>
      <c r="W6347">
        <v>0.38980710506439209</v>
      </c>
      <c r="X6347">
        <v>0.38980710506439209</v>
      </c>
      <c r="Y6347">
        <v>0.38980710506439209</v>
      </c>
      <c r="Z6347">
        <v>0.38980710506439209</v>
      </c>
      <c r="AA6347">
        <v>0.38980710506439209</v>
      </c>
      <c r="AB6347">
        <v>0.38980710506439209</v>
      </c>
      <c r="AC6347">
        <v>0.38980710506439209</v>
      </c>
      <c r="AD6347">
        <v>0.38980710506439209</v>
      </c>
    </row>
    <row r="6348" spans="2:30" x14ac:dyDescent="0.25">
      <c r="B6348" t="s">
        <v>133</v>
      </c>
      <c r="C6348" t="s">
        <v>10598</v>
      </c>
      <c r="D6348" t="s">
        <v>7136</v>
      </c>
      <c r="E6348" t="s">
        <v>7137</v>
      </c>
      <c r="F6348" t="s">
        <v>11605</v>
      </c>
      <c r="G6348" t="s">
        <v>3890</v>
      </c>
      <c r="H6348" t="s">
        <v>7078</v>
      </c>
      <c r="J6348">
        <v>1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  <c r="W6348" t="e">
        <v>#N/A</v>
      </c>
      <c r="X6348" t="e">
        <v>#N/A</v>
      </c>
      <c r="Y6348" t="e">
        <v>#N/A</v>
      </c>
      <c r="Z6348" t="e">
        <v>#N/A</v>
      </c>
      <c r="AA6348" t="e">
        <v>#N/A</v>
      </c>
      <c r="AB6348" t="e">
        <v>#N/A</v>
      </c>
      <c r="AC6348" t="e">
        <v>#N/A</v>
      </c>
      <c r="AD6348" t="e">
        <v>#N/A</v>
      </c>
    </row>
    <row r="6349" spans="2:30" x14ac:dyDescent="0.25">
      <c r="B6349" t="s">
        <v>133</v>
      </c>
      <c r="C6349" t="s">
        <v>10598</v>
      </c>
      <c r="D6349" t="s">
        <v>7139</v>
      </c>
      <c r="E6349" t="s">
        <v>7140</v>
      </c>
      <c r="F6349" t="s">
        <v>11606</v>
      </c>
      <c r="G6349" t="s">
        <v>3890</v>
      </c>
      <c r="H6349" t="s">
        <v>7082</v>
      </c>
      <c r="J6349">
        <v>1</v>
      </c>
      <c r="K6349">
        <v>0.74072845747668814</v>
      </c>
      <c r="L6349">
        <v>0.86721354102799408</v>
      </c>
      <c r="M6349">
        <v>0.96364265512465508</v>
      </c>
      <c r="N6349">
        <v>0.9988957686311748</v>
      </c>
      <c r="O6349">
        <v>1.0339270684047732</v>
      </c>
      <c r="P6349">
        <v>1.0762198961506069</v>
      </c>
      <c r="Q6349">
        <v>1.1277638855092658</v>
      </c>
      <c r="R6349">
        <v>1.1783280880287157</v>
      </c>
      <c r="S6349">
        <v>1.2266700805639159</v>
      </c>
      <c r="T6349">
        <v>1.2763498867482865</v>
      </c>
      <c r="U6349">
        <v>1.3273714719702523</v>
      </c>
      <c r="V6349">
        <v>1.3797355811327254</v>
      </c>
      <c r="W6349">
        <v>1.4334408714602123</v>
      </c>
      <c r="X6349">
        <v>1.4884838304763481</v>
      </c>
      <c r="Y6349">
        <v>1.5448586963577673</v>
      </c>
      <c r="Z6349">
        <v>1.6025573810131351</v>
      </c>
      <c r="AA6349">
        <v>1.6615693962402645</v>
      </c>
      <c r="AB6349">
        <v>1.7218817833169799</v>
      </c>
      <c r="AC6349">
        <v>1.7834790463827501</v>
      </c>
      <c r="AD6349">
        <v>1.8463430899680089</v>
      </c>
    </row>
    <row r="6350" spans="2:30" x14ac:dyDescent="0.25">
      <c r="B6350" t="s">
        <v>133</v>
      </c>
      <c r="C6350" t="s">
        <v>10598</v>
      </c>
      <c r="D6350" t="s">
        <v>7142</v>
      </c>
      <c r="E6350" t="s">
        <v>7143</v>
      </c>
      <c r="F6350" t="s">
        <v>11607</v>
      </c>
      <c r="G6350" t="s">
        <v>3890</v>
      </c>
      <c r="H6350" t="s">
        <v>7086</v>
      </c>
      <c r="J6350">
        <v>1</v>
      </c>
      <c r="K6350">
        <v>0.27367377034005486</v>
      </c>
      <c r="L6350">
        <v>0.38155634577615954</v>
      </c>
      <c r="M6350">
        <v>0.43124175007426463</v>
      </c>
      <c r="N6350">
        <v>0.36505809917876048</v>
      </c>
      <c r="O6350">
        <v>0.40142729937355043</v>
      </c>
      <c r="P6350">
        <v>0.38086928737994213</v>
      </c>
      <c r="Q6350">
        <v>0.38844987055893182</v>
      </c>
      <c r="R6350">
        <v>0.40025158852473763</v>
      </c>
      <c r="S6350">
        <v>0.41156070572289422</v>
      </c>
      <c r="T6350">
        <v>0.4224506458058534</v>
      </c>
      <c r="U6350">
        <v>0.43933794438349538</v>
      </c>
      <c r="V6350">
        <v>0.45666959612132135</v>
      </c>
      <c r="W6350">
        <v>0.47444515658291136</v>
      </c>
      <c r="X6350">
        <v>0.49266346319683868</v>
      </c>
      <c r="Y6350">
        <v>0.51132260889512215</v>
      </c>
      <c r="Z6350">
        <v>0.53041991665366117</v>
      </c>
      <c r="AA6350">
        <v>0.54995191505146579</v>
      </c>
      <c r="AB6350">
        <v>0.56991431496640055</v>
      </c>
      <c r="AC6350">
        <v>0.59030198752560969</v>
      </c>
      <c r="AD6350">
        <v>0.61110894342875799</v>
      </c>
    </row>
    <row r="6351" spans="2:30" x14ac:dyDescent="0.25">
      <c r="B6351" t="s">
        <v>133</v>
      </c>
      <c r="C6351" t="s">
        <v>10598</v>
      </c>
      <c r="D6351" t="s">
        <v>7145</v>
      </c>
      <c r="E6351" t="s">
        <v>7146</v>
      </c>
      <c r="F6351" t="s">
        <v>11608</v>
      </c>
      <c r="G6351" t="s">
        <v>3890</v>
      </c>
      <c r="H6351" t="s">
        <v>7090</v>
      </c>
      <c r="J6351">
        <v>1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  <c r="W6351" t="e">
        <v>#N/A</v>
      </c>
      <c r="X6351" t="e">
        <v>#N/A</v>
      </c>
      <c r="Y6351" t="e">
        <v>#N/A</v>
      </c>
      <c r="Z6351" t="e">
        <v>#N/A</v>
      </c>
      <c r="AA6351" t="e">
        <v>#N/A</v>
      </c>
      <c r="AB6351" t="e">
        <v>#N/A</v>
      </c>
      <c r="AC6351" t="e">
        <v>#N/A</v>
      </c>
      <c r="AD6351" t="e">
        <v>#N/A</v>
      </c>
    </row>
    <row r="6352" spans="2:30" x14ac:dyDescent="0.25">
      <c r="B6352" t="s">
        <v>133</v>
      </c>
      <c r="C6352" t="s">
        <v>10598</v>
      </c>
      <c r="D6352" t="s">
        <v>7148</v>
      </c>
      <c r="E6352" t="s">
        <v>7149</v>
      </c>
      <c r="F6352" t="s">
        <v>11609</v>
      </c>
      <c r="G6352" t="s">
        <v>3890</v>
      </c>
      <c r="H6352" t="s">
        <v>4476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</row>
    <row r="6353" spans="2:30" x14ac:dyDescent="0.25">
      <c r="B6353" t="s">
        <v>133</v>
      </c>
      <c r="C6353" t="s">
        <v>10598</v>
      </c>
      <c r="D6353" t="s">
        <v>7151</v>
      </c>
      <c r="E6353" t="s">
        <v>7152</v>
      </c>
      <c r="F6353" t="s">
        <v>11610</v>
      </c>
      <c r="G6353" t="s">
        <v>3890</v>
      </c>
      <c r="H6353" t="s">
        <v>884</v>
      </c>
      <c r="J6353">
        <v>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</row>
    <row r="6354" spans="2:30" x14ac:dyDescent="0.25">
      <c r="B6354" t="s">
        <v>133</v>
      </c>
      <c r="C6354" t="s">
        <v>10598</v>
      </c>
      <c r="D6354" t="s">
        <v>7154</v>
      </c>
      <c r="E6354" t="s">
        <v>7155</v>
      </c>
      <c r="F6354" t="s">
        <v>11611</v>
      </c>
      <c r="G6354" t="s">
        <v>3890</v>
      </c>
      <c r="H6354" t="s">
        <v>7078</v>
      </c>
      <c r="J6354">
        <v>1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  <c r="W6354" t="e">
        <v>#N/A</v>
      </c>
      <c r="X6354" t="e">
        <v>#N/A</v>
      </c>
      <c r="Y6354" t="e">
        <v>#N/A</v>
      </c>
      <c r="Z6354" t="e">
        <v>#N/A</v>
      </c>
      <c r="AA6354" t="e">
        <v>#N/A</v>
      </c>
      <c r="AB6354" t="e">
        <v>#N/A</v>
      </c>
      <c r="AC6354" t="e">
        <v>#N/A</v>
      </c>
      <c r="AD6354" t="e">
        <v>#N/A</v>
      </c>
    </row>
    <row r="6355" spans="2:30" x14ac:dyDescent="0.25">
      <c r="B6355" t="s">
        <v>133</v>
      </c>
      <c r="C6355" t="s">
        <v>10598</v>
      </c>
      <c r="D6355" t="s">
        <v>7157</v>
      </c>
      <c r="E6355" t="s">
        <v>7158</v>
      </c>
      <c r="F6355" t="s">
        <v>11612</v>
      </c>
      <c r="G6355" t="s">
        <v>3890</v>
      </c>
      <c r="H6355" t="s">
        <v>7160</v>
      </c>
      <c r="J6355">
        <v>1</v>
      </c>
      <c r="K6355">
        <v>5.4004408136823523</v>
      </c>
      <c r="L6355">
        <v>4.2974710728280368</v>
      </c>
      <c r="M6355">
        <v>3.7869687556145295</v>
      </c>
      <c r="N6355">
        <v>2.4509803921568629</v>
      </c>
      <c r="O6355">
        <v>2.4509803921568629</v>
      </c>
      <c r="P6355">
        <v>2.4509803921568629</v>
      </c>
      <c r="Q6355">
        <v>2.4509803921568629</v>
      </c>
      <c r="R6355">
        <v>2.4509803921568629</v>
      </c>
      <c r="S6355">
        <v>2.4509803921568629</v>
      </c>
      <c r="T6355">
        <v>2.4509803921568629</v>
      </c>
      <c r="U6355">
        <v>2.4509803921568629</v>
      </c>
      <c r="V6355">
        <v>2.4509803921568629</v>
      </c>
      <c r="W6355">
        <v>2.4509803921568629</v>
      </c>
      <c r="X6355">
        <v>2.4509803921568629</v>
      </c>
      <c r="Y6355">
        <v>2.4509803921568629</v>
      </c>
      <c r="Z6355">
        <v>2.4509803921568629</v>
      </c>
      <c r="AA6355">
        <v>2.4509803921568629</v>
      </c>
      <c r="AB6355">
        <v>2.4509803921568629</v>
      </c>
      <c r="AC6355">
        <v>2.4509803921568629</v>
      </c>
      <c r="AD6355">
        <v>2.4509803921568629</v>
      </c>
    </row>
    <row r="6356" spans="2:30" x14ac:dyDescent="0.25">
      <c r="B6356" t="s">
        <v>133</v>
      </c>
      <c r="C6356" t="s">
        <v>10598</v>
      </c>
      <c r="D6356" t="s">
        <v>7161</v>
      </c>
      <c r="E6356" t="s">
        <v>7162</v>
      </c>
      <c r="F6356" t="s">
        <v>11613</v>
      </c>
      <c r="G6356" t="s">
        <v>3890</v>
      </c>
      <c r="H6356" t="s">
        <v>7082</v>
      </c>
      <c r="J6356">
        <v>1</v>
      </c>
      <c r="K6356">
        <v>0.32188346580599997</v>
      </c>
      <c r="L6356">
        <v>0.3089390562367787</v>
      </c>
      <c r="M6356">
        <v>0.32729765615329354</v>
      </c>
      <c r="N6356">
        <v>0.41701501105380473</v>
      </c>
      <c r="O6356">
        <v>0.41808214023011825</v>
      </c>
      <c r="P6356">
        <v>0.41983936716622972</v>
      </c>
      <c r="Q6356">
        <v>0.42252803814562168</v>
      </c>
      <c r="R6356">
        <v>0.42531263014148041</v>
      </c>
      <c r="S6356">
        <v>0.42795050605972601</v>
      </c>
      <c r="T6356">
        <v>0.43084783735949062</v>
      </c>
      <c r="U6356">
        <v>0.4340548222194997</v>
      </c>
      <c r="V6356">
        <v>0.43757109321610066</v>
      </c>
      <c r="W6356">
        <v>0.44142443526464747</v>
      </c>
      <c r="X6356">
        <v>0.44562185501042934</v>
      </c>
      <c r="Y6356">
        <v>0.45018185469187577</v>
      </c>
      <c r="Z6356">
        <v>0.45511407317962493</v>
      </c>
      <c r="AA6356">
        <v>0.46043661231306099</v>
      </c>
      <c r="AB6356">
        <v>0.46617228364777208</v>
      </c>
      <c r="AC6356">
        <v>0.4723322681696388</v>
      </c>
      <c r="AD6356">
        <v>0.47893578168238266</v>
      </c>
    </row>
    <row r="6357" spans="2:30" x14ac:dyDescent="0.25">
      <c r="B6357" t="s">
        <v>133</v>
      </c>
      <c r="C6357" t="s">
        <v>10598</v>
      </c>
      <c r="D6357" t="s">
        <v>7164</v>
      </c>
      <c r="E6357" t="s">
        <v>7165</v>
      </c>
      <c r="F6357" t="s">
        <v>11614</v>
      </c>
      <c r="G6357" t="s">
        <v>3890</v>
      </c>
      <c r="H6357" t="s">
        <v>7086</v>
      </c>
      <c r="J6357">
        <v>1</v>
      </c>
      <c r="K6357">
        <v>4.3889209414219907</v>
      </c>
      <c r="L6357">
        <v>3.4714721957560077</v>
      </c>
      <c r="M6357">
        <v>3.6596998777215894</v>
      </c>
      <c r="N6357">
        <v>4.3189655718559834</v>
      </c>
      <c r="O6357">
        <v>4.5809641222525235</v>
      </c>
      <c r="P6357">
        <v>4.220341448397841</v>
      </c>
      <c r="Q6357">
        <v>4.1421891712689272</v>
      </c>
      <c r="R6357">
        <v>4.1161190641312997</v>
      </c>
      <c r="S6357">
        <v>4.0946875889971723</v>
      </c>
      <c r="T6357">
        <v>4.0710459939804498</v>
      </c>
      <c r="U6357">
        <v>4.101348531755991</v>
      </c>
      <c r="V6357">
        <v>4.1345734889524639</v>
      </c>
      <c r="W6357">
        <v>4.1709834029636692</v>
      </c>
      <c r="X6357">
        <v>4.2106444790081614</v>
      </c>
      <c r="Y6357">
        <v>4.253731543224327</v>
      </c>
      <c r="Z6357">
        <v>4.3003356725128628</v>
      </c>
      <c r="AA6357">
        <v>4.3506279096743068</v>
      </c>
      <c r="AB6357">
        <v>4.4048237992325996</v>
      </c>
      <c r="AC6357">
        <v>4.4630289894092954</v>
      </c>
      <c r="AD6357">
        <v>4.5254250487628918</v>
      </c>
    </row>
    <row r="6358" spans="2:30" x14ac:dyDescent="0.25">
      <c r="B6358" t="s">
        <v>133</v>
      </c>
      <c r="C6358" t="s">
        <v>10598</v>
      </c>
      <c r="D6358" t="s">
        <v>7167</v>
      </c>
      <c r="E6358" t="s">
        <v>7168</v>
      </c>
      <c r="F6358" t="s">
        <v>11615</v>
      </c>
      <c r="G6358" t="s">
        <v>3890</v>
      </c>
      <c r="H6358" t="s">
        <v>4476</v>
      </c>
      <c r="J6358">
        <v>1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</row>
    <row r="6359" spans="2:30" x14ac:dyDescent="0.25">
      <c r="B6359" t="s">
        <v>133</v>
      </c>
      <c r="C6359" t="s">
        <v>10598</v>
      </c>
      <c r="D6359" t="s">
        <v>7170</v>
      </c>
      <c r="E6359" t="s">
        <v>7171</v>
      </c>
      <c r="F6359" t="s">
        <v>11616</v>
      </c>
      <c r="G6359" t="s">
        <v>3890</v>
      </c>
      <c r="H6359" t="s">
        <v>7078</v>
      </c>
      <c r="J6359">
        <v>1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  <c r="W6359" t="e">
        <v>#N/A</v>
      </c>
      <c r="X6359" t="e">
        <v>#N/A</v>
      </c>
      <c r="Y6359" t="e">
        <v>#N/A</v>
      </c>
      <c r="Z6359" t="e">
        <v>#N/A</v>
      </c>
      <c r="AA6359" t="e">
        <v>#N/A</v>
      </c>
      <c r="AB6359" t="e">
        <v>#N/A</v>
      </c>
      <c r="AC6359" t="e">
        <v>#N/A</v>
      </c>
      <c r="AD6359" t="e">
        <v>#N/A</v>
      </c>
    </row>
    <row r="6360" spans="2:30" x14ac:dyDescent="0.25">
      <c r="B6360" t="s">
        <v>133</v>
      </c>
      <c r="C6360" t="s">
        <v>10598</v>
      </c>
      <c r="D6360" t="s">
        <v>7173</v>
      </c>
      <c r="E6360" t="s">
        <v>7174</v>
      </c>
      <c r="F6360" t="s">
        <v>11617</v>
      </c>
      <c r="G6360" t="s">
        <v>3890</v>
      </c>
      <c r="H6360" t="s">
        <v>7082</v>
      </c>
      <c r="J6360">
        <v>1</v>
      </c>
      <c r="K6360">
        <v>0.4637672137728</v>
      </c>
      <c r="L6360">
        <v>0.39792308812516519</v>
      </c>
      <c r="M6360">
        <v>0.43807968256506025</v>
      </c>
      <c r="N6360">
        <v>0.45539144372591023</v>
      </c>
      <c r="O6360">
        <v>0.47249328611473107</v>
      </c>
      <c r="P6360">
        <v>0.49287018315998643</v>
      </c>
      <c r="Q6360">
        <v>0.51734449869533039</v>
      </c>
      <c r="R6360">
        <v>0.5411488016992192</v>
      </c>
      <c r="S6360">
        <v>0.56374026880622363</v>
      </c>
      <c r="T6360">
        <v>0.58682088394191312</v>
      </c>
      <c r="U6360">
        <v>0.61047490501407875</v>
      </c>
      <c r="V6360">
        <v>0.63470239672366058</v>
      </c>
      <c r="W6360">
        <v>0.65950299482287689</v>
      </c>
      <c r="X6360">
        <v>0.68487589963987638</v>
      </c>
      <c r="Y6360">
        <v>0.71081986871967007</v>
      </c>
      <c r="Z6360">
        <v>0.73733320850855688</v>
      </c>
      <c r="AA6360">
        <v>0.76441376501215852</v>
      </c>
      <c r="AB6360">
        <v>0.79205891335993706</v>
      </c>
      <c r="AC6360">
        <v>0.82026554621181647</v>
      </c>
      <c r="AD6360">
        <v>0.84903006094513367</v>
      </c>
    </row>
    <row r="6361" spans="2:30" x14ac:dyDescent="0.25">
      <c r="B6361" t="s">
        <v>133</v>
      </c>
      <c r="C6361" t="s">
        <v>10598</v>
      </c>
      <c r="D6361" t="s">
        <v>7176</v>
      </c>
      <c r="E6361" t="s">
        <v>7177</v>
      </c>
      <c r="F6361" t="s">
        <v>11618</v>
      </c>
      <c r="G6361" t="s">
        <v>3890</v>
      </c>
      <c r="H6361" t="s">
        <v>7086</v>
      </c>
      <c r="J6361">
        <v>1</v>
      </c>
      <c r="K6361">
        <v>3.2112892603922094</v>
      </c>
      <c r="L6361">
        <v>2.0618376055782233</v>
      </c>
      <c r="M6361">
        <v>1.963711542635125</v>
      </c>
      <c r="N6361">
        <v>2.0734284673921919</v>
      </c>
      <c r="O6361">
        <v>2.1707645000789553</v>
      </c>
      <c r="P6361">
        <v>2.2118737304513205</v>
      </c>
      <c r="Q6361">
        <v>2.2568741472875389</v>
      </c>
      <c r="R6361">
        <v>2.336561180963785</v>
      </c>
      <c r="S6361">
        <v>2.4269668290236366</v>
      </c>
      <c r="T6361">
        <v>2.5221201225048731</v>
      </c>
      <c r="U6361">
        <v>2.6237836524793252</v>
      </c>
      <c r="V6361">
        <v>2.7279119240365537</v>
      </c>
      <c r="W6361">
        <v>2.834503371661961</v>
      </c>
      <c r="X6361">
        <v>2.943554558415038</v>
      </c>
      <c r="Y6361">
        <v>3.055060144300541</v>
      </c>
      <c r="Z6361">
        <v>3.1690128505286643</v>
      </c>
      <c r="AA6361">
        <v>3.2854034193638468</v>
      </c>
      <c r="AB6361">
        <v>3.40422056927371</v>
      </c>
      <c r="AC6361">
        <v>3.5254509451014284</v>
      </c>
      <c r="AD6361">
        <v>3.6490790629960337</v>
      </c>
    </row>
    <row r="6362" spans="2:30" x14ac:dyDescent="0.25">
      <c r="B6362" t="s">
        <v>133</v>
      </c>
      <c r="C6362" t="s">
        <v>10598</v>
      </c>
      <c r="D6362" t="s">
        <v>7179</v>
      </c>
      <c r="E6362" t="s">
        <v>7180</v>
      </c>
      <c r="F6362" t="s">
        <v>11619</v>
      </c>
      <c r="G6362" t="s">
        <v>3890</v>
      </c>
      <c r="H6362" t="s">
        <v>7090</v>
      </c>
      <c r="J6362">
        <v>1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  <c r="W6362" t="e">
        <v>#N/A</v>
      </c>
      <c r="X6362" t="e">
        <v>#N/A</v>
      </c>
      <c r="Y6362" t="e">
        <v>#N/A</v>
      </c>
      <c r="Z6362" t="e">
        <v>#N/A</v>
      </c>
      <c r="AA6362" t="e">
        <v>#N/A</v>
      </c>
      <c r="AB6362" t="e">
        <v>#N/A</v>
      </c>
      <c r="AC6362" t="e">
        <v>#N/A</v>
      </c>
      <c r="AD6362" t="e">
        <v>#N/A</v>
      </c>
    </row>
    <row r="6363" spans="2:30" x14ac:dyDescent="0.25">
      <c r="B6363" t="s">
        <v>133</v>
      </c>
      <c r="C6363" t="s">
        <v>10598</v>
      </c>
      <c r="D6363" t="s">
        <v>7182</v>
      </c>
      <c r="E6363" t="s">
        <v>7183</v>
      </c>
      <c r="F6363" t="s">
        <v>11620</v>
      </c>
      <c r="G6363" t="s">
        <v>3890</v>
      </c>
      <c r="H6363" t="s">
        <v>4476</v>
      </c>
      <c r="J6363">
        <v>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</row>
    <row r="6364" spans="2:30" x14ac:dyDescent="0.25">
      <c r="B6364" t="s">
        <v>133</v>
      </c>
      <c r="C6364" t="s">
        <v>10598</v>
      </c>
      <c r="D6364" t="s">
        <v>7185</v>
      </c>
      <c r="E6364" t="s">
        <v>7186</v>
      </c>
      <c r="F6364" t="s">
        <v>11621</v>
      </c>
      <c r="G6364" t="s">
        <v>3890</v>
      </c>
      <c r="H6364" t="s">
        <v>7078</v>
      </c>
      <c r="J6364">
        <v>1</v>
      </c>
      <c r="K6364">
        <v>22.748523734833093</v>
      </c>
      <c r="L6364">
        <v>20.734316067986583</v>
      </c>
      <c r="M6364">
        <v>20.172373844852086</v>
      </c>
      <c r="N6364">
        <v>20.399377857533974</v>
      </c>
      <c r="O6364">
        <v>20.600749016259378</v>
      </c>
      <c r="P6364">
        <v>20.648807028287941</v>
      </c>
      <c r="Q6364">
        <v>20.683098121759521</v>
      </c>
      <c r="R6364">
        <v>20.811322848956539</v>
      </c>
      <c r="S6364">
        <v>20.98114506741744</v>
      </c>
      <c r="T6364">
        <v>21.164234393512217</v>
      </c>
      <c r="U6364">
        <v>21.362709066461147</v>
      </c>
      <c r="V6364">
        <v>21.56912238959184</v>
      </c>
      <c r="W6364">
        <v>21.78379195378011</v>
      </c>
      <c r="X6364">
        <v>22.007047981391352</v>
      </c>
      <c r="Y6364">
        <v>22.239233952314844</v>
      </c>
      <c r="Z6364">
        <v>22.480707055515111</v>
      </c>
      <c r="AA6364">
        <v>22.731834212537358</v>
      </c>
      <c r="AB6364">
        <v>22.993006455840501</v>
      </c>
      <c r="AC6364">
        <v>23.26462558887577</v>
      </c>
      <c r="AD6364">
        <v>23.547109487232447</v>
      </c>
    </row>
    <row r="6365" spans="2:30" x14ac:dyDescent="0.25">
      <c r="B6365" t="s">
        <v>133</v>
      </c>
      <c r="C6365" t="s">
        <v>10598</v>
      </c>
      <c r="D6365" t="s">
        <v>7188</v>
      </c>
      <c r="E6365" t="s">
        <v>7189</v>
      </c>
      <c r="F6365" t="s">
        <v>11622</v>
      </c>
      <c r="G6365" t="s">
        <v>3890</v>
      </c>
      <c r="H6365" t="s">
        <v>7082</v>
      </c>
      <c r="J6365">
        <v>1</v>
      </c>
      <c r="K6365">
        <v>8.0436035415600002E-2</v>
      </c>
      <c r="L6365">
        <v>8.2826328027928303E-2</v>
      </c>
      <c r="M6365">
        <v>0.11330860976480066</v>
      </c>
      <c r="N6365">
        <v>0.11412159141724208</v>
      </c>
      <c r="O6365">
        <v>0.11487524050064434</v>
      </c>
      <c r="P6365">
        <v>0.11581982025604542</v>
      </c>
      <c r="Q6365">
        <v>0.1169910005586642</v>
      </c>
      <c r="R6365">
        <v>0.11805078974817901</v>
      </c>
      <c r="S6365">
        <v>0.11897425274284208</v>
      </c>
      <c r="T6365">
        <v>0.11987712491385735</v>
      </c>
      <c r="U6365">
        <v>0.12076480283842975</v>
      </c>
      <c r="V6365">
        <v>0.12163721140263649</v>
      </c>
      <c r="W6365">
        <v>0.12249428500567361</v>
      </c>
      <c r="X6365">
        <v>0.12333596678715079</v>
      </c>
      <c r="Y6365">
        <v>0.12416220786644326</v>
      </c>
      <c r="Z6365">
        <v>0.12497296659523903</v>
      </c>
      <c r="AA6365">
        <v>0.12576820782419945</v>
      </c>
      <c r="AB6365">
        <v>0.12654790218444076</v>
      </c>
      <c r="AC6365">
        <v>0.12731202538435987</v>
      </c>
      <c r="AD6365">
        <v>0.12806055752215423</v>
      </c>
    </row>
    <row r="6366" spans="2:30" x14ac:dyDescent="0.25">
      <c r="B6366" t="s">
        <v>133</v>
      </c>
      <c r="C6366" t="s">
        <v>10598</v>
      </c>
      <c r="D6366" t="s">
        <v>7191</v>
      </c>
      <c r="E6366" t="s">
        <v>7192</v>
      </c>
      <c r="F6366" t="s">
        <v>11623</v>
      </c>
      <c r="G6366" t="s">
        <v>3890</v>
      </c>
      <c r="H6366" t="s">
        <v>7086</v>
      </c>
      <c r="J6366">
        <v>1</v>
      </c>
      <c r="K6366">
        <v>0.98637514452054165</v>
      </c>
      <c r="L6366">
        <v>0.97723979447097742</v>
      </c>
      <c r="M6366">
        <v>1.3660843335542761</v>
      </c>
      <c r="N6366">
        <v>1.3835118739348162</v>
      </c>
      <c r="O6366">
        <v>1.3971337415339518</v>
      </c>
      <c r="P6366">
        <v>1.3969305843117998</v>
      </c>
      <c r="Q6366">
        <v>1.3971645021213579</v>
      </c>
      <c r="R6366">
        <v>1.4048277045120772</v>
      </c>
      <c r="S6366">
        <v>1.4143894535822581</v>
      </c>
      <c r="T6366">
        <v>1.4243078082352829</v>
      </c>
      <c r="U6366">
        <v>1.4348546627755057</v>
      </c>
      <c r="V6366">
        <v>1.4452200959710706</v>
      </c>
      <c r="W6366">
        <v>1.4554033283927301</v>
      </c>
      <c r="X6366">
        <v>1.4654036844595677</v>
      </c>
      <c r="Y6366">
        <v>1.4752205834014356</v>
      </c>
      <c r="Z6366">
        <v>1.4848535303781714</v>
      </c>
      <c r="AA6366">
        <v>1.4943021077665002</v>
      </c>
      <c r="AB6366">
        <v>1.5035659666230312</v>
      </c>
      <c r="AC6366">
        <v>1.5126448183295649</v>
      </c>
      <c r="AD6366">
        <v>1.5215384264248681</v>
      </c>
    </row>
    <row r="6367" spans="2:30" x14ac:dyDescent="0.25">
      <c r="B6367" t="s">
        <v>133</v>
      </c>
      <c r="C6367" t="s">
        <v>10598</v>
      </c>
      <c r="D6367" t="s">
        <v>7194</v>
      </c>
      <c r="E6367" t="s">
        <v>7195</v>
      </c>
      <c r="F6367" t="s">
        <v>11624</v>
      </c>
      <c r="G6367" t="s">
        <v>3890</v>
      </c>
      <c r="H6367" t="s">
        <v>7090</v>
      </c>
      <c r="J6367">
        <v>1</v>
      </c>
      <c r="K6367">
        <v>0.470711993112783</v>
      </c>
      <c r="L6367">
        <v>0.47434382049911833</v>
      </c>
      <c r="M6367">
        <v>0.65551046569928983</v>
      </c>
      <c r="N6367">
        <v>0.67849379118980924</v>
      </c>
      <c r="O6367">
        <v>0.70162179029936533</v>
      </c>
      <c r="P6367">
        <v>0.72464836570597346</v>
      </c>
      <c r="Q6367">
        <v>0.74987979188624376</v>
      </c>
      <c r="R6367">
        <v>0.7768031015727781</v>
      </c>
      <c r="S6367">
        <v>0.80451182861397685</v>
      </c>
      <c r="T6367">
        <v>0.83338050077361325</v>
      </c>
      <c r="U6367">
        <v>0.86352035341647393</v>
      </c>
      <c r="V6367">
        <v>0.89486599141687495</v>
      </c>
      <c r="W6367">
        <v>0.92746714300650412</v>
      </c>
      <c r="X6367">
        <v>0.96137544605570513</v>
      </c>
      <c r="Y6367">
        <v>0.99664452769874778</v>
      </c>
      <c r="Z6367">
        <v>1.0333300620636581</v>
      </c>
      <c r="AA6367">
        <v>1.0714892699287506</v>
      </c>
      <c r="AB6367">
        <v>1.1111827190707138</v>
      </c>
      <c r="AC6367">
        <v>1.1524726590740895</v>
      </c>
      <c r="AD6367">
        <v>1.1954236774053992</v>
      </c>
    </row>
    <row r="6368" spans="2:30" x14ac:dyDescent="0.25">
      <c r="B6368" t="s">
        <v>133</v>
      </c>
      <c r="C6368" t="s">
        <v>10598</v>
      </c>
      <c r="D6368" t="s">
        <v>7197</v>
      </c>
      <c r="E6368" t="s">
        <v>7198</v>
      </c>
      <c r="F6368" t="s">
        <v>11625</v>
      </c>
      <c r="G6368" t="s">
        <v>3890</v>
      </c>
      <c r="H6368" t="s">
        <v>7078</v>
      </c>
      <c r="J6368">
        <v>1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  <c r="W6368" t="e">
        <v>#N/A</v>
      </c>
      <c r="X6368" t="e">
        <v>#N/A</v>
      </c>
      <c r="Y6368" t="e">
        <v>#N/A</v>
      </c>
      <c r="Z6368" t="e">
        <v>#N/A</v>
      </c>
      <c r="AA6368" t="e">
        <v>#N/A</v>
      </c>
      <c r="AB6368" t="e">
        <v>#N/A</v>
      </c>
      <c r="AC6368" t="e">
        <v>#N/A</v>
      </c>
      <c r="AD6368" t="e">
        <v>#N/A</v>
      </c>
    </row>
    <row r="6369" spans="2:30" x14ac:dyDescent="0.25">
      <c r="B6369" t="s">
        <v>133</v>
      </c>
      <c r="C6369" t="s">
        <v>10598</v>
      </c>
      <c r="D6369" t="s">
        <v>7200</v>
      </c>
      <c r="E6369" t="s">
        <v>7201</v>
      </c>
      <c r="F6369" t="s">
        <v>11626</v>
      </c>
      <c r="G6369" t="s">
        <v>3890</v>
      </c>
      <c r="H6369" t="s">
        <v>7082</v>
      </c>
      <c r="J6369">
        <v>1</v>
      </c>
      <c r="K6369">
        <v>1.2327486599412001</v>
      </c>
      <c r="L6369">
        <v>1.1725161299119944</v>
      </c>
      <c r="M6369">
        <v>1.4033438491942496</v>
      </c>
      <c r="N6369">
        <v>1.4308770262397683</v>
      </c>
      <c r="O6369">
        <v>1.3887387896228849</v>
      </c>
      <c r="P6369">
        <v>1.370907789247888</v>
      </c>
      <c r="Q6369">
        <v>1.4054509993396014</v>
      </c>
      <c r="R6369">
        <v>1.4461695706943829</v>
      </c>
      <c r="S6369">
        <v>1.4810098615122791</v>
      </c>
      <c r="T6369">
        <v>1.5170366130452062</v>
      </c>
      <c r="U6369">
        <v>1.555972587375041</v>
      </c>
      <c r="V6369">
        <v>1.6013434190064768</v>
      </c>
      <c r="W6369">
        <v>1.6529827077736425</v>
      </c>
      <c r="X6369">
        <v>1.7129788505549797</v>
      </c>
      <c r="Y6369">
        <v>1.7815906572751365</v>
      </c>
      <c r="Z6369">
        <v>1.8611546506829606</v>
      </c>
      <c r="AA6369">
        <v>1.9534573077171447</v>
      </c>
      <c r="AB6369">
        <v>2.0611593294346604</v>
      </c>
      <c r="AC6369">
        <v>2.1873655562847389</v>
      </c>
      <c r="AD6369">
        <v>2.3139671624881553</v>
      </c>
    </row>
    <row r="6370" spans="2:30" x14ac:dyDescent="0.25">
      <c r="B6370" t="s">
        <v>133</v>
      </c>
      <c r="C6370" t="s">
        <v>10598</v>
      </c>
      <c r="D6370" t="s">
        <v>7203</v>
      </c>
      <c r="E6370" t="s">
        <v>7204</v>
      </c>
      <c r="F6370" t="s">
        <v>11627</v>
      </c>
      <c r="G6370" t="s">
        <v>3890</v>
      </c>
      <c r="H6370" t="s">
        <v>7086</v>
      </c>
      <c r="J6370">
        <v>1</v>
      </c>
      <c r="K6370">
        <v>10.729197716636946</v>
      </c>
      <c r="L6370">
        <v>7.9443465595423444</v>
      </c>
      <c r="M6370">
        <v>8.5778885827199467</v>
      </c>
      <c r="N6370">
        <v>8.8592007681384199</v>
      </c>
      <c r="O6370">
        <v>8.6623948539867364</v>
      </c>
      <c r="P6370">
        <v>8.3876032744290576</v>
      </c>
      <c r="Q6370">
        <v>8.4016882703472966</v>
      </c>
      <c r="R6370">
        <v>8.5727986818170994</v>
      </c>
      <c r="S6370">
        <v>8.7583239594189664</v>
      </c>
      <c r="T6370">
        <v>8.9591839587988513</v>
      </c>
      <c r="U6370">
        <v>9.1891286770979228</v>
      </c>
      <c r="V6370">
        <v>9.4570758205315748</v>
      </c>
      <c r="W6370">
        <v>9.7620426773550797</v>
      </c>
      <c r="X6370">
        <v>10.116362721692957</v>
      </c>
      <c r="Y6370">
        <v>10.521564410871385</v>
      </c>
      <c r="Z6370">
        <v>10.991446579375193</v>
      </c>
      <c r="AA6370">
        <v>11.536559648594526</v>
      </c>
      <c r="AB6370">
        <v>12.172616957300376</v>
      </c>
      <c r="AC6370">
        <v>12.917954804371874</v>
      </c>
      <c r="AD6370">
        <v>13.66562764872004</v>
      </c>
    </row>
    <row r="6371" spans="2:30" x14ac:dyDescent="0.25">
      <c r="B6371" t="s">
        <v>133</v>
      </c>
      <c r="C6371" t="s">
        <v>10598</v>
      </c>
      <c r="D6371" t="s">
        <v>7206</v>
      </c>
      <c r="E6371" t="s">
        <v>7207</v>
      </c>
      <c r="F6371" t="s">
        <v>11628</v>
      </c>
      <c r="G6371" t="s">
        <v>3890</v>
      </c>
      <c r="H6371" t="s">
        <v>7090</v>
      </c>
      <c r="J6371">
        <v>1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  <c r="W6371" t="e">
        <v>#N/A</v>
      </c>
      <c r="X6371" t="e">
        <v>#N/A</v>
      </c>
      <c r="Y6371" t="e">
        <v>#N/A</v>
      </c>
      <c r="Z6371" t="e">
        <v>#N/A</v>
      </c>
      <c r="AA6371" t="e">
        <v>#N/A</v>
      </c>
      <c r="AB6371" t="e">
        <v>#N/A</v>
      </c>
      <c r="AC6371" t="e">
        <v>#N/A</v>
      </c>
      <c r="AD6371" t="e">
        <v>#N/A</v>
      </c>
    </row>
    <row r="6372" spans="2:30" x14ac:dyDescent="0.25">
      <c r="B6372" t="s">
        <v>133</v>
      </c>
      <c r="C6372" t="s">
        <v>10598</v>
      </c>
      <c r="D6372" t="s">
        <v>7209</v>
      </c>
      <c r="E6372" t="s">
        <v>7210</v>
      </c>
      <c r="F6372" t="s">
        <v>11629</v>
      </c>
      <c r="G6372" t="s">
        <v>3890</v>
      </c>
      <c r="H6372" t="s">
        <v>7212</v>
      </c>
      <c r="J6372">
        <v>1</v>
      </c>
      <c r="K6372">
        <v>11.934141046607984</v>
      </c>
      <c r="L6372">
        <v>9.8637486194305826</v>
      </c>
      <c r="M6372">
        <v>9.2724873581166705</v>
      </c>
      <c r="N6372">
        <v>9.3465408993948493</v>
      </c>
      <c r="O6372">
        <v>9.4062629183432183</v>
      </c>
      <c r="P6372">
        <v>9.3010961194615671</v>
      </c>
      <c r="Q6372">
        <v>9.1630512401761948</v>
      </c>
      <c r="R6372">
        <v>9.1104078616575883</v>
      </c>
      <c r="S6372">
        <v>9.0934950928381184</v>
      </c>
      <c r="T6372">
        <v>9.0824195816451176</v>
      </c>
      <c r="U6372">
        <v>9.0786463925315566</v>
      </c>
      <c r="V6372">
        <v>9.0737133676193658</v>
      </c>
      <c r="W6372">
        <v>9.0677982101240708</v>
      </c>
      <c r="X6372">
        <v>9.0606241934607912</v>
      </c>
      <c r="Y6372">
        <v>9.0523401317632786</v>
      </c>
      <c r="Z6372">
        <v>9.0427317499168307</v>
      </c>
      <c r="AA6372">
        <v>9.0317683073067272</v>
      </c>
      <c r="AB6372">
        <v>9.019349859661407</v>
      </c>
      <c r="AC6372">
        <v>9.005413893379604</v>
      </c>
      <c r="AD6372">
        <v>8.9927822514617102</v>
      </c>
    </row>
    <row r="6373" spans="2:30" x14ac:dyDescent="0.25">
      <c r="B6373" t="s">
        <v>133</v>
      </c>
      <c r="C6373" t="s">
        <v>10598</v>
      </c>
      <c r="D6373" t="s">
        <v>7213</v>
      </c>
      <c r="E6373" t="s">
        <v>7214</v>
      </c>
      <c r="F6373" t="s">
        <v>11630</v>
      </c>
      <c r="G6373" t="s">
        <v>3890</v>
      </c>
      <c r="H6373" t="s">
        <v>5985</v>
      </c>
      <c r="J6373">
        <v>1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  <c r="W6373" t="e">
        <v>#N/A</v>
      </c>
      <c r="X6373" t="e">
        <v>#N/A</v>
      </c>
      <c r="Y6373" t="e">
        <v>#N/A</v>
      </c>
      <c r="Z6373" t="e">
        <v>#N/A</v>
      </c>
      <c r="AA6373" t="e">
        <v>#N/A</v>
      </c>
      <c r="AB6373" t="e">
        <v>#N/A</v>
      </c>
      <c r="AC6373" t="e">
        <v>#N/A</v>
      </c>
      <c r="AD6373" t="e">
        <v>#N/A</v>
      </c>
    </row>
    <row r="6374" spans="2:30" x14ac:dyDescent="0.25">
      <c r="B6374" t="s">
        <v>133</v>
      </c>
      <c r="C6374" t="s">
        <v>10598</v>
      </c>
      <c r="D6374" t="s">
        <v>7216</v>
      </c>
      <c r="E6374" t="s">
        <v>7217</v>
      </c>
      <c r="F6374" t="s">
        <v>11631</v>
      </c>
      <c r="G6374" t="s">
        <v>3890</v>
      </c>
      <c r="H6374" t="s">
        <v>4476</v>
      </c>
      <c r="J6374">
        <v>1</v>
      </c>
      <c r="K6374">
        <v>0.12645947806431773</v>
      </c>
      <c r="L6374">
        <v>0.12756710262967647</v>
      </c>
      <c r="M6374">
        <v>0.14360046605128196</v>
      </c>
      <c r="N6374">
        <v>0.14292007580549382</v>
      </c>
      <c r="O6374">
        <v>0.14706932627781147</v>
      </c>
      <c r="P6374">
        <v>0.14836247705827427</v>
      </c>
      <c r="Q6374">
        <v>0.14568220931156309</v>
      </c>
      <c r="R6374">
        <v>0.14330571498619898</v>
      </c>
      <c r="S6374">
        <v>0.14167832621971377</v>
      </c>
      <c r="T6374">
        <v>0.14011321800855736</v>
      </c>
      <c r="U6374">
        <v>0.13852029571623406</v>
      </c>
      <c r="V6374">
        <v>0.13665851502508181</v>
      </c>
      <c r="W6374">
        <v>0.13457893768310827</v>
      </c>
      <c r="X6374">
        <v>0.13221143461145649</v>
      </c>
      <c r="Y6374">
        <v>0.12959839499343714</v>
      </c>
      <c r="Z6374">
        <v>0.12668584634613109</v>
      </c>
      <c r="AA6374">
        <v>0.12346789159471433</v>
      </c>
      <c r="AB6374">
        <v>0.11992002605446374</v>
      </c>
      <c r="AC6374">
        <v>0.11602698648889921</v>
      </c>
      <c r="AD6374">
        <v>0.11252283573597721</v>
      </c>
    </row>
    <row r="6375" spans="2:30" x14ac:dyDescent="0.25">
      <c r="B6375" t="s">
        <v>133</v>
      </c>
      <c r="C6375" t="s">
        <v>10598</v>
      </c>
      <c r="D6375" t="s">
        <v>7219</v>
      </c>
      <c r="E6375" t="s">
        <v>7220</v>
      </c>
      <c r="F6375" t="s">
        <v>11632</v>
      </c>
      <c r="G6375" t="s">
        <v>3890</v>
      </c>
      <c r="H6375" t="s">
        <v>7078</v>
      </c>
      <c r="J6375">
        <v>1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  <c r="W6375" t="e">
        <v>#N/A</v>
      </c>
      <c r="X6375" t="e">
        <v>#N/A</v>
      </c>
      <c r="Y6375" t="e">
        <v>#N/A</v>
      </c>
      <c r="Z6375" t="e">
        <v>#N/A</v>
      </c>
      <c r="AA6375" t="e">
        <v>#N/A</v>
      </c>
      <c r="AB6375" t="e">
        <v>#N/A</v>
      </c>
      <c r="AC6375" t="e">
        <v>#N/A</v>
      </c>
      <c r="AD6375" t="e">
        <v>#N/A</v>
      </c>
    </row>
    <row r="6376" spans="2:30" x14ac:dyDescent="0.25">
      <c r="B6376" t="s">
        <v>133</v>
      </c>
      <c r="C6376" t="s">
        <v>10598</v>
      </c>
      <c r="D6376" t="s">
        <v>7222</v>
      </c>
      <c r="E6376" t="s">
        <v>7223</v>
      </c>
      <c r="F6376" t="s">
        <v>11633</v>
      </c>
      <c r="G6376" t="s">
        <v>3890</v>
      </c>
      <c r="H6376" t="s">
        <v>7160</v>
      </c>
      <c r="J6376">
        <v>1</v>
      </c>
      <c r="K6376">
        <v>3.5338787520243979</v>
      </c>
      <c r="L6376">
        <v>3.2202762590871252</v>
      </c>
      <c r="M6376">
        <v>3.1807655278177687</v>
      </c>
      <c r="N6376">
        <v>3.1896711232318111</v>
      </c>
      <c r="O6376">
        <v>3.2171794636645696</v>
      </c>
      <c r="P6376">
        <v>3.2410734049238012</v>
      </c>
      <c r="Q6376">
        <v>3.2527626251331769</v>
      </c>
      <c r="R6376">
        <v>3.2614632733527991</v>
      </c>
      <c r="S6376">
        <v>3.2703503611610603</v>
      </c>
      <c r="T6376">
        <v>3.2788440279639213</v>
      </c>
      <c r="U6376">
        <v>3.2865443563562202</v>
      </c>
      <c r="V6376">
        <v>3.2925257848614029</v>
      </c>
      <c r="W6376">
        <v>3.2969296818585874</v>
      </c>
      <c r="X6376">
        <v>3.2993301879223651</v>
      </c>
      <c r="Y6376">
        <v>3.2998361238347442</v>
      </c>
      <c r="Z6376">
        <v>3.2980877248784335</v>
      </c>
      <c r="AA6376">
        <v>3.2939571554826528</v>
      </c>
      <c r="AB6376">
        <v>3.2872210072083647</v>
      </c>
      <c r="AC6376">
        <v>3.2777021501875101</v>
      </c>
      <c r="AD6376">
        <v>3.2693199509388364</v>
      </c>
    </row>
    <row r="6377" spans="2:30" x14ac:dyDescent="0.25">
      <c r="B6377" t="s">
        <v>133</v>
      </c>
      <c r="C6377" t="s">
        <v>10598</v>
      </c>
      <c r="D6377" t="s">
        <v>7225</v>
      </c>
      <c r="E6377" t="s">
        <v>7226</v>
      </c>
      <c r="F6377" t="s">
        <v>11634</v>
      </c>
      <c r="G6377" t="s">
        <v>3890</v>
      </c>
      <c r="H6377" t="s">
        <v>7082</v>
      </c>
      <c r="J6377">
        <v>1</v>
      </c>
      <c r="K6377">
        <v>2.07346120236E-2</v>
      </c>
      <c r="L6377">
        <v>2.0285868083065432E-2</v>
      </c>
      <c r="M6377">
        <v>1.9772134898585956E-2</v>
      </c>
      <c r="N6377">
        <v>1.9035859948046196E-2</v>
      </c>
      <c r="O6377">
        <v>1.9422578874019748E-2</v>
      </c>
      <c r="P6377">
        <v>2.1329279644178134E-2</v>
      </c>
      <c r="Q6377">
        <v>2.3413355304330353E-2</v>
      </c>
      <c r="R6377">
        <v>2.56832923996635E-2</v>
      </c>
      <c r="S6377">
        <v>2.8390849605552115E-2</v>
      </c>
      <c r="T6377">
        <v>3.1593743302303239E-2</v>
      </c>
      <c r="U6377">
        <v>3.5067931022397698E-2</v>
      </c>
      <c r="V6377">
        <v>3.8798021648496821E-2</v>
      </c>
      <c r="W6377">
        <v>4.2764568414669933E-2</v>
      </c>
      <c r="X6377">
        <v>4.6948278559746537E-2</v>
      </c>
      <c r="Y6377">
        <v>5.1323133560418496E-2</v>
      </c>
      <c r="Z6377">
        <v>5.5929757309189351E-2</v>
      </c>
      <c r="AA6377">
        <v>6.0763071791670398E-2</v>
      </c>
      <c r="AB6377">
        <v>6.5817840962198546E-2</v>
      </c>
      <c r="AC6377">
        <v>7.1091234429457167E-2</v>
      </c>
      <c r="AD6377">
        <v>7.6489276972337109E-2</v>
      </c>
    </row>
    <row r="6378" spans="2:30" x14ac:dyDescent="0.25">
      <c r="B6378" t="s">
        <v>133</v>
      </c>
      <c r="C6378" t="s">
        <v>10598</v>
      </c>
      <c r="D6378" t="s">
        <v>7228</v>
      </c>
      <c r="E6378" t="s">
        <v>7229</v>
      </c>
      <c r="F6378" t="s">
        <v>11635</v>
      </c>
      <c r="G6378" t="s">
        <v>3890</v>
      </c>
      <c r="H6378" t="s">
        <v>7086</v>
      </c>
      <c r="J6378">
        <v>1</v>
      </c>
      <c r="K6378">
        <v>0.17417617957466655</v>
      </c>
      <c r="L6378">
        <v>0.1347686039154187</v>
      </c>
      <c r="M6378">
        <v>0.12044634579333083</v>
      </c>
      <c r="N6378">
        <v>0.11720131077739812</v>
      </c>
      <c r="O6378">
        <v>0.12020796155638667</v>
      </c>
      <c r="P6378">
        <v>0.1292559191284475</v>
      </c>
      <c r="Q6378">
        <v>0.13837968729514075</v>
      </c>
      <c r="R6378">
        <v>0.15022015409086134</v>
      </c>
      <c r="S6378">
        <v>0.16532402630840648</v>
      </c>
      <c r="T6378">
        <v>0.18335667627852612</v>
      </c>
      <c r="U6378">
        <v>0.20311703467928596</v>
      </c>
      <c r="V6378">
        <v>0.22429864098986446</v>
      </c>
      <c r="W6378">
        <v>0.24678870198907485</v>
      </c>
      <c r="X6378">
        <v>0.27048283583661592</v>
      </c>
      <c r="Y6378">
        <v>0.29523653150575885</v>
      </c>
      <c r="Z6378">
        <v>0.32129654614808223</v>
      </c>
      <c r="AA6378">
        <v>0.34864703094533323</v>
      </c>
      <c r="AB6378">
        <v>0.37727634518558401</v>
      </c>
      <c r="AC6378">
        <v>0.40719009827962394</v>
      </c>
      <c r="AD6378">
        <v>0.43778349314542381</v>
      </c>
    </row>
    <row r="6379" spans="2:30" x14ac:dyDescent="0.25">
      <c r="B6379" t="s">
        <v>133</v>
      </c>
      <c r="C6379" t="s">
        <v>10598</v>
      </c>
      <c r="D6379" t="s">
        <v>7231</v>
      </c>
      <c r="E6379" t="s">
        <v>7232</v>
      </c>
      <c r="F6379" t="s">
        <v>11636</v>
      </c>
      <c r="G6379" t="s">
        <v>3890</v>
      </c>
      <c r="H6379" t="s">
        <v>7090</v>
      </c>
      <c r="J6379">
        <v>1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  <c r="W6379" t="e">
        <v>#N/A</v>
      </c>
      <c r="X6379" t="e">
        <v>#N/A</v>
      </c>
      <c r="Y6379" t="e">
        <v>#N/A</v>
      </c>
      <c r="Z6379" t="e">
        <v>#N/A</v>
      </c>
      <c r="AA6379" t="e">
        <v>#N/A</v>
      </c>
      <c r="AB6379" t="e">
        <v>#N/A</v>
      </c>
      <c r="AC6379" t="e">
        <v>#N/A</v>
      </c>
      <c r="AD6379" t="e">
        <v>#N/A</v>
      </c>
    </row>
    <row r="6380" spans="2:30" x14ac:dyDescent="0.25">
      <c r="B6380" t="s">
        <v>133</v>
      </c>
      <c r="C6380" t="s">
        <v>10598</v>
      </c>
      <c r="D6380" t="s">
        <v>7234</v>
      </c>
      <c r="E6380" t="s">
        <v>7235</v>
      </c>
      <c r="F6380" t="s">
        <v>11637</v>
      </c>
      <c r="G6380" t="s">
        <v>3890</v>
      </c>
      <c r="H6380" t="s">
        <v>7078</v>
      </c>
      <c r="J6380">
        <v>1</v>
      </c>
      <c r="K6380">
        <v>16.392425627687448</v>
      </c>
      <c r="L6380">
        <v>14.09367816856089</v>
      </c>
      <c r="M6380">
        <v>13.279229897014005</v>
      </c>
      <c r="N6380">
        <v>12.815553445419873</v>
      </c>
      <c r="O6380">
        <v>13.071104167426984</v>
      </c>
      <c r="P6380">
        <v>13.372618758096797</v>
      </c>
      <c r="Q6380">
        <v>13.603200778249683</v>
      </c>
      <c r="R6380">
        <v>13.842164534380075</v>
      </c>
      <c r="S6380">
        <v>14.089843480191085</v>
      </c>
      <c r="T6380">
        <v>14.349665525737496</v>
      </c>
      <c r="U6380">
        <v>14.649817845737497</v>
      </c>
      <c r="V6380">
        <v>14.961976258537497</v>
      </c>
      <c r="W6380">
        <v>15.286621007849497</v>
      </c>
      <c r="X6380">
        <v>15.624251547133976</v>
      </c>
      <c r="Y6380">
        <v>15.975387307989836</v>
      </c>
      <c r="Z6380">
        <v>16.340568499279929</v>
      </c>
      <c r="AA6380">
        <v>16.720356938221627</v>
      </c>
      <c r="AB6380">
        <v>17.115336914720992</v>
      </c>
      <c r="AC6380">
        <v>17.526116090280333</v>
      </c>
      <c r="AD6380">
        <v>17.953326432862045</v>
      </c>
    </row>
    <row r="6381" spans="2:30" x14ac:dyDescent="0.25">
      <c r="B6381" t="s">
        <v>133</v>
      </c>
      <c r="C6381" t="s">
        <v>10598</v>
      </c>
      <c r="D6381" t="s">
        <v>7237</v>
      </c>
      <c r="E6381" t="s">
        <v>7238</v>
      </c>
      <c r="F6381" t="s">
        <v>11638</v>
      </c>
      <c r="G6381" t="s">
        <v>3890</v>
      </c>
      <c r="H6381" t="s">
        <v>7082</v>
      </c>
      <c r="J6381">
        <v>1</v>
      </c>
      <c r="K6381">
        <v>6.9059390313599991E-2</v>
      </c>
      <c r="L6381">
        <v>6.4623086170915042E-2</v>
      </c>
      <c r="M6381">
        <v>7.6825636347470722E-2</v>
      </c>
      <c r="N6381">
        <v>8.2613612343509196E-2</v>
      </c>
      <c r="O6381">
        <v>8.393965360857171E-2</v>
      </c>
      <c r="P6381">
        <v>8.5261902309808402E-2</v>
      </c>
      <c r="Q6381">
        <v>8.7450641271725596E-2</v>
      </c>
      <c r="R6381">
        <v>8.9554234089705073E-2</v>
      </c>
      <c r="S6381">
        <v>9.1536842493587303E-2</v>
      </c>
      <c r="T6381">
        <v>9.3520080623973406E-2</v>
      </c>
      <c r="U6381">
        <v>9.5290608477598807E-2</v>
      </c>
      <c r="V6381">
        <v>9.7065604041481776E-2</v>
      </c>
      <c r="W6381">
        <v>9.8844561385924623E-2</v>
      </c>
      <c r="X6381">
        <v>0.10062697903987067</v>
      </c>
      <c r="Y6381">
        <v>0.10241235956622304</v>
      </c>
      <c r="Z6381">
        <v>0.10420020909157315</v>
      </c>
      <c r="AA6381">
        <v>0.10599003679268053</v>
      </c>
      <c r="AB6381">
        <v>0.10778135434189404</v>
      </c>
      <c r="AC6381">
        <v>0.10957367531355508</v>
      </c>
      <c r="AD6381">
        <v>0.11136651455327028</v>
      </c>
    </row>
    <row r="6382" spans="2:30" x14ac:dyDescent="0.25">
      <c r="B6382" t="s">
        <v>133</v>
      </c>
      <c r="C6382" t="s">
        <v>10598</v>
      </c>
      <c r="D6382" t="s">
        <v>7240</v>
      </c>
      <c r="E6382" t="s">
        <v>7241</v>
      </c>
      <c r="F6382" t="s">
        <v>11639</v>
      </c>
      <c r="G6382" t="s">
        <v>3890</v>
      </c>
      <c r="H6382" t="s">
        <v>7086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</row>
    <row r="6383" spans="2:30" x14ac:dyDescent="0.25">
      <c r="B6383" t="s">
        <v>133</v>
      </c>
      <c r="C6383" t="s">
        <v>10598</v>
      </c>
      <c r="D6383" t="s">
        <v>7243</v>
      </c>
      <c r="E6383" t="s">
        <v>7244</v>
      </c>
      <c r="F6383" t="s">
        <v>11640</v>
      </c>
      <c r="G6383" t="s">
        <v>3890</v>
      </c>
      <c r="H6383" t="s">
        <v>7090</v>
      </c>
      <c r="J6383">
        <v>1</v>
      </c>
      <c r="K6383">
        <v>0.34021994136974787</v>
      </c>
      <c r="L6383">
        <v>0.34014458604652181</v>
      </c>
      <c r="M6383">
        <v>0.42512733391564467</v>
      </c>
      <c r="N6383">
        <v>0.47599948329893271</v>
      </c>
      <c r="O6383">
        <v>0.50355153259611019</v>
      </c>
      <c r="P6383">
        <v>0.53251805901937221</v>
      </c>
      <c r="Q6383">
        <v>0.56862554817310806</v>
      </c>
      <c r="R6383">
        <v>0.60619976845002654</v>
      </c>
      <c r="S6383">
        <v>0.64502238112349075</v>
      </c>
      <c r="T6383">
        <v>0.685988085810048</v>
      </c>
      <c r="U6383">
        <v>0.72757695117647525</v>
      </c>
      <c r="V6383">
        <v>0.77142950479440542</v>
      </c>
      <c r="W6383">
        <v>0.81765714744337969</v>
      </c>
      <c r="X6383">
        <v>0.86637631680436056</v>
      </c>
      <c r="Y6383">
        <v>0.91770869508105413</v>
      </c>
      <c r="Z6383">
        <v>0.97178142349477992</v>
      </c>
      <c r="AA6383">
        <v>1.0287273237182966</v>
      </c>
      <c r="AB6383">
        <v>1.0886851262959711</v>
      </c>
      <c r="AC6383">
        <v>1.1517997060771119</v>
      </c>
      <c r="AD6383">
        <v>1.2182223246658683</v>
      </c>
    </row>
    <row r="6384" spans="2:30" x14ac:dyDescent="0.25">
      <c r="B6384" t="s">
        <v>133</v>
      </c>
      <c r="C6384" t="s">
        <v>10598</v>
      </c>
      <c r="D6384" t="s">
        <v>7246</v>
      </c>
      <c r="E6384" t="s">
        <v>7247</v>
      </c>
      <c r="F6384" t="s">
        <v>11641</v>
      </c>
      <c r="G6384" t="s">
        <v>3890</v>
      </c>
      <c r="H6384" t="s">
        <v>4476</v>
      </c>
      <c r="J6384">
        <v>1</v>
      </c>
      <c r="K6384">
        <v>0.14000000000000001</v>
      </c>
      <c r="L6384">
        <v>0.14000000000000001</v>
      </c>
      <c r="M6384">
        <v>0.14000000000000001</v>
      </c>
      <c r="N6384">
        <v>0.14000000000000001</v>
      </c>
      <c r="O6384">
        <v>0.14000000000000001</v>
      </c>
      <c r="P6384">
        <v>0.14000000000000001</v>
      </c>
      <c r="Q6384">
        <v>0.14000000000000001</v>
      </c>
      <c r="R6384">
        <v>0.14000000000000001</v>
      </c>
      <c r="S6384">
        <v>0.14000000000000001</v>
      </c>
      <c r="T6384">
        <v>0.14000000000000001</v>
      </c>
      <c r="U6384">
        <v>0.14000000000000001</v>
      </c>
      <c r="V6384">
        <v>0.14000000000000001</v>
      </c>
      <c r="W6384">
        <v>0.14000000000000001</v>
      </c>
      <c r="X6384">
        <v>0.14000000000000001</v>
      </c>
      <c r="Y6384">
        <v>0.14000000000000001</v>
      </c>
      <c r="Z6384">
        <v>0.14000000000000001</v>
      </c>
      <c r="AA6384">
        <v>0.14000000000000001</v>
      </c>
      <c r="AB6384">
        <v>0.14000000000000001</v>
      </c>
      <c r="AC6384">
        <v>0.14000000000000001</v>
      </c>
      <c r="AD6384">
        <v>0.14000000000000001</v>
      </c>
    </row>
    <row r="6385" spans="2:30" x14ac:dyDescent="0.25">
      <c r="B6385" t="s">
        <v>133</v>
      </c>
      <c r="C6385" t="s">
        <v>10598</v>
      </c>
      <c r="D6385" t="s">
        <v>7249</v>
      </c>
      <c r="E6385" t="s">
        <v>7250</v>
      </c>
      <c r="F6385" t="s">
        <v>11642</v>
      </c>
      <c r="G6385" t="s">
        <v>3890</v>
      </c>
      <c r="H6385" t="s">
        <v>7078</v>
      </c>
      <c r="J6385">
        <v>1</v>
      </c>
      <c r="K6385">
        <v>29.198994529643425</v>
      </c>
      <c r="L6385">
        <v>21.901513365214228</v>
      </c>
      <c r="M6385">
        <v>21.243362771297214</v>
      </c>
      <c r="N6385">
        <v>20.412162853462071</v>
      </c>
      <c r="O6385">
        <v>20.711511621360181</v>
      </c>
      <c r="P6385">
        <v>21.079215049380998</v>
      </c>
      <c r="Q6385">
        <v>21.330709657393001</v>
      </c>
      <c r="R6385">
        <v>21.590936560857443</v>
      </c>
      <c r="S6385">
        <v>21.86024218737267</v>
      </c>
      <c r="T6385">
        <v>22.1438471095036</v>
      </c>
      <c r="U6385">
        <v>22.486020754303599</v>
      </c>
      <c r="V6385">
        <v>22.841881344895601</v>
      </c>
      <c r="W6385">
        <v>23.211976359111283</v>
      </c>
      <c r="X6385">
        <v>23.596875173895587</v>
      </c>
      <c r="Y6385">
        <v>23.997169941271267</v>
      </c>
      <c r="Z6385">
        <v>24.413476499341975</v>
      </c>
      <c r="AA6385">
        <v>24.846435319735509</v>
      </c>
      <c r="AB6385">
        <v>25.296712492944785</v>
      </c>
      <c r="AC6385">
        <v>25.765000753082433</v>
      </c>
      <c r="AD6385">
        <v>26.252020543625587</v>
      </c>
    </row>
    <row r="6386" spans="2:30" x14ac:dyDescent="0.25">
      <c r="B6386" t="s">
        <v>133</v>
      </c>
      <c r="C6386" t="s">
        <v>10598</v>
      </c>
      <c r="D6386" t="s">
        <v>7252</v>
      </c>
      <c r="E6386" t="s">
        <v>7253</v>
      </c>
      <c r="F6386" t="s">
        <v>11643</v>
      </c>
      <c r="G6386" t="s">
        <v>3890</v>
      </c>
      <c r="H6386" t="s">
        <v>7082</v>
      </c>
      <c r="J6386">
        <v>1</v>
      </c>
      <c r="K6386">
        <v>6.858397079999999E-5</v>
      </c>
      <c r="L6386">
        <v>6.8580036717958112E-5</v>
      </c>
      <c r="M6386">
        <v>7.8460671290462932E-5</v>
      </c>
      <c r="N6386">
        <v>8.2832906860848496E-5</v>
      </c>
      <c r="O6386">
        <v>8.3484336923178609E-5</v>
      </c>
      <c r="P6386">
        <v>8.4071957938455815E-5</v>
      </c>
      <c r="Q6386">
        <v>8.5280257200442635E-5</v>
      </c>
      <c r="R6386">
        <v>8.6427028704826199E-5</v>
      </c>
      <c r="S6386">
        <v>8.7493938512133836E-5</v>
      </c>
      <c r="T6386">
        <v>8.8547866882130361E-5</v>
      </c>
      <c r="U6386">
        <v>8.9424957569430083E-5</v>
      </c>
      <c r="V6386">
        <v>9.0294521793758361E-5</v>
      </c>
      <c r="W6386">
        <v>9.1156439839580711E-5</v>
      </c>
      <c r="X6386">
        <v>9.201059765179075E-5</v>
      </c>
      <c r="Y6386">
        <v>9.2856886343157879E-5</v>
      </c>
      <c r="Z6386">
        <v>9.3695201703777883E-5</v>
      </c>
      <c r="AA6386">
        <v>9.4525443713318116E-5</v>
      </c>
      <c r="AB6386">
        <v>9.5347516056705107E-5</v>
      </c>
      <c r="AC6386">
        <v>9.6161325643775688E-5</v>
      </c>
      <c r="AD6386">
        <v>9.696678213329031E-5</v>
      </c>
    </row>
    <row r="6387" spans="2:30" x14ac:dyDescent="0.25">
      <c r="B6387" t="s">
        <v>133</v>
      </c>
      <c r="C6387" t="s">
        <v>10598</v>
      </c>
      <c r="D6387" t="s">
        <v>7255</v>
      </c>
      <c r="E6387" t="s">
        <v>7256</v>
      </c>
      <c r="F6387" t="s">
        <v>11644</v>
      </c>
      <c r="G6387" t="s">
        <v>3890</v>
      </c>
      <c r="H6387" t="s">
        <v>7086</v>
      </c>
      <c r="J6387">
        <v>1</v>
      </c>
      <c r="K6387">
        <v>1.029092562136108E-3</v>
      </c>
      <c r="L6387">
        <v>5.9793586442043016E-4</v>
      </c>
      <c r="M6387">
        <v>6.1554340106525726E-4</v>
      </c>
      <c r="N6387">
        <v>5.7055586813039118E-4</v>
      </c>
      <c r="O6387">
        <v>5.7716109671923838E-4</v>
      </c>
      <c r="P6387">
        <v>5.8759987403493325E-4</v>
      </c>
      <c r="Q6387">
        <v>5.9297811692145632E-4</v>
      </c>
      <c r="R6387">
        <v>5.9761888097207064E-4</v>
      </c>
      <c r="S6387">
        <v>6.0138498084958867E-4</v>
      </c>
      <c r="T6387">
        <v>6.05102085304453E-4</v>
      </c>
      <c r="U6387">
        <v>6.1109578591604034E-4</v>
      </c>
      <c r="V6387">
        <v>6.1703805357278248E-4</v>
      </c>
      <c r="W6387">
        <v>6.2292807018473424E-4</v>
      </c>
      <c r="X6387">
        <v>6.2876505634314043E-4</v>
      </c>
      <c r="Y6387">
        <v>6.3454826795452226E-4</v>
      </c>
      <c r="Z6387">
        <v>6.4027699288845142E-4</v>
      </c>
      <c r="AA6387">
        <v>6.4595054764442206E-4</v>
      </c>
      <c r="AB6387">
        <v>6.5156827404224424E-4</v>
      </c>
      <c r="AC6387">
        <v>6.5712953593952594E-4</v>
      </c>
      <c r="AD6387">
        <v>6.6263371597896224E-4</v>
      </c>
    </row>
    <row r="6388" spans="2:30" x14ac:dyDescent="0.25">
      <c r="B6388" t="s">
        <v>133</v>
      </c>
      <c r="C6388" t="s">
        <v>10598</v>
      </c>
      <c r="D6388" t="s">
        <v>7258</v>
      </c>
      <c r="E6388" t="s">
        <v>7259</v>
      </c>
      <c r="F6388" t="s">
        <v>11645</v>
      </c>
      <c r="G6388" t="s">
        <v>3890</v>
      </c>
      <c r="H6388" t="s">
        <v>7090</v>
      </c>
      <c r="J6388">
        <v>1</v>
      </c>
      <c r="K6388">
        <v>6.0751114835123953E-4</v>
      </c>
      <c r="L6388">
        <v>5.6047847968498791E-4</v>
      </c>
      <c r="M6388">
        <v>6.5209537887577244E-4</v>
      </c>
      <c r="N6388">
        <v>6.9887161434231172E-4</v>
      </c>
      <c r="O6388">
        <v>7.2724058854602906E-4</v>
      </c>
      <c r="P6388">
        <v>7.5689664758464548E-4</v>
      </c>
      <c r="Q6388">
        <v>7.9228930674950313E-4</v>
      </c>
      <c r="R6388">
        <v>8.2876699989524786E-4</v>
      </c>
      <c r="S6388">
        <v>8.6617171779514038E-4</v>
      </c>
      <c r="T6388">
        <v>9.0524501615225786E-4</v>
      </c>
      <c r="U6388">
        <v>9.4481057773534863E-4</v>
      </c>
      <c r="V6388">
        <v>9.8613013471795814E-4</v>
      </c>
      <c r="W6388">
        <v>1.0292799114653371E-3</v>
      </c>
      <c r="X6388">
        <v>1.0743392823009627E-3</v>
      </c>
      <c r="Y6388">
        <v>1.1213908913317908E-3</v>
      </c>
      <c r="Z6388">
        <v>1.1705207761759039E-3</v>
      </c>
      <c r="AA6388">
        <v>1.2218184956583791E-3</v>
      </c>
      <c r="AB6388">
        <v>1.2753772615354628E-3</v>
      </c>
      <c r="AC6388">
        <v>1.331294074300605E-3</v>
      </c>
      <c r="AD6388">
        <v>1.3896698631183342E-3</v>
      </c>
    </row>
    <row r="6389" spans="2:30" x14ac:dyDescent="0.25">
      <c r="B6389" t="s">
        <v>133</v>
      </c>
      <c r="C6389" t="s">
        <v>10598</v>
      </c>
      <c r="D6389" t="s">
        <v>7261</v>
      </c>
      <c r="E6389" t="s">
        <v>7262</v>
      </c>
      <c r="F6389" t="s">
        <v>11646</v>
      </c>
      <c r="G6389" t="s">
        <v>3890</v>
      </c>
      <c r="H6389" t="s">
        <v>7078</v>
      </c>
      <c r="J6389">
        <v>1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  <c r="W6389" t="e">
        <v>#N/A</v>
      </c>
      <c r="X6389" t="e">
        <v>#N/A</v>
      </c>
      <c r="Y6389" t="e">
        <v>#N/A</v>
      </c>
      <c r="Z6389" t="e">
        <v>#N/A</v>
      </c>
      <c r="AA6389" t="e">
        <v>#N/A</v>
      </c>
      <c r="AB6389" t="e">
        <v>#N/A</v>
      </c>
      <c r="AC6389" t="e">
        <v>#N/A</v>
      </c>
      <c r="AD6389" t="e">
        <v>#N/A</v>
      </c>
    </row>
    <row r="6390" spans="2:30" x14ac:dyDescent="0.25">
      <c r="B6390" t="s">
        <v>133</v>
      </c>
      <c r="C6390" t="s">
        <v>10598</v>
      </c>
      <c r="D6390" t="s">
        <v>7264</v>
      </c>
      <c r="E6390" t="s">
        <v>7265</v>
      </c>
      <c r="F6390" t="s">
        <v>11647</v>
      </c>
      <c r="G6390" t="s">
        <v>3890</v>
      </c>
      <c r="H6390" t="s">
        <v>7082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</row>
    <row r="6391" spans="2:30" x14ac:dyDescent="0.25">
      <c r="B6391" t="s">
        <v>133</v>
      </c>
      <c r="C6391" t="s">
        <v>10598</v>
      </c>
      <c r="D6391" t="s">
        <v>7267</v>
      </c>
      <c r="E6391" t="s">
        <v>7268</v>
      </c>
      <c r="F6391" t="s">
        <v>11648</v>
      </c>
      <c r="G6391" t="s">
        <v>3890</v>
      </c>
      <c r="H6391" t="s">
        <v>7086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</row>
    <row r="6392" spans="2:30" x14ac:dyDescent="0.25">
      <c r="B6392" t="s">
        <v>133</v>
      </c>
      <c r="C6392" t="s">
        <v>10598</v>
      </c>
      <c r="D6392" t="s">
        <v>7270</v>
      </c>
      <c r="E6392" t="s">
        <v>7271</v>
      </c>
      <c r="F6392" t="s">
        <v>11649</v>
      </c>
      <c r="G6392" t="s">
        <v>3890</v>
      </c>
      <c r="H6392" t="s">
        <v>7090</v>
      </c>
      <c r="J6392">
        <v>1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  <c r="W6392" t="e">
        <v>#N/A</v>
      </c>
      <c r="X6392" t="e">
        <v>#N/A</v>
      </c>
      <c r="Y6392" t="e">
        <v>#N/A</v>
      </c>
      <c r="Z6392" t="e">
        <v>#N/A</v>
      </c>
      <c r="AA6392" t="e">
        <v>#N/A</v>
      </c>
      <c r="AB6392" t="e">
        <v>#N/A</v>
      </c>
      <c r="AC6392" t="e">
        <v>#N/A</v>
      </c>
      <c r="AD6392" t="e">
        <v>#N/A</v>
      </c>
    </row>
    <row r="6393" spans="2:30" x14ac:dyDescent="0.25">
      <c r="B6393" t="s">
        <v>133</v>
      </c>
      <c r="C6393" t="s">
        <v>10598</v>
      </c>
      <c r="D6393" t="s">
        <v>7273</v>
      </c>
      <c r="E6393" t="s">
        <v>7274</v>
      </c>
      <c r="F6393" t="s">
        <v>11650</v>
      </c>
      <c r="G6393" t="s">
        <v>3890</v>
      </c>
      <c r="H6393" t="s">
        <v>7212</v>
      </c>
      <c r="J6393">
        <v>1</v>
      </c>
      <c r="K6393">
        <v>11.129497825391994</v>
      </c>
      <c r="L6393">
        <v>8.6161449725182102</v>
      </c>
      <c r="M6393">
        <v>7.5824162235258123</v>
      </c>
      <c r="N6393">
        <v>6.8902832363207906</v>
      </c>
      <c r="O6393">
        <v>6.9085851728340364</v>
      </c>
      <c r="P6393">
        <v>6.9633737531537587</v>
      </c>
      <c r="Q6393">
        <v>6.9373191142644348</v>
      </c>
      <c r="R6393">
        <v>6.9093867428146023</v>
      </c>
      <c r="S6393">
        <v>6.8795000210555131</v>
      </c>
      <c r="T6393">
        <v>6.8506579307463058</v>
      </c>
      <c r="U6393">
        <v>6.8506154435009314</v>
      </c>
      <c r="V6393">
        <v>6.8505738959570159</v>
      </c>
      <c r="W6393">
        <v>6.8505332609071869</v>
      </c>
      <c r="X6393">
        <v>6.8504935121037445</v>
      </c>
      <c r="Y6393">
        <v>6.8504546242323965</v>
      </c>
      <c r="Z6393">
        <v>6.85041657288635</v>
      </c>
      <c r="AA6393">
        <v>6.8503793345408033</v>
      </c>
      <c r="AB6393">
        <v>6.850342886527887</v>
      </c>
      <c r="AC6393">
        <v>6.8503072070121291</v>
      </c>
      <c r="AD6393">
        <v>6.8502722749664349</v>
      </c>
    </row>
    <row r="6394" spans="2:30" x14ac:dyDescent="0.25">
      <c r="B6394" t="s">
        <v>133</v>
      </c>
      <c r="C6394" t="s">
        <v>10598</v>
      </c>
      <c r="D6394" t="s">
        <v>7276</v>
      </c>
      <c r="E6394" t="s">
        <v>7277</v>
      </c>
      <c r="F6394" t="s">
        <v>11651</v>
      </c>
      <c r="G6394" t="s">
        <v>3890</v>
      </c>
      <c r="H6394" t="s">
        <v>5985</v>
      </c>
      <c r="J6394">
        <v>1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  <c r="W6394" t="e">
        <v>#N/A</v>
      </c>
      <c r="X6394" t="e">
        <v>#N/A</v>
      </c>
      <c r="Y6394" t="e">
        <v>#N/A</v>
      </c>
      <c r="Z6394" t="e">
        <v>#N/A</v>
      </c>
      <c r="AA6394" t="e">
        <v>#N/A</v>
      </c>
      <c r="AB6394" t="e">
        <v>#N/A</v>
      </c>
      <c r="AC6394" t="e">
        <v>#N/A</v>
      </c>
      <c r="AD6394" t="e">
        <v>#N/A</v>
      </c>
    </row>
    <row r="6395" spans="2:30" x14ac:dyDescent="0.25">
      <c r="B6395" t="s">
        <v>133</v>
      </c>
      <c r="C6395" t="s">
        <v>10598</v>
      </c>
      <c r="D6395" t="s">
        <v>7279</v>
      </c>
      <c r="E6395" t="s">
        <v>7280</v>
      </c>
      <c r="F6395" t="s">
        <v>11652</v>
      </c>
      <c r="G6395" t="s">
        <v>3890</v>
      </c>
      <c r="H6395" t="s">
        <v>4476</v>
      </c>
      <c r="J6395">
        <v>1</v>
      </c>
      <c r="K6395">
        <v>3.5576226080979117E-3</v>
      </c>
      <c r="L6395">
        <v>2.8513247618490883E-3</v>
      </c>
      <c r="M6395">
        <v>2.6616380243212096E-3</v>
      </c>
      <c r="N6395">
        <v>2.5108933686182619E-3</v>
      </c>
      <c r="O6395">
        <v>2.5272085754152519E-3</v>
      </c>
      <c r="P6395">
        <v>2.5500326446776292E-3</v>
      </c>
      <c r="Q6395">
        <v>2.5520588333246236E-3</v>
      </c>
      <c r="R6395">
        <v>2.5564611507088572E-3</v>
      </c>
      <c r="S6395">
        <v>2.563570572938996E-3</v>
      </c>
      <c r="T6395">
        <v>2.5723998753247011E-3</v>
      </c>
      <c r="U6395">
        <v>2.5890298876198666E-3</v>
      </c>
      <c r="V6395">
        <v>2.6070375413537695E-3</v>
      </c>
      <c r="W6395">
        <v>2.626452494797548E-3</v>
      </c>
      <c r="X6395">
        <v>2.6473061627102792E-3</v>
      </c>
      <c r="Y6395">
        <v>2.6696317655340134E-3</v>
      </c>
      <c r="Z6395">
        <v>2.6934643812052636E-3</v>
      </c>
      <c r="AA6395">
        <v>2.718840999727184E-3</v>
      </c>
      <c r="AB6395">
        <v>2.7458005806517494E-3</v>
      </c>
      <c r="AC6395">
        <v>2.7743841136271424E-3</v>
      </c>
      <c r="AD6395">
        <v>2.8046346821718874E-3</v>
      </c>
    </row>
    <row r="6396" spans="2:30" x14ac:dyDescent="0.25">
      <c r="B6396" t="s">
        <v>133</v>
      </c>
      <c r="C6396" t="s">
        <v>10598</v>
      </c>
      <c r="D6396" t="s">
        <v>7282</v>
      </c>
      <c r="E6396" t="s">
        <v>7283</v>
      </c>
      <c r="F6396" t="s">
        <v>11653</v>
      </c>
      <c r="G6396" t="s">
        <v>3890</v>
      </c>
      <c r="H6396" t="s">
        <v>7078</v>
      </c>
      <c r="J6396">
        <v>1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  <c r="W6396" t="e">
        <v>#N/A</v>
      </c>
      <c r="X6396" t="e">
        <v>#N/A</v>
      </c>
      <c r="Y6396" t="e">
        <v>#N/A</v>
      </c>
      <c r="Z6396" t="e">
        <v>#N/A</v>
      </c>
      <c r="AA6396" t="e">
        <v>#N/A</v>
      </c>
      <c r="AB6396" t="e">
        <v>#N/A</v>
      </c>
      <c r="AC6396" t="e">
        <v>#N/A</v>
      </c>
      <c r="AD6396" t="e">
        <v>#N/A</v>
      </c>
    </row>
    <row r="6397" spans="2:30" x14ac:dyDescent="0.25">
      <c r="B6397" t="s">
        <v>133</v>
      </c>
      <c r="C6397" t="s">
        <v>10598</v>
      </c>
      <c r="D6397" t="s">
        <v>7285</v>
      </c>
      <c r="E6397" t="s">
        <v>7286</v>
      </c>
      <c r="F6397" t="s">
        <v>11654</v>
      </c>
      <c r="G6397" t="s">
        <v>3890</v>
      </c>
      <c r="H6397" t="s">
        <v>7160</v>
      </c>
      <c r="J6397">
        <v>1</v>
      </c>
      <c r="K6397">
        <v>11.459860725238636</v>
      </c>
      <c r="L6397">
        <v>8.8261134458896162</v>
      </c>
      <c r="M6397">
        <v>7.7428525388590312</v>
      </c>
      <c r="N6397">
        <v>7.0518273251642007</v>
      </c>
      <c r="O6397">
        <v>7.070160947973041</v>
      </c>
      <c r="P6397">
        <v>7.1249351212688357</v>
      </c>
      <c r="Q6397">
        <v>7.0989931146117771</v>
      </c>
      <c r="R6397">
        <v>7.0711697267137019</v>
      </c>
      <c r="S6397">
        <v>7.0413877949045824</v>
      </c>
      <c r="T6397">
        <v>7.012646643709294</v>
      </c>
      <c r="U6397">
        <v>7.0126627809654458</v>
      </c>
      <c r="V6397">
        <v>7.0126785613097047</v>
      </c>
      <c r="W6397">
        <v>7.012693995075816</v>
      </c>
      <c r="X6397">
        <v>7.0127090922330266</v>
      </c>
      <c r="Y6397">
        <v>7.0127238623960633</v>
      </c>
      <c r="Z6397">
        <v>7.0127383148349676</v>
      </c>
      <c r="AA6397">
        <v>7.0127524584847976</v>
      </c>
      <c r="AB6397">
        <v>7.012766301955125</v>
      </c>
      <c r="AC6397">
        <v>7.0127798535393735</v>
      </c>
      <c r="AD6397">
        <v>7.0127931212239281</v>
      </c>
    </row>
    <row r="6398" spans="2:30" x14ac:dyDescent="0.25">
      <c r="B6398" t="s">
        <v>133</v>
      </c>
      <c r="C6398" t="s">
        <v>10598</v>
      </c>
      <c r="D6398" t="s">
        <v>7288</v>
      </c>
      <c r="E6398" t="s">
        <v>7289</v>
      </c>
      <c r="F6398" t="s">
        <v>11655</v>
      </c>
      <c r="G6398" t="s">
        <v>3890</v>
      </c>
      <c r="H6398" t="s">
        <v>7082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</row>
    <row r="6399" spans="2:30" x14ac:dyDescent="0.25">
      <c r="B6399" t="s">
        <v>133</v>
      </c>
      <c r="C6399" t="s">
        <v>10598</v>
      </c>
      <c r="D6399" t="s">
        <v>7291</v>
      </c>
      <c r="E6399" t="s">
        <v>7292</v>
      </c>
      <c r="F6399" t="s">
        <v>11656</v>
      </c>
      <c r="G6399" t="s">
        <v>3890</v>
      </c>
      <c r="H6399" t="s">
        <v>7086</v>
      </c>
      <c r="J6399">
        <v>1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</row>
    <row r="6400" spans="2:30" x14ac:dyDescent="0.25">
      <c r="B6400" t="s">
        <v>133</v>
      </c>
      <c r="C6400" t="s">
        <v>10598</v>
      </c>
      <c r="D6400" t="s">
        <v>7294</v>
      </c>
      <c r="E6400" t="s">
        <v>7295</v>
      </c>
      <c r="F6400" t="s">
        <v>11657</v>
      </c>
      <c r="G6400" t="s">
        <v>3890</v>
      </c>
      <c r="H6400" t="s">
        <v>7090</v>
      </c>
      <c r="J6400">
        <v>1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  <c r="W6400" t="e">
        <v>#N/A</v>
      </c>
      <c r="X6400" t="e">
        <v>#N/A</v>
      </c>
      <c r="Y6400" t="e">
        <v>#N/A</v>
      </c>
      <c r="Z6400" t="e">
        <v>#N/A</v>
      </c>
      <c r="AA6400" t="e">
        <v>#N/A</v>
      </c>
      <c r="AB6400" t="e">
        <v>#N/A</v>
      </c>
      <c r="AC6400" t="e">
        <v>#N/A</v>
      </c>
      <c r="AD6400" t="e">
        <v>#N/A</v>
      </c>
    </row>
    <row r="6401" spans="2:30" x14ac:dyDescent="0.25">
      <c r="B6401" t="s">
        <v>133</v>
      </c>
      <c r="C6401" t="s">
        <v>10598</v>
      </c>
      <c r="D6401" t="s">
        <v>7297</v>
      </c>
      <c r="E6401" t="s">
        <v>7298</v>
      </c>
      <c r="F6401" t="s">
        <v>11658</v>
      </c>
      <c r="G6401" t="s">
        <v>3890</v>
      </c>
      <c r="H6401" t="s">
        <v>7078</v>
      </c>
      <c r="J6401">
        <v>1</v>
      </c>
      <c r="K6401">
        <v>6.3657651756497291E-2</v>
      </c>
      <c r="L6401">
        <v>6.2227839357171119E-2</v>
      </c>
      <c r="M6401">
        <v>0.10710597699475878</v>
      </c>
      <c r="N6401">
        <v>0.10463890253773071</v>
      </c>
      <c r="O6401">
        <v>0.10655144470894293</v>
      </c>
      <c r="P6401">
        <v>0.10768096070528578</v>
      </c>
      <c r="Q6401">
        <v>0.10766898213484564</v>
      </c>
      <c r="R6401">
        <v>0.10734981163974835</v>
      </c>
      <c r="S6401">
        <v>0.10703806860868595</v>
      </c>
      <c r="T6401">
        <v>0.10679458183571122</v>
      </c>
      <c r="U6401">
        <v>0.10654561376930642</v>
      </c>
      <c r="V6401">
        <v>0.10630284949545833</v>
      </c>
      <c r="W6401">
        <v>0.10604588577092676</v>
      </c>
      <c r="X6401">
        <v>0.10578269666791716</v>
      </c>
      <c r="Y6401">
        <v>0.10550527602276892</v>
      </c>
      <c r="Z6401">
        <v>0.10521887994318942</v>
      </c>
      <c r="AA6401">
        <v>0.10491978085830678</v>
      </c>
      <c r="AB6401">
        <v>0.10460634002977189</v>
      </c>
      <c r="AC6401">
        <v>0.10427789841247055</v>
      </c>
      <c r="AD6401">
        <v>0.10391258394335919</v>
      </c>
    </row>
    <row r="6402" spans="2:30" x14ac:dyDescent="0.25">
      <c r="B6402" t="s">
        <v>133</v>
      </c>
      <c r="C6402" t="s">
        <v>10598</v>
      </c>
      <c r="D6402" t="s">
        <v>7300</v>
      </c>
      <c r="E6402" t="s">
        <v>7301</v>
      </c>
      <c r="F6402" t="s">
        <v>11659</v>
      </c>
      <c r="G6402" t="s">
        <v>3890</v>
      </c>
      <c r="H6402" t="s">
        <v>7082</v>
      </c>
      <c r="J6402">
        <v>1</v>
      </c>
      <c r="K6402">
        <v>99.833519124999995</v>
      </c>
      <c r="L6402">
        <v>96.467134733572721</v>
      </c>
      <c r="M6402">
        <v>108.07218043494078</v>
      </c>
      <c r="N6402">
        <v>120.63906671537571</v>
      </c>
      <c r="O6402">
        <v>126.85616187229718</v>
      </c>
      <c r="P6402">
        <v>128.91706639791661</v>
      </c>
      <c r="Q6402">
        <v>132.54196465403885</v>
      </c>
      <c r="R6402">
        <v>137.16282447387781</v>
      </c>
      <c r="S6402">
        <v>141.81531184468847</v>
      </c>
      <c r="T6402">
        <v>146.5021649491357</v>
      </c>
      <c r="U6402">
        <v>151.17566943873865</v>
      </c>
      <c r="V6402">
        <v>155.92431884336156</v>
      </c>
      <c r="W6402">
        <v>160.7323092383304</v>
      </c>
      <c r="X6402">
        <v>165.62756342057185</v>
      </c>
      <c r="Y6402">
        <v>170.60005882077866</v>
      </c>
      <c r="Z6402">
        <v>175.66279269532316</v>
      </c>
      <c r="AA6402">
        <v>180.80951225087628</v>
      </c>
      <c r="AB6402">
        <v>186.04774088531781</v>
      </c>
      <c r="AC6402">
        <v>191.38243039830022</v>
      </c>
      <c r="AD6402">
        <v>196.81736928844151</v>
      </c>
    </row>
    <row r="6403" spans="2:30" x14ac:dyDescent="0.25">
      <c r="B6403" t="s">
        <v>133</v>
      </c>
      <c r="C6403" t="s">
        <v>10598</v>
      </c>
      <c r="D6403" t="s">
        <v>7303</v>
      </c>
      <c r="E6403" t="s">
        <v>7304</v>
      </c>
      <c r="F6403" t="s">
        <v>11660</v>
      </c>
      <c r="G6403" t="s">
        <v>3890</v>
      </c>
      <c r="H6403" t="s">
        <v>7086</v>
      </c>
      <c r="J6403">
        <v>1</v>
      </c>
      <c r="K6403">
        <v>0</v>
      </c>
      <c r="L6403">
        <v>0</v>
      </c>
      <c r="M6403">
        <v>5.9594967971760955</v>
      </c>
      <c r="N6403">
        <v>6.6524810437909148</v>
      </c>
      <c r="O6403">
        <v>6.9953144957144371</v>
      </c>
      <c r="P6403">
        <v>7.10896033750541</v>
      </c>
      <c r="Q6403">
        <v>7.3088505355240798</v>
      </c>
      <c r="R6403">
        <v>7.5636617106637152</v>
      </c>
      <c r="S6403">
        <v>7.8202169450789176</v>
      </c>
      <c r="T6403">
        <v>8.0786672322145865</v>
      </c>
      <c r="U6403">
        <v>8.3363814277206494</v>
      </c>
      <c r="V6403">
        <v>8.5982393897222451</v>
      </c>
      <c r="W6403">
        <v>8.8633696317915209</v>
      </c>
      <c r="X6403">
        <v>9.1333119194646475</v>
      </c>
      <c r="Y6403">
        <v>9.407513571473924</v>
      </c>
      <c r="Z6403">
        <v>9.6866913042528591</v>
      </c>
      <c r="AA6403">
        <v>9.9705003158212602</v>
      </c>
      <c r="AB6403">
        <v>10.259355473959049</v>
      </c>
      <c r="AC6403">
        <v>10.553529839078722</v>
      </c>
      <c r="AD6403">
        <v>10.853232322902885</v>
      </c>
    </row>
    <row r="6404" spans="2:30" x14ac:dyDescent="0.25">
      <c r="B6404" t="s">
        <v>133</v>
      </c>
      <c r="C6404" t="s">
        <v>10598</v>
      </c>
      <c r="D6404" t="s">
        <v>7306</v>
      </c>
      <c r="E6404" t="s">
        <v>7307</v>
      </c>
      <c r="F6404" t="s">
        <v>11661</v>
      </c>
      <c r="G6404" t="s">
        <v>3890</v>
      </c>
      <c r="H6404" t="s">
        <v>7090</v>
      </c>
      <c r="J6404">
        <v>1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</row>
    <row r="6405" spans="2:30" x14ac:dyDescent="0.25">
      <c r="B6405" t="s">
        <v>133</v>
      </c>
      <c r="C6405" t="s">
        <v>10598</v>
      </c>
      <c r="D6405" t="s">
        <v>7309</v>
      </c>
      <c r="E6405" t="s">
        <v>7310</v>
      </c>
      <c r="F6405" t="s">
        <v>11662</v>
      </c>
      <c r="G6405" t="s">
        <v>3890</v>
      </c>
      <c r="H6405" t="s">
        <v>4476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</row>
    <row r="6406" spans="2:30" x14ac:dyDescent="0.25">
      <c r="B6406" t="s">
        <v>133</v>
      </c>
      <c r="C6406" t="s">
        <v>10598</v>
      </c>
      <c r="D6406" t="s">
        <v>7312</v>
      </c>
      <c r="E6406" t="s">
        <v>7313</v>
      </c>
      <c r="F6406" t="s">
        <v>11663</v>
      </c>
      <c r="G6406" t="s">
        <v>3890</v>
      </c>
      <c r="H6406" t="s">
        <v>7078</v>
      </c>
      <c r="J6406">
        <v>1</v>
      </c>
      <c r="K6406">
        <v>6.7626534951170533E-2</v>
      </c>
      <c r="L6406">
        <v>5.8294065004879381E-2</v>
      </c>
      <c r="M6406">
        <v>0.11484730008447896</v>
      </c>
      <c r="N6406">
        <v>0.11227517998690252</v>
      </c>
      <c r="O6406">
        <v>0.11426915635110328</v>
      </c>
      <c r="P6406">
        <v>0.11550278151447975</v>
      </c>
      <c r="Q6406">
        <v>0.115489125944178</v>
      </c>
      <c r="R6406">
        <v>0.11512527157976707</v>
      </c>
      <c r="S6406">
        <v>0.11477650022510935</v>
      </c>
      <c r="T6406">
        <v>0.11452264602120472</v>
      </c>
      <c r="U6406">
        <v>0.11426307713570545</v>
      </c>
      <c r="V6406">
        <v>0.11400997619424039</v>
      </c>
      <c r="W6406">
        <v>0.11374207120323659</v>
      </c>
      <c r="X6406">
        <v>0.11346767576316967</v>
      </c>
      <c r="Y6406">
        <v>0.11317844281568579</v>
      </c>
      <c r="Z6406">
        <v>0.11287985226846699</v>
      </c>
      <c r="AA6406">
        <v>0.1125680178342845</v>
      </c>
      <c r="AB6406">
        <v>0.1122412309988978</v>
      </c>
      <c r="AC6406">
        <v>0.11189880465569008</v>
      </c>
      <c r="AD6406">
        <v>0.11151793545036066</v>
      </c>
    </row>
    <row r="6407" spans="2:30" x14ac:dyDescent="0.25">
      <c r="B6407" t="s">
        <v>133</v>
      </c>
      <c r="C6407" t="s">
        <v>10598</v>
      </c>
      <c r="D6407" t="s">
        <v>7315</v>
      </c>
      <c r="E6407" t="s">
        <v>7316</v>
      </c>
      <c r="F6407" t="s">
        <v>11664</v>
      </c>
      <c r="G6407" t="s">
        <v>3890</v>
      </c>
      <c r="H6407" t="s">
        <v>7082</v>
      </c>
      <c r="J6407">
        <v>1</v>
      </c>
      <c r="K6407">
        <v>68.708736277</v>
      </c>
      <c r="L6407">
        <v>66.76799770747526</v>
      </c>
      <c r="M6407">
        <v>79.394826027249366</v>
      </c>
      <c r="N6407">
        <v>87.03373454001256</v>
      </c>
      <c r="O6407">
        <v>91.603727326556353</v>
      </c>
      <c r="P6407">
        <v>93.024420765668594</v>
      </c>
      <c r="Q6407">
        <v>95.556770078494111</v>
      </c>
      <c r="R6407">
        <v>98.889568665326124</v>
      </c>
      <c r="S6407">
        <v>102.28178051217962</v>
      </c>
      <c r="T6407">
        <v>105.69494912431347</v>
      </c>
      <c r="U6407">
        <v>109.07623025451866</v>
      </c>
      <c r="V6407">
        <v>112.51264638908218</v>
      </c>
      <c r="W6407">
        <v>115.99234555197575</v>
      </c>
      <c r="X6407">
        <v>119.53637823504832</v>
      </c>
      <c r="Y6407">
        <v>123.13724607369284</v>
      </c>
      <c r="Z6407">
        <v>126.80478156358087</v>
      </c>
      <c r="AA6407">
        <v>130.5343244197978</v>
      </c>
      <c r="AB6407">
        <v>134.33159301967672</v>
      </c>
      <c r="AC6407">
        <v>138.20037530977643</v>
      </c>
      <c r="AD6407">
        <v>142.14358841323366</v>
      </c>
    </row>
    <row r="6408" spans="2:30" x14ac:dyDescent="0.25">
      <c r="B6408" t="s">
        <v>133</v>
      </c>
      <c r="C6408" t="s">
        <v>10598</v>
      </c>
      <c r="D6408" t="s">
        <v>7318</v>
      </c>
      <c r="E6408" t="s">
        <v>7319</v>
      </c>
      <c r="F6408" t="s">
        <v>11665</v>
      </c>
      <c r="G6408" t="s">
        <v>3890</v>
      </c>
      <c r="H6408" t="s">
        <v>7086</v>
      </c>
      <c r="J6408">
        <v>1</v>
      </c>
      <c r="K6408">
        <v>0</v>
      </c>
      <c r="L6408">
        <v>0</v>
      </c>
      <c r="M6408">
        <v>4.3781221912755166</v>
      </c>
      <c r="N6408">
        <v>4.7993596515776975</v>
      </c>
      <c r="O6408">
        <v>5.0513658317520758</v>
      </c>
      <c r="P6408">
        <v>5.1297080838106925</v>
      </c>
      <c r="Q6408">
        <v>5.2693511219947871</v>
      </c>
      <c r="R6408">
        <v>5.4531338718562576</v>
      </c>
      <c r="S6408">
        <v>5.6401928870006417</v>
      </c>
      <c r="T6408">
        <v>5.8284075351216602</v>
      </c>
      <c r="U6408">
        <v>6.014863790419855</v>
      </c>
      <c r="V6408">
        <v>6.2043603922768336</v>
      </c>
      <c r="W6408">
        <v>6.3962437792219529</v>
      </c>
      <c r="X6408">
        <v>6.5916747526589425</v>
      </c>
      <c r="Y6408">
        <v>6.7902398252344414</v>
      </c>
      <c r="Z6408">
        <v>6.9924811968580576</v>
      </c>
      <c r="AA6408">
        <v>7.1981418823101837</v>
      </c>
      <c r="AB6408">
        <v>7.4075372139109827</v>
      </c>
      <c r="AC6408">
        <v>7.6208760729404856</v>
      </c>
      <c r="AD6408">
        <v>7.8383193202781563</v>
      </c>
    </row>
    <row r="6409" spans="2:30" x14ac:dyDescent="0.25">
      <c r="B6409" t="s">
        <v>133</v>
      </c>
      <c r="C6409" t="s">
        <v>10598</v>
      </c>
      <c r="D6409" t="s">
        <v>7321</v>
      </c>
      <c r="E6409" t="s">
        <v>7322</v>
      </c>
      <c r="F6409" t="s">
        <v>11666</v>
      </c>
      <c r="G6409" t="s">
        <v>3890</v>
      </c>
      <c r="H6409" t="s">
        <v>7090</v>
      </c>
      <c r="J6409">
        <v>1</v>
      </c>
      <c r="K6409">
        <v>0.42863155785289786</v>
      </c>
      <c r="L6409">
        <v>0.39323252995311531</v>
      </c>
      <c r="M6409">
        <v>1.1197889450762379</v>
      </c>
      <c r="N6409">
        <v>1.2000367977699196</v>
      </c>
      <c r="O6409">
        <v>1.285480078623767</v>
      </c>
      <c r="P6409">
        <v>1.3195097443939718</v>
      </c>
      <c r="Q6409">
        <v>1.3552697365069912</v>
      </c>
      <c r="R6409">
        <v>1.3981196340879278</v>
      </c>
      <c r="S6409">
        <v>1.4416984846993923</v>
      </c>
      <c r="T6409">
        <v>1.4865132756763331</v>
      </c>
      <c r="U6409">
        <v>1.530591227696636</v>
      </c>
      <c r="V6409">
        <v>1.5753148939402062</v>
      </c>
      <c r="W6409">
        <v>1.6202187260986449</v>
      </c>
      <c r="X6409">
        <v>1.6656948254797641</v>
      </c>
      <c r="Y6409">
        <v>1.711497760396971</v>
      </c>
      <c r="Z6409">
        <v>1.7578234222600986</v>
      </c>
      <c r="AA6409">
        <v>1.8045251072792721</v>
      </c>
      <c r="AB6409">
        <v>1.8516281322456174</v>
      </c>
      <c r="AC6409">
        <v>1.8991438175600359</v>
      </c>
      <c r="AD6409">
        <v>1.9466827477446911</v>
      </c>
    </row>
    <row r="6410" spans="2:30" x14ac:dyDescent="0.25">
      <c r="B6410" t="s">
        <v>133</v>
      </c>
      <c r="C6410" t="s">
        <v>10598</v>
      </c>
      <c r="D6410" t="s">
        <v>7324</v>
      </c>
      <c r="E6410" t="s">
        <v>7325</v>
      </c>
      <c r="F6410" t="s">
        <v>11667</v>
      </c>
      <c r="G6410" t="s">
        <v>3890</v>
      </c>
      <c r="H6410" t="s">
        <v>7212</v>
      </c>
      <c r="J6410">
        <v>1</v>
      </c>
      <c r="K6410">
        <v>6.1889964460773897E-2</v>
      </c>
      <c r="L6410">
        <v>0.85484887846197788</v>
      </c>
      <c r="M6410">
        <v>0.77837412984309851</v>
      </c>
      <c r="N6410">
        <v>0.68377147013993522</v>
      </c>
      <c r="O6410">
        <v>0.71005171916045995</v>
      </c>
      <c r="P6410">
        <v>0.67043581040015743</v>
      </c>
      <c r="Q6410">
        <v>0.65953683215986669</v>
      </c>
      <c r="R6410">
        <v>0.6540428633113976</v>
      </c>
      <c r="S6410">
        <v>0.64923835336346858</v>
      </c>
      <c r="T6410">
        <v>0.64401869609655971</v>
      </c>
      <c r="U6410">
        <v>0.64401869609655971</v>
      </c>
      <c r="V6410">
        <v>0.64401869609655971</v>
      </c>
      <c r="W6410">
        <v>0.64401869609655971</v>
      </c>
      <c r="X6410">
        <v>0.64401869609655971</v>
      </c>
      <c r="Y6410">
        <v>0.64401869609655971</v>
      </c>
      <c r="Z6410">
        <v>0.64401869609655971</v>
      </c>
      <c r="AA6410">
        <v>0.64401869609655971</v>
      </c>
      <c r="AB6410">
        <v>0.64401869609655971</v>
      </c>
      <c r="AC6410">
        <v>0.64401869609655971</v>
      </c>
      <c r="AD6410">
        <v>0.64401869609655971</v>
      </c>
    </row>
    <row r="6411" spans="2:30" x14ac:dyDescent="0.25">
      <c r="B6411" t="s">
        <v>133</v>
      </c>
      <c r="C6411" t="s">
        <v>10598</v>
      </c>
      <c r="D6411" t="s">
        <v>7327</v>
      </c>
      <c r="E6411" t="s">
        <v>7328</v>
      </c>
      <c r="F6411" t="s">
        <v>11668</v>
      </c>
      <c r="G6411" t="s">
        <v>3890</v>
      </c>
      <c r="H6411" t="s">
        <v>5985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</row>
    <row r="6412" spans="2:30" x14ac:dyDescent="0.25">
      <c r="B6412" t="s">
        <v>133</v>
      </c>
      <c r="C6412" t="s">
        <v>10598</v>
      </c>
      <c r="D6412" t="s">
        <v>7330</v>
      </c>
      <c r="E6412" t="s">
        <v>7331</v>
      </c>
      <c r="F6412" t="s">
        <v>11669</v>
      </c>
      <c r="G6412" t="s">
        <v>3890</v>
      </c>
      <c r="H6412" t="s">
        <v>4476</v>
      </c>
      <c r="J6412">
        <v>1</v>
      </c>
      <c r="K6412">
        <v>3.3856610678590225E-3</v>
      </c>
      <c r="L6412">
        <v>0.11967884298467692</v>
      </c>
      <c r="M6412">
        <v>0.1089723781780338</v>
      </c>
      <c r="N6412">
        <v>9.5728005819590942E-2</v>
      </c>
      <c r="O6412">
        <v>9.9407240682464398E-2</v>
      </c>
      <c r="P6412">
        <v>9.3861013456022047E-2</v>
      </c>
      <c r="Q6412">
        <v>9.2335156502381346E-2</v>
      </c>
      <c r="R6412">
        <v>9.1566000863595676E-2</v>
      </c>
      <c r="S6412">
        <v>9.089336947088561E-2</v>
      </c>
      <c r="T6412">
        <v>9.0162617453518362E-2</v>
      </c>
      <c r="U6412">
        <v>9.0162617453518362E-2</v>
      </c>
      <c r="V6412">
        <v>9.0162617453518362E-2</v>
      </c>
      <c r="W6412">
        <v>9.0162617453518362E-2</v>
      </c>
      <c r="X6412">
        <v>9.0162617453518362E-2</v>
      </c>
      <c r="Y6412">
        <v>9.0162617453518362E-2</v>
      </c>
      <c r="Z6412">
        <v>9.0162617453518362E-2</v>
      </c>
      <c r="AA6412">
        <v>9.0162617453518362E-2</v>
      </c>
      <c r="AB6412">
        <v>9.0162617453518362E-2</v>
      </c>
      <c r="AC6412">
        <v>9.0162617453518362E-2</v>
      </c>
      <c r="AD6412">
        <v>9.0162617453518362E-2</v>
      </c>
    </row>
    <row r="6413" spans="2:30" x14ac:dyDescent="0.25">
      <c r="B6413" t="s">
        <v>133</v>
      </c>
      <c r="C6413" t="s">
        <v>10598</v>
      </c>
      <c r="D6413" t="s">
        <v>7333</v>
      </c>
      <c r="E6413" t="s">
        <v>7334</v>
      </c>
      <c r="F6413" t="s">
        <v>11670</v>
      </c>
      <c r="G6413" t="s">
        <v>3890</v>
      </c>
      <c r="H6413" t="s">
        <v>7078</v>
      </c>
      <c r="J6413">
        <v>1</v>
      </c>
      <c r="K6413">
        <v>6.5275625528632919E-2</v>
      </c>
      <c r="L6413">
        <v>0.97452772144665478</v>
      </c>
      <c r="M6413">
        <v>0.88734650802113235</v>
      </c>
      <c r="N6413">
        <v>0.77949947595952618</v>
      </c>
      <c r="O6413">
        <v>0.80945895984292437</v>
      </c>
      <c r="P6413">
        <v>0.76429682385617947</v>
      </c>
      <c r="Q6413">
        <v>0.75187198866224803</v>
      </c>
      <c r="R6413">
        <v>0.74560886417499328</v>
      </c>
      <c r="S6413">
        <v>0.74013172283435424</v>
      </c>
      <c r="T6413">
        <v>0.7341813135500781</v>
      </c>
      <c r="U6413">
        <v>0.7341813135500781</v>
      </c>
      <c r="V6413">
        <v>0.7341813135500781</v>
      </c>
      <c r="W6413">
        <v>0.7341813135500781</v>
      </c>
      <c r="X6413">
        <v>0.7341813135500781</v>
      </c>
      <c r="Y6413">
        <v>0.7341813135500781</v>
      </c>
      <c r="Z6413">
        <v>0.7341813135500781</v>
      </c>
      <c r="AA6413">
        <v>0.7341813135500781</v>
      </c>
      <c r="AB6413">
        <v>0.7341813135500781</v>
      </c>
      <c r="AC6413">
        <v>0.7341813135500781</v>
      </c>
      <c r="AD6413">
        <v>0.7341813135500781</v>
      </c>
    </row>
    <row r="6414" spans="2:30" x14ac:dyDescent="0.25">
      <c r="B6414" t="s">
        <v>133</v>
      </c>
      <c r="C6414" t="s">
        <v>10598</v>
      </c>
      <c r="D6414" t="s">
        <v>7336</v>
      </c>
      <c r="E6414" t="s">
        <v>7337</v>
      </c>
      <c r="F6414" t="s">
        <v>11671</v>
      </c>
      <c r="G6414" t="s">
        <v>3890</v>
      </c>
      <c r="H6414" t="s">
        <v>7160</v>
      </c>
      <c r="J6414">
        <v>1</v>
      </c>
      <c r="K6414">
        <v>6.2734904097379335E-2</v>
      </c>
      <c r="L6414">
        <v>0.41050214342490893</v>
      </c>
      <c r="M6414">
        <v>0.33510384881528493</v>
      </c>
      <c r="N6414">
        <v>0.33510384881528493</v>
      </c>
      <c r="O6414">
        <v>0.33510384881528493</v>
      </c>
      <c r="P6414">
        <v>0.33510384881528493</v>
      </c>
      <c r="Q6414">
        <v>0.33510384881528493</v>
      </c>
      <c r="R6414">
        <v>0.33510384881528493</v>
      </c>
      <c r="S6414">
        <v>0.33510384881528493</v>
      </c>
      <c r="T6414">
        <v>0.33510384881528493</v>
      </c>
      <c r="U6414">
        <v>0.33510384881528493</v>
      </c>
      <c r="V6414">
        <v>0.33510384881528493</v>
      </c>
      <c r="W6414">
        <v>0.33510384881528493</v>
      </c>
      <c r="X6414">
        <v>0.33510384881528493</v>
      </c>
      <c r="Y6414">
        <v>0.33510384881528493</v>
      </c>
      <c r="Z6414">
        <v>0.33510384881528493</v>
      </c>
      <c r="AA6414">
        <v>0.33510384881528493</v>
      </c>
      <c r="AB6414">
        <v>0.33510384881528493</v>
      </c>
      <c r="AC6414">
        <v>0.33510384881528493</v>
      </c>
      <c r="AD6414">
        <v>0.33510384881528493</v>
      </c>
    </row>
    <row r="6415" spans="2:30" x14ac:dyDescent="0.25">
      <c r="B6415" t="s">
        <v>133</v>
      </c>
      <c r="C6415" t="s">
        <v>10598</v>
      </c>
      <c r="D6415" t="s">
        <v>7339</v>
      </c>
      <c r="E6415" t="s">
        <v>7340</v>
      </c>
      <c r="F6415" t="s">
        <v>11672</v>
      </c>
      <c r="G6415" t="s">
        <v>3890</v>
      </c>
      <c r="H6415" t="s">
        <v>7082</v>
      </c>
      <c r="J6415">
        <v>1</v>
      </c>
      <c r="K6415">
        <v>0.51585213900000004</v>
      </c>
      <c r="L6415">
        <v>0.50679482500422857</v>
      </c>
      <c r="M6415">
        <v>0.5885357554420465</v>
      </c>
      <c r="N6415">
        <v>0.6574638290207534</v>
      </c>
      <c r="O6415">
        <v>0.72017271319402121</v>
      </c>
      <c r="P6415">
        <v>0.79323418654986022</v>
      </c>
      <c r="Q6415">
        <v>0.92589071450645233</v>
      </c>
      <c r="R6415">
        <v>1.1564592049907172</v>
      </c>
      <c r="S6415">
        <v>1.5762054279183424</v>
      </c>
      <c r="T6415">
        <v>2.3203112412232829</v>
      </c>
      <c r="U6415">
        <v>3.5739631190967902</v>
      </c>
      <c r="V6415">
        <v>5.5957106673242345</v>
      </c>
      <c r="W6415">
        <v>8.5992127109732959</v>
      </c>
      <c r="X6415">
        <v>12.864972846663154</v>
      </c>
      <c r="Y6415">
        <v>18.604888980964905</v>
      </c>
      <c r="Z6415">
        <v>26.144013329601052</v>
      </c>
      <c r="AA6415">
        <v>35.876285084689179</v>
      </c>
      <c r="AB6415">
        <v>48.26949266699765</v>
      </c>
      <c r="AC6415">
        <v>63.713389494942142</v>
      </c>
      <c r="AD6415">
        <v>81.456628591159685</v>
      </c>
    </row>
    <row r="6416" spans="2:30" x14ac:dyDescent="0.25">
      <c r="B6416" t="s">
        <v>133</v>
      </c>
      <c r="C6416" t="s">
        <v>10598</v>
      </c>
      <c r="D6416" t="s">
        <v>7342</v>
      </c>
      <c r="E6416" t="s">
        <v>7343</v>
      </c>
      <c r="F6416" t="s">
        <v>11673</v>
      </c>
      <c r="G6416" t="s">
        <v>3890</v>
      </c>
      <c r="H6416" t="s">
        <v>7086</v>
      </c>
      <c r="J6416">
        <v>1</v>
      </c>
      <c r="K6416">
        <v>0</v>
      </c>
      <c r="L6416">
        <v>0.22519262582431168</v>
      </c>
      <c r="M6416">
        <v>0.26088040970971249</v>
      </c>
      <c r="N6416">
        <v>0.22923634937166268</v>
      </c>
      <c r="O6416">
        <v>0.2700272250928048</v>
      </c>
      <c r="P6416">
        <v>0.2659967757719453</v>
      </c>
      <c r="Q6416">
        <v>0.30038948675837474</v>
      </c>
      <c r="R6416">
        <v>0.3688399591446973</v>
      </c>
      <c r="S6416">
        <v>0.49514051116528629</v>
      </c>
      <c r="T6416">
        <v>0.71677859272751554</v>
      </c>
      <c r="U6416">
        <v>1.1040502711246933</v>
      </c>
      <c r="V6416">
        <v>1.728598106226666</v>
      </c>
      <c r="W6416">
        <v>2.6564244813495126</v>
      </c>
      <c r="X6416">
        <v>3.974181122204695</v>
      </c>
      <c r="Y6416">
        <v>5.7473264382398455</v>
      </c>
      <c r="Z6416">
        <v>8.07627388503332</v>
      </c>
      <c r="AA6416">
        <v>11.082717127956235</v>
      </c>
      <c r="AB6416">
        <v>14.911162955570191</v>
      </c>
      <c r="AC6416">
        <v>19.682011985602429</v>
      </c>
      <c r="AD6416">
        <v>25.163161981285615</v>
      </c>
    </row>
    <row r="6417" spans="2:30" x14ac:dyDescent="0.25">
      <c r="B6417" t="s">
        <v>133</v>
      </c>
      <c r="C6417" t="s">
        <v>10598</v>
      </c>
      <c r="D6417" t="s">
        <v>7345</v>
      </c>
      <c r="E6417" t="s">
        <v>7346</v>
      </c>
      <c r="F6417" t="s">
        <v>11674</v>
      </c>
      <c r="G6417" t="s">
        <v>3890</v>
      </c>
      <c r="H6417" t="s">
        <v>7090</v>
      </c>
      <c r="J6417">
        <v>1</v>
      </c>
      <c r="K6417">
        <v>1.310636584915303E-3</v>
      </c>
      <c r="L6417">
        <v>6.0652618287127875E-2</v>
      </c>
      <c r="M6417">
        <v>6.4134140913325532E-2</v>
      </c>
      <c r="N6417">
        <v>6.2937701250669234E-2</v>
      </c>
      <c r="O6417">
        <v>7.1590382233421485E-2</v>
      </c>
      <c r="P6417">
        <v>7.4453764657533131E-2</v>
      </c>
      <c r="Q6417">
        <v>8.5492264028054946E-2</v>
      </c>
      <c r="R6417">
        <v>0.10589234456289318</v>
      </c>
      <c r="S6417">
        <v>0.14326662232179735</v>
      </c>
      <c r="T6417">
        <v>0.20920533481551329</v>
      </c>
      <c r="U6417">
        <v>0.3222378695001073</v>
      </c>
      <c r="V6417">
        <v>0.5045239202785271</v>
      </c>
      <c r="W6417">
        <v>0.77532752606091804</v>
      </c>
      <c r="X6417">
        <v>1.1599396253235914</v>
      </c>
      <c r="Y6417">
        <v>1.6774654879559183</v>
      </c>
      <c r="Z6417">
        <v>2.3572126725365052</v>
      </c>
      <c r="AA6417">
        <v>3.234699767744198</v>
      </c>
      <c r="AB6417">
        <v>4.3521038020099203</v>
      </c>
      <c r="AC6417">
        <v>5.7445659636994852</v>
      </c>
      <c r="AD6417">
        <v>7.344342842718059</v>
      </c>
    </row>
    <row r="6418" spans="2:30" x14ac:dyDescent="0.25">
      <c r="B6418" t="s">
        <v>133</v>
      </c>
      <c r="C6418" t="s">
        <v>10598</v>
      </c>
      <c r="D6418" t="s">
        <v>7348</v>
      </c>
      <c r="E6418" t="s">
        <v>7349</v>
      </c>
      <c r="F6418" t="s">
        <v>11675</v>
      </c>
      <c r="G6418" t="s">
        <v>3890</v>
      </c>
      <c r="H6418" t="s">
        <v>7086</v>
      </c>
      <c r="J6418">
        <v>1</v>
      </c>
      <c r="K6418">
        <v>38.65236853362601</v>
      </c>
      <c r="L6418">
        <v>33.803883994610686</v>
      </c>
      <c r="M6418">
        <v>46.098305005902105</v>
      </c>
      <c r="N6418">
        <v>44.717270065549819</v>
      </c>
      <c r="O6418">
        <v>47.037426160131233</v>
      </c>
      <c r="P6418">
        <v>46.098929204172457</v>
      </c>
      <c r="Q6418">
        <v>47.037627475019036</v>
      </c>
      <c r="R6418">
        <v>48.600166250990561</v>
      </c>
      <c r="S6418">
        <v>50.399729846783018</v>
      </c>
      <c r="T6418">
        <v>52.441469300934067</v>
      </c>
      <c r="U6418">
        <v>55.084026421635201</v>
      </c>
      <c r="V6418">
        <v>58.106244529908857</v>
      </c>
      <c r="W6418">
        <v>61.557953872293787</v>
      </c>
      <c r="X6418">
        <v>65.539915687950341</v>
      </c>
      <c r="Y6418">
        <v>70.111250888015633</v>
      </c>
      <c r="Z6418">
        <v>75.397280243924271</v>
      </c>
      <c r="AA6418">
        <v>81.528932377797659</v>
      </c>
      <c r="AB6418">
        <v>88.668312370166333</v>
      </c>
      <c r="AC6418">
        <v>96.95661277531633</v>
      </c>
      <c r="AD6418">
        <v>106.03919538102296</v>
      </c>
    </row>
    <row r="6419" spans="2:30" x14ac:dyDescent="0.25">
      <c r="B6419" t="s">
        <v>133</v>
      </c>
      <c r="C6419" t="s">
        <v>10598</v>
      </c>
      <c r="D6419" t="s">
        <v>7351</v>
      </c>
      <c r="E6419" t="s">
        <v>7352</v>
      </c>
      <c r="F6419" t="s">
        <v>11676</v>
      </c>
      <c r="G6419" t="s">
        <v>3890</v>
      </c>
      <c r="H6419" t="s">
        <v>7090</v>
      </c>
      <c r="J6419">
        <v>1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  <c r="W6419" t="e">
        <v>#N/A</v>
      </c>
      <c r="X6419" t="e">
        <v>#N/A</v>
      </c>
      <c r="Y6419" t="e">
        <v>#N/A</v>
      </c>
      <c r="Z6419" t="e">
        <v>#N/A</v>
      </c>
      <c r="AA6419" t="e">
        <v>#N/A</v>
      </c>
      <c r="AB6419" t="e">
        <v>#N/A</v>
      </c>
      <c r="AC6419" t="e">
        <v>#N/A</v>
      </c>
      <c r="AD6419" t="e">
        <v>#N/A</v>
      </c>
    </row>
    <row r="6420" spans="2:30" x14ac:dyDescent="0.25">
      <c r="B6420" t="s">
        <v>133</v>
      </c>
      <c r="C6420" t="s">
        <v>10598</v>
      </c>
      <c r="D6420" t="s">
        <v>7348</v>
      </c>
      <c r="E6420" t="s">
        <v>7354</v>
      </c>
      <c r="F6420" t="s">
        <v>11677</v>
      </c>
      <c r="G6420" t="s">
        <v>3890</v>
      </c>
      <c r="H6420" t="s">
        <v>7086</v>
      </c>
      <c r="J6420">
        <v>1</v>
      </c>
      <c r="K6420">
        <v>7.5366475799184818E-2</v>
      </c>
      <c r="L6420">
        <v>6.1801976127087668E-2</v>
      </c>
      <c r="M6420">
        <v>8.1224973273976514E-2</v>
      </c>
      <c r="N6420">
        <v>7.6945819808472676E-2</v>
      </c>
      <c r="O6420">
        <v>7.7532621793251391E-2</v>
      </c>
      <c r="P6420">
        <v>7.2895140989281321E-2</v>
      </c>
      <c r="Q6420">
        <v>7.095300687287609E-2</v>
      </c>
      <c r="R6420">
        <v>6.9464887484999335E-2</v>
      </c>
      <c r="S6420">
        <v>6.8458949000109626E-2</v>
      </c>
      <c r="T6420">
        <v>6.7942587528743825E-2</v>
      </c>
      <c r="U6420">
        <v>6.8104891830034667E-2</v>
      </c>
      <c r="V6420">
        <v>6.8593210855605533E-2</v>
      </c>
      <c r="W6420">
        <v>6.9417442017481165E-2</v>
      </c>
      <c r="X6420">
        <v>7.063776262106583E-2</v>
      </c>
      <c r="Y6420">
        <v>7.2258015807952103E-2</v>
      </c>
      <c r="Z6420">
        <v>7.4343328455189525E-2</v>
      </c>
      <c r="AA6420">
        <v>7.6949701395028727E-2</v>
      </c>
      <c r="AB6420">
        <v>8.0148141971804338E-2</v>
      </c>
      <c r="AC6420">
        <v>8.3975648460961158E-2</v>
      </c>
      <c r="AD6420">
        <v>8.8046980193544372E-2</v>
      </c>
    </row>
    <row r="6421" spans="2:30" x14ac:dyDescent="0.25">
      <c r="B6421" t="s">
        <v>133</v>
      </c>
      <c r="C6421" t="s">
        <v>10598</v>
      </c>
      <c r="D6421" t="s">
        <v>7351</v>
      </c>
      <c r="E6421" t="s">
        <v>7356</v>
      </c>
      <c r="F6421" t="s">
        <v>11678</v>
      </c>
      <c r="G6421" t="s">
        <v>3890</v>
      </c>
      <c r="H6421" t="s">
        <v>7090</v>
      </c>
      <c r="J6421">
        <v>1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  <c r="W6421" t="e">
        <v>#N/A</v>
      </c>
      <c r="X6421" t="e">
        <v>#N/A</v>
      </c>
      <c r="Y6421" t="e">
        <v>#N/A</v>
      </c>
      <c r="Z6421" t="e">
        <v>#N/A</v>
      </c>
      <c r="AA6421" t="e">
        <v>#N/A</v>
      </c>
      <c r="AB6421" t="e">
        <v>#N/A</v>
      </c>
      <c r="AC6421" t="e">
        <v>#N/A</v>
      </c>
      <c r="AD6421" t="e">
        <v>#N/A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ColWidth="9" defaultRowHeight="12.75" x14ac:dyDescent="0.2"/>
  <cols>
    <col min="1" max="1" width="3.5703125" style="53" customWidth="1"/>
    <col min="2" max="2" width="14.5703125" style="53" customWidth="1"/>
    <col min="3" max="3" width="34.5703125" style="53" customWidth="1"/>
    <col min="4" max="4" width="22.5703125" style="53" customWidth="1"/>
    <col min="5" max="6" width="14.5703125" style="53" customWidth="1"/>
    <col min="7" max="7" width="26.5703125" style="53" customWidth="1"/>
    <col min="8" max="8" width="14.5703125" style="53" customWidth="1"/>
    <col min="9" max="9" width="12.5703125" style="53" customWidth="1"/>
    <col min="10" max="10" width="26.5703125" style="53" customWidth="1"/>
    <col min="11" max="35" width="9.5703125" style="53" customWidth="1"/>
    <col min="36" max="16384" width="9" style="53"/>
  </cols>
  <sheetData>
    <row r="1" spans="1:35" ht="18" x14ac:dyDescent="0.2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2">
      <c r="B2" s="53" t="s">
        <v>1702</v>
      </c>
    </row>
    <row r="3" spans="1:35" x14ac:dyDescent="0.2">
      <c r="B3" s="53" t="s">
        <v>1703</v>
      </c>
    </row>
    <row r="5" spans="1:35" x14ac:dyDescent="0.2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x14ac:dyDescent="0.2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x14ac:dyDescent="0.2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x14ac:dyDescent="0.2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x14ac:dyDescent="0.2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x14ac:dyDescent="0.2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x14ac:dyDescent="0.2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x14ac:dyDescent="0.2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x14ac:dyDescent="0.2">
      <c r="A13" s="56"/>
      <c r="B13" s="53" t="s">
        <v>1724</v>
      </c>
    </row>
    <row r="14" spans="1:35" x14ac:dyDescent="0.2">
      <c r="A14" s="56"/>
    </row>
    <row r="15" spans="1:35" x14ac:dyDescent="0.2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3.75" x14ac:dyDescent="0.2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x14ac:dyDescent="0.2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x14ac:dyDescent="0.2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x14ac:dyDescent="0.2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x14ac:dyDescent="0.2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x14ac:dyDescent="0.2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x14ac:dyDescent="0.2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x14ac:dyDescent="0.2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x14ac:dyDescent="0.2">
      <c r="A24" s="56"/>
    </row>
    <row r="25" spans="1:35" x14ac:dyDescent="0.2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x14ac:dyDescent="0.2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x14ac:dyDescent="0.2">
      <c r="A27" s="56"/>
      <c r="B27" s="90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x14ac:dyDescent="0.2">
      <c r="A28" s="56"/>
    </row>
    <row r="29" spans="1:35" x14ac:dyDescent="0.2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x14ac:dyDescent="0.2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x14ac:dyDescent="0.2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x14ac:dyDescent="0.2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x14ac:dyDescent="0.2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x14ac:dyDescent="0.2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x14ac:dyDescent="0.2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x14ac:dyDescent="0.2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x14ac:dyDescent="0.2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x14ac:dyDescent="0.2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x14ac:dyDescent="0.2">
      <c r="A39" s="56"/>
    </row>
    <row r="40" spans="1:35" x14ac:dyDescent="0.2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x14ac:dyDescent="0.2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x14ac:dyDescent="0.2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1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x14ac:dyDescent="0.2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1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x14ac:dyDescent="0.2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1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x14ac:dyDescent="0.2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1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x14ac:dyDescent="0.2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1" t="s">
        <v>1785</v>
      </c>
      <c r="H46" s="53" t="s">
        <v>2424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x14ac:dyDescent="0.2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1" t="s">
        <v>1788</v>
      </c>
      <c r="H47" s="53" t="s">
        <v>2425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x14ac:dyDescent="0.2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1" t="s">
        <v>1792</v>
      </c>
      <c r="H48" s="53" t="s">
        <v>2878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x14ac:dyDescent="0.2">
      <c r="A49" s="56"/>
      <c r="B49" s="53" t="s">
        <v>1793</v>
      </c>
      <c r="C49" s="53" t="s">
        <v>2876</v>
      </c>
      <c r="D49" s="53" t="s">
        <v>1795</v>
      </c>
      <c r="E49" s="53" t="s">
        <v>1398</v>
      </c>
      <c r="F49" s="53" t="s">
        <v>1772</v>
      </c>
      <c r="G49" s="91" t="s">
        <v>1796</v>
      </c>
      <c r="H49" s="53" t="s">
        <v>2877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x14ac:dyDescent="0.2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1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x14ac:dyDescent="0.2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1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x14ac:dyDescent="0.2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1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x14ac:dyDescent="0.2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1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x14ac:dyDescent="0.2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1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x14ac:dyDescent="0.2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1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x14ac:dyDescent="0.2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1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x14ac:dyDescent="0.2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1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x14ac:dyDescent="0.2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1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x14ac:dyDescent="0.2">
      <c r="A59" s="56"/>
    </row>
    <row r="60" spans="1:35" x14ac:dyDescent="0.2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x14ac:dyDescent="0.2">
      <c r="A61" s="56"/>
      <c r="B61" s="53" t="s">
        <v>1808</v>
      </c>
    </row>
    <row r="62" spans="1:35" x14ac:dyDescent="0.2">
      <c r="A62" s="56"/>
      <c r="B62" s="53" t="s">
        <v>1809</v>
      </c>
    </row>
    <row r="63" spans="1:35" x14ac:dyDescent="0.2">
      <c r="A63" s="56"/>
      <c r="B63" s="53" t="s">
        <v>1810</v>
      </c>
    </row>
    <row r="64" spans="1:35" x14ac:dyDescent="0.2">
      <c r="A64" s="56"/>
      <c r="B64" s="53" t="s">
        <v>1811</v>
      </c>
    </row>
    <row r="65" spans="1:2" x14ac:dyDescent="0.2">
      <c r="A65" s="56"/>
      <c r="B65" s="53" t="s">
        <v>1812</v>
      </c>
    </row>
    <row r="66" spans="1:2" x14ac:dyDescent="0.2">
      <c r="A66" s="56"/>
      <c r="B66" s="53" t="s">
        <v>1813</v>
      </c>
    </row>
    <row r="67" spans="1:2" x14ac:dyDescent="0.2">
      <c r="A67" s="56"/>
      <c r="B67" s="53" t="s">
        <v>1814</v>
      </c>
    </row>
    <row r="68" spans="1:2" x14ac:dyDescent="0.2">
      <c r="A68" s="56"/>
      <c r="B68" s="53" t="s">
        <v>1815</v>
      </c>
    </row>
    <row r="69" spans="1:2" x14ac:dyDescent="0.2">
      <c r="B69" s="53" t="s">
        <v>1857</v>
      </c>
    </row>
    <row r="70" spans="1:2" x14ac:dyDescent="0.2">
      <c r="B70" s="53" t="s">
        <v>1872</v>
      </c>
    </row>
    <row r="71" spans="1:2" x14ac:dyDescent="0.2">
      <c r="B71" s="53" t="s">
        <v>1899</v>
      </c>
    </row>
    <row r="72" spans="1:2" x14ac:dyDescent="0.2">
      <c r="B72" s="53" t="s">
        <v>1910</v>
      </c>
    </row>
    <row r="73" spans="1:2" x14ac:dyDescent="0.2">
      <c r="B73" s="53" t="s">
        <v>1965</v>
      </c>
    </row>
    <row r="74" spans="1:2" x14ac:dyDescent="0.2">
      <c r="B74" s="53" t="s">
        <v>1992</v>
      </c>
    </row>
    <row r="75" spans="1:2" x14ac:dyDescent="0.2">
      <c r="B75" s="53" t="s">
        <v>2022</v>
      </c>
    </row>
    <row r="76" spans="1:2" x14ac:dyDescent="0.2">
      <c r="B76" s="53" t="s">
        <v>2140</v>
      </c>
    </row>
    <row r="77" spans="1:2" x14ac:dyDescent="0.2">
      <c r="B77" s="53" t="s">
        <v>2426</v>
      </c>
    </row>
    <row r="78" spans="1:2" x14ac:dyDescent="0.2">
      <c r="B78" s="53" t="s">
        <v>2879</v>
      </c>
    </row>
    <row r="79" spans="1:2" x14ac:dyDescent="0.2">
      <c r="B79" s="53" t="s">
        <v>3249</v>
      </c>
    </row>
    <row r="80" spans="1:2" x14ac:dyDescent="0.2">
      <c r="B80" s="53" t="s">
        <v>3590</v>
      </c>
    </row>
    <row r="81" spans="2:2" x14ac:dyDescent="0.2">
      <c r="B81" s="53" t="s">
        <v>3630</v>
      </c>
    </row>
    <row r="82" spans="2:2" x14ac:dyDescent="0.2">
      <c r="B82" s="53" t="s">
        <v>3676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7109375" defaultRowHeight="15" x14ac:dyDescent="0.25"/>
  <cols>
    <col min="1" max="1" width="3" customWidth="1"/>
    <col min="2" max="2" width="12.42578125" customWidth="1"/>
    <col min="3" max="3" width="28" customWidth="1"/>
    <col min="4" max="4" width="33.7109375" customWidth="1"/>
    <col min="5" max="5" width="14.7109375" customWidth="1"/>
    <col min="6" max="6" width="17.7109375" customWidth="1"/>
    <col min="7" max="7" width="30.28515625" customWidth="1"/>
    <col min="8" max="8" width="28.85546875" customWidth="1"/>
    <col min="9" max="9" width="31.28515625" customWidth="1"/>
    <col min="10" max="10" width="30.28515625" customWidth="1"/>
    <col min="11" max="11" width="10.5703125" customWidth="1"/>
    <col min="12" max="35" width="12" customWidth="1"/>
  </cols>
  <sheetData>
    <row r="1" spans="1:35" x14ac:dyDescent="0.2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2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2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2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25">
      <c r="B6" s="13" t="s">
        <v>48</v>
      </c>
    </row>
    <row r="7" spans="1:35" x14ac:dyDescent="0.2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2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2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2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2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2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2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2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2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25">
      <c r="B16" s="13" t="s">
        <v>72</v>
      </c>
    </row>
    <row r="17" spans="2:31" x14ac:dyDescent="0.2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2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2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2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2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2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2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2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2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25">
      <c r="B26" s="13" t="s">
        <v>74</v>
      </c>
    </row>
    <row r="27" spans="2:31" x14ac:dyDescent="0.2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2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2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2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2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2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2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2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2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25">
      <c r="B36" s="13" t="s">
        <v>76</v>
      </c>
    </row>
    <row r="37" spans="2:31" x14ac:dyDescent="0.2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2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2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2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2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25">
      <c r="B42" s="13" t="s">
        <v>91</v>
      </c>
    </row>
    <row r="43" spans="2:31" x14ac:dyDescent="0.2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2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2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2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2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2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2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2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2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2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25">
      <c r="B53" s="13" t="s">
        <v>107</v>
      </c>
    </row>
    <row r="54" spans="2:31" x14ac:dyDescent="0.2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2352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2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2353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2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2354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2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2355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2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2356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2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2357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2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2358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2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2359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2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2360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2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2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25">
      <c r="B66" s="13" t="s">
        <v>48</v>
      </c>
    </row>
    <row r="67" spans="1:35" x14ac:dyDescent="0.2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2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2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2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2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2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2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2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2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25">
      <c r="B76" s="13" t="s">
        <v>72</v>
      </c>
    </row>
    <row r="77" spans="1:35" x14ac:dyDescent="0.2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2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2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2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2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2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2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2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2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25">
      <c r="B86" s="13" t="s">
        <v>74</v>
      </c>
    </row>
    <row r="87" spans="2:31" x14ac:dyDescent="0.2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2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2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2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2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2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2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2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2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25">
      <c r="B96" s="13" t="s">
        <v>76</v>
      </c>
    </row>
    <row r="97" spans="2:31" x14ac:dyDescent="0.2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2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2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2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2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25">
      <c r="B102" s="13" t="s">
        <v>91</v>
      </c>
    </row>
    <row r="103" spans="2:31" x14ac:dyDescent="0.2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2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2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2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2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2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2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2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2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2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25">
      <c r="B113" s="13" t="s">
        <v>107</v>
      </c>
    </row>
    <row r="114" spans="1:35" x14ac:dyDescent="0.2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2361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2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2362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2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2363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2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2364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2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2365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2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2366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2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2367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2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2368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2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2369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2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2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25">
      <c r="B126" s="13" t="s">
        <v>48</v>
      </c>
    </row>
    <row r="127" spans="1:35" x14ac:dyDescent="0.2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2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2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2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2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2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2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2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2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25">
      <c r="B136" s="13" t="s">
        <v>72</v>
      </c>
    </row>
    <row r="137" spans="2:31" x14ac:dyDescent="0.2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2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2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2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2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2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2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2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2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25">
      <c r="B146" s="13" t="s">
        <v>74</v>
      </c>
    </row>
    <row r="147" spans="2:31" x14ac:dyDescent="0.2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2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2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2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2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2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2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2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2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25">
      <c r="B156" s="13" t="s">
        <v>76</v>
      </c>
    </row>
    <row r="157" spans="2:31" x14ac:dyDescent="0.2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2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2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2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2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25">
      <c r="B162" s="13" t="s">
        <v>91</v>
      </c>
    </row>
    <row r="163" spans="2:31" x14ac:dyDescent="0.2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2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2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2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2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2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2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2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2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2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25">
      <c r="B173" s="13" t="s">
        <v>107</v>
      </c>
    </row>
    <row r="174" spans="2:31" x14ac:dyDescent="0.2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2370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2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2371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2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2372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2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2373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2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2374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2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2375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2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2376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2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2377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2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2378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2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2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25">
      <c r="B186" s="13" t="s">
        <v>48</v>
      </c>
    </row>
    <row r="187" spans="1:35" x14ac:dyDescent="0.2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2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2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2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2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2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2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2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2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25">
      <c r="B196" s="13" t="s">
        <v>72</v>
      </c>
    </row>
    <row r="197" spans="2:31" x14ac:dyDescent="0.2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2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2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2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2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2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2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2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2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25">
      <c r="B206" s="13" t="s">
        <v>74</v>
      </c>
    </row>
    <row r="207" spans="2:31" x14ac:dyDescent="0.2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2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2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2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2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2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2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2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2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25">
      <c r="B216" s="13" t="s">
        <v>76</v>
      </c>
    </row>
    <row r="217" spans="2:31" x14ac:dyDescent="0.2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2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2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2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2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25">
      <c r="B222" s="13" t="s">
        <v>91</v>
      </c>
    </row>
    <row r="223" spans="2:31" x14ac:dyDescent="0.2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2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2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2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2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2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2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2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2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2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25">
      <c r="B233" s="13" t="s">
        <v>107</v>
      </c>
    </row>
    <row r="234" spans="2:31" x14ac:dyDescent="0.2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2379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2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2380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2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2381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2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2382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2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2383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2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2384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2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2385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2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2386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2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2387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2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2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2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2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5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2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6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2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6" t="str">
        <f>Settings!$B$3&amp;".mit.fundsp."&amp;$J$5</f>
        <v>egy.mit.fundsp.1</v>
      </c>
      <c r="H249" s="70"/>
      <c r="I249" s="70" t="s">
        <v>2881</v>
      </c>
      <c r="J249" s="70"/>
      <c r="K249" s="70"/>
      <c r="L249" s="93">
        <f>INDEX(Data_Prices!L:L,MATCH($G249,Data_Prices!$A:$A,0))</f>
        <v>0</v>
      </c>
      <c r="M249" s="93">
        <f>INDEX(Data_Prices!M:M,MATCH($G249,Data_Prices!$A:$A,0))</f>
        <v>0</v>
      </c>
      <c r="N249" s="93">
        <f>INDEX(Data_Prices!N:N,MATCH($G249,Data_Prices!$A:$A,0))</f>
        <v>0</v>
      </c>
      <c r="O249" s="93">
        <f>INDEX(Data_Prices!O:O,MATCH($G249,Data_Prices!$A:$A,0))</f>
        <v>0</v>
      </c>
      <c r="P249" s="93">
        <f>INDEX(Data_Prices!P:P,MATCH($G249,Data_Prices!$A:$A,0))</f>
        <v>0</v>
      </c>
      <c r="Q249" s="93">
        <f>INDEX(Data_Prices!Q:Q,MATCH($G249,Data_Prices!$A:$A,0))</f>
        <v>0</v>
      </c>
      <c r="R249" s="93">
        <f>INDEX(Data_Prices!R:R,MATCH($G249,Data_Prices!$A:$A,0))</f>
        <v>0</v>
      </c>
      <c r="S249" s="93">
        <f>INDEX(Data_Prices!S:S,MATCH($G249,Data_Prices!$A:$A,0))</f>
        <v>0</v>
      </c>
      <c r="T249" s="93">
        <f>INDEX(Data_Prices!T:T,MATCH($G249,Data_Prices!$A:$A,0))</f>
        <v>0</v>
      </c>
      <c r="U249" s="93">
        <f>INDEX(Data_Prices!U:U,MATCH($G249,Data_Prices!$A:$A,0))</f>
        <v>0</v>
      </c>
      <c r="V249" s="93">
        <f>INDEX(Data_Prices!V:V,MATCH($G249,Data_Prices!$A:$A,0))</f>
        <v>0</v>
      </c>
      <c r="W249" s="93">
        <f>INDEX(Data_Prices!W:W,MATCH($G249,Data_Prices!$A:$A,0))</f>
        <v>0</v>
      </c>
      <c r="X249" s="93">
        <f>INDEX(Data_Prices!X:X,MATCH($G249,Data_Prices!$A:$A,0))</f>
        <v>0</v>
      </c>
      <c r="Y249" s="93">
        <f>INDEX(Data_Prices!Y:Y,MATCH($G249,Data_Prices!$A:$A,0))</f>
        <v>0</v>
      </c>
      <c r="Z249" s="93">
        <f>INDEX(Data_Prices!Z:Z,MATCH($G249,Data_Prices!$A:$A,0))</f>
        <v>0</v>
      </c>
      <c r="AA249" s="93">
        <f>INDEX(Data_Prices!AA:AA,MATCH($G249,Data_Prices!$A:$A,0))</f>
        <v>0</v>
      </c>
      <c r="AB249" s="93">
        <f>INDEX(Data_Prices!AB:AB,MATCH($G249,Data_Prices!$A:$A,0))</f>
        <v>0</v>
      </c>
      <c r="AC249" s="93">
        <f>INDEX(Data_Prices!AC:AC,MATCH($G249,Data_Prices!$A:$A,0))</f>
        <v>0</v>
      </c>
      <c r="AD249" s="93">
        <f>INDEX(Data_Prices!AD:AD,MATCH($G249,Data_Prices!$A:$A,0))</f>
        <v>0</v>
      </c>
      <c r="AE249" s="93">
        <f>INDEX(Data_Prices!AE:AE,MATCH($G249,Data_Prices!$A:$A,0))</f>
        <v>0</v>
      </c>
      <c r="AF249" s="70"/>
      <c r="AG249" s="70"/>
      <c r="AH249" s="70"/>
      <c r="AI249" s="70"/>
    </row>
    <row r="250" spans="1:35" x14ac:dyDescent="0.2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6" t="str">
        <f>Settings!$B$3&amp;".mit.fundsh."&amp;$J$5</f>
        <v>egy.mit.fundsh.1</v>
      </c>
      <c r="H250" s="70"/>
      <c r="I250" s="70" t="s">
        <v>2880</v>
      </c>
      <c r="J250" s="70"/>
      <c r="K250" s="70"/>
      <c r="L250" s="109">
        <f>Fund_Industry!L$122</f>
        <v>0</v>
      </c>
      <c r="M250" s="109">
        <f>Fund_Industry!M$122</f>
        <v>0</v>
      </c>
      <c r="N250" s="109">
        <f>Fund_Industry!N$122</f>
        <v>0</v>
      </c>
      <c r="O250" s="109">
        <f>Fund_Industry!O$122</f>
        <v>0</v>
      </c>
      <c r="P250" s="109">
        <f>Fund_Industry!P$122</f>
        <v>0</v>
      </c>
      <c r="Q250" s="109">
        <f>Fund_Industry!Q$122</f>
        <v>0</v>
      </c>
      <c r="R250" s="109">
        <f>Fund_Industry!R$122</f>
        <v>0</v>
      </c>
      <c r="S250" s="109">
        <f>Fund_Industry!S$122</f>
        <v>0</v>
      </c>
      <c r="T250" s="109">
        <f>Fund_Industry!T$122</f>
        <v>0</v>
      </c>
      <c r="U250" s="109">
        <f>Fund_Industry!U$122</f>
        <v>0</v>
      </c>
      <c r="V250" s="109">
        <f>Fund_Industry!V$122</f>
        <v>0</v>
      </c>
      <c r="W250" s="109">
        <f>Fund_Industry!W$122</f>
        <v>0</v>
      </c>
      <c r="X250" s="109">
        <f>Fund_Industry!X$122</f>
        <v>0</v>
      </c>
      <c r="Y250" s="109">
        <f>Fund_Industry!Y$122</f>
        <v>0</v>
      </c>
      <c r="Z250" s="109">
        <f>Fund_Industry!Z$122</f>
        <v>0</v>
      </c>
      <c r="AA250" s="109">
        <f>Fund_Industry!AA$122</f>
        <v>0</v>
      </c>
      <c r="AB250" s="109">
        <f>Fund_Industry!AB$122</f>
        <v>0</v>
      </c>
      <c r="AC250" s="109">
        <f>Fund_Industry!AC$122</f>
        <v>0</v>
      </c>
      <c r="AD250" s="109">
        <f>Fund_Industry!AD$122</f>
        <v>0</v>
      </c>
      <c r="AE250" s="109">
        <f>Fund_Industry!AE$122</f>
        <v>0</v>
      </c>
      <c r="AF250" s="70"/>
      <c r="AG250" s="70"/>
      <c r="AH250" s="70"/>
      <c r="AI250" s="70"/>
    </row>
    <row r="251" spans="1:35" x14ac:dyDescent="0.2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6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2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2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2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2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2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2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2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6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2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6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2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6" t="str">
        <f>Settings!$B$3&amp;".mit.emisnp."&amp;$G260&amp;"."&amp;$J$5</f>
        <v>egy.mit.emisnp.cbam.tot.1</v>
      </c>
      <c r="I260" s="72" t="s">
        <v>2883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2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6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2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30" x14ac:dyDescent="0.2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88" t="s">
        <v>1331</v>
      </c>
      <c r="N263" s="88" t="s">
        <v>1332</v>
      </c>
      <c r="O263" s="70" t="s">
        <v>1333</v>
      </c>
      <c r="P263" s="88" t="s">
        <v>1334</v>
      </c>
      <c r="Q263" s="88" t="s">
        <v>1335</v>
      </c>
      <c r="R263" s="88" t="s">
        <v>1336</v>
      </c>
      <c r="S263" s="88" t="s">
        <v>1337</v>
      </c>
      <c r="T263" s="88" t="s">
        <v>1338</v>
      </c>
      <c r="U263" s="88" t="s">
        <v>1339</v>
      </c>
      <c r="V263" s="88" t="s">
        <v>1340</v>
      </c>
      <c r="W263" s="88" t="s">
        <v>1341</v>
      </c>
      <c r="X263" s="88" t="s">
        <v>1342</v>
      </c>
      <c r="Y263" s="88" t="s">
        <v>1343</v>
      </c>
      <c r="Z263" s="88" t="s">
        <v>1344</v>
      </c>
      <c r="AA263" s="88" t="s">
        <v>1345</v>
      </c>
      <c r="AB263" s="88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2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2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2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2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2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2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2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2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2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25">
      <c r="A273" s="70"/>
      <c r="B273" s="52"/>
      <c r="C273" s="52"/>
      <c r="D273" s="70" t="s">
        <v>1874</v>
      </c>
      <c r="E273" s="70"/>
      <c r="F273" s="70"/>
      <c r="G273" s="70"/>
      <c r="H273" s="96">
        <f>IF($J$5&gt;1,INDEX(Scenarios!$B$27:$Z$27,MATCH("fc covered (0/1)",Scenarios!$B$26:$Z$26,0)),1)</f>
        <v>1</v>
      </c>
      <c r="I273" s="96">
        <f>IF($J$5&gt;1,INDEX(Scenarios!$B$27:$Z$27,MATCH("fp covered (0/1)",Scenarios!$B$26:$Z$26,0)),1)</f>
        <v>1</v>
      </c>
      <c r="J273" s="96">
        <f>IF($J$5&gt;1,INDEX(Scenarios!$B$27:$Z$27,MATCH("np covered (0/1)",Scenarios!$B$26:$Z$26,0)),1)</f>
        <v>1</v>
      </c>
      <c r="K273" s="87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2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2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1975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25">
      <c r="A276" s="71"/>
      <c r="B276" s="52"/>
      <c r="C276" s="71"/>
      <c r="D276" s="52" t="s">
        <v>1350</v>
      </c>
      <c r="E276" s="70" t="s">
        <v>1423</v>
      </c>
      <c r="F276" s="174">
        <f>'Manual inputs'!E101</f>
        <v>5100</v>
      </c>
      <c r="G276" s="175">
        <f>'Manual inputs'!F101</f>
        <v>4.3999999999999997E-2</v>
      </c>
      <c r="H276" s="80"/>
      <c r="I276" s="174">
        <f>'Manual inputs'!H101</f>
        <v>580</v>
      </c>
      <c r="J276" s="109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87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25">
      <c r="A277" s="71"/>
      <c r="B277" s="52"/>
      <c r="C277" s="71"/>
      <c r="D277" s="52" t="s">
        <v>1355</v>
      </c>
      <c r="E277" s="70" t="s">
        <v>1423</v>
      </c>
      <c r="F277" s="174">
        <f>'Manual inputs'!E102</f>
        <v>4800</v>
      </c>
      <c r="G277" s="175">
        <f>'Manual inputs'!F102</f>
        <v>4.3999999999999997E-2</v>
      </c>
      <c r="H277" s="80"/>
      <c r="I277" s="174">
        <f>'Manual inputs'!H102</f>
        <v>300</v>
      </c>
      <c r="J277" s="109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87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25">
      <c r="A278" s="71"/>
      <c r="B278" s="71"/>
      <c r="C278" s="71"/>
      <c r="D278" s="52" t="s">
        <v>1359</v>
      </c>
      <c r="E278" s="70" t="s">
        <v>1423</v>
      </c>
      <c r="F278" s="174">
        <f>'Manual inputs'!E103</f>
        <v>0</v>
      </c>
      <c r="G278" s="175">
        <f>'Manual inputs'!F103</f>
        <v>0</v>
      </c>
      <c r="H278" s="80"/>
      <c r="I278" s="174">
        <f>'Manual inputs'!H103</f>
        <v>0</v>
      </c>
      <c r="J278" s="109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87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25">
      <c r="A279" s="71"/>
      <c r="B279" s="71"/>
      <c r="C279" s="71"/>
      <c r="D279" s="52" t="s">
        <v>1363</v>
      </c>
      <c r="E279" s="70" t="s">
        <v>1424</v>
      </c>
      <c r="F279" s="174">
        <f>'Manual inputs'!E104</f>
        <v>50000</v>
      </c>
      <c r="G279" s="175">
        <f>'Manual inputs'!F104</f>
        <v>3.3000000000000002E-2</v>
      </c>
      <c r="H279" s="80"/>
      <c r="I279" s="174">
        <f>'Manual inputs'!H104</f>
        <v>800</v>
      </c>
      <c r="J279" s="109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87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25">
      <c r="A280" s="71"/>
      <c r="B280" s="71"/>
      <c r="C280" s="71"/>
      <c r="D280" s="52" t="s">
        <v>1425</v>
      </c>
      <c r="E280" s="70" t="s">
        <v>1426</v>
      </c>
      <c r="F280" s="174">
        <f>'Manual inputs'!E105</f>
        <v>1785</v>
      </c>
      <c r="G280" s="175">
        <f>'Manual inputs'!F105</f>
        <v>2.1999999999999999E-2</v>
      </c>
      <c r="H280" s="80"/>
      <c r="I280" s="174">
        <f>'Manual inputs'!H105</f>
        <v>120</v>
      </c>
      <c r="J280" s="109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87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25">
      <c r="A281" s="71"/>
      <c r="B281" s="71"/>
      <c r="C281" s="71"/>
      <c r="D281" s="52" t="s">
        <v>1373</v>
      </c>
      <c r="E281" s="70" t="s">
        <v>1427</v>
      </c>
      <c r="F281" s="174">
        <f>'Manual inputs'!E106</f>
        <v>2800</v>
      </c>
      <c r="G281" s="175">
        <f>'Manual inputs'!F106</f>
        <v>2.1999999999999999E-2</v>
      </c>
      <c r="H281" s="80"/>
      <c r="I281" s="174">
        <f>'Manual inputs'!H106</f>
        <v>1600</v>
      </c>
      <c r="J281" s="109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87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25">
      <c r="A282" s="71"/>
      <c r="B282" s="71"/>
      <c r="C282" s="71"/>
      <c r="D282" s="52" t="s">
        <v>1378</v>
      </c>
      <c r="E282" s="70" t="s">
        <v>1428</v>
      </c>
      <c r="F282" s="174">
        <f>'Manual inputs'!E107</f>
        <v>600</v>
      </c>
      <c r="G282" s="175">
        <f>'Manual inputs'!F107</f>
        <v>2.1999999999999999E-2</v>
      </c>
      <c r="H282" s="80"/>
      <c r="I282" s="174">
        <f>'Manual inputs'!H107</f>
        <v>80</v>
      </c>
      <c r="J282" s="109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87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25">
      <c r="A283" s="71"/>
      <c r="B283" s="71"/>
      <c r="C283" s="71"/>
      <c r="D283" s="52" t="s">
        <v>1383</v>
      </c>
      <c r="E283" s="70" t="s">
        <v>1429</v>
      </c>
      <c r="F283" s="174">
        <f>'Manual inputs'!E108</f>
        <v>300</v>
      </c>
      <c r="G283" s="175">
        <f>'Manual inputs'!F108</f>
        <v>5.5E-2</v>
      </c>
      <c r="H283" s="80"/>
      <c r="I283" s="174">
        <f>'Manual inputs'!H108</f>
        <v>167</v>
      </c>
      <c r="J283" s="109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87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2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6" t="str">
        <f>Settings!$B$3&amp;".mit.cbcov."&amp;$G284&amp;"."&amp;$J$5</f>
        <v>egy.mit.cbcov.cbam.tot.1</v>
      </c>
      <c r="I284" s="72"/>
      <c r="J284" s="72"/>
      <c r="K284" s="72"/>
      <c r="L284" s="98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98">
        <f t="shared" si="42"/>
        <v>0</v>
      </c>
      <c r="N284" s="98">
        <f t="shared" si="42"/>
        <v>0</v>
      </c>
      <c r="O284" s="98">
        <f t="shared" si="42"/>
        <v>0</v>
      </c>
      <c r="P284" s="98">
        <f t="shared" si="42"/>
        <v>0</v>
      </c>
      <c r="Q284" s="98">
        <f t="shared" si="42"/>
        <v>0</v>
      </c>
      <c r="R284" s="98">
        <f t="shared" si="42"/>
        <v>0</v>
      </c>
      <c r="S284" s="98">
        <f t="shared" si="42"/>
        <v>0</v>
      </c>
      <c r="T284" s="98">
        <f t="shared" si="42"/>
        <v>0</v>
      </c>
      <c r="U284" s="98">
        <f t="shared" si="42"/>
        <v>0</v>
      </c>
      <c r="V284" s="98">
        <f t="shared" si="42"/>
        <v>0</v>
      </c>
      <c r="W284" s="98">
        <f t="shared" si="42"/>
        <v>0</v>
      </c>
      <c r="X284" s="98">
        <f t="shared" si="42"/>
        <v>0</v>
      </c>
      <c r="Y284" s="98">
        <f t="shared" si="42"/>
        <v>0</v>
      </c>
      <c r="Z284" s="98">
        <f t="shared" si="42"/>
        <v>0</v>
      </c>
      <c r="AA284" s="98">
        <f t="shared" si="42"/>
        <v>0</v>
      </c>
      <c r="AB284" s="98">
        <f t="shared" si="42"/>
        <v>0</v>
      </c>
      <c r="AC284" s="98">
        <f t="shared" si="42"/>
        <v>0</v>
      </c>
      <c r="AD284" s="98">
        <f t="shared" si="42"/>
        <v>0</v>
      </c>
      <c r="AE284" s="98">
        <f t="shared" si="42"/>
        <v>0</v>
      </c>
      <c r="AF284" s="70"/>
      <c r="AG284" s="70"/>
      <c r="AH284" s="70"/>
      <c r="AI284" s="70"/>
    </row>
    <row r="285" spans="1:35" x14ac:dyDescent="0.2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6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2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6" t="str">
        <f>Settings!$B$3&amp;".mit.cbintch."&amp;$G286&amp;"."&amp;$J$5</f>
        <v>egy.mit.cbintch.cbam.tot.1</v>
      </c>
      <c r="I286" s="72"/>
      <c r="J286" s="72"/>
      <c r="K286" s="72"/>
      <c r="L286" s="98">
        <f t="shared" ref="L286:AE286" si="44">IF((SUM(L$330:L$337)+SUM(L$341:L$348))=0,0,L$380/(SUM(L$330:L$337)+SUM(L$341:L$348))-1)</f>
        <v>0</v>
      </c>
      <c r="M286" s="98">
        <f t="shared" si="44"/>
        <v>0</v>
      </c>
      <c r="N286" s="98">
        <f t="shared" si="44"/>
        <v>0</v>
      </c>
      <c r="O286" s="98">
        <f t="shared" si="44"/>
        <v>0</v>
      </c>
      <c r="P286" s="98">
        <f t="shared" si="44"/>
        <v>-1.1102230246251565E-16</v>
      </c>
      <c r="Q286" s="98">
        <f t="shared" si="44"/>
        <v>0</v>
      </c>
      <c r="R286" s="98">
        <f t="shared" si="44"/>
        <v>2.2204460492503131E-16</v>
      </c>
      <c r="S286" s="98">
        <f t="shared" si="44"/>
        <v>-1.1102230246251565E-16</v>
      </c>
      <c r="T286" s="98">
        <f t="shared" si="44"/>
        <v>0</v>
      </c>
      <c r="U286" s="98">
        <f t="shared" si="44"/>
        <v>0</v>
      </c>
      <c r="V286" s="98">
        <f t="shared" si="44"/>
        <v>0</v>
      </c>
      <c r="W286" s="98">
        <f t="shared" si="44"/>
        <v>0</v>
      </c>
      <c r="X286" s="98">
        <f t="shared" si="44"/>
        <v>0</v>
      </c>
      <c r="Y286" s="98">
        <f t="shared" si="44"/>
        <v>0</v>
      </c>
      <c r="Z286" s="98">
        <f t="shared" si="44"/>
        <v>0</v>
      </c>
      <c r="AA286" s="98">
        <f t="shared" si="44"/>
        <v>0</v>
      </c>
      <c r="AB286" s="98">
        <f t="shared" si="44"/>
        <v>2.2204460492503131E-16</v>
      </c>
      <c r="AC286" s="98">
        <f t="shared" si="44"/>
        <v>0</v>
      </c>
      <c r="AD286" s="98">
        <f t="shared" si="44"/>
        <v>2.2204460492503131E-16</v>
      </c>
      <c r="AE286" s="98">
        <f t="shared" si="44"/>
        <v>0</v>
      </c>
      <c r="AF286" s="70"/>
      <c r="AG286" s="70"/>
      <c r="AH286" s="70"/>
      <c r="AI286" s="70"/>
    </row>
    <row r="287" spans="1:35" x14ac:dyDescent="0.2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25">
      <c r="A288" s="70"/>
      <c r="B288" s="52"/>
      <c r="C288" s="52"/>
      <c r="D288" s="52" t="s">
        <v>1433</v>
      </c>
      <c r="E288" s="86" t="s">
        <v>1434</v>
      </c>
      <c r="F288" s="70" t="s">
        <v>1435</v>
      </c>
      <c r="G288" s="174">
        <f>'Manual inputs'!I101</f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25">
      <c r="A289" s="70"/>
      <c r="B289" s="52"/>
      <c r="C289" s="52"/>
      <c r="D289" s="52" t="s">
        <v>1436</v>
      </c>
      <c r="E289" s="86" t="s">
        <v>1437</v>
      </c>
      <c r="F289" s="70" t="s">
        <v>1438</v>
      </c>
      <c r="G289" s="174">
        <f>'Manual inputs'!I102</f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25">
      <c r="A290" s="70"/>
      <c r="B290" s="52"/>
      <c r="C290" s="52"/>
      <c r="D290" s="52" t="s">
        <v>1439</v>
      </c>
      <c r="E290" s="86" t="s">
        <v>1440</v>
      </c>
      <c r="F290" s="70" t="s">
        <v>1441</v>
      </c>
      <c r="G290" s="174">
        <f>'Manual inputs'!I103</f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25">
      <c r="A291" s="70"/>
      <c r="B291" s="52"/>
      <c r="C291" s="52"/>
      <c r="D291" s="52" t="s">
        <v>1442</v>
      </c>
      <c r="E291" s="86" t="s">
        <v>1443</v>
      </c>
      <c r="F291" s="70" t="s">
        <v>1444</v>
      </c>
      <c r="G291" s="174">
        <f>'Manual inputs'!I104</f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25">
      <c r="A292" s="70"/>
      <c r="B292" s="52"/>
      <c r="C292" s="52"/>
      <c r="D292" s="52" t="s">
        <v>1445</v>
      </c>
      <c r="E292" s="86" t="s">
        <v>1446</v>
      </c>
      <c r="F292" s="70" t="s">
        <v>1447</v>
      </c>
      <c r="G292" s="174">
        <f>'Manual inputs'!I105</f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25">
      <c r="A293" s="70"/>
      <c r="B293" s="52"/>
      <c r="C293" s="52"/>
      <c r="D293" s="52" t="s">
        <v>1448</v>
      </c>
      <c r="E293" s="86" t="s">
        <v>1449</v>
      </c>
      <c r="F293" s="70" t="s">
        <v>1450</v>
      </c>
      <c r="G293" s="174">
        <f>'Manual inputs'!I106</f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25">
      <c r="A294" s="70"/>
      <c r="B294" s="52"/>
      <c r="C294" s="52"/>
      <c r="D294" s="52" t="s">
        <v>1451</v>
      </c>
      <c r="E294" s="86" t="s">
        <v>1452</v>
      </c>
      <c r="F294" s="70" t="s">
        <v>1453</v>
      </c>
      <c r="G294" s="174">
        <f>'Manual inputs'!I107</f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25">
      <c r="A295" s="70"/>
      <c r="B295" s="52"/>
      <c r="C295" s="52"/>
      <c r="D295" s="52" t="s">
        <v>1454</v>
      </c>
      <c r="E295" s="86" t="s">
        <v>1455</v>
      </c>
      <c r="F295" s="70" t="s">
        <v>1456</v>
      </c>
      <c r="G295" s="174">
        <f>'Manual inputs'!I108</f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2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6" t="str">
        <f>Settings!$B$3&amp;".mit.cbintchx."&amp;$G296&amp;"."&amp;$J$5</f>
        <v>egy.mit.cbintchx.cbam.tot.1</v>
      </c>
      <c r="I296" s="72"/>
      <c r="J296" s="72"/>
      <c r="K296" s="72"/>
      <c r="L296" s="98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98">
        <f t="shared" si="66"/>
        <v>0</v>
      </c>
      <c r="N296" s="98">
        <f t="shared" si="66"/>
        <v>0</v>
      </c>
      <c r="O296" s="98">
        <f t="shared" si="66"/>
        <v>0</v>
      </c>
      <c r="P296" s="98">
        <f t="shared" si="66"/>
        <v>0</v>
      </c>
      <c r="Q296" s="98">
        <f t="shared" si="66"/>
        <v>0</v>
      </c>
      <c r="R296" s="98">
        <f t="shared" si="66"/>
        <v>0</v>
      </c>
      <c r="S296" s="98">
        <f t="shared" si="66"/>
        <v>0</v>
      </c>
      <c r="T296" s="98">
        <f t="shared" si="66"/>
        <v>0</v>
      </c>
      <c r="U296" s="98">
        <f t="shared" si="66"/>
        <v>0</v>
      </c>
      <c r="V296" s="98">
        <f t="shared" si="66"/>
        <v>0</v>
      </c>
      <c r="W296" s="98">
        <f t="shared" si="66"/>
        <v>0</v>
      </c>
      <c r="X296" s="98">
        <f t="shared" si="66"/>
        <v>0</v>
      </c>
      <c r="Y296" s="98">
        <f t="shared" si="66"/>
        <v>0</v>
      </c>
      <c r="Z296" s="98">
        <f t="shared" si="66"/>
        <v>0</v>
      </c>
      <c r="AA296" s="98">
        <f t="shared" si="66"/>
        <v>0</v>
      </c>
      <c r="AB296" s="98">
        <f t="shared" si="66"/>
        <v>0</v>
      </c>
      <c r="AC296" s="98">
        <f t="shared" si="66"/>
        <v>0</v>
      </c>
      <c r="AD296" s="98">
        <f t="shared" si="66"/>
        <v>0</v>
      </c>
      <c r="AE296" s="98">
        <f t="shared" si="66"/>
        <v>0</v>
      </c>
      <c r="AF296" s="70"/>
      <c r="AG296" s="70"/>
      <c r="AH296" s="70"/>
      <c r="AI296" s="70"/>
    </row>
    <row r="297" spans="1:35" x14ac:dyDescent="0.2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6" t="str">
        <f>Settings!$B$3&amp;".mit.cbcovx."&amp;$G297&amp;"."&amp;$J$5</f>
        <v>egy.mit.cbcovx.cbam.tot.1</v>
      </c>
      <c r="I297" s="72"/>
      <c r="J297" s="72"/>
      <c r="K297" s="72"/>
      <c r="L297" s="98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98">
        <f t="shared" si="67"/>
        <v>0</v>
      </c>
      <c r="N297" s="98">
        <f t="shared" si="67"/>
        <v>0</v>
      </c>
      <c r="O297" s="98">
        <f t="shared" si="67"/>
        <v>0</v>
      </c>
      <c r="P297" s="98">
        <f t="shared" si="67"/>
        <v>0</v>
      </c>
      <c r="Q297" s="98">
        <f t="shared" si="67"/>
        <v>0</v>
      </c>
      <c r="R297" s="98">
        <f t="shared" si="67"/>
        <v>0</v>
      </c>
      <c r="S297" s="98">
        <f t="shared" si="67"/>
        <v>0</v>
      </c>
      <c r="T297" s="98">
        <f t="shared" si="67"/>
        <v>0</v>
      </c>
      <c r="U297" s="98">
        <f t="shared" si="67"/>
        <v>0</v>
      </c>
      <c r="V297" s="98">
        <f t="shared" si="67"/>
        <v>0</v>
      </c>
      <c r="W297" s="98">
        <f t="shared" si="67"/>
        <v>0</v>
      </c>
      <c r="X297" s="98">
        <f t="shared" si="67"/>
        <v>0</v>
      </c>
      <c r="Y297" s="98">
        <f t="shared" si="67"/>
        <v>0</v>
      </c>
      <c r="Z297" s="98">
        <f t="shared" si="67"/>
        <v>0</v>
      </c>
      <c r="AA297" s="98">
        <f t="shared" si="67"/>
        <v>0</v>
      </c>
      <c r="AB297" s="98">
        <f t="shared" si="67"/>
        <v>0</v>
      </c>
      <c r="AC297" s="98">
        <f t="shared" si="67"/>
        <v>0</v>
      </c>
      <c r="AD297" s="98">
        <f t="shared" si="67"/>
        <v>0</v>
      </c>
      <c r="AE297" s="98">
        <f t="shared" si="67"/>
        <v>0</v>
      </c>
      <c r="AF297" s="70"/>
      <c r="AG297" s="70"/>
      <c r="AH297" s="70"/>
      <c r="AI297" s="70"/>
    </row>
    <row r="298" spans="1:35" x14ac:dyDescent="0.2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2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2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2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2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2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2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2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2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25">
      <c r="A307" s="70"/>
      <c r="B307" s="52"/>
      <c r="C307" s="52"/>
      <c r="D307" s="72" t="s">
        <v>1979</v>
      </c>
      <c r="E307" s="72" t="s">
        <v>79</v>
      </c>
      <c r="F307" s="72"/>
      <c r="G307" s="70" t="s">
        <v>1475</v>
      </c>
      <c r="H307" s="86" t="str">
        <f>Settings!$B$3&amp;".mit.cbqch."&amp;$G307&amp;"."&amp;$J$5</f>
        <v>egy.mit.cbqch.cbam.tot.1</v>
      </c>
      <c r="I307" s="72"/>
      <c r="J307" s="72"/>
      <c r="K307" s="72"/>
      <c r="L307" s="98">
        <f t="shared" ref="L307:AE307" si="70">IF(SUMPRODUCT((L$330:L$337+L$341:L$348)*(1+L$320:L$327)^(-$J$276:$J$283))=0,0,L$318/SUMPRODUCT((L$330:L$337+L$341:L$348)*(1+L$320:L$327)^(-$J$276:$J$283)))</f>
        <v>0</v>
      </c>
      <c r="M307" s="98">
        <f t="shared" si="70"/>
        <v>0</v>
      </c>
      <c r="N307" s="98">
        <f t="shared" si="70"/>
        <v>0</v>
      </c>
      <c r="O307" s="98">
        <f t="shared" si="70"/>
        <v>0</v>
      </c>
      <c r="P307" s="98">
        <f t="shared" si="70"/>
        <v>0</v>
      </c>
      <c r="Q307" s="98">
        <f t="shared" si="70"/>
        <v>0</v>
      </c>
      <c r="R307" s="98">
        <f t="shared" si="70"/>
        <v>0</v>
      </c>
      <c r="S307" s="98">
        <f t="shared" si="70"/>
        <v>0</v>
      </c>
      <c r="T307" s="98">
        <f t="shared" si="70"/>
        <v>0</v>
      </c>
      <c r="U307" s="98">
        <f t="shared" si="70"/>
        <v>0</v>
      </c>
      <c r="V307" s="98">
        <f t="shared" si="70"/>
        <v>0</v>
      </c>
      <c r="W307" s="98">
        <f t="shared" si="70"/>
        <v>0</v>
      </c>
      <c r="X307" s="98">
        <f t="shared" si="70"/>
        <v>0</v>
      </c>
      <c r="Y307" s="98">
        <f t="shared" si="70"/>
        <v>0</v>
      </c>
      <c r="Z307" s="98">
        <f t="shared" si="70"/>
        <v>0</v>
      </c>
      <c r="AA307" s="98">
        <f t="shared" si="70"/>
        <v>0</v>
      </c>
      <c r="AB307" s="98">
        <f t="shared" si="70"/>
        <v>0</v>
      </c>
      <c r="AC307" s="98">
        <f t="shared" si="70"/>
        <v>0</v>
      </c>
      <c r="AD307" s="98">
        <f t="shared" si="70"/>
        <v>0</v>
      </c>
      <c r="AE307" s="98">
        <f t="shared" si="70"/>
        <v>0</v>
      </c>
      <c r="AF307" s="70"/>
      <c r="AG307" s="70"/>
      <c r="AH307" s="70"/>
      <c r="AI307" s="70"/>
    </row>
    <row r="308" spans="1:35" x14ac:dyDescent="0.2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5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2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2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2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2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2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2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2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2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2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25">
      <c r="A318" s="70"/>
      <c r="B318" s="52"/>
      <c r="C318" s="52"/>
      <c r="D318" s="72" t="s">
        <v>1980</v>
      </c>
      <c r="E318" s="72" t="s">
        <v>1852</v>
      </c>
      <c r="F318" s="72"/>
      <c r="G318" s="70" t="s">
        <v>1475</v>
      </c>
      <c r="H318" s="86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25">
      <c r="A319" s="70"/>
      <c r="B319" s="52"/>
      <c r="C319" s="73" t="s">
        <v>1976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2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2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2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2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2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2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2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2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25">
      <c r="A328" s="70"/>
      <c r="B328" s="52"/>
      <c r="C328" s="52"/>
      <c r="D328" s="72" t="s">
        <v>1981</v>
      </c>
      <c r="E328" s="72" t="s">
        <v>1852</v>
      </c>
      <c r="F328" s="72"/>
      <c r="G328" s="70" t="s">
        <v>1475</v>
      </c>
      <c r="H328" s="86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25">
      <c r="A329" s="71"/>
      <c r="B329" s="52"/>
      <c r="C329" s="73" t="s">
        <v>1977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2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97">
        <f t="shared" ref="I330:I337" si="90">IF($F330=0,0,$E299/$F330)</f>
        <v>1</v>
      </c>
      <c r="J330" s="97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2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97">
        <f t="shared" si="90"/>
        <v>1</v>
      </c>
      <c r="J331" s="97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2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97">
        <f t="shared" si="90"/>
        <v>1</v>
      </c>
      <c r="J332" s="97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2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97">
        <f t="shared" si="90"/>
        <v>1</v>
      </c>
      <c r="J333" s="97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2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97">
        <f t="shared" si="90"/>
        <v>1</v>
      </c>
      <c r="J334" s="97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2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97">
        <f t="shared" si="90"/>
        <v>1</v>
      </c>
      <c r="J335" s="97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2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97">
        <f t="shared" si="90"/>
        <v>1</v>
      </c>
      <c r="J336" s="97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2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97">
        <f t="shared" si="90"/>
        <v>1</v>
      </c>
      <c r="J337" s="97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2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25">
      <c r="A339" s="70"/>
      <c r="B339" s="52"/>
      <c r="C339" s="52"/>
      <c r="D339" s="52" t="s">
        <v>2009</v>
      </c>
      <c r="E339" s="70" t="s">
        <v>1854</v>
      </c>
      <c r="F339" s="70"/>
      <c r="G339" s="70" t="s">
        <v>1475</v>
      </c>
      <c r="H339" s="86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25">
      <c r="A340" s="71"/>
      <c r="B340" s="52"/>
      <c r="C340" s="73" t="s">
        <v>1978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2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2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2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2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2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2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2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2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2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25">
      <c r="A350" s="70"/>
      <c r="B350" s="52"/>
      <c r="C350" s="52"/>
      <c r="D350" s="52" t="s">
        <v>2010</v>
      </c>
      <c r="E350" s="70" t="s">
        <v>1854</v>
      </c>
      <c r="F350" s="70"/>
      <c r="G350" s="70" t="s">
        <v>1475</v>
      </c>
      <c r="H350" s="86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2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2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2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2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2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2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2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2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2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2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6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25">
      <c r="A361" s="70"/>
      <c r="B361" s="52"/>
      <c r="C361" s="52"/>
      <c r="D361" s="72" t="s">
        <v>2011</v>
      </c>
      <c r="E361" s="72" t="s">
        <v>79</v>
      </c>
      <c r="F361" s="72"/>
      <c r="G361" s="70" t="s">
        <v>1475</v>
      </c>
      <c r="H361" s="86" t="str">
        <f>Settings!$B$3&amp;".mit.cbobch."&amp;$G361&amp;"."&amp;$J$5</f>
        <v>egy.mit.cbobch.cbam.tot.1</v>
      </c>
      <c r="I361" s="72"/>
      <c r="J361" s="72"/>
      <c r="K361" s="72"/>
      <c r="L361" s="98">
        <f t="shared" ref="L361:AE361" si="133">IF(L$350=0,0,L$339/L$350-1)</f>
        <v>0</v>
      </c>
      <c r="M361" s="98">
        <f t="shared" si="133"/>
        <v>0</v>
      </c>
      <c r="N361" s="98">
        <f t="shared" si="133"/>
        <v>0</v>
      </c>
      <c r="O361" s="98">
        <f t="shared" si="133"/>
        <v>0</v>
      </c>
      <c r="P361" s="98">
        <f t="shared" si="133"/>
        <v>0</v>
      </c>
      <c r="Q361" s="98">
        <f t="shared" si="133"/>
        <v>0</v>
      </c>
      <c r="R361" s="98">
        <f t="shared" si="133"/>
        <v>2.2204460492503131E-16</v>
      </c>
      <c r="S361" s="98">
        <f t="shared" si="133"/>
        <v>2.2204460492503131E-16</v>
      </c>
      <c r="T361" s="98">
        <f t="shared" si="133"/>
        <v>2.2204460492503131E-16</v>
      </c>
      <c r="U361" s="98">
        <f t="shared" si="133"/>
        <v>0</v>
      </c>
      <c r="V361" s="98">
        <f t="shared" si="133"/>
        <v>2.2204460492503131E-16</v>
      </c>
      <c r="W361" s="98">
        <f t="shared" si="133"/>
        <v>-1.1102230246251565E-16</v>
      </c>
      <c r="X361" s="98">
        <f t="shared" si="133"/>
        <v>2.2204460492503131E-16</v>
      </c>
      <c r="Y361" s="98">
        <f t="shared" si="133"/>
        <v>0</v>
      </c>
      <c r="Z361" s="98">
        <f t="shared" si="133"/>
        <v>2.2204460492503131E-16</v>
      </c>
      <c r="AA361" s="98">
        <f t="shared" si="133"/>
        <v>0</v>
      </c>
      <c r="AB361" s="98">
        <f t="shared" si="133"/>
        <v>2.2204460492503131E-16</v>
      </c>
      <c r="AC361" s="98">
        <f t="shared" si="133"/>
        <v>0</v>
      </c>
      <c r="AD361" s="98">
        <f t="shared" si="133"/>
        <v>0</v>
      </c>
      <c r="AE361" s="98">
        <f t="shared" si="133"/>
        <v>-3.3306690738754696E-16</v>
      </c>
      <c r="AF361" s="70"/>
      <c r="AG361" s="70"/>
      <c r="AH361" s="70"/>
      <c r="AI361" s="70"/>
    </row>
    <row r="362" spans="1:35" x14ac:dyDescent="0.25">
      <c r="A362" s="70"/>
      <c r="B362" s="52"/>
      <c r="C362" s="73" t="s">
        <v>1474</v>
      </c>
      <c r="D362" s="73"/>
      <c r="E362" s="72" t="s">
        <v>1952</v>
      </c>
      <c r="F362" s="72" t="s">
        <v>1953</v>
      </c>
      <c r="G362" s="72" t="s">
        <v>1954</v>
      </c>
      <c r="H362" s="74" t="s">
        <v>1955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2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2882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2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2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2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2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2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2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2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25">
      <c r="A371" s="70"/>
      <c r="B371" s="52"/>
      <c r="C371" s="52"/>
      <c r="D371" s="72"/>
      <c r="E371" s="72"/>
      <c r="F371" s="72"/>
      <c r="G371" s="70" t="s">
        <v>1475</v>
      </c>
      <c r="H371" s="86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25">
      <c r="A372" s="70"/>
      <c r="B372" s="52"/>
      <c r="C372" s="52"/>
      <c r="D372" s="72" t="s">
        <v>2012</v>
      </c>
      <c r="E372" s="72" t="s">
        <v>79</v>
      </c>
      <c r="F372" s="72"/>
      <c r="G372" s="70" t="s">
        <v>1475</v>
      </c>
      <c r="H372" s="86" t="str">
        <f>Settings!$B$3&amp;".mit.cbobchu."&amp;$G372&amp;"."&amp;$J$5</f>
        <v>egy.mit.cbobchu.cbam.tot.1</v>
      </c>
      <c r="I372" s="72"/>
      <c r="J372" s="72"/>
      <c r="K372" s="72"/>
      <c r="L372" s="98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98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98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98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98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98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98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98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98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98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98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98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98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98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98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98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98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98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98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98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2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2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6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2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6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2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6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2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6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2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6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2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6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2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6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2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6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2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6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2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6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2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2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6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2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6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2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6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2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6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2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6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2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6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2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2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2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2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2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2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2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2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2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2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6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2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2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25">
      <c r="B405" s="13" t="s">
        <v>48</v>
      </c>
    </row>
    <row r="406" spans="1:35" x14ac:dyDescent="0.2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2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2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2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2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2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2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2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2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25">
      <c r="B415" s="13" t="s">
        <v>72</v>
      </c>
    </row>
    <row r="416" spans="1:35" x14ac:dyDescent="0.2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2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2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2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2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2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2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2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2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25">
      <c r="B425" s="13" t="s">
        <v>74</v>
      </c>
    </row>
    <row r="426" spans="2:31" x14ac:dyDescent="0.2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2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2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2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2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2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2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2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2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25">
      <c r="B435" s="13" t="s">
        <v>76</v>
      </c>
    </row>
    <row r="436" spans="2:31" x14ac:dyDescent="0.2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2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2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2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2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25">
      <c r="B441" s="13" t="s">
        <v>91</v>
      </c>
    </row>
    <row r="442" spans="2:31" x14ac:dyDescent="0.2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2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2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2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2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2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2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2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2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2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25">
      <c r="B452" s="13" t="s">
        <v>107</v>
      </c>
    </row>
    <row r="453" spans="1:35" x14ac:dyDescent="0.2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2388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2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2389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2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2390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2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2391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2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2392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2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2393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2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2394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2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2395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2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2396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2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2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25">
      <c r="B465" s="13" t="s">
        <v>48</v>
      </c>
    </row>
    <row r="466" spans="2:31" x14ac:dyDescent="0.2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2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2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2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2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2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2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2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2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25">
      <c r="B475" s="13" t="s">
        <v>72</v>
      </c>
    </row>
    <row r="476" spans="2:31" x14ac:dyDescent="0.2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2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2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2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2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2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2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2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2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25">
      <c r="B485" s="13" t="s">
        <v>74</v>
      </c>
    </row>
    <row r="486" spans="2:31" x14ac:dyDescent="0.2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2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2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2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2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2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2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2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2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25">
      <c r="B495" s="13" t="s">
        <v>76</v>
      </c>
    </row>
    <row r="496" spans="2:31" x14ac:dyDescent="0.2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2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2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2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2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25">
      <c r="B501" s="13" t="s">
        <v>91</v>
      </c>
    </row>
    <row r="502" spans="2:31" x14ac:dyDescent="0.2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2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2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2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2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2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2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2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2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2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25">
      <c r="B512" s="13" t="s">
        <v>107</v>
      </c>
    </row>
    <row r="513" spans="1:35" x14ac:dyDescent="0.2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2397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2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2398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2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2399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2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2400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2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2401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2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2402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2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2403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2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2404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2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2405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2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2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25">
      <c r="B525" s="13" t="s">
        <v>48</v>
      </c>
    </row>
    <row r="526" spans="1:35" x14ac:dyDescent="0.2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2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2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2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2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2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2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2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2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25">
      <c r="B535" s="13" t="s">
        <v>72</v>
      </c>
    </row>
    <row r="536" spans="2:31" x14ac:dyDescent="0.2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2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2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2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2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2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2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2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2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25">
      <c r="B545" s="13" t="s">
        <v>74</v>
      </c>
    </row>
    <row r="546" spans="2:31" x14ac:dyDescent="0.2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2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2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2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2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2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2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2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2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25">
      <c r="B555" s="13" t="s">
        <v>76</v>
      </c>
    </row>
    <row r="556" spans="2:31" x14ac:dyDescent="0.2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2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2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2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2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25">
      <c r="B561" s="13" t="s">
        <v>91</v>
      </c>
    </row>
    <row r="562" spans="2:31" x14ac:dyDescent="0.2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2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2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2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2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2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2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2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2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2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25">
      <c r="B572" s="13" t="s">
        <v>107</v>
      </c>
    </row>
    <row r="573" spans="2:31" x14ac:dyDescent="0.2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2406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2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2407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2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2408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2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2409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2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2410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2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2411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2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2412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2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2413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2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2414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2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2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25">
      <c r="B585" s="13" t="s">
        <v>48</v>
      </c>
    </row>
    <row r="586" spans="1:35" x14ac:dyDescent="0.2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2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2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2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2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2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2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2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2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25">
      <c r="B595" s="13" t="s">
        <v>72</v>
      </c>
    </row>
    <row r="596" spans="2:31" x14ac:dyDescent="0.2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2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2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2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2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2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2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2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2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25">
      <c r="B605" s="13" t="s">
        <v>74</v>
      </c>
    </row>
    <row r="606" spans="2:31" x14ac:dyDescent="0.2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2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2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2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2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2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2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2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2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25">
      <c r="B615" s="13" t="s">
        <v>76</v>
      </c>
    </row>
    <row r="616" spans="2:31" x14ac:dyDescent="0.2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2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2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2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2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25">
      <c r="B621" s="13" t="s">
        <v>91</v>
      </c>
    </row>
    <row r="622" spans="2:31" x14ac:dyDescent="0.2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2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2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2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2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2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2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2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2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2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25">
      <c r="B632" s="13" t="s">
        <v>107</v>
      </c>
    </row>
    <row r="633" spans="2:31" x14ac:dyDescent="0.2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2415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2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2416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2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2417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2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2418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2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2419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2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2420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2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2421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2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2422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2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2423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2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2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2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2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5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2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6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2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6" t="str">
        <f>Settings!$B$3&amp;".mit.fundsp."&amp;$J$404</f>
        <v>egy.mit.fundsp.2</v>
      </c>
      <c r="H648" s="70"/>
      <c r="I648" s="70" t="s">
        <v>2885</v>
      </c>
      <c r="J648" s="70"/>
      <c r="K648" s="70"/>
      <c r="L648" s="93">
        <f>INDEX(Data_Prices!L:L,MATCH($G648,Data_Prices!$A:$A,0))</f>
        <v>0</v>
      </c>
      <c r="M648" s="93">
        <f>INDEX(Data_Prices!M:M,MATCH($G648,Data_Prices!$A:$A,0))</f>
        <v>0</v>
      </c>
      <c r="N648" s="93">
        <f>INDEX(Data_Prices!N:N,MATCH($G648,Data_Prices!$A:$A,0))</f>
        <v>0</v>
      </c>
      <c r="O648" s="93">
        <f>INDEX(Data_Prices!O:O,MATCH($G648,Data_Prices!$A:$A,0))</f>
        <v>0</v>
      </c>
      <c r="P648" s="93">
        <f>INDEX(Data_Prices!P:P,MATCH($G648,Data_Prices!$A:$A,0))</f>
        <v>0</v>
      </c>
      <c r="Q648" s="93">
        <f>INDEX(Data_Prices!Q:Q,MATCH($G648,Data_Prices!$A:$A,0))</f>
        <v>0</v>
      </c>
      <c r="R648" s="93">
        <f>INDEX(Data_Prices!R:R,MATCH($G648,Data_Prices!$A:$A,0))</f>
        <v>0</v>
      </c>
      <c r="S648" s="93">
        <f>INDEX(Data_Prices!S:S,MATCH($G648,Data_Prices!$A:$A,0))</f>
        <v>0</v>
      </c>
      <c r="T648" s="93">
        <f>INDEX(Data_Prices!T:T,MATCH($G648,Data_Prices!$A:$A,0))</f>
        <v>0</v>
      </c>
      <c r="U648" s="93">
        <f>INDEX(Data_Prices!U:U,MATCH($G648,Data_Prices!$A:$A,0))</f>
        <v>0</v>
      </c>
      <c r="V648" s="93">
        <f>INDEX(Data_Prices!V:V,MATCH($G648,Data_Prices!$A:$A,0))</f>
        <v>0</v>
      </c>
      <c r="W648" s="93">
        <f>INDEX(Data_Prices!W:W,MATCH($G648,Data_Prices!$A:$A,0))</f>
        <v>0</v>
      </c>
      <c r="X648" s="93">
        <f>INDEX(Data_Prices!X:X,MATCH($G648,Data_Prices!$A:$A,0))</f>
        <v>0</v>
      </c>
      <c r="Y648" s="93">
        <f>INDEX(Data_Prices!Y:Y,MATCH($G648,Data_Prices!$A:$A,0))</f>
        <v>0</v>
      </c>
      <c r="Z648" s="93">
        <f>INDEX(Data_Prices!Z:Z,MATCH($G648,Data_Prices!$A:$A,0))</f>
        <v>0</v>
      </c>
      <c r="AA648" s="93">
        <f>INDEX(Data_Prices!AA:AA,MATCH($G648,Data_Prices!$A:$A,0))</f>
        <v>0</v>
      </c>
      <c r="AB648" s="93">
        <f>INDEX(Data_Prices!AB:AB,MATCH($G648,Data_Prices!$A:$A,0))</f>
        <v>0</v>
      </c>
      <c r="AC648" s="93">
        <f>INDEX(Data_Prices!AC:AC,MATCH($G648,Data_Prices!$A:$A,0))</f>
        <v>0</v>
      </c>
      <c r="AD648" s="93">
        <f>INDEX(Data_Prices!AD:AD,MATCH($G648,Data_Prices!$A:$A,0))</f>
        <v>0</v>
      </c>
      <c r="AE648" s="93">
        <f>INDEX(Data_Prices!AE:AE,MATCH($G648,Data_Prices!$A:$A,0))</f>
        <v>0</v>
      </c>
      <c r="AF648" s="70"/>
      <c r="AG648" s="70"/>
      <c r="AH648" s="70"/>
      <c r="AI648" s="70"/>
    </row>
    <row r="649" spans="1:35" x14ac:dyDescent="0.2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6" t="str">
        <f>Settings!$B$3&amp;".mit.fundsh."&amp;$J$404</f>
        <v>egy.mit.fundsh.2</v>
      </c>
      <c r="H649" s="70"/>
      <c r="I649" s="70" t="s">
        <v>2884</v>
      </c>
      <c r="J649" s="70"/>
      <c r="K649" s="70"/>
      <c r="L649" s="109">
        <f>Fund_Industry!L$329</f>
        <v>0</v>
      </c>
      <c r="M649" s="109">
        <f>Fund_Industry!M$329</f>
        <v>0</v>
      </c>
      <c r="N649" s="109">
        <f>Fund_Industry!N$329</f>
        <v>0</v>
      </c>
      <c r="O649" s="109">
        <f>Fund_Industry!O$329</f>
        <v>0</v>
      </c>
      <c r="P649" s="109">
        <f>Fund_Industry!P$329</f>
        <v>0</v>
      </c>
      <c r="Q649" s="109">
        <f>Fund_Industry!Q$329</f>
        <v>0</v>
      </c>
      <c r="R649" s="109">
        <f>Fund_Industry!R$329</f>
        <v>0</v>
      </c>
      <c r="S649" s="109">
        <f>Fund_Industry!S$329</f>
        <v>0</v>
      </c>
      <c r="T649" s="109">
        <f>Fund_Industry!T$329</f>
        <v>0</v>
      </c>
      <c r="U649" s="109">
        <f>Fund_Industry!U$329</f>
        <v>0</v>
      </c>
      <c r="V649" s="109">
        <f>Fund_Industry!V$329</f>
        <v>0</v>
      </c>
      <c r="W649" s="109">
        <f>Fund_Industry!W$329</f>
        <v>0</v>
      </c>
      <c r="X649" s="109">
        <f>Fund_Industry!X$329</f>
        <v>0</v>
      </c>
      <c r="Y649" s="109">
        <f>Fund_Industry!Y$329</f>
        <v>0</v>
      </c>
      <c r="Z649" s="109">
        <f>Fund_Industry!Z$329</f>
        <v>0</v>
      </c>
      <c r="AA649" s="109">
        <f>Fund_Industry!AA$329</f>
        <v>0</v>
      </c>
      <c r="AB649" s="109">
        <f>Fund_Industry!AB$329</f>
        <v>0</v>
      </c>
      <c r="AC649" s="109">
        <f>Fund_Industry!AC$329</f>
        <v>0</v>
      </c>
      <c r="AD649" s="109">
        <f>Fund_Industry!AD$329</f>
        <v>0</v>
      </c>
      <c r="AE649" s="109">
        <f>Fund_Industry!AE$329</f>
        <v>0</v>
      </c>
      <c r="AF649" s="70"/>
      <c r="AG649" s="70"/>
      <c r="AH649" s="70"/>
      <c r="AI649" s="70"/>
    </row>
    <row r="650" spans="1:35" x14ac:dyDescent="0.2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6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2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2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2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2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2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2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2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6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2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6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2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6" t="str">
        <f>Settings!$B$3&amp;".mit.emisnp."&amp;$G659&amp;"."&amp;$J$404</f>
        <v>egy.mit.emisnp.cbam.tot.2</v>
      </c>
      <c r="I659" s="72" t="s">
        <v>2883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2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6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2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30" x14ac:dyDescent="0.2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88" t="s">
        <v>1331</v>
      </c>
      <c r="N662" s="88" t="s">
        <v>1332</v>
      </c>
      <c r="O662" s="70" t="s">
        <v>1333</v>
      </c>
      <c r="P662" s="88" t="s">
        <v>1334</v>
      </c>
      <c r="Q662" s="88" t="s">
        <v>1335</v>
      </c>
      <c r="R662" s="88" t="s">
        <v>1336</v>
      </c>
      <c r="S662" s="88" t="s">
        <v>1337</v>
      </c>
      <c r="T662" s="88" t="s">
        <v>1338</v>
      </c>
      <c r="U662" s="88" t="s">
        <v>1339</v>
      </c>
      <c r="V662" s="88" t="s">
        <v>1340</v>
      </c>
      <c r="W662" s="88" t="s">
        <v>1341</v>
      </c>
      <c r="X662" s="88" t="s">
        <v>1342</v>
      </c>
      <c r="Y662" s="88" t="s">
        <v>1343</v>
      </c>
      <c r="Z662" s="88" t="s">
        <v>1344</v>
      </c>
      <c r="AA662" s="88" t="s">
        <v>1345</v>
      </c>
      <c r="AB662" s="88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2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2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2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2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2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2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2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2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2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25">
      <c r="A672" s="70"/>
      <c r="B672" s="52"/>
      <c r="C672" s="52"/>
      <c r="D672" s="70" t="s">
        <v>1874</v>
      </c>
      <c r="E672" s="70"/>
      <c r="F672" s="70"/>
      <c r="G672" s="70"/>
      <c r="H672" s="96">
        <f>IF($J$404&gt;1,INDEX(Scenarios!$B$27:$Z$27,MATCH("fc covered (0/1)",Scenarios!$B$26:$Z$26,0)),1)</f>
        <v>1</v>
      </c>
      <c r="I672" s="96">
        <f>IF($J$404&gt;1,INDEX(Scenarios!$B$27:$Z$27,MATCH("fp covered (0/1)",Scenarios!$B$26:$Z$26,0)),1)</f>
        <v>1</v>
      </c>
      <c r="J672" s="96">
        <f>IF($J$404&gt;1,INDEX(Scenarios!$B$27:$Z$27,MATCH("np covered (0/1)",Scenarios!$B$26:$Z$26,0)),1)</f>
        <v>1</v>
      </c>
      <c r="K672" s="87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2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2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1975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25">
      <c r="A675" s="71"/>
      <c r="B675" s="52"/>
      <c r="C675" s="71"/>
      <c r="D675" s="52" t="s">
        <v>1350</v>
      </c>
      <c r="E675" s="70" t="s">
        <v>1423</v>
      </c>
      <c r="F675" s="174">
        <f>'Manual inputs'!E101</f>
        <v>5100</v>
      </c>
      <c r="G675" s="175">
        <f>'Manual inputs'!F101</f>
        <v>4.3999999999999997E-2</v>
      </c>
      <c r="H675" s="80"/>
      <c r="I675" s="174">
        <f>'Manual inputs'!H101</f>
        <v>580</v>
      </c>
      <c r="J675" s="109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87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25">
      <c r="A676" s="71"/>
      <c r="B676" s="52"/>
      <c r="C676" s="71"/>
      <c r="D676" s="52" t="s">
        <v>1355</v>
      </c>
      <c r="E676" s="70" t="s">
        <v>1423</v>
      </c>
      <c r="F676" s="174">
        <f>'Manual inputs'!E102</f>
        <v>4800</v>
      </c>
      <c r="G676" s="175">
        <f>'Manual inputs'!F102</f>
        <v>4.3999999999999997E-2</v>
      </c>
      <c r="H676" s="80"/>
      <c r="I676" s="174">
        <f>'Manual inputs'!H102</f>
        <v>300</v>
      </c>
      <c r="J676" s="109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87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25">
      <c r="A677" s="71"/>
      <c r="B677" s="71"/>
      <c r="C677" s="71"/>
      <c r="D677" s="52" t="s">
        <v>1359</v>
      </c>
      <c r="E677" s="70" t="s">
        <v>1423</v>
      </c>
      <c r="F677" s="174">
        <f>'Manual inputs'!E103</f>
        <v>0</v>
      </c>
      <c r="G677" s="175">
        <f>'Manual inputs'!F103</f>
        <v>0</v>
      </c>
      <c r="H677" s="80"/>
      <c r="I677" s="174">
        <f>'Manual inputs'!H103</f>
        <v>0</v>
      </c>
      <c r="J677" s="109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87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25">
      <c r="A678" s="71"/>
      <c r="B678" s="71"/>
      <c r="C678" s="71"/>
      <c r="D678" s="52" t="s">
        <v>1363</v>
      </c>
      <c r="E678" s="70" t="s">
        <v>1424</v>
      </c>
      <c r="F678" s="174">
        <f>'Manual inputs'!E104</f>
        <v>50000</v>
      </c>
      <c r="G678" s="175">
        <f>'Manual inputs'!F104</f>
        <v>3.3000000000000002E-2</v>
      </c>
      <c r="H678" s="80"/>
      <c r="I678" s="174">
        <f>'Manual inputs'!H104</f>
        <v>800</v>
      </c>
      <c r="J678" s="109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87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25">
      <c r="A679" s="71"/>
      <c r="B679" s="71"/>
      <c r="C679" s="71"/>
      <c r="D679" s="52" t="s">
        <v>1425</v>
      </c>
      <c r="E679" s="70" t="s">
        <v>1426</v>
      </c>
      <c r="F679" s="174">
        <f>'Manual inputs'!E105</f>
        <v>1785</v>
      </c>
      <c r="G679" s="175">
        <f>'Manual inputs'!F105</f>
        <v>2.1999999999999999E-2</v>
      </c>
      <c r="H679" s="80"/>
      <c r="I679" s="174">
        <f>'Manual inputs'!H105</f>
        <v>120</v>
      </c>
      <c r="J679" s="109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87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25">
      <c r="A680" s="71"/>
      <c r="B680" s="71"/>
      <c r="C680" s="71"/>
      <c r="D680" s="52" t="s">
        <v>1373</v>
      </c>
      <c r="E680" s="70" t="s">
        <v>1427</v>
      </c>
      <c r="F680" s="174">
        <f>'Manual inputs'!E106</f>
        <v>2800</v>
      </c>
      <c r="G680" s="175">
        <f>'Manual inputs'!F106</f>
        <v>2.1999999999999999E-2</v>
      </c>
      <c r="H680" s="80"/>
      <c r="I680" s="174">
        <f>'Manual inputs'!H106</f>
        <v>1600</v>
      </c>
      <c r="J680" s="109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87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25">
      <c r="A681" s="71"/>
      <c r="B681" s="71"/>
      <c r="C681" s="71"/>
      <c r="D681" s="52" t="s">
        <v>1378</v>
      </c>
      <c r="E681" s="70" t="s">
        <v>1428</v>
      </c>
      <c r="F681" s="174">
        <f>'Manual inputs'!E107</f>
        <v>600</v>
      </c>
      <c r="G681" s="175">
        <f>'Manual inputs'!F107</f>
        <v>2.1999999999999999E-2</v>
      </c>
      <c r="H681" s="80"/>
      <c r="I681" s="174">
        <f>'Manual inputs'!H107</f>
        <v>80</v>
      </c>
      <c r="J681" s="109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87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25">
      <c r="A682" s="71"/>
      <c r="B682" s="71"/>
      <c r="C682" s="71"/>
      <c r="D682" s="52" t="s">
        <v>1383</v>
      </c>
      <c r="E682" s="70" t="s">
        <v>1429</v>
      </c>
      <c r="F682" s="174">
        <f>'Manual inputs'!E108</f>
        <v>300</v>
      </c>
      <c r="G682" s="175">
        <f>'Manual inputs'!F108</f>
        <v>5.5E-2</v>
      </c>
      <c r="H682" s="80"/>
      <c r="I682" s="174">
        <f>'Manual inputs'!H108</f>
        <v>167</v>
      </c>
      <c r="J682" s="109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87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2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6" t="str">
        <f>Settings!$B$3&amp;".mit.cbcov."&amp;$G683&amp;"."&amp;$J$404</f>
        <v>egy.mit.cbcov.cbam.tot.2</v>
      </c>
      <c r="I683" s="72"/>
      <c r="J683" s="72"/>
      <c r="K683" s="72"/>
      <c r="L683" s="98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98">
        <f t="shared" si="210"/>
        <v>0.44347645385531964</v>
      </c>
      <c r="N683" s="98">
        <f t="shared" si="210"/>
        <v>0.4432752933168122</v>
      </c>
      <c r="O683" s="98">
        <f t="shared" si="210"/>
        <v>0.44307927265114361</v>
      </c>
      <c r="P683" s="98">
        <f t="shared" si="210"/>
        <v>0.44288834045823561</v>
      </c>
      <c r="Q683" s="98">
        <f t="shared" si="210"/>
        <v>0.44270244440986661</v>
      </c>
      <c r="R683" s="98">
        <f t="shared" si="210"/>
        <v>0.44252153123593246</v>
      </c>
      <c r="S683" s="98">
        <f t="shared" si="210"/>
        <v>0.44234554671045312</v>
      </c>
      <c r="T683" s="98">
        <f t="shared" si="210"/>
        <v>0.44217443563732917</v>
      </c>
      <c r="U683" s="98">
        <f t="shared" si="210"/>
        <v>0.44200814183585402</v>
      </c>
      <c r="V683" s="98">
        <f t="shared" si="210"/>
        <v>0.44184660812598775</v>
      </c>
      <c r="W683" s="98">
        <f t="shared" si="210"/>
        <v>0.44168977631339978</v>
      </c>
      <c r="X683" s="98">
        <f t="shared" si="210"/>
        <v>0.4415375871742872</v>
      </c>
      <c r="Y683" s="98">
        <f t="shared" si="210"/>
        <v>0.44138998043997363</v>
      </c>
      <c r="Z683" s="98">
        <f t="shared" si="210"/>
        <v>0.4412468947813008</v>
      </c>
      <c r="AA683" s="98">
        <f t="shared" si="210"/>
        <v>0.44110826779281626</v>
      </c>
      <c r="AB683" s="98">
        <f t="shared" si="210"/>
        <v>0.44097403597677043</v>
      </c>
      <c r="AC683" s="98">
        <f t="shared" si="210"/>
        <v>0.44084413472692868</v>
      </c>
      <c r="AD683" s="98">
        <f t="shared" si="210"/>
        <v>0.44071849831220911</v>
      </c>
      <c r="AE683" s="98">
        <f t="shared" si="210"/>
        <v>0.44059705986015796</v>
      </c>
      <c r="AF683" s="70"/>
      <c r="AG683" s="70"/>
      <c r="AH683" s="70"/>
      <c r="AI683" s="70"/>
    </row>
    <row r="684" spans="1:35" x14ac:dyDescent="0.2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6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2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6" t="str">
        <f>Settings!$B$3&amp;".mit.cbintch."&amp;$G685&amp;"."&amp;$J$404</f>
        <v>egy.mit.cbintch.cbam.tot.2</v>
      </c>
      <c r="I685" s="72"/>
      <c r="J685" s="72"/>
      <c r="K685" s="72"/>
      <c r="L685" s="98">
        <f t="shared" ref="L685:AE685" si="212">IF((SUM(L$729:L$736)+SUM(L$740:L$747))=0,0,L$779/(SUM(L$729:L$736)+SUM(L$740:L$747))-1)</f>
        <v>0</v>
      </c>
      <c r="M685" s="98">
        <f t="shared" si="212"/>
        <v>0</v>
      </c>
      <c r="N685" s="98">
        <f t="shared" si="212"/>
        <v>0</v>
      </c>
      <c r="O685" s="98">
        <f t="shared" si="212"/>
        <v>0</v>
      </c>
      <c r="P685" s="98">
        <f t="shared" si="212"/>
        <v>-1.1102230246251565E-16</v>
      </c>
      <c r="Q685" s="98">
        <f t="shared" si="212"/>
        <v>0</v>
      </c>
      <c r="R685" s="98">
        <f t="shared" si="212"/>
        <v>2.2204460492503131E-16</v>
      </c>
      <c r="S685" s="98">
        <f t="shared" si="212"/>
        <v>-1.1102230246251565E-16</v>
      </c>
      <c r="T685" s="98">
        <f t="shared" si="212"/>
        <v>0</v>
      </c>
      <c r="U685" s="98">
        <f t="shared" si="212"/>
        <v>0</v>
      </c>
      <c r="V685" s="98">
        <f t="shared" si="212"/>
        <v>0</v>
      </c>
      <c r="W685" s="98">
        <f t="shared" si="212"/>
        <v>0</v>
      </c>
      <c r="X685" s="98">
        <f t="shared" si="212"/>
        <v>0</v>
      </c>
      <c r="Y685" s="98">
        <f t="shared" si="212"/>
        <v>0</v>
      </c>
      <c r="Z685" s="98">
        <f t="shared" si="212"/>
        <v>0</v>
      </c>
      <c r="AA685" s="98">
        <f t="shared" si="212"/>
        <v>0</v>
      </c>
      <c r="AB685" s="98">
        <f t="shared" si="212"/>
        <v>2.2204460492503131E-16</v>
      </c>
      <c r="AC685" s="98">
        <f t="shared" si="212"/>
        <v>0</v>
      </c>
      <c r="AD685" s="98">
        <f t="shared" si="212"/>
        <v>2.2204460492503131E-16</v>
      </c>
      <c r="AE685" s="98">
        <f t="shared" si="212"/>
        <v>0</v>
      </c>
      <c r="AF685" s="70"/>
      <c r="AG685" s="70"/>
      <c r="AH685" s="70"/>
      <c r="AI685" s="70"/>
    </row>
    <row r="686" spans="1:35" x14ac:dyDescent="0.2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25">
      <c r="A687" s="70"/>
      <c r="B687" s="52"/>
      <c r="C687" s="52"/>
      <c r="D687" s="52" t="s">
        <v>1433</v>
      </c>
      <c r="E687" s="86" t="s">
        <v>1434</v>
      </c>
      <c r="F687" s="70" t="s">
        <v>1435</v>
      </c>
      <c r="G687" s="174">
        <f>'Manual inputs'!I101</f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25">
      <c r="A688" s="70"/>
      <c r="B688" s="52"/>
      <c r="C688" s="52"/>
      <c r="D688" s="52" t="s">
        <v>1436</v>
      </c>
      <c r="E688" s="86" t="s">
        <v>1437</v>
      </c>
      <c r="F688" s="70" t="s">
        <v>1438</v>
      </c>
      <c r="G688" s="174">
        <f>'Manual inputs'!I102</f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25">
      <c r="A689" s="70"/>
      <c r="B689" s="52"/>
      <c r="C689" s="52"/>
      <c r="D689" s="52" t="s">
        <v>1439</v>
      </c>
      <c r="E689" s="86" t="s">
        <v>1440</v>
      </c>
      <c r="F689" s="70" t="s">
        <v>1441</v>
      </c>
      <c r="G689" s="174">
        <f>'Manual inputs'!I103</f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25">
      <c r="A690" s="70"/>
      <c r="B690" s="52"/>
      <c r="C690" s="52"/>
      <c r="D690" s="52" t="s">
        <v>1442</v>
      </c>
      <c r="E690" s="86" t="s">
        <v>1443</v>
      </c>
      <c r="F690" s="70" t="s">
        <v>1444</v>
      </c>
      <c r="G690" s="174">
        <f>'Manual inputs'!I104</f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25">
      <c r="A691" s="70"/>
      <c r="B691" s="52"/>
      <c r="C691" s="52"/>
      <c r="D691" s="52" t="s">
        <v>1445</v>
      </c>
      <c r="E691" s="86" t="s">
        <v>1446</v>
      </c>
      <c r="F691" s="70" t="s">
        <v>1447</v>
      </c>
      <c r="G691" s="174">
        <f>'Manual inputs'!I105</f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25">
      <c r="A692" s="70"/>
      <c r="B692" s="52"/>
      <c r="C692" s="52"/>
      <c r="D692" s="52" t="s">
        <v>1448</v>
      </c>
      <c r="E692" s="86" t="s">
        <v>1449</v>
      </c>
      <c r="F692" s="70" t="s">
        <v>1450</v>
      </c>
      <c r="G692" s="174">
        <f>'Manual inputs'!I106</f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25">
      <c r="A693" s="70"/>
      <c r="B693" s="52"/>
      <c r="C693" s="52"/>
      <c r="D693" s="52" t="s">
        <v>1451</v>
      </c>
      <c r="E693" s="86" t="s">
        <v>1452</v>
      </c>
      <c r="F693" s="70" t="s">
        <v>1453</v>
      </c>
      <c r="G693" s="174">
        <f>'Manual inputs'!I107</f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25">
      <c r="A694" s="70"/>
      <c r="B694" s="52"/>
      <c r="C694" s="52"/>
      <c r="D694" s="52" t="s">
        <v>1454</v>
      </c>
      <c r="E694" s="86" t="s">
        <v>1455</v>
      </c>
      <c r="F694" s="70" t="s">
        <v>1456</v>
      </c>
      <c r="G694" s="174">
        <f>'Manual inputs'!I108</f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2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6" t="str">
        <f>Settings!$B$3&amp;".mit.cbintchx."&amp;$G695&amp;"."&amp;$J$404</f>
        <v>egy.mit.cbintchx.cbam.tot.2</v>
      </c>
      <c r="I695" s="72"/>
      <c r="J695" s="72"/>
      <c r="K695" s="72"/>
      <c r="L695" s="98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98">
        <f t="shared" si="234"/>
        <v>0</v>
      </c>
      <c r="N695" s="98">
        <f t="shared" si="234"/>
        <v>0</v>
      </c>
      <c r="O695" s="98">
        <f t="shared" si="234"/>
        <v>0</v>
      </c>
      <c r="P695" s="98">
        <f t="shared" si="234"/>
        <v>0</v>
      </c>
      <c r="Q695" s="98">
        <f t="shared" si="234"/>
        <v>0</v>
      </c>
      <c r="R695" s="98">
        <f t="shared" si="234"/>
        <v>0</v>
      </c>
      <c r="S695" s="98">
        <f t="shared" si="234"/>
        <v>0</v>
      </c>
      <c r="T695" s="98">
        <f t="shared" si="234"/>
        <v>0</v>
      </c>
      <c r="U695" s="98">
        <f t="shared" si="234"/>
        <v>0</v>
      </c>
      <c r="V695" s="98">
        <f t="shared" si="234"/>
        <v>0</v>
      </c>
      <c r="W695" s="98">
        <f t="shared" si="234"/>
        <v>0</v>
      </c>
      <c r="X695" s="98">
        <f t="shared" si="234"/>
        <v>0</v>
      </c>
      <c r="Y695" s="98">
        <f t="shared" si="234"/>
        <v>0</v>
      </c>
      <c r="Z695" s="98">
        <f t="shared" si="234"/>
        <v>0</v>
      </c>
      <c r="AA695" s="98">
        <f t="shared" si="234"/>
        <v>0</v>
      </c>
      <c r="AB695" s="98">
        <f t="shared" si="234"/>
        <v>0</v>
      </c>
      <c r="AC695" s="98">
        <f t="shared" si="234"/>
        <v>0</v>
      </c>
      <c r="AD695" s="98">
        <f t="shared" si="234"/>
        <v>0</v>
      </c>
      <c r="AE695" s="98">
        <f t="shared" si="234"/>
        <v>0</v>
      </c>
      <c r="AF695" s="70"/>
      <c r="AG695" s="70"/>
      <c r="AH695" s="70"/>
      <c r="AI695" s="70"/>
    </row>
    <row r="696" spans="1:35" x14ac:dyDescent="0.2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6" t="str">
        <f>Settings!$B$3&amp;".mit.cbcovx."&amp;$G696&amp;"."&amp;$J$404</f>
        <v>egy.mit.cbcovx.cbam.tot.2</v>
      </c>
      <c r="I696" s="72"/>
      <c r="J696" s="72"/>
      <c r="K696" s="72"/>
      <c r="L696" s="98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98">
        <f t="shared" si="235"/>
        <v>0.52437567936948137</v>
      </c>
      <c r="N696" s="98">
        <f t="shared" si="235"/>
        <v>0.52437567936948148</v>
      </c>
      <c r="O696" s="98">
        <f t="shared" si="235"/>
        <v>0.52437567936948137</v>
      </c>
      <c r="P696" s="98">
        <f t="shared" si="235"/>
        <v>0.52437567936948148</v>
      </c>
      <c r="Q696" s="98">
        <f t="shared" si="235"/>
        <v>0.52437567936948148</v>
      </c>
      <c r="R696" s="98">
        <f t="shared" si="235"/>
        <v>0.52437567936948148</v>
      </c>
      <c r="S696" s="98">
        <f t="shared" si="235"/>
        <v>0.52437567936948148</v>
      </c>
      <c r="T696" s="98">
        <f t="shared" si="235"/>
        <v>0.52437567936948148</v>
      </c>
      <c r="U696" s="98">
        <f t="shared" si="235"/>
        <v>0.52437567936948148</v>
      </c>
      <c r="V696" s="98">
        <f t="shared" si="235"/>
        <v>0.52437567936948148</v>
      </c>
      <c r="W696" s="98">
        <f t="shared" si="235"/>
        <v>0.52437567936948148</v>
      </c>
      <c r="X696" s="98">
        <f t="shared" si="235"/>
        <v>0.52437567936948148</v>
      </c>
      <c r="Y696" s="98">
        <f t="shared" si="235"/>
        <v>0.52437567936948148</v>
      </c>
      <c r="Z696" s="98">
        <f t="shared" si="235"/>
        <v>0.52437567936948137</v>
      </c>
      <c r="AA696" s="98">
        <f t="shared" si="235"/>
        <v>0.52437567936948137</v>
      </c>
      <c r="AB696" s="98">
        <f t="shared" si="235"/>
        <v>0.52437567936948137</v>
      </c>
      <c r="AC696" s="98">
        <f t="shared" si="235"/>
        <v>0.52437567936948148</v>
      </c>
      <c r="AD696" s="98">
        <f t="shared" si="235"/>
        <v>0.52437567936948148</v>
      </c>
      <c r="AE696" s="98">
        <f t="shared" si="235"/>
        <v>0.52437567936948148</v>
      </c>
      <c r="AF696" s="70"/>
      <c r="AG696" s="70"/>
      <c r="AH696" s="70"/>
      <c r="AI696" s="70"/>
    </row>
    <row r="697" spans="1:35" x14ac:dyDescent="0.2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2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2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2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2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2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2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2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2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25">
      <c r="A706" s="70"/>
      <c r="B706" s="52"/>
      <c r="C706" s="52"/>
      <c r="D706" s="72" t="s">
        <v>1979</v>
      </c>
      <c r="E706" s="72" t="s">
        <v>79</v>
      </c>
      <c r="F706" s="72"/>
      <c r="G706" s="70" t="s">
        <v>1475</v>
      </c>
      <c r="H706" s="86" t="str">
        <f>Settings!$B$3&amp;".mit.cbqch."&amp;$G706&amp;"."&amp;$J$404</f>
        <v>egy.mit.cbqch.cbam.tot.2</v>
      </c>
      <c r="I706" s="72"/>
      <c r="J706" s="72"/>
      <c r="K706" s="72"/>
      <c r="L706" s="98">
        <f t="shared" ref="L706:AE706" si="238">IF(SUMPRODUCT((L$729:L$736+L$740:L$747)*(1+L$719:L$726)^(-$J$675:$J$682))=0,0,L$717/SUMPRODUCT((L$729:L$736+L$740:L$747)*(1+L$719:L$726)^(-$J$675:$J$682)))</f>
        <v>0</v>
      </c>
      <c r="M706" s="98">
        <f t="shared" si="238"/>
        <v>0</v>
      </c>
      <c r="N706" s="98">
        <f t="shared" si="238"/>
        <v>0</v>
      </c>
      <c r="O706" s="98">
        <f t="shared" si="238"/>
        <v>0</v>
      </c>
      <c r="P706" s="98">
        <f t="shared" si="238"/>
        <v>0</v>
      </c>
      <c r="Q706" s="98">
        <f t="shared" si="238"/>
        <v>0</v>
      </c>
      <c r="R706" s="98">
        <f t="shared" si="238"/>
        <v>0</v>
      </c>
      <c r="S706" s="98">
        <f t="shared" si="238"/>
        <v>0</v>
      </c>
      <c r="T706" s="98">
        <f t="shared" si="238"/>
        <v>0</v>
      </c>
      <c r="U706" s="98">
        <f t="shared" si="238"/>
        <v>0</v>
      </c>
      <c r="V706" s="98">
        <f t="shared" si="238"/>
        <v>0</v>
      </c>
      <c r="W706" s="98">
        <f t="shared" si="238"/>
        <v>0</v>
      </c>
      <c r="X706" s="98">
        <f t="shared" si="238"/>
        <v>0</v>
      </c>
      <c r="Y706" s="98">
        <f t="shared" si="238"/>
        <v>0</v>
      </c>
      <c r="Z706" s="98">
        <f t="shared" si="238"/>
        <v>0</v>
      </c>
      <c r="AA706" s="98">
        <f t="shared" si="238"/>
        <v>0</v>
      </c>
      <c r="AB706" s="98">
        <f t="shared" si="238"/>
        <v>0</v>
      </c>
      <c r="AC706" s="98">
        <f t="shared" si="238"/>
        <v>0</v>
      </c>
      <c r="AD706" s="98">
        <f t="shared" si="238"/>
        <v>0</v>
      </c>
      <c r="AE706" s="98">
        <f t="shared" si="238"/>
        <v>0</v>
      </c>
      <c r="AF706" s="70"/>
      <c r="AG706" s="70"/>
      <c r="AH706" s="70"/>
      <c r="AI706" s="70"/>
    </row>
    <row r="707" spans="1:35" x14ac:dyDescent="0.2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5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2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2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2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2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2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2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2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2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2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25">
      <c r="A717" s="70"/>
      <c r="B717" s="52"/>
      <c r="C717" s="52"/>
      <c r="D717" s="72" t="s">
        <v>1980</v>
      </c>
      <c r="E717" s="72" t="s">
        <v>1852</v>
      </c>
      <c r="F717" s="72"/>
      <c r="G717" s="70" t="s">
        <v>1475</v>
      </c>
      <c r="H717" s="86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25">
      <c r="A718" s="70"/>
      <c r="B718" s="52"/>
      <c r="C718" s="73" t="s">
        <v>1976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2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2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2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2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2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2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2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2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25">
      <c r="A727" s="70"/>
      <c r="B727" s="52"/>
      <c r="C727" s="52"/>
      <c r="D727" s="72" t="s">
        <v>1981</v>
      </c>
      <c r="E727" s="72" t="s">
        <v>1852</v>
      </c>
      <c r="F727" s="72"/>
      <c r="G727" s="70" t="s">
        <v>1475</v>
      </c>
      <c r="H727" s="86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25">
      <c r="A728" s="71"/>
      <c r="B728" s="52"/>
      <c r="C728" s="73" t="s">
        <v>1977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2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97">
        <f t="shared" ref="I729:I736" si="258">IF($F729=0,0,$E698/$F729)</f>
        <v>1</v>
      </c>
      <c r="J729" s="97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2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97">
        <f t="shared" si="258"/>
        <v>1</v>
      </c>
      <c r="J730" s="97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2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97">
        <f t="shared" si="258"/>
        <v>1</v>
      </c>
      <c r="J731" s="97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2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97">
        <f t="shared" si="258"/>
        <v>1</v>
      </c>
      <c r="J732" s="97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2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97">
        <f t="shared" si="258"/>
        <v>1</v>
      </c>
      <c r="J733" s="97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2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97">
        <f t="shared" si="258"/>
        <v>1</v>
      </c>
      <c r="J734" s="97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2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97">
        <f t="shared" si="258"/>
        <v>1</v>
      </c>
      <c r="J735" s="97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2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97">
        <f t="shared" si="258"/>
        <v>1</v>
      </c>
      <c r="J736" s="97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2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25">
      <c r="A738" s="70"/>
      <c r="B738" s="52"/>
      <c r="C738" s="52"/>
      <c r="D738" s="52" t="s">
        <v>2009</v>
      </c>
      <c r="E738" s="70" t="s">
        <v>1854</v>
      </c>
      <c r="F738" s="70"/>
      <c r="G738" s="70" t="s">
        <v>1475</v>
      </c>
      <c r="H738" s="86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25">
      <c r="A739" s="71"/>
      <c r="B739" s="52"/>
      <c r="C739" s="73" t="s">
        <v>1978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2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2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2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2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2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2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2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2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2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25">
      <c r="A749" s="70"/>
      <c r="B749" s="52"/>
      <c r="C749" s="52"/>
      <c r="D749" s="52" t="s">
        <v>2010</v>
      </c>
      <c r="E749" s="70" t="s">
        <v>1854</v>
      </c>
      <c r="F749" s="70"/>
      <c r="G749" s="70" t="s">
        <v>1475</v>
      </c>
      <c r="H749" s="86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2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2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2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2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2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2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2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2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2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2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6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25">
      <c r="A760" s="70"/>
      <c r="B760" s="52"/>
      <c r="C760" s="52"/>
      <c r="D760" s="72" t="s">
        <v>2011</v>
      </c>
      <c r="E760" s="72" t="s">
        <v>79</v>
      </c>
      <c r="F760" s="72"/>
      <c r="G760" s="70" t="s">
        <v>1475</v>
      </c>
      <c r="H760" s="86" t="str">
        <f>Settings!$B$3&amp;".mit.cbobch."&amp;$G760&amp;"."&amp;$J$404</f>
        <v>egy.mit.cbobch.cbam.tot.2</v>
      </c>
      <c r="I760" s="72"/>
      <c r="J760" s="72"/>
      <c r="K760" s="72"/>
      <c r="L760" s="98">
        <f t="shared" ref="L760:AE760" si="301">IF(L$749=0,0,L$738/L$749-1)</f>
        <v>0</v>
      </c>
      <c r="M760" s="98">
        <f t="shared" si="301"/>
        <v>0</v>
      </c>
      <c r="N760" s="98">
        <f t="shared" si="301"/>
        <v>0</v>
      </c>
      <c r="O760" s="98">
        <f t="shared" si="301"/>
        <v>0</v>
      </c>
      <c r="P760" s="98">
        <f t="shared" si="301"/>
        <v>0</v>
      </c>
      <c r="Q760" s="98">
        <f t="shared" si="301"/>
        <v>-0.74582270893582747</v>
      </c>
      <c r="R760" s="98">
        <f t="shared" si="301"/>
        <v>-0.74308051817722065</v>
      </c>
      <c r="S760" s="98">
        <f t="shared" si="301"/>
        <v>-0.6220949750125041</v>
      </c>
      <c r="T760" s="98">
        <f t="shared" si="301"/>
        <v>-0.52077890793261994</v>
      </c>
      <c r="U760" s="98">
        <f t="shared" si="301"/>
        <v>-0.51649278062993798</v>
      </c>
      <c r="V760" s="98">
        <f t="shared" si="301"/>
        <v>-0.51287910395548386</v>
      </c>
      <c r="W760" s="98">
        <f t="shared" si="301"/>
        <v>-0.50964066462213453</v>
      </c>
      <c r="X760" s="98">
        <f t="shared" si="301"/>
        <v>-0.5017352252479943</v>
      </c>
      <c r="Y760" s="98">
        <f t="shared" si="301"/>
        <v>-0.52921946725414593</v>
      </c>
      <c r="Z760" s="98">
        <f t="shared" si="301"/>
        <v>-0.54480830047037254</v>
      </c>
      <c r="AA760" s="98">
        <f t="shared" si="301"/>
        <v>-0.56026843164968532</v>
      </c>
      <c r="AB760" s="98">
        <f t="shared" si="301"/>
        <v>-0.57559586373392413</v>
      </c>
      <c r="AC760" s="98">
        <f t="shared" si="301"/>
        <v>-0.59078670449813253</v>
      </c>
      <c r="AD760" s="98">
        <f t="shared" si="301"/>
        <v>-0.60583717004461479</v>
      </c>
      <c r="AE760" s="98">
        <f t="shared" si="301"/>
        <v>-0.62074358815108055</v>
      </c>
      <c r="AF760" s="70"/>
      <c r="AG760" s="70"/>
      <c r="AH760" s="70"/>
      <c r="AI760" s="70"/>
    </row>
    <row r="761" spans="1:35" x14ac:dyDescent="0.25">
      <c r="A761" s="70"/>
      <c r="B761" s="52"/>
      <c r="C761" s="73" t="s">
        <v>1474</v>
      </c>
      <c r="D761" s="73"/>
      <c r="E761" s="72" t="s">
        <v>1952</v>
      </c>
      <c r="F761" s="72" t="s">
        <v>1953</v>
      </c>
      <c r="G761" s="72" t="s">
        <v>1954</v>
      </c>
      <c r="H761" s="74" t="s">
        <v>1955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2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2882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2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2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2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2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2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2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2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25">
      <c r="A770" s="70"/>
      <c r="B770" s="52"/>
      <c r="C770" s="52"/>
      <c r="D770" s="72"/>
      <c r="E770" s="72"/>
      <c r="F770" s="72"/>
      <c r="G770" s="70" t="s">
        <v>1475</v>
      </c>
      <c r="H770" s="86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25">
      <c r="A771" s="70"/>
      <c r="B771" s="52"/>
      <c r="C771" s="52"/>
      <c r="D771" s="72" t="s">
        <v>2012</v>
      </c>
      <c r="E771" s="72" t="s">
        <v>79</v>
      </c>
      <c r="F771" s="72"/>
      <c r="G771" s="70" t="s">
        <v>1475</v>
      </c>
      <c r="H771" s="86" t="str">
        <f>Settings!$B$3&amp;".mit.cbobchu."&amp;$G771&amp;"."&amp;$J$404</f>
        <v>egy.mit.cbobchu.cbam.tot.2</v>
      </c>
      <c r="I771" s="72"/>
      <c r="J771" s="72"/>
      <c r="K771" s="72"/>
      <c r="L771" s="98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98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98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98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98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98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98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98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98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98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98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98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98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98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98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98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98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98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98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98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2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2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6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2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6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2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6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2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6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2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6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2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6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2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6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2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6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2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6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2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6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2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2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6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2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6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2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6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2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6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2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6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2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6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2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2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2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2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2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2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2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2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2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2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6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ColWidth="9" defaultRowHeight="14.25" x14ac:dyDescent="0.2"/>
  <cols>
    <col min="1" max="1" width="3" style="112" customWidth="1"/>
    <col min="2" max="2" width="12.42578125" style="112" customWidth="1"/>
    <col min="3" max="3" width="28" style="112" customWidth="1"/>
    <col min="4" max="4" width="33.7109375" style="112" customWidth="1"/>
    <col min="5" max="5" width="14.7109375" style="112" customWidth="1"/>
    <col min="6" max="6" width="17.7109375" style="112" customWidth="1"/>
    <col min="7" max="7" width="30.28515625" style="112" customWidth="1"/>
    <col min="8" max="8" width="28.85546875" style="112" customWidth="1"/>
    <col min="9" max="9" width="31.28515625" style="112" customWidth="1"/>
    <col min="10" max="10" width="30.28515625" style="112" customWidth="1"/>
    <col min="11" max="11" width="10.5703125" style="112" customWidth="1"/>
    <col min="12" max="35" width="12" style="112" customWidth="1"/>
    <col min="36" max="16384" width="9" style="112"/>
  </cols>
  <sheetData>
    <row r="1" spans="1:35" customFormat="1" ht="15" x14ac:dyDescent="0.2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5" x14ac:dyDescent="0.25">
      <c r="A2" s="33"/>
      <c r="B2" s="44" t="s">
        <v>2062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25">
      <c r="A3" s="8"/>
      <c r="B3" s="9" t="s">
        <v>2063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5" x14ac:dyDescent="0.2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2064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5" x14ac:dyDescent="0.25">
      <c r="B6" s="14" t="s">
        <v>49</v>
      </c>
      <c r="C6" s="14" t="str">
        <f t="shared" ref="C6:C15" si="0">$C$5</f>
        <v>irn</v>
      </c>
      <c r="D6" s="15" t="s">
        <v>50</v>
      </c>
      <c r="E6" s="16" t="s">
        <v>2065</v>
      </c>
      <c r="F6" s="14" t="s">
        <v>2066</v>
      </c>
      <c r="G6" s="125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2067</v>
      </c>
      <c r="L6" s="126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5" x14ac:dyDescent="0.25">
      <c r="B7" s="14" t="s">
        <v>53</v>
      </c>
      <c r="C7" s="14" t="str">
        <f t="shared" si="0"/>
        <v>irn</v>
      </c>
      <c r="D7" s="15" t="s">
        <v>54</v>
      </c>
      <c r="E7" s="16" t="s">
        <v>2065</v>
      </c>
      <c r="F7" s="14" t="s">
        <v>2066</v>
      </c>
      <c r="G7" s="125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2068</v>
      </c>
      <c r="L7" s="126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5" x14ac:dyDescent="0.25">
      <c r="B8" s="14" t="s">
        <v>55</v>
      </c>
      <c r="C8" s="14" t="str">
        <f t="shared" si="0"/>
        <v>irn</v>
      </c>
      <c r="D8" s="15" t="s">
        <v>56</v>
      </c>
      <c r="E8" s="16" t="s">
        <v>2065</v>
      </c>
      <c r="F8" s="14" t="s">
        <v>2066</v>
      </c>
      <c r="G8" s="125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2069</v>
      </c>
      <c r="L8" s="126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5" x14ac:dyDescent="0.25">
      <c r="B9" s="14" t="s">
        <v>58</v>
      </c>
      <c r="C9" s="14" t="str">
        <f t="shared" si="0"/>
        <v>irn</v>
      </c>
      <c r="D9" s="15" t="s">
        <v>59</v>
      </c>
      <c r="E9" s="16" t="s">
        <v>2065</v>
      </c>
      <c r="F9" s="14" t="s">
        <v>2066</v>
      </c>
      <c r="G9" s="125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2070</v>
      </c>
      <c r="L9" s="126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5" x14ac:dyDescent="0.25">
      <c r="B10" s="14" t="s">
        <v>60</v>
      </c>
      <c r="C10" s="14" t="str">
        <f t="shared" si="0"/>
        <v>irn</v>
      </c>
      <c r="D10" s="15" t="s">
        <v>61</v>
      </c>
      <c r="E10" s="16" t="s">
        <v>2065</v>
      </c>
      <c r="F10" s="14" t="s">
        <v>2066</v>
      </c>
      <c r="G10" s="125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2071</v>
      </c>
      <c r="L10" s="126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5" x14ac:dyDescent="0.25">
      <c r="B11" s="14" t="s">
        <v>62</v>
      </c>
      <c r="C11" s="14" t="str">
        <f t="shared" si="0"/>
        <v>irn</v>
      </c>
      <c r="D11" s="15" t="s">
        <v>63</v>
      </c>
      <c r="E11" s="16" t="s">
        <v>2065</v>
      </c>
      <c r="F11" s="14" t="s">
        <v>2066</v>
      </c>
      <c r="G11" s="125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2072</v>
      </c>
      <c r="L11" s="126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5" x14ac:dyDescent="0.25">
      <c r="B12" s="14" t="s">
        <v>64</v>
      </c>
      <c r="C12" s="14" t="str">
        <f t="shared" si="0"/>
        <v>irn</v>
      </c>
      <c r="D12" s="15" t="s">
        <v>65</v>
      </c>
      <c r="E12" s="16" t="s">
        <v>2065</v>
      </c>
      <c r="F12" s="14" t="s">
        <v>2066</v>
      </c>
      <c r="G12" s="125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2073</v>
      </c>
      <c r="L12" s="126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5" x14ac:dyDescent="0.25">
      <c r="B13" s="14" t="s">
        <v>67</v>
      </c>
      <c r="C13" s="14" t="str">
        <f t="shared" si="0"/>
        <v>irn</v>
      </c>
      <c r="D13" s="15" t="s">
        <v>68</v>
      </c>
      <c r="E13" s="16" t="s">
        <v>2065</v>
      </c>
      <c r="F13" s="14" t="s">
        <v>2066</v>
      </c>
      <c r="G13" s="125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2074</v>
      </c>
      <c r="L13" s="126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5" x14ac:dyDescent="0.25">
      <c r="B14" s="14" t="s">
        <v>69</v>
      </c>
      <c r="C14" s="14" t="str">
        <f t="shared" si="0"/>
        <v>irn</v>
      </c>
      <c r="D14" s="15" t="s">
        <v>70</v>
      </c>
      <c r="E14" s="16" t="s">
        <v>2065</v>
      </c>
      <c r="F14" s="14" t="s">
        <v>2066</v>
      </c>
      <c r="G14" s="125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2075</v>
      </c>
      <c r="L14" s="126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5" x14ac:dyDescent="0.25">
      <c r="B15" s="14" t="s">
        <v>110</v>
      </c>
      <c r="C15" s="14" t="str">
        <f t="shared" si="0"/>
        <v>irn</v>
      </c>
      <c r="D15" s="25" t="s">
        <v>111</v>
      </c>
      <c r="E15" s="16" t="s">
        <v>2065</v>
      </c>
      <c r="F15" s="14" t="s">
        <v>2066</v>
      </c>
      <c r="H15" s="45" t="str">
        <f>Settings!$B$3&amp;".mit.eco2."&amp;$C$5&amp;".tot.e."&amp;$J$5</f>
        <v>egy.mit.eco2.irn.tot.e.1</v>
      </c>
      <c r="L15" s="127">
        <f t="shared" ref="L15:AE15" si="1">SUM(L6:L14)</f>
        <v>4.5303835184019645</v>
      </c>
      <c r="M15" s="127">
        <f t="shared" si="1"/>
        <v>3.8469033618625206</v>
      </c>
      <c r="N15" s="127">
        <f t="shared" si="1"/>
        <v>4.3290746208215198</v>
      </c>
      <c r="O15" s="127">
        <f t="shared" si="1"/>
        <v>4.5451606543512009</v>
      </c>
      <c r="P15" s="127">
        <f t="shared" si="1"/>
        <v>4.6606527233890995</v>
      </c>
      <c r="Q15" s="127">
        <f t="shared" si="1"/>
        <v>4.8330795942744347</v>
      </c>
      <c r="R15" s="127">
        <f t="shared" si="1"/>
        <v>5.0529306123252606</v>
      </c>
      <c r="S15" s="127">
        <f t="shared" si="1"/>
        <v>5.2667916999615381</v>
      </c>
      <c r="T15" s="127">
        <f t="shared" si="1"/>
        <v>5.4699790897750464</v>
      </c>
      <c r="U15" s="127">
        <f t="shared" si="1"/>
        <v>5.6771103604276671</v>
      </c>
      <c r="V15" s="127">
        <f t="shared" si="1"/>
        <v>5.8842858461533165</v>
      </c>
      <c r="W15" s="127">
        <f t="shared" si="1"/>
        <v>6.0960674143926461</v>
      </c>
      <c r="X15" s="127">
        <f t="shared" si="1"/>
        <v>6.3124466882788575</v>
      </c>
      <c r="Y15" s="127">
        <f t="shared" si="1"/>
        <v>6.5334118787127196</v>
      </c>
      <c r="Z15" s="127">
        <f t="shared" si="1"/>
        <v>6.7589477212745512</v>
      </c>
      <c r="AA15" s="127">
        <f t="shared" si="1"/>
        <v>6.9890354050403589</v>
      </c>
      <c r="AB15" s="127">
        <f t="shared" si="1"/>
        <v>7.2236524927720804</v>
      </c>
      <c r="AC15" s="127">
        <f t="shared" si="1"/>
        <v>7.4627728319721847</v>
      </c>
      <c r="AD15" s="127">
        <f t="shared" si="1"/>
        <v>7.7063664563130869</v>
      </c>
      <c r="AE15" s="127">
        <f t="shared" si="1"/>
        <v>7.9543994769708668</v>
      </c>
    </row>
    <row r="17" spans="1:35" customFormat="1" ht="15" x14ac:dyDescent="0.2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2064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5" x14ac:dyDescent="0.2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2065</v>
      </c>
      <c r="F18" s="14" t="s">
        <v>2066</v>
      </c>
      <c r="G18" s="125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2076</v>
      </c>
      <c r="L18" s="126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5" x14ac:dyDescent="0.25">
      <c r="B19" s="14" t="s">
        <v>53</v>
      </c>
      <c r="C19" s="14" t="str">
        <f t="shared" si="2"/>
        <v>cem</v>
      </c>
      <c r="D19" s="15" t="s">
        <v>54</v>
      </c>
      <c r="E19" s="16" t="s">
        <v>2065</v>
      </c>
      <c r="F19" s="14" t="s">
        <v>2066</v>
      </c>
      <c r="G19" s="125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2077</v>
      </c>
      <c r="L19" s="126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5" x14ac:dyDescent="0.25">
      <c r="B20" s="14" t="s">
        <v>55</v>
      </c>
      <c r="C20" s="14" t="str">
        <f t="shared" si="2"/>
        <v>cem</v>
      </c>
      <c r="D20" s="15" t="s">
        <v>56</v>
      </c>
      <c r="E20" s="16" t="s">
        <v>2065</v>
      </c>
      <c r="F20" s="14" t="s">
        <v>2066</v>
      </c>
      <c r="G20" s="125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2078</v>
      </c>
      <c r="L20" s="126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5" x14ac:dyDescent="0.25">
      <c r="B21" s="14" t="s">
        <v>58</v>
      </c>
      <c r="C21" s="14" t="str">
        <f t="shared" si="2"/>
        <v>cem</v>
      </c>
      <c r="D21" s="15" t="s">
        <v>59</v>
      </c>
      <c r="E21" s="16" t="s">
        <v>2065</v>
      </c>
      <c r="F21" s="14" t="s">
        <v>2066</v>
      </c>
      <c r="G21" s="125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2079</v>
      </c>
      <c r="L21" s="126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5" x14ac:dyDescent="0.25">
      <c r="B22" s="14" t="s">
        <v>60</v>
      </c>
      <c r="C22" s="14" t="str">
        <f t="shared" si="2"/>
        <v>cem</v>
      </c>
      <c r="D22" s="15" t="s">
        <v>61</v>
      </c>
      <c r="E22" s="16" t="s">
        <v>2065</v>
      </c>
      <c r="F22" s="14" t="s">
        <v>2066</v>
      </c>
      <c r="G22" s="125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2080</v>
      </c>
      <c r="L22" s="126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5" x14ac:dyDescent="0.25">
      <c r="B23" s="14" t="s">
        <v>62</v>
      </c>
      <c r="C23" s="14" t="str">
        <f t="shared" si="2"/>
        <v>cem</v>
      </c>
      <c r="D23" s="15" t="s">
        <v>63</v>
      </c>
      <c r="E23" s="16" t="s">
        <v>2065</v>
      </c>
      <c r="F23" s="14" t="s">
        <v>2066</v>
      </c>
      <c r="G23" s="125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2081</v>
      </c>
      <c r="L23" s="126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5" x14ac:dyDescent="0.25">
      <c r="B24" s="14" t="s">
        <v>64</v>
      </c>
      <c r="C24" s="14" t="str">
        <f t="shared" si="2"/>
        <v>cem</v>
      </c>
      <c r="D24" s="15" t="s">
        <v>65</v>
      </c>
      <c r="E24" s="16" t="s">
        <v>2065</v>
      </c>
      <c r="F24" s="14" t="s">
        <v>2066</v>
      </c>
      <c r="G24" s="125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2082</v>
      </c>
      <c r="L24" s="126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5" x14ac:dyDescent="0.25">
      <c r="B25" s="14" t="s">
        <v>67</v>
      </c>
      <c r="C25" s="14" t="str">
        <f t="shared" si="2"/>
        <v>cem</v>
      </c>
      <c r="D25" s="15" t="s">
        <v>68</v>
      </c>
      <c r="E25" s="16" t="s">
        <v>2065</v>
      </c>
      <c r="F25" s="14" t="s">
        <v>2066</v>
      </c>
      <c r="G25" s="125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2083</v>
      </c>
      <c r="L25" s="126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5" x14ac:dyDescent="0.25">
      <c r="B26" s="14" t="s">
        <v>69</v>
      </c>
      <c r="C26" s="14" t="str">
        <f t="shared" si="2"/>
        <v>cem</v>
      </c>
      <c r="D26" s="15" t="s">
        <v>70</v>
      </c>
      <c r="E26" s="16" t="s">
        <v>2065</v>
      </c>
      <c r="F26" s="14" t="s">
        <v>2066</v>
      </c>
      <c r="G26" s="125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2084</v>
      </c>
      <c r="L26" s="126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5" x14ac:dyDescent="0.25">
      <c r="B27" s="14" t="s">
        <v>110</v>
      </c>
      <c r="C27" s="14" t="str">
        <f t="shared" si="2"/>
        <v>cem</v>
      </c>
      <c r="D27" s="25" t="s">
        <v>111</v>
      </c>
      <c r="E27" s="16" t="s">
        <v>2065</v>
      </c>
      <c r="F27" s="14" t="s">
        <v>2066</v>
      </c>
      <c r="H27" s="45" t="str">
        <f>Settings!$B$3&amp;".mit.eco2."&amp;$C$17&amp;".tot.e."&amp;$J$17</f>
        <v>egy.mit.eco2.cem.tot.e.1</v>
      </c>
      <c r="L27" s="127">
        <f t="shared" ref="L27:AE27" si="3">SUM(L18:L26)</f>
        <v>9.4893574461323063</v>
      </c>
      <c r="M27" s="127">
        <f t="shared" si="3"/>
        <v>7.892397868173477</v>
      </c>
      <c r="N27" s="127">
        <f t="shared" si="3"/>
        <v>8.974049898041585</v>
      </c>
      <c r="O27" s="127">
        <f t="shared" si="3"/>
        <v>9.6117389440758174</v>
      </c>
      <c r="P27" s="127">
        <f t="shared" si="3"/>
        <v>9.6255920185944621</v>
      </c>
      <c r="Q27" s="127">
        <f t="shared" si="3"/>
        <v>9.8610476555574511</v>
      </c>
      <c r="R27" s="127">
        <f t="shared" si="3"/>
        <v>10.224041222352259</v>
      </c>
      <c r="S27" s="127">
        <f t="shared" si="3"/>
        <v>10.577278178288619</v>
      </c>
      <c r="T27" s="127">
        <f t="shared" si="3"/>
        <v>10.913917324515168</v>
      </c>
      <c r="U27" s="127">
        <f t="shared" si="3"/>
        <v>11.254980886600027</v>
      </c>
      <c r="V27" s="127">
        <f t="shared" si="3"/>
        <v>11.572436051134584</v>
      </c>
      <c r="W27" s="127">
        <f t="shared" si="3"/>
        <v>11.894967219383652</v>
      </c>
      <c r="X27" s="127">
        <f t="shared" si="3"/>
        <v>12.222536887315171</v>
      </c>
      <c r="Y27" s="127">
        <f t="shared" si="3"/>
        <v>12.55510423174249</v>
      </c>
      <c r="Z27" s="127">
        <f t="shared" si="3"/>
        <v>12.892625020155874</v>
      </c>
      <c r="AA27" s="127">
        <f t="shared" si="3"/>
        <v>13.235051509488891</v>
      </c>
      <c r="AB27" s="127">
        <f t="shared" si="3"/>
        <v>13.582332333397812</v>
      </c>
      <c r="AC27" s="127">
        <f t="shared" si="3"/>
        <v>13.934412377644653</v>
      </c>
      <c r="AD27" s="127">
        <f t="shared" si="3"/>
        <v>14.291232643187328</v>
      </c>
      <c r="AE27" s="127">
        <f t="shared" si="3"/>
        <v>14.652730096591428</v>
      </c>
    </row>
    <row r="29" spans="1:35" customFormat="1" ht="15" x14ac:dyDescent="0.2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2064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5" x14ac:dyDescent="0.2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2065</v>
      </c>
      <c r="F30" s="14" t="s">
        <v>2066</v>
      </c>
      <c r="G30" s="125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2085</v>
      </c>
      <c r="L30" s="126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5" x14ac:dyDescent="0.25">
      <c r="B31" s="14" t="s">
        <v>53</v>
      </c>
      <c r="C31" s="14" t="str">
        <f t="shared" si="4"/>
        <v>nfm</v>
      </c>
      <c r="D31" s="15" t="s">
        <v>54</v>
      </c>
      <c r="E31" s="16" t="s">
        <v>2065</v>
      </c>
      <c r="F31" s="14" t="s">
        <v>2066</v>
      </c>
      <c r="G31" s="125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2086</v>
      </c>
      <c r="L31" s="126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5" x14ac:dyDescent="0.25">
      <c r="B32" s="14" t="s">
        <v>55</v>
      </c>
      <c r="C32" s="14" t="str">
        <f t="shared" si="4"/>
        <v>nfm</v>
      </c>
      <c r="D32" s="15" t="s">
        <v>56</v>
      </c>
      <c r="E32" s="16" t="s">
        <v>2065</v>
      </c>
      <c r="F32" s="14" t="s">
        <v>2066</v>
      </c>
      <c r="G32" s="125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2087</v>
      </c>
      <c r="L32" s="126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5" x14ac:dyDescent="0.25">
      <c r="B33" s="14" t="s">
        <v>58</v>
      </c>
      <c r="C33" s="14" t="str">
        <f t="shared" si="4"/>
        <v>nfm</v>
      </c>
      <c r="D33" s="15" t="s">
        <v>59</v>
      </c>
      <c r="E33" s="16" t="s">
        <v>2065</v>
      </c>
      <c r="F33" s="14" t="s">
        <v>2066</v>
      </c>
      <c r="G33" s="125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2088</v>
      </c>
      <c r="L33" s="126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5" x14ac:dyDescent="0.25">
      <c r="B34" s="14" t="s">
        <v>60</v>
      </c>
      <c r="C34" s="14" t="str">
        <f t="shared" si="4"/>
        <v>nfm</v>
      </c>
      <c r="D34" s="15" t="s">
        <v>61</v>
      </c>
      <c r="E34" s="16" t="s">
        <v>2065</v>
      </c>
      <c r="F34" s="14" t="s">
        <v>2066</v>
      </c>
      <c r="G34" s="125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2089</v>
      </c>
      <c r="L34" s="126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5" x14ac:dyDescent="0.25">
      <c r="B35" s="14" t="s">
        <v>62</v>
      </c>
      <c r="C35" s="14" t="str">
        <f t="shared" si="4"/>
        <v>nfm</v>
      </c>
      <c r="D35" s="15" t="s">
        <v>63</v>
      </c>
      <c r="E35" s="16" t="s">
        <v>2065</v>
      </c>
      <c r="F35" s="14" t="s">
        <v>2066</v>
      </c>
      <c r="G35" s="125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2090</v>
      </c>
      <c r="L35" s="126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5" x14ac:dyDescent="0.25">
      <c r="B36" s="14" t="s">
        <v>64</v>
      </c>
      <c r="C36" s="14" t="str">
        <f t="shared" si="4"/>
        <v>nfm</v>
      </c>
      <c r="D36" s="15" t="s">
        <v>65</v>
      </c>
      <c r="E36" s="16" t="s">
        <v>2065</v>
      </c>
      <c r="F36" s="14" t="s">
        <v>2066</v>
      </c>
      <c r="G36" s="125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2091</v>
      </c>
      <c r="L36" s="126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5" x14ac:dyDescent="0.25">
      <c r="B37" s="14" t="s">
        <v>67</v>
      </c>
      <c r="C37" s="14" t="str">
        <f t="shared" si="4"/>
        <v>nfm</v>
      </c>
      <c r="D37" s="15" t="s">
        <v>68</v>
      </c>
      <c r="E37" s="16" t="s">
        <v>2065</v>
      </c>
      <c r="F37" s="14" t="s">
        <v>2066</v>
      </c>
      <c r="G37" s="125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2092</v>
      </c>
      <c r="L37" s="126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5" x14ac:dyDescent="0.25">
      <c r="B38" s="14" t="s">
        <v>69</v>
      </c>
      <c r="C38" s="14" t="str">
        <f t="shared" si="4"/>
        <v>nfm</v>
      </c>
      <c r="D38" s="15" t="s">
        <v>70</v>
      </c>
      <c r="E38" s="16" t="s">
        <v>2065</v>
      </c>
      <c r="F38" s="14" t="s">
        <v>2066</v>
      </c>
      <c r="G38" s="125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2093</v>
      </c>
      <c r="L38" s="126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5" x14ac:dyDescent="0.25">
      <c r="B39" s="14" t="s">
        <v>110</v>
      </c>
      <c r="C39" s="14" t="str">
        <f t="shared" si="4"/>
        <v>nfm</v>
      </c>
      <c r="D39" s="25" t="s">
        <v>111</v>
      </c>
      <c r="E39" s="16" t="s">
        <v>2065</v>
      </c>
      <c r="F39" s="14" t="s">
        <v>2066</v>
      </c>
      <c r="H39" s="45" t="str">
        <f>Settings!$B$3&amp;".mit.eco2."&amp;$C$29&amp;".tot.e."&amp;$J$29</f>
        <v>egy.mit.eco2.nfm.tot.e.1</v>
      </c>
      <c r="L39" s="127">
        <f t="shared" ref="L39:AE39" si="5">SUM(L30:L38)</f>
        <v>0</v>
      </c>
      <c r="M39" s="127">
        <f t="shared" si="5"/>
        <v>0</v>
      </c>
      <c r="N39" s="127">
        <f t="shared" si="5"/>
        <v>0</v>
      </c>
      <c r="O39" s="127">
        <f t="shared" si="5"/>
        <v>0</v>
      </c>
      <c r="P39" s="127">
        <f t="shared" si="5"/>
        <v>0</v>
      </c>
      <c r="Q39" s="127">
        <f t="shared" si="5"/>
        <v>0</v>
      </c>
      <c r="R39" s="127">
        <f t="shared" si="5"/>
        <v>0</v>
      </c>
      <c r="S39" s="127">
        <f t="shared" si="5"/>
        <v>0</v>
      </c>
      <c r="T39" s="127">
        <f t="shared" si="5"/>
        <v>0</v>
      </c>
      <c r="U39" s="127">
        <f t="shared" si="5"/>
        <v>0</v>
      </c>
      <c r="V39" s="127">
        <f t="shared" si="5"/>
        <v>0</v>
      </c>
      <c r="W39" s="127">
        <f t="shared" si="5"/>
        <v>0</v>
      </c>
      <c r="X39" s="127">
        <f t="shared" si="5"/>
        <v>0</v>
      </c>
      <c r="Y39" s="127">
        <f t="shared" si="5"/>
        <v>0</v>
      </c>
      <c r="Z39" s="127">
        <f t="shared" si="5"/>
        <v>0</v>
      </c>
      <c r="AA39" s="127">
        <f t="shared" si="5"/>
        <v>0</v>
      </c>
      <c r="AB39" s="127">
        <f t="shared" si="5"/>
        <v>0</v>
      </c>
      <c r="AC39" s="127">
        <f t="shared" si="5"/>
        <v>0</v>
      </c>
      <c r="AD39" s="127">
        <f t="shared" si="5"/>
        <v>0</v>
      </c>
      <c r="AE39" s="127">
        <f t="shared" si="5"/>
        <v>0</v>
      </c>
    </row>
    <row r="41" spans="1:35" customFormat="1" ht="15" x14ac:dyDescent="0.2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2064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5" x14ac:dyDescent="0.2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2065</v>
      </c>
      <c r="F42" s="14" t="s">
        <v>2066</v>
      </c>
      <c r="G42" s="125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2094</v>
      </c>
      <c r="L42" s="126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5" x14ac:dyDescent="0.25">
      <c r="B43" s="14" t="s">
        <v>53</v>
      </c>
      <c r="C43" s="14" t="str">
        <f t="shared" si="6"/>
        <v>mch</v>
      </c>
      <c r="D43" s="15" t="s">
        <v>54</v>
      </c>
      <c r="E43" s="16" t="s">
        <v>2065</v>
      </c>
      <c r="F43" s="14" t="s">
        <v>2066</v>
      </c>
      <c r="G43" s="125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2095</v>
      </c>
      <c r="L43" s="126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5" x14ac:dyDescent="0.25">
      <c r="B44" s="14" t="s">
        <v>55</v>
      </c>
      <c r="C44" s="14" t="str">
        <f t="shared" si="6"/>
        <v>mch</v>
      </c>
      <c r="D44" s="15" t="s">
        <v>56</v>
      </c>
      <c r="E44" s="16" t="s">
        <v>2065</v>
      </c>
      <c r="F44" s="14" t="s">
        <v>2066</v>
      </c>
      <c r="G44" s="125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2096</v>
      </c>
      <c r="L44" s="126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5" x14ac:dyDescent="0.25">
      <c r="B45" s="14" t="s">
        <v>58</v>
      </c>
      <c r="C45" s="14" t="str">
        <f t="shared" si="6"/>
        <v>mch</v>
      </c>
      <c r="D45" s="15" t="s">
        <v>59</v>
      </c>
      <c r="E45" s="16" t="s">
        <v>2065</v>
      </c>
      <c r="F45" s="14" t="s">
        <v>2066</v>
      </c>
      <c r="G45" s="125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2097</v>
      </c>
      <c r="L45" s="126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5" x14ac:dyDescent="0.25">
      <c r="B46" s="14" t="s">
        <v>60</v>
      </c>
      <c r="C46" s="14" t="str">
        <f t="shared" si="6"/>
        <v>mch</v>
      </c>
      <c r="D46" s="15" t="s">
        <v>61</v>
      </c>
      <c r="E46" s="16" t="s">
        <v>2065</v>
      </c>
      <c r="F46" s="14" t="s">
        <v>2066</v>
      </c>
      <c r="G46" s="125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2098</v>
      </c>
      <c r="L46" s="126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5" x14ac:dyDescent="0.25">
      <c r="B47" s="14" t="s">
        <v>62</v>
      </c>
      <c r="C47" s="14" t="str">
        <f t="shared" si="6"/>
        <v>mch</v>
      </c>
      <c r="D47" s="15" t="s">
        <v>63</v>
      </c>
      <c r="E47" s="16" t="s">
        <v>2065</v>
      </c>
      <c r="F47" s="14" t="s">
        <v>2066</v>
      </c>
      <c r="G47" s="125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2099</v>
      </c>
      <c r="L47" s="126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5" x14ac:dyDescent="0.25">
      <c r="B48" s="14" t="s">
        <v>64</v>
      </c>
      <c r="C48" s="14" t="str">
        <f t="shared" si="6"/>
        <v>mch</v>
      </c>
      <c r="D48" s="15" t="s">
        <v>65</v>
      </c>
      <c r="E48" s="16" t="s">
        <v>2065</v>
      </c>
      <c r="F48" s="14" t="s">
        <v>2066</v>
      </c>
      <c r="G48" s="125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2100</v>
      </c>
      <c r="L48" s="126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5" x14ac:dyDescent="0.25">
      <c r="B49" s="14" t="s">
        <v>67</v>
      </c>
      <c r="C49" s="14" t="str">
        <f t="shared" si="6"/>
        <v>mch</v>
      </c>
      <c r="D49" s="15" t="s">
        <v>68</v>
      </c>
      <c r="E49" s="16" t="s">
        <v>2065</v>
      </c>
      <c r="F49" s="14" t="s">
        <v>2066</v>
      </c>
      <c r="G49" s="125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2101</v>
      </c>
      <c r="L49" s="126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5" x14ac:dyDescent="0.25">
      <c r="B50" s="14" t="s">
        <v>69</v>
      </c>
      <c r="C50" s="14" t="str">
        <f t="shared" si="6"/>
        <v>mch</v>
      </c>
      <c r="D50" s="15" t="s">
        <v>70</v>
      </c>
      <c r="E50" s="16" t="s">
        <v>2065</v>
      </c>
      <c r="F50" s="14" t="s">
        <v>2066</v>
      </c>
      <c r="G50" s="125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2102</v>
      </c>
      <c r="L50" s="126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5" x14ac:dyDescent="0.25">
      <c r="B51" s="14" t="s">
        <v>110</v>
      </c>
      <c r="C51" s="14" t="str">
        <f t="shared" si="6"/>
        <v>mch</v>
      </c>
      <c r="D51" s="25" t="s">
        <v>111</v>
      </c>
      <c r="E51" s="16" t="s">
        <v>2065</v>
      </c>
      <c r="F51" s="14" t="s">
        <v>2066</v>
      </c>
      <c r="H51" s="45" t="str">
        <f>Settings!$B$3&amp;".mit.eco2."&amp;$C$41&amp;".tot.e."&amp;$J$41</f>
        <v>egy.mit.eco2.mch.tot.e.1</v>
      </c>
      <c r="L51" s="127">
        <f t="shared" ref="L51:AE51" si="7">SUM(L42:L50)</f>
        <v>0</v>
      </c>
      <c r="M51" s="127">
        <f t="shared" si="7"/>
        <v>0</v>
      </c>
      <c r="N51" s="127">
        <f t="shared" si="7"/>
        <v>0</v>
      </c>
      <c r="O51" s="127">
        <f t="shared" si="7"/>
        <v>0</v>
      </c>
      <c r="P51" s="127">
        <f t="shared" si="7"/>
        <v>0</v>
      </c>
      <c r="Q51" s="127">
        <f t="shared" si="7"/>
        <v>0</v>
      </c>
      <c r="R51" s="127">
        <f t="shared" si="7"/>
        <v>0</v>
      </c>
      <c r="S51" s="127">
        <f t="shared" si="7"/>
        <v>0</v>
      </c>
      <c r="T51" s="127">
        <f t="shared" si="7"/>
        <v>0</v>
      </c>
      <c r="U51" s="127">
        <f t="shared" si="7"/>
        <v>0</v>
      </c>
      <c r="V51" s="127">
        <f t="shared" si="7"/>
        <v>0</v>
      </c>
      <c r="W51" s="127">
        <f t="shared" si="7"/>
        <v>0</v>
      </c>
      <c r="X51" s="127">
        <f t="shared" si="7"/>
        <v>0</v>
      </c>
      <c r="Y51" s="127">
        <f t="shared" si="7"/>
        <v>0</v>
      </c>
      <c r="Z51" s="127">
        <f t="shared" si="7"/>
        <v>0</v>
      </c>
      <c r="AA51" s="127">
        <f t="shared" si="7"/>
        <v>0</v>
      </c>
      <c r="AB51" s="127">
        <f t="shared" si="7"/>
        <v>0</v>
      </c>
      <c r="AC51" s="127">
        <f t="shared" si="7"/>
        <v>0</v>
      </c>
      <c r="AD51" s="127">
        <f t="shared" si="7"/>
        <v>0</v>
      </c>
      <c r="AE51" s="127">
        <f t="shared" si="7"/>
        <v>0</v>
      </c>
    </row>
    <row r="54" spans="1:35" customFormat="1" ht="18" customHeight="1" x14ac:dyDescent="0.25">
      <c r="A54" s="8"/>
      <c r="B54" s="9" t="s">
        <v>2103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5" x14ac:dyDescent="0.2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2064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5" x14ac:dyDescent="0.2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2065</v>
      </c>
      <c r="F57" s="14" t="s">
        <v>2066</v>
      </c>
      <c r="G57" s="125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2104</v>
      </c>
      <c r="L57" s="126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5" x14ac:dyDescent="0.25">
      <c r="B58" s="14" t="s">
        <v>53</v>
      </c>
      <c r="C58" s="14" t="str">
        <f t="shared" si="8"/>
        <v>irn</v>
      </c>
      <c r="D58" s="15" t="s">
        <v>54</v>
      </c>
      <c r="E58" s="16" t="s">
        <v>2065</v>
      </c>
      <c r="F58" s="14" t="s">
        <v>2066</v>
      </c>
      <c r="G58" s="125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2105</v>
      </c>
      <c r="L58" s="126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5" x14ac:dyDescent="0.25">
      <c r="B59" s="14" t="s">
        <v>55</v>
      </c>
      <c r="C59" s="14" t="str">
        <f t="shared" si="8"/>
        <v>irn</v>
      </c>
      <c r="D59" s="15" t="s">
        <v>56</v>
      </c>
      <c r="E59" s="16" t="s">
        <v>2065</v>
      </c>
      <c r="F59" s="14" t="s">
        <v>2066</v>
      </c>
      <c r="G59" s="125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2106</v>
      </c>
      <c r="L59" s="126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5" x14ac:dyDescent="0.25">
      <c r="B60" s="14" t="s">
        <v>58</v>
      </c>
      <c r="C60" s="14" t="str">
        <f t="shared" si="8"/>
        <v>irn</v>
      </c>
      <c r="D60" s="15" t="s">
        <v>59</v>
      </c>
      <c r="E60" s="16" t="s">
        <v>2065</v>
      </c>
      <c r="F60" s="14" t="s">
        <v>2066</v>
      </c>
      <c r="G60" s="125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2107</v>
      </c>
      <c r="L60" s="126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5" x14ac:dyDescent="0.25">
      <c r="B61" s="14" t="s">
        <v>60</v>
      </c>
      <c r="C61" s="14" t="str">
        <f t="shared" si="8"/>
        <v>irn</v>
      </c>
      <c r="D61" s="15" t="s">
        <v>61</v>
      </c>
      <c r="E61" s="16" t="s">
        <v>2065</v>
      </c>
      <c r="F61" s="14" t="s">
        <v>2066</v>
      </c>
      <c r="G61" s="125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2108</v>
      </c>
      <c r="L61" s="126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5" x14ac:dyDescent="0.25">
      <c r="B62" s="14" t="s">
        <v>62</v>
      </c>
      <c r="C62" s="14" t="str">
        <f t="shared" si="8"/>
        <v>irn</v>
      </c>
      <c r="D62" s="15" t="s">
        <v>63</v>
      </c>
      <c r="E62" s="16" t="s">
        <v>2065</v>
      </c>
      <c r="F62" s="14" t="s">
        <v>2066</v>
      </c>
      <c r="G62" s="125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2109</v>
      </c>
      <c r="L62" s="126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5" x14ac:dyDescent="0.25">
      <c r="B63" s="14" t="s">
        <v>64</v>
      </c>
      <c r="C63" s="14" t="str">
        <f t="shared" si="8"/>
        <v>irn</v>
      </c>
      <c r="D63" s="15" t="s">
        <v>65</v>
      </c>
      <c r="E63" s="16" t="s">
        <v>2065</v>
      </c>
      <c r="F63" s="14" t="s">
        <v>2066</v>
      </c>
      <c r="G63" s="125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2110</v>
      </c>
      <c r="L63" s="126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5" x14ac:dyDescent="0.25">
      <c r="B64" s="14" t="s">
        <v>67</v>
      </c>
      <c r="C64" s="14" t="str">
        <f t="shared" si="8"/>
        <v>irn</v>
      </c>
      <c r="D64" s="15" t="s">
        <v>68</v>
      </c>
      <c r="E64" s="16" t="s">
        <v>2065</v>
      </c>
      <c r="F64" s="14" t="s">
        <v>2066</v>
      </c>
      <c r="G64" s="125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2111</v>
      </c>
      <c r="L64" s="126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5" x14ac:dyDescent="0.25">
      <c r="B65" s="14" t="s">
        <v>69</v>
      </c>
      <c r="C65" s="14" t="str">
        <f t="shared" si="8"/>
        <v>irn</v>
      </c>
      <c r="D65" s="15" t="s">
        <v>70</v>
      </c>
      <c r="E65" s="16" t="s">
        <v>2065</v>
      </c>
      <c r="F65" s="14" t="s">
        <v>2066</v>
      </c>
      <c r="G65" s="125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2112</v>
      </c>
      <c r="L65" s="126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5" x14ac:dyDescent="0.25">
      <c r="B66" s="14" t="s">
        <v>110</v>
      </c>
      <c r="C66" s="14" t="str">
        <f t="shared" si="8"/>
        <v>irn</v>
      </c>
      <c r="D66" s="25" t="s">
        <v>111</v>
      </c>
      <c r="E66" s="16" t="s">
        <v>2065</v>
      </c>
      <c r="F66" s="14" t="s">
        <v>2066</v>
      </c>
      <c r="H66" s="45" t="str">
        <f>Settings!$B$3&amp;".mit.eco2."&amp;$C$56&amp;".tot.e."&amp;$J$56</f>
        <v>egy.mit.eco2.irn.tot.e.2</v>
      </c>
      <c r="L66" s="127">
        <f t="shared" ref="L66:AE66" si="9">SUM(L57:L65)</f>
        <v>4.5303835184019645</v>
      </c>
      <c r="M66" s="127">
        <f t="shared" si="9"/>
        <v>3.8469033618625206</v>
      </c>
      <c r="N66" s="127">
        <f t="shared" si="9"/>
        <v>4.3290746208215198</v>
      </c>
      <c r="O66" s="127">
        <f t="shared" si="9"/>
        <v>4.5451606543512009</v>
      </c>
      <c r="P66" s="127">
        <f t="shared" si="9"/>
        <v>4.6606527233890995</v>
      </c>
      <c r="Q66" s="127">
        <f t="shared" si="9"/>
        <v>4.4078296144020142</v>
      </c>
      <c r="R66" s="127">
        <f t="shared" si="9"/>
        <v>4.246993475594202</v>
      </c>
      <c r="S66" s="127">
        <f t="shared" si="9"/>
        <v>4.1117536252780678</v>
      </c>
      <c r="T66" s="127">
        <f t="shared" si="9"/>
        <v>3.9924395556502268</v>
      </c>
      <c r="U66" s="127">
        <f t="shared" si="9"/>
        <v>3.8941902155876629</v>
      </c>
      <c r="V66" s="127">
        <f t="shared" si="9"/>
        <v>3.8124028190221151</v>
      </c>
      <c r="W66" s="127">
        <f t="shared" si="9"/>
        <v>3.7471168511266315</v>
      </c>
      <c r="X66" s="127">
        <f t="shared" si="9"/>
        <v>3.6964075936068812</v>
      </c>
      <c r="Y66" s="127">
        <f t="shared" si="9"/>
        <v>3.6591659054499268</v>
      </c>
      <c r="Z66" s="127">
        <f t="shared" si="9"/>
        <v>3.6352380271397982</v>
      </c>
      <c r="AA66" s="127">
        <f t="shared" si="9"/>
        <v>3.623938569338653</v>
      </c>
      <c r="AB66" s="127">
        <f t="shared" si="9"/>
        <v>3.6245334840846737</v>
      </c>
      <c r="AC66" s="127">
        <f t="shared" si="9"/>
        <v>3.6357614325971319</v>
      </c>
      <c r="AD66" s="127">
        <f t="shared" si="9"/>
        <v>3.656572990259491</v>
      </c>
      <c r="AE66" s="127">
        <f t="shared" si="9"/>
        <v>3.686189977104291</v>
      </c>
    </row>
    <row r="68" spans="1:35" customFormat="1" ht="15" x14ac:dyDescent="0.2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2064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5" x14ac:dyDescent="0.2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2065</v>
      </c>
      <c r="F69" s="14" t="s">
        <v>2066</v>
      </c>
      <c r="G69" s="125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2113</v>
      </c>
      <c r="L69" s="126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5" x14ac:dyDescent="0.25">
      <c r="B70" s="14" t="s">
        <v>53</v>
      </c>
      <c r="C70" s="14" t="str">
        <f t="shared" si="10"/>
        <v>cem</v>
      </c>
      <c r="D70" s="15" t="s">
        <v>54</v>
      </c>
      <c r="E70" s="16" t="s">
        <v>2065</v>
      </c>
      <c r="F70" s="14" t="s">
        <v>2066</v>
      </c>
      <c r="G70" s="125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2114</v>
      </c>
      <c r="L70" s="126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5" x14ac:dyDescent="0.25">
      <c r="B71" s="14" t="s">
        <v>55</v>
      </c>
      <c r="C71" s="14" t="str">
        <f t="shared" si="10"/>
        <v>cem</v>
      </c>
      <c r="D71" s="15" t="s">
        <v>56</v>
      </c>
      <c r="E71" s="16" t="s">
        <v>2065</v>
      </c>
      <c r="F71" s="14" t="s">
        <v>2066</v>
      </c>
      <c r="G71" s="125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2115</v>
      </c>
      <c r="L71" s="126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5" x14ac:dyDescent="0.25">
      <c r="B72" s="14" t="s">
        <v>58</v>
      </c>
      <c r="C72" s="14" t="str">
        <f t="shared" si="10"/>
        <v>cem</v>
      </c>
      <c r="D72" s="15" t="s">
        <v>59</v>
      </c>
      <c r="E72" s="16" t="s">
        <v>2065</v>
      </c>
      <c r="F72" s="14" t="s">
        <v>2066</v>
      </c>
      <c r="G72" s="125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2116</v>
      </c>
      <c r="L72" s="126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5" x14ac:dyDescent="0.25">
      <c r="B73" s="14" t="s">
        <v>60</v>
      </c>
      <c r="C73" s="14" t="str">
        <f t="shared" si="10"/>
        <v>cem</v>
      </c>
      <c r="D73" s="15" t="s">
        <v>61</v>
      </c>
      <c r="E73" s="16" t="s">
        <v>2065</v>
      </c>
      <c r="F73" s="14" t="s">
        <v>2066</v>
      </c>
      <c r="G73" s="125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2117</v>
      </c>
      <c r="L73" s="126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5" x14ac:dyDescent="0.25">
      <c r="B74" s="14" t="s">
        <v>62</v>
      </c>
      <c r="C74" s="14" t="str">
        <f t="shared" si="10"/>
        <v>cem</v>
      </c>
      <c r="D74" s="15" t="s">
        <v>63</v>
      </c>
      <c r="E74" s="16" t="s">
        <v>2065</v>
      </c>
      <c r="F74" s="14" t="s">
        <v>2066</v>
      </c>
      <c r="G74" s="125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2118</v>
      </c>
      <c r="L74" s="126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5" x14ac:dyDescent="0.25">
      <c r="B75" s="14" t="s">
        <v>64</v>
      </c>
      <c r="C75" s="14" t="str">
        <f t="shared" si="10"/>
        <v>cem</v>
      </c>
      <c r="D75" s="15" t="s">
        <v>65</v>
      </c>
      <c r="E75" s="16" t="s">
        <v>2065</v>
      </c>
      <c r="F75" s="14" t="s">
        <v>2066</v>
      </c>
      <c r="G75" s="125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2119</v>
      </c>
      <c r="L75" s="126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5" x14ac:dyDescent="0.25">
      <c r="B76" s="14" t="s">
        <v>67</v>
      </c>
      <c r="C76" s="14" t="str">
        <f t="shared" si="10"/>
        <v>cem</v>
      </c>
      <c r="D76" s="15" t="s">
        <v>68</v>
      </c>
      <c r="E76" s="16" t="s">
        <v>2065</v>
      </c>
      <c r="F76" s="14" t="s">
        <v>2066</v>
      </c>
      <c r="G76" s="125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2120</v>
      </c>
      <c r="L76" s="126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5" x14ac:dyDescent="0.25">
      <c r="B77" s="14" t="s">
        <v>69</v>
      </c>
      <c r="C77" s="14" t="str">
        <f t="shared" si="10"/>
        <v>cem</v>
      </c>
      <c r="D77" s="15" t="s">
        <v>70</v>
      </c>
      <c r="E77" s="16" t="s">
        <v>2065</v>
      </c>
      <c r="F77" s="14" t="s">
        <v>2066</v>
      </c>
      <c r="G77" s="125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2121</v>
      </c>
      <c r="L77" s="126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5" x14ac:dyDescent="0.25">
      <c r="B78" s="14" t="s">
        <v>110</v>
      </c>
      <c r="C78" s="14" t="str">
        <f t="shared" si="10"/>
        <v>cem</v>
      </c>
      <c r="D78" s="25" t="s">
        <v>111</v>
      </c>
      <c r="E78" s="16" t="s">
        <v>2065</v>
      </c>
      <c r="F78" s="14" t="s">
        <v>2066</v>
      </c>
      <c r="H78" s="45" t="str">
        <f>Settings!$B$3&amp;".mit.eco2."&amp;$C$68&amp;".tot.e."&amp;$J$68</f>
        <v>egy.mit.eco2.cem.tot.e.2</v>
      </c>
      <c r="L78" s="127">
        <f t="shared" ref="L78:AE78" si="11">SUM(L69:L77)</f>
        <v>9.4893574461323063</v>
      </c>
      <c r="M78" s="127">
        <f t="shared" si="11"/>
        <v>7.892397868173477</v>
      </c>
      <c r="N78" s="127">
        <f t="shared" si="11"/>
        <v>8.974049898041585</v>
      </c>
      <c r="O78" s="127">
        <f t="shared" si="11"/>
        <v>9.6117389440758174</v>
      </c>
      <c r="P78" s="127">
        <f t="shared" si="11"/>
        <v>9.6255920185944621</v>
      </c>
      <c r="Q78" s="127">
        <f t="shared" si="11"/>
        <v>9.0746501749675428</v>
      </c>
      <c r="R78" s="127">
        <f t="shared" si="11"/>
        <v>8.7362574382654046</v>
      </c>
      <c r="S78" s="127">
        <f t="shared" si="11"/>
        <v>8.4490397368747985</v>
      </c>
      <c r="T78" s="127">
        <f t="shared" si="11"/>
        <v>8.1955178569750267</v>
      </c>
      <c r="U78" s="127">
        <f t="shared" si="11"/>
        <v>7.9814424709644749</v>
      </c>
      <c r="V78" s="127">
        <f t="shared" si="11"/>
        <v>7.7902867807190201</v>
      </c>
      <c r="W78" s="127">
        <f t="shared" si="11"/>
        <v>7.6314031195294163</v>
      </c>
      <c r="X78" s="127">
        <f t="shared" si="11"/>
        <v>7.5006570964300785</v>
      </c>
      <c r="Y78" s="127">
        <f t="shared" si="11"/>
        <v>7.3954239718464407</v>
      </c>
      <c r="Z78" s="127">
        <f t="shared" si="11"/>
        <v>7.3147393259951752</v>
      </c>
      <c r="AA78" s="127">
        <f t="shared" si="11"/>
        <v>7.2568985784252265</v>
      </c>
      <c r="AB78" s="127">
        <f t="shared" si="11"/>
        <v>7.2202035238785385</v>
      </c>
      <c r="AC78" s="127">
        <f t="shared" si="11"/>
        <v>7.2022011866219096</v>
      </c>
      <c r="AD78" s="127">
        <f t="shared" si="11"/>
        <v>7.2008394296116975</v>
      </c>
      <c r="AE78" s="127">
        <f t="shared" si="11"/>
        <v>7.2145454034411083</v>
      </c>
    </row>
    <row r="80" spans="1:35" customFormat="1" ht="15" x14ac:dyDescent="0.2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2064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5" x14ac:dyDescent="0.2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2065</v>
      </c>
      <c r="F81" s="14" t="s">
        <v>2066</v>
      </c>
      <c r="G81" s="125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2122</v>
      </c>
      <c r="L81" s="126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5" x14ac:dyDescent="0.25">
      <c r="B82" s="14" t="s">
        <v>53</v>
      </c>
      <c r="C82" s="14" t="str">
        <f t="shared" si="12"/>
        <v>nfm</v>
      </c>
      <c r="D82" s="15" t="s">
        <v>54</v>
      </c>
      <c r="E82" s="16" t="s">
        <v>2065</v>
      </c>
      <c r="F82" s="14" t="s">
        <v>2066</v>
      </c>
      <c r="G82" s="125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2123</v>
      </c>
      <c r="L82" s="126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5" x14ac:dyDescent="0.25">
      <c r="B83" s="14" t="s">
        <v>55</v>
      </c>
      <c r="C83" s="14" t="str">
        <f t="shared" si="12"/>
        <v>nfm</v>
      </c>
      <c r="D83" s="15" t="s">
        <v>56</v>
      </c>
      <c r="E83" s="16" t="s">
        <v>2065</v>
      </c>
      <c r="F83" s="14" t="s">
        <v>2066</v>
      </c>
      <c r="G83" s="125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2124</v>
      </c>
      <c r="L83" s="126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5" x14ac:dyDescent="0.25">
      <c r="B84" s="14" t="s">
        <v>58</v>
      </c>
      <c r="C84" s="14" t="str">
        <f t="shared" si="12"/>
        <v>nfm</v>
      </c>
      <c r="D84" s="15" t="s">
        <v>59</v>
      </c>
      <c r="E84" s="16" t="s">
        <v>2065</v>
      </c>
      <c r="F84" s="14" t="s">
        <v>2066</v>
      </c>
      <c r="G84" s="125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2125</v>
      </c>
      <c r="L84" s="126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5" x14ac:dyDescent="0.25">
      <c r="B85" s="14" t="s">
        <v>60</v>
      </c>
      <c r="C85" s="14" t="str">
        <f t="shared" si="12"/>
        <v>nfm</v>
      </c>
      <c r="D85" s="15" t="s">
        <v>61</v>
      </c>
      <c r="E85" s="16" t="s">
        <v>2065</v>
      </c>
      <c r="F85" s="14" t="s">
        <v>2066</v>
      </c>
      <c r="G85" s="125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2126</v>
      </c>
      <c r="L85" s="126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5" x14ac:dyDescent="0.25">
      <c r="B86" s="14" t="s">
        <v>62</v>
      </c>
      <c r="C86" s="14" t="str">
        <f t="shared" si="12"/>
        <v>nfm</v>
      </c>
      <c r="D86" s="15" t="s">
        <v>63</v>
      </c>
      <c r="E86" s="16" t="s">
        <v>2065</v>
      </c>
      <c r="F86" s="14" t="s">
        <v>2066</v>
      </c>
      <c r="G86" s="125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2127</v>
      </c>
      <c r="L86" s="126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5" x14ac:dyDescent="0.25">
      <c r="B87" s="14" t="s">
        <v>64</v>
      </c>
      <c r="C87" s="14" t="str">
        <f t="shared" si="12"/>
        <v>nfm</v>
      </c>
      <c r="D87" s="15" t="s">
        <v>65</v>
      </c>
      <c r="E87" s="16" t="s">
        <v>2065</v>
      </c>
      <c r="F87" s="14" t="s">
        <v>2066</v>
      </c>
      <c r="G87" s="125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2128</v>
      </c>
      <c r="L87" s="126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5" x14ac:dyDescent="0.25">
      <c r="B88" s="14" t="s">
        <v>67</v>
      </c>
      <c r="C88" s="14" t="str">
        <f t="shared" si="12"/>
        <v>nfm</v>
      </c>
      <c r="D88" s="15" t="s">
        <v>68</v>
      </c>
      <c r="E88" s="16" t="s">
        <v>2065</v>
      </c>
      <c r="F88" s="14" t="s">
        <v>2066</v>
      </c>
      <c r="G88" s="125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2129</v>
      </c>
      <c r="L88" s="126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5" x14ac:dyDescent="0.25">
      <c r="B89" s="14" t="s">
        <v>69</v>
      </c>
      <c r="C89" s="14" t="str">
        <f t="shared" si="12"/>
        <v>nfm</v>
      </c>
      <c r="D89" s="15" t="s">
        <v>70</v>
      </c>
      <c r="E89" s="16" t="s">
        <v>2065</v>
      </c>
      <c r="F89" s="14" t="s">
        <v>2066</v>
      </c>
      <c r="G89" s="125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2130</v>
      </c>
      <c r="L89" s="126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5" x14ac:dyDescent="0.25">
      <c r="B90" s="14" t="s">
        <v>110</v>
      </c>
      <c r="C90" s="14" t="str">
        <f t="shared" si="12"/>
        <v>nfm</v>
      </c>
      <c r="D90" s="25" t="s">
        <v>111</v>
      </c>
      <c r="E90" s="16" t="s">
        <v>2065</v>
      </c>
      <c r="F90" s="14" t="s">
        <v>2066</v>
      </c>
      <c r="H90" s="45" t="str">
        <f>Settings!$B$3&amp;".mit.eco2."&amp;$C$80&amp;".tot.e."&amp;$J$80</f>
        <v>egy.mit.eco2.nfm.tot.e.2</v>
      </c>
      <c r="L90" s="127">
        <f t="shared" ref="L90:AE90" si="13">SUM(L81:L89)</f>
        <v>0</v>
      </c>
      <c r="M90" s="127">
        <f t="shared" si="13"/>
        <v>0</v>
      </c>
      <c r="N90" s="127">
        <f t="shared" si="13"/>
        <v>0</v>
      </c>
      <c r="O90" s="127">
        <f t="shared" si="13"/>
        <v>0</v>
      </c>
      <c r="P90" s="127">
        <f t="shared" si="13"/>
        <v>0</v>
      </c>
      <c r="Q90" s="127">
        <f t="shared" si="13"/>
        <v>0</v>
      </c>
      <c r="R90" s="127">
        <f t="shared" si="13"/>
        <v>0</v>
      </c>
      <c r="S90" s="127">
        <f t="shared" si="13"/>
        <v>0</v>
      </c>
      <c r="T90" s="127">
        <f t="shared" si="13"/>
        <v>0</v>
      </c>
      <c r="U90" s="127">
        <f t="shared" si="13"/>
        <v>0</v>
      </c>
      <c r="V90" s="127">
        <f t="shared" si="13"/>
        <v>0</v>
      </c>
      <c r="W90" s="127">
        <f t="shared" si="13"/>
        <v>0</v>
      </c>
      <c r="X90" s="127">
        <f t="shared" si="13"/>
        <v>0</v>
      </c>
      <c r="Y90" s="127">
        <f t="shared" si="13"/>
        <v>0</v>
      </c>
      <c r="Z90" s="127">
        <f t="shared" si="13"/>
        <v>0</v>
      </c>
      <c r="AA90" s="127">
        <f t="shared" si="13"/>
        <v>0</v>
      </c>
      <c r="AB90" s="127">
        <f t="shared" si="13"/>
        <v>0</v>
      </c>
      <c r="AC90" s="127">
        <f t="shared" si="13"/>
        <v>0</v>
      </c>
      <c r="AD90" s="127">
        <f t="shared" si="13"/>
        <v>0</v>
      </c>
      <c r="AE90" s="127">
        <f t="shared" si="13"/>
        <v>0</v>
      </c>
    </row>
    <row r="92" spans="1:35" customFormat="1" ht="15" x14ac:dyDescent="0.2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2064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5" x14ac:dyDescent="0.2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2065</v>
      </c>
      <c r="F93" s="14" t="s">
        <v>2066</v>
      </c>
      <c r="G93" s="125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2131</v>
      </c>
      <c r="L93" s="126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5" x14ac:dyDescent="0.25">
      <c r="B94" s="14" t="s">
        <v>53</v>
      </c>
      <c r="C94" s="14" t="str">
        <f t="shared" si="14"/>
        <v>mch</v>
      </c>
      <c r="D94" s="15" t="s">
        <v>54</v>
      </c>
      <c r="E94" s="16" t="s">
        <v>2065</v>
      </c>
      <c r="F94" s="14" t="s">
        <v>2066</v>
      </c>
      <c r="G94" s="125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2132</v>
      </c>
      <c r="L94" s="126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5" x14ac:dyDescent="0.25">
      <c r="B95" s="14" t="s">
        <v>55</v>
      </c>
      <c r="C95" s="14" t="str">
        <f t="shared" si="14"/>
        <v>mch</v>
      </c>
      <c r="D95" s="15" t="s">
        <v>56</v>
      </c>
      <c r="E95" s="16" t="s">
        <v>2065</v>
      </c>
      <c r="F95" s="14" t="s">
        <v>2066</v>
      </c>
      <c r="G95" s="125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2133</v>
      </c>
      <c r="L95" s="126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5" x14ac:dyDescent="0.25">
      <c r="B96" s="14" t="s">
        <v>58</v>
      </c>
      <c r="C96" s="14" t="str">
        <f t="shared" si="14"/>
        <v>mch</v>
      </c>
      <c r="D96" s="15" t="s">
        <v>59</v>
      </c>
      <c r="E96" s="16" t="s">
        <v>2065</v>
      </c>
      <c r="F96" s="14" t="s">
        <v>2066</v>
      </c>
      <c r="G96" s="125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2134</v>
      </c>
      <c r="L96" s="126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5" x14ac:dyDescent="0.25">
      <c r="B97" s="14" t="s">
        <v>60</v>
      </c>
      <c r="C97" s="14" t="str">
        <f t="shared" si="14"/>
        <v>mch</v>
      </c>
      <c r="D97" s="15" t="s">
        <v>61</v>
      </c>
      <c r="E97" s="16" t="s">
        <v>2065</v>
      </c>
      <c r="F97" s="14" t="s">
        <v>2066</v>
      </c>
      <c r="G97" s="125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2135</v>
      </c>
      <c r="L97" s="126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5" x14ac:dyDescent="0.25">
      <c r="B98" s="14" t="s">
        <v>62</v>
      </c>
      <c r="C98" s="14" t="str">
        <f t="shared" si="14"/>
        <v>mch</v>
      </c>
      <c r="D98" s="15" t="s">
        <v>63</v>
      </c>
      <c r="E98" s="16" t="s">
        <v>2065</v>
      </c>
      <c r="F98" s="14" t="s">
        <v>2066</v>
      </c>
      <c r="G98" s="125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2136</v>
      </c>
      <c r="L98" s="126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5" x14ac:dyDescent="0.25">
      <c r="B99" s="14" t="s">
        <v>64</v>
      </c>
      <c r="C99" s="14" t="str">
        <f t="shared" si="14"/>
        <v>mch</v>
      </c>
      <c r="D99" s="15" t="s">
        <v>65</v>
      </c>
      <c r="E99" s="16" t="s">
        <v>2065</v>
      </c>
      <c r="F99" s="14" t="s">
        <v>2066</v>
      </c>
      <c r="G99" s="125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2137</v>
      </c>
      <c r="L99" s="126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5" x14ac:dyDescent="0.25">
      <c r="B100" s="14" t="s">
        <v>67</v>
      </c>
      <c r="C100" s="14" t="str">
        <f t="shared" si="14"/>
        <v>mch</v>
      </c>
      <c r="D100" s="15" t="s">
        <v>68</v>
      </c>
      <c r="E100" s="16" t="s">
        <v>2065</v>
      </c>
      <c r="F100" s="14" t="s">
        <v>2066</v>
      </c>
      <c r="G100" s="125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2138</v>
      </c>
      <c r="L100" s="126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5" x14ac:dyDescent="0.25">
      <c r="B101" s="14" t="s">
        <v>69</v>
      </c>
      <c r="C101" s="14" t="str">
        <f t="shared" si="14"/>
        <v>mch</v>
      </c>
      <c r="D101" s="15" t="s">
        <v>70</v>
      </c>
      <c r="E101" s="16" t="s">
        <v>2065</v>
      </c>
      <c r="F101" s="14" t="s">
        <v>2066</v>
      </c>
      <c r="G101" s="125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2139</v>
      </c>
      <c r="L101" s="126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5" x14ac:dyDescent="0.25">
      <c r="B102" s="14" t="s">
        <v>110</v>
      </c>
      <c r="C102" s="14" t="str">
        <f t="shared" si="14"/>
        <v>mch</v>
      </c>
      <c r="D102" s="25" t="s">
        <v>111</v>
      </c>
      <c r="E102" s="16" t="s">
        <v>2065</v>
      </c>
      <c r="F102" s="14" t="s">
        <v>2066</v>
      </c>
      <c r="H102" s="45" t="str">
        <f>Settings!$B$3&amp;".mit.eco2."&amp;$C$92&amp;".tot.e."&amp;$J$92</f>
        <v>egy.mit.eco2.mch.tot.e.2</v>
      </c>
      <c r="L102" s="127">
        <f t="shared" ref="L102:AE102" si="15">SUM(L93:L101)</f>
        <v>0</v>
      </c>
      <c r="M102" s="127">
        <f t="shared" si="15"/>
        <v>0</v>
      </c>
      <c r="N102" s="127">
        <f t="shared" si="15"/>
        <v>0</v>
      </c>
      <c r="O102" s="127">
        <f t="shared" si="15"/>
        <v>0</v>
      </c>
      <c r="P102" s="127">
        <f t="shared" si="15"/>
        <v>0</v>
      </c>
      <c r="Q102" s="127">
        <f t="shared" si="15"/>
        <v>0</v>
      </c>
      <c r="R102" s="127">
        <f t="shared" si="15"/>
        <v>0</v>
      </c>
      <c r="S102" s="127">
        <f t="shared" si="15"/>
        <v>0</v>
      </c>
      <c r="T102" s="127">
        <f t="shared" si="15"/>
        <v>0</v>
      </c>
      <c r="U102" s="127">
        <f t="shared" si="15"/>
        <v>0</v>
      </c>
      <c r="V102" s="127">
        <f t="shared" si="15"/>
        <v>0</v>
      </c>
      <c r="W102" s="127">
        <f t="shared" si="15"/>
        <v>0</v>
      </c>
      <c r="X102" s="127">
        <f t="shared" si="15"/>
        <v>0</v>
      </c>
      <c r="Y102" s="127">
        <f t="shared" si="15"/>
        <v>0</v>
      </c>
      <c r="Z102" s="127">
        <f t="shared" si="15"/>
        <v>0</v>
      </c>
      <c r="AA102" s="127">
        <f t="shared" si="15"/>
        <v>0</v>
      </c>
      <c r="AB102" s="127">
        <f t="shared" si="15"/>
        <v>0</v>
      </c>
      <c r="AC102" s="127">
        <f t="shared" si="15"/>
        <v>0</v>
      </c>
      <c r="AD102" s="127">
        <f t="shared" si="15"/>
        <v>0</v>
      </c>
      <c r="AE102" s="127">
        <f t="shared" si="15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ColWidth="9" defaultRowHeight="14.25" x14ac:dyDescent="0.2"/>
  <cols>
    <col min="1" max="1" width="3" style="112" customWidth="1"/>
    <col min="2" max="2" width="12.42578125" style="112" customWidth="1"/>
    <col min="3" max="3" width="28" style="112" customWidth="1"/>
    <col min="4" max="4" width="40.5703125" style="112" customWidth="1"/>
    <col min="5" max="5" width="14.7109375" style="112" customWidth="1"/>
    <col min="6" max="6" width="17.7109375" style="112" customWidth="1"/>
    <col min="7" max="7" width="30.28515625" style="112" customWidth="1"/>
    <col min="8" max="8" width="28.85546875" style="112" customWidth="1"/>
    <col min="9" max="9" width="55.5703125" style="112" customWidth="1"/>
    <col min="10" max="10" width="30.28515625" style="112" customWidth="1"/>
    <col min="11" max="11" width="10.5703125" style="112" customWidth="1"/>
    <col min="12" max="35" width="12" style="112" customWidth="1"/>
    <col min="36" max="16384" width="9" style="112"/>
  </cols>
  <sheetData>
    <row r="1" spans="1:35" customFormat="1" ht="15" x14ac:dyDescent="0.2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5" x14ac:dyDescent="0.25">
      <c r="A2" s="33"/>
      <c r="B2" s="44" t="s">
        <v>2171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25">
      <c r="A3" s="8"/>
      <c r="B3" s="9" t="s">
        <v>2172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5" x14ac:dyDescent="0.25">
      <c r="A5" s="11"/>
      <c r="B5" s="6"/>
      <c r="C5" s="7" t="s">
        <v>2173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5" x14ac:dyDescent="0.25">
      <c r="B6" s="14" t="s">
        <v>1782</v>
      </c>
      <c r="C6" s="14"/>
      <c r="D6" s="15" t="s">
        <v>2174</v>
      </c>
      <c r="E6" s="16" t="s">
        <v>79</v>
      </c>
      <c r="F6" s="14" t="s">
        <v>1782</v>
      </c>
      <c r="G6" s="125" t="s">
        <v>1840</v>
      </c>
      <c r="H6" s="17"/>
      <c r="I6" t="s">
        <v>2175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5" x14ac:dyDescent="0.25">
      <c r="B7" s="14" t="s">
        <v>1786</v>
      </c>
      <c r="C7" s="14"/>
      <c r="D7" s="15" t="s">
        <v>2176</v>
      </c>
      <c r="E7" s="16" t="s">
        <v>1398</v>
      </c>
      <c r="F7" s="14" t="s">
        <v>1786</v>
      </c>
      <c r="G7" s="125" t="s">
        <v>1841</v>
      </c>
      <c r="H7" s="17"/>
      <c r="I7" t="s">
        <v>2177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5" x14ac:dyDescent="0.25">
      <c r="A9" s="11"/>
      <c r="B9" s="6"/>
      <c r="C9" s="7" t="s">
        <v>2178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5" x14ac:dyDescent="0.25">
      <c r="B10" s="14" t="s">
        <v>1435</v>
      </c>
      <c r="C10" s="14" t="s">
        <v>43</v>
      </c>
      <c r="D10" s="15" t="s">
        <v>2179</v>
      </c>
      <c r="E10" s="16" t="s">
        <v>2180</v>
      </c>
      <c r="F10" s="14" t="s">
        <v>2178</v>
      </c>
      <c r="G10" s="17"/>
      <c r="H10" s="125" t="str">
        <f>Settings!$B$3&amp;".mit.obrbm.stl.drg.1"</f>
        <v>egy.mit.obrbm.stl.drg.1</v>
      </c>
      <c r="I10" t="s">
        <v>2181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5" x14ac:dyDescent="0.25">
      <c r="B11" s="14" t="s">
        <v>1438</v>
      </c>
      <c r="C11" s="14" t="s">
        <v>43</v>
      </c>
      <c r="D11" s="15" t="s">
        <v>2182</v>
      </c>
      <c r="E11" s="16" t="s">
        <v>2180</v>
      </c>
      <c r="F11" s="14" t="s">
        <v>2178</v>
      </c>
      <c r="G11" s="17"/>
      <c r="H11" s="125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5" x14ac:dyDescent="0.25">
      <c r="B12" s="14" t="s">
        <v>1441</v>
      </c>
      <c r="C12" s="14" t="s">
        <v>43</v>
      </c>
      <c r="D12" s="15" t="s">
        <v>2183</v>
      </c>
      <c r="E12" s="16" t="s">
        <v>2180</v>
      </c>
      <c r="F12" s="14" t="s">
        <v>2178</v>
      </c>
      <c r="G12" s="17"/>
      <c r="H12" s="125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5" x14ac:dyDescent="0.25">
      <c r="B13" s="14" t="s">
        <v>1444</v>
      </c>
      <c r="C13" s="14" t="s">
        <v>113</v>
      </c>
      <c r="D13" s="15" t="s">
        <v>2184</v>
      </c>
      <c r="E13" s="16" t="s">
        <v>2180</v>
      </c>
      <c r="F13" s="14" t="s">
        <v>2178</v>
      </c>
      <c r="G13" s="17"/>
      <c r="H13" s="125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5" x14ac:dyDescent="0.25">
      <c r="B14" s="14" t="s">
        <v>1447</v>
      </c>
      <c r="C14" s="14" t="s">
        <v>117</v>
      </c>
      <c r="D14" s="15" t="s">
        <v>2185</v>
      </c>
      <c r="E14" s="16" t="s">
        <v>2180</v>
      </c>
      <c r="F14" s="14" t="s">
        <v>2178</v>
      </c>
      <c r="G14" s="17"/>
      <c r="H14" s="125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5" x14ac:dyDescent="0.25">
      <c r="B15" s="14" t="s">
        <v>1450</v>
      </c>
      <c r="C15" s="14" t="s">
        <v>117</v>
      </c>
      <c r="D15" s="15" t="s">
        <v>2186</v>
      </c>
      <c r="E15" s="16" t="s">
        <v>2180</v>
      </c>
      <c r="F15" s="14" t="s">
        <v>2178</v>
      </c>
      <c r="G15" s="17"/>
      <c r="H15" s="125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5" x14ac:dyDescent="0.25">
      <c r="B16" s="14" t="s">
        <v>1453</v>
      </c>
      <c r="C16" s="14" t="s">
        <v>117</v>
      </c>
      <c r="D16" s="15" t="s">
        <v>2187</v>
      </c>
      <c r="E16" s="16" t="s">
        <v>2180</v>
      </c>
      <c r="F16" s="14" t="s">
        <v>2178</v>
      </c>
      <c r="G16" s="17"/>
      <c r="H16" s="125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5" x14ac:dyDescent="0.25">
      <c r="B17" s="14" t="s">
        <v>1456</v>
      </c>
      <c r="C17" s="14" t="s">
        <v>115</v>
      </c>
      <c r="D17" s="15" t="s">
        <v>2188</v>
      </c>
      <c r="E17" s="16" t="s">
        <v>2180</v>
      </c>
      <c r="F17" s="14" t="s">
        <v>2178</v>
      </c>
      <c r="G17" s="17"/>
      <c r="H17" s="125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5" x14ac:dyDescent="0.25">
      <c r="A19" s="11"/>
      <c r="B19" s="6"/>
      <c r="C19" s="7" t="s">
        <v>2189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5" x14ac:dyDescent="0.25">
      <c r="B20" s="14" t="s">
        <v>1435</v>
      </c>
      <c r="C20" s="14" t="s">
        <v>43</v>
      </c>
      <c r="D20" s="15" t="s">
        <v>2190</v>
      </c>
      <c r="E20" s="16" t="s">
        <v>2191</v>
      </c>
      <c r="F20" s="14" t="s">
        <v>2189</v>
      </c>
      <c r="G20" s="17"/>
      <c r="H20" s="125" t="str">
        <f>Settings!$B$3&amp;".mit.ccpt.stl.drg.1"</f>
        <v>egy.mit.ccpt.stl.drg.1</v>
      </c>
      <c r="I20" t="s">
        <v>2192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5" x14ac:dyDescent="0.25">
      <c r="B21" s="14" t="s">
        <v>1438</v>
      </c>
      <c r="C21" s="14" t="s">
        <v>43</v>
      </c>
      <c r="D21" s="15" t="s">
        <v>2193</v>
      </c>
      <c r="E21" s="16" t="s">
        <v>2191</v>
      </c>
      <c r="F21" s="14" t="s">
        <v>2189</v>
      </c>
      <c r="G21" s="17"/>
      <c r="H21" s="125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5" x14ac:dyDescent="0.25">
      <c r="B22" s="14" t="s">
        <v>1441</v>
      </c>
      <c r="C22" s="14" t="s">
        <v>43</v>
      </c>
      <c r="D22" s="15" t="s">
        <v>2194</v>
      </c>
      <c r="E22" s="16" t="s">
        <v>2191</v>
      </c>
      <c r="F22" s="14" t="s">
        <v>2189</v>
      </c>
      <c r="G22" s="17"/>
      <c r="H22" s="125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5" x14ac:dyDescent="0.25">
      <c r="B23" s="14" t="s">
        <v>1444</v>
      </c>
      <c r="C23" s="14" t="s">
        <v>113</v>
      </c>
      <c r="D23" s="15" t="s">
        <v>2195</v>
      </c>
      <c r="E23" s="16" t="s">
        <v>2191</v>
      </c>
      <c r="F23" s="14" t="s">
        <v>2189</v>
      </c>
      <c r="G23" s="17"/>
      <c r="H23" s="125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5" x14ac:dyDescent="0.25">
      <c r="B24" s="14" t="s">
        <v>1447</v>
      </c>
      <c r="C24" s="14" t="s">
        <v>117</v>
      </c>
      <c r="D24" s="15" t="s">
        <v>2196</v>
      </c>
      <c r="E24" s="16" t="s">
        <v>2191</v>
      </c>
      <c r="F24" s="14" t="s">
        <v>2189</v>
      </c>
      <c r="G24" s="17"/>
      <c r="H24" s="125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5" x14ac:dyDescent="0.25">
      <c r="B25" s="14" t="s">
        <v>1450</v>
      </c>
      <c r="C25" s="14" t="s">
        <v>117</v>
      </c>
      <c r="D25" s="15" t="s">
        <v>2197</v>
      </c>
      <c r="E25" s="16" t="s">
        <v>2191</v>
      </c>
      <c r="F25" s="14" t="s">
        <v>2189</v>
      </c>
      <c r="G25" s="17"/>
      <c r="H25" s="125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5" x14ac:dyDescent="0.25">
      <c r="B26" s="14" t="s">
        <v>1453</v>
      </c>
      <c r="C26" s="14" t="s">
        <v>117</v>
      </c>
      <c r="D26" s="15" t="s">
        <v>2198</v>
      </c>
      <c r="E26" s="16" t="s">
        <v>2191</v>
      </c>
      <c r="F26" s="14" t="s">
        <v>2189</v>
      </c>
      <c r="G26" s="17"/>
      <c r="H26" s="125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5" x14ac:dyDescent="0.25">
      <c r="B27" s="14" t="s">
        <v>1456</v>
      </c>
      <c r="C27" s="14" t="s">
        <v>115</v>
      </c>
      <c r="D27" s="15" t="s">
        <v>2199</v>
      </c>
      <c r="E27" s="16" t="s">
        <v>2191</v>
      </c>
      <c r="F27" s="14" t="s">
        <v>2189</v>
      </c>
      <c r="G27" s="17"/>
      <c r="H27" s="125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5" x14ac:dyDescent="0.25">
      <c r="A29" s="11"/>
      <c r="B29" s="6"/>
      <c r="C29" s="7" t="s">
        <v>2200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5" x14ac:dyDescent="0.25">
      <c r="B30" s="14" t="s">
        <v>1435</v>
      </c>
      <c r="C30" s="14" t="s">
        <v>43</v>
      </c>
      <c r="D30" s="15" t="s">
        <v>2201</v>
      </c>
      <c r="E30" s="16" t="s">
        <v>2191</v>
      </c>
      <c r="F30" s="14" t="s">
        <v>2200</v>
      </c>
      <c r="G30" s="17"/>
      <c r="H30" s="125" t="str">
        <f>Settings!$B$3&amp;".mit.obrpu.stl.drg.1"</f>
        <v>egy.mit.obrpu.stl.drg.1</v>
      </c>
      <c r="I30" t="s">
        <v>2202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5" x14ac:dyDescent="0.25">
      <c r="B31" s="14" t="s">
        <v>1438</v>
      </c>
      <c r="C31" s="14" t="s">
        <v>43</v>
      </c>
      <c r="D31" s="15" t="s">
        <v>2203</v>
      </c>
      <c r="E31" s="16" t="s">
        <v>2191</v>
      </c>
      <c r="F31" s="14" t="s">
        <v>2200</v>
      </c>
      <c r="G31" s="17"/>
      <c r="H31" s="125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5" x14ac:dyDescent="0.25">
      <c r="B32" s="14" t="s">
        <v>1441</v>
      </c>
      <c r="C32" s="14" t="s">
        <v>43</v>
      </c>
      <c r="D32" s="15" t="s">
        <v>2204</v>
      </c>
      <c r="E32" s="16" t="s">
        <v>2191</v>
      </c>
      <c r="F32" s="14" t="s">
        <v>2200</v>
      </c>
      <c r="G32" s="17"/>
      <c r="H32" s="125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5" x14ac:dyDescent="0.25">
      <c r="B33" s="14" t="s">
        <v>1444</v>
      </c>
      <c r="C33" s="14" t="s">
        <v>113</v>
      </c>
      <c r="D33" s="15" t="s">
        <v>2205</v>
      </c>
      <c r="E33" s="16" t="s">
        <v>2191</v>
      </c>
      <c r="F33" s="14" t="s">
        <v>2200</v>
      </c>
      <c r="G33" s="17"/>
      <c r="H33" s="125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5" x14ac:dyDescent="0.25">
      <c r="B34" s="14" t="s">
        <v>1447</v>
      </c>
      <c r="C34" s="14" t="s">
        <v>117</v>
      </c>
      <c r="D34" s="15" t="s">
        <v>2206</v>
      </c>
      <c r="E34" s="16" t="s">
        <v>2191</v>
      </c>
      <c r="F34" s="14" t="s">
        <v>2200</v>
      </c>
      <c r="G34" s="17"/>
      <c r="H34" s="125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5" x14ac:dyDescent="0.25">
      <c r="B35" s="14" t="s">
        <v>1450</v>
      </c>
      <c r="C35" s="14" t="s">
        <v>117</v>
      </c>
      <c r="D35" s="15" t="s">
        <v>2207</v>
      </c>
      <c r="E35" s="16" t="s">
        <v>2191</v>
      </c>
      <c r="F35" s="14" t="s">
        <v>2200</v>
      </c>
      <c r="G35" s="17"/>
      <c r="H35" s="125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5" x14ac:dyDescent="0.25">
      <c r="B36" s="14" t="s">
        <v>1453</v>
      </c>
      <c r="C36" s="14" t="s">
        <v>117</v>
      </c>
      <c r="D36" s="15" t="s">
        <v>2208</v>
      </c>
      <c r="E36" s="16" t="s">
        <v>2191</v>
      </c>
      <c r="F36" s="14" t="s">
        <v>2200</v>
      </c>
      <c r="G36" s="17"/>
      <c r="H36" s="125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5" x14ac:dyDescent="0.25">
      <c r="B37" s="14" t="s">
        <v>1456</v>
      </c>
      <c r="C37" s="14" t="s">
        <v>115</v>
      </c>
      <c r="D37" s="15" t="s">
        <v>2209</v>
      </c>
      <c r="E37" s="16" t="s">
        <v>2191</v>
      </c>
      <c r="F37" s="14" t="s">
        <v>2200</v>
      </c>
      <c r="G37" s="17"/>
      <c r="H37" s="125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5" x14ac:dyDescent="0.25">
      <c r="A39" s="11"/>
      <c r="B39" s="6"/>
      <c r="C39" s="7" t="s">
        <v>2210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5" x14ac:dyDescent="0.25">
      <c r="B40" s="14" t="s">
        <v>1435</v>
      </c>
      <c r="C40" s="14" t="s">
        <v>43</v>
      </c>
      <c r="D40" s="15" t="s">
        <v>2211</v>
      </c>
      <c r="E40" s="16" t="s">
        <v>2191</v>
      </c>
      <c r="F40" s="14" t="s">
        <v>2210</v>
      </c>
      <c r="G40" s="17"/>
      <c r="H40" s="125" t="str">
        <f>Settings!$B$3&amp;".mit.obrpt.stl.drg.1"</f>
        <v>egy.mit.obrpt.stl.drg.1</v>
      </c>
      <c r="I40" t="s">
        <v>2212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5" x14ac:dyDescent="0.25">
      <c r="B41" s="14" t="s">
        <v>1438</v>
      </c>
      <c r="C41" s="14" t="s">
        <v>43</v>
      </c>
      <c r="D41" s="15" t="s">
        <v>2213</v>
      </c>
      <c r="E41" s="16" t="s">
        <v>2191</v>
      </c>
      <c r="F41" s="14" t="s">
        <v>2210</v>
      </c>
      <c r="G41" s="17"/>
      <c r="H41" s="125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5" x14ac:dyDescent="0.25">
      <c r="B42" s="14" t="s">
        <v>1441</v>
      </c>
      <c r="C42" s="14" t="s">
        <v>43</v>
      </c>
      <c r="D42" s="15" t="s">
        <v>2214</v>
      </c>
      <c r="E42" s="16" t="s">
        <v>2191</v>
      </c>
      <c r="F42" s="14" t="s">
        <v>2210</v>
      </c>
      <c r="G42" s="17"/>
      <c r="H42" s="125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5" x14ac:dyDescent="0.25">
      <c r="B43" s="14" t="s">
        <v>1444</v>
      </c>
      <c r="C43" s="14" t="s">
        <v>113</v>
      </c>
      <c r="D43" s="15" t="s">
        <v>2215</v>
      </c>
      <c r="E43" s="16" t="s">
        <v>2191</v>
      </c>
      <c r="F43" s="14" t="s">
        <v>2210</v>
      </c>
      <c r="G43" s="17"/>
      <c r="H43" s="125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5" x14ac:dyDescent="0.25">
      <c r="B44" s="14" t="s">
        <v>1447</v>
      </c>
      <c r="C44" s="14" t="s">
        <v>117</v>
      </c>
      <c r="D44" s="15" t="s">
        <v>2216</v>
      </c>
      <c r="E44" s="16" t="s">
        <v>2191</v>
      </c>
      <c r="F44" s="14" t="s">
        <v>2210</v>
      </c>
      <c r="G44" s="17"/>
      <c r="H44" s="125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5" x14ac:dyDescent="0.25">
      <c r="B45" s="14" t="s">
        <v>1450</v>
      </c>
      <c r="C45" s="14" t="s">
        <v>117</v>
      </c>
      <c r="D45" s="15" t="s">
        <v>2217</v>
      </c>
      <c r="E45" s="16" t="s">
        <v>2191</v>
      </c>
      <c r="F45" s="14" t="s">
        <v>2210</v>
      </c>
      <c r="G45" s="17"/>
      <c r="H45" s="125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5" x14ac:dyDescent="0.25">
      <c r="B46" s="14" t="s">
        <v>1453</v>
      </c>
      <c r="C46" s="14" t="s">
        <v>117</v>
      </c>
      <c r="D46" s="15" t="s">
        <v>2218</v>
      </c>
      <c r="E46" s="16" t="s">
        <v>2191</v>
      </c>
      <c r="F46" s="14" t="s">
        <v>2210</v>
      </c>
      <c r="G46" s="17"/>
      <c r="H46" s="125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5" x14ac:dyDescent="0.25">
      <c r="B47" s="14" t="s">
        <v>1456</v>
      </c>
      <c r="C47" s="14" t="s">
        <v>115</v>
      </c>
      <c r="D47" s="15" t="s">
        <v>2219</v>
      </c>
      <c r="E47" s="16" t="s">
        <v>2191</v>
      </c>
      <c r="F47" s="14" t="s">
        <v>2210</v>
      </c>
      <c r="G47" s="17"/>
      <c r="H47" s="125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5" x14ac:dyDescent="0.25">
      <c r="A49" s="11"/>
      <c r="B49" s="6"/>
      <c r="C49" s="7" t="s">
        <v>2220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5" x14ac:dyDescent="0.25">
      <c r="B50" s="14" t="s">
        <v>1435</v>
      </c>
      <c r="C50" s="14" t="s">
        <v>43</v>
      </c>
      <c r="D50" s="15" t="s">
        <v>2221</v>
      </c>
      <c r="E50" s="16" t="s">
        <v>2191</v>
      </c>
      <c r="F50" s="14" t="s">
        <v>2220</v>
      </c>
      <c r="G50" s="17"/>
      <c r="H50" s="125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5" x14ac:dyDescent="0.25">
      <c r="B51" s="14" t="s">
        <v>1438</v>
      </c>
      <c r="C51" s="14" t="s">
        <v>43</v>
      </c>
      <c r="D51" s="15" t="s">
        <v>2222</v>
      </c>
      <c r="E51" s="16" t="s">
        <v>2191</v>
      </c>
      <c r="F51" s="14" t="s">
        <v>2220</v>
      </c>
      <c r="G51" s="17"/>
      <c r="H51" s="125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5" x14ac:dyDescent="0.25">
      <c r="B52" s="14" t="s">
        <v>1441</v>
      </c>
      <c r="C52" s="14" t="s">
        <v>43</v>
      </c>
      <c r="D52" s="15" t="s">
        <v>2223</v>
      </c>
      <c r="E52" s="16" t="s">
        <v>2191</v>
      </c>
      <c r="F52" s="14" t="s">
        <v>2220</v>
      </c>
      <c r="G52" s="17"/>
      <c r="H52" s="125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5" x14ac:dyDescent="0.25">
      <c r="B53" s="14" t="s">
        <v>1444</v>
      </c>
      <c r="C53" s="14" t="s">
        <v>113</v>
      </c>
      <c r="D53" s="15" t="s">
        <v>2224</v>
      </c>
      <c r="E53" s="16" t="s">
        <v>2191</v>
      </c>
      <c r="F53" s="14" t="s">
        <v>2220</v>
      </c>
      <c r="G53" s="17"/>
      <c r="H53" s="125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5" x14ac:dyDescent="0.25">
      <c r="B54" s="14" t="s">
        <v>1447</v>
      </c>
      <c r="C54" s="14" t="s">
        <v>117</v>
      </c>
      <c r="D54" s="15" t="s">
        <v>2225</v>
      </c>
      <c r="E54" s="16" t="s">
        <v>2191</v>
      </c>
      <c r="F54" s="14" t="s">
        <v>2220</v>
      </c>
      <c r="G54" s="17"/>
      <c r="H54" s="125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5" x14ac:dyDescent="0.25">
      <c r="B55" s="14" t="s">
        <v>1450</v>
      </c>
      <c r="C55" s="14" t="s">
        <v>117</v>
      </c>
      <c r="D55" s="15" t="s">
        <v>2226</v>
      </c>
      <c r="E55" s="16" t="s">
        <v>2191</v>
      </c>
      <c r="F55" s="14" t="s">
        <v>2220</v>
      </c>
      <c r="G55" s="17"/>
      <c r="H55" s="125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5" x14ac:dyDescent="0.25">
      <c r="B56" s="14" t="s">
        <v>1453</v>
      </c>
      <c r="C56" s="14" t="s">
        <v>117</v>
      </c>
      <c r="D56" s="15" t="s">
        <v>2227</v>
      </c>
      <c r="E56" s="16" t="s">
        <v>2191</v>
      </c>
      <c r="F56" s="14" t="s">
        <v>2220</v>
      </c>
      <c r="G56" s="17"/>
      <c r="H56" s="125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5" x14ac:dyDescent="0.25">
      <c r="B57" s="14" t="s">
        <v>1456</v>
      </c>
      <c r="C57" s="14" t="s">
        <v>115</v>
      </c>
      <c r="D57" s="15" t="s">
        <v>2228</v>
      </c>
      <c r="E57" s="16" t="s">
        <v>2191</v>
      </c>
      <c r="F57" s="14" t="s">
        <v>2220</v>
      </c>
      <c r="G57" s="17"/>
      <c r="H57" s="125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5" x14ac:dyDescent="0.25">
      <c r="A59" s="11"/>
      <c r="B59" s="6"/>
      <c r="C59" s="7" t="s">
        <v>2229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5" x14ac:dyDescent="0.25">
      <c r="B60" s="14" t="s">
        <v>1435</v>
      </c>
      <c r="C60" s="14" t="s">
        <v>43</v>
      </c>
      <c r="D60" s="15" t="s">
        <v>2230</v>
      </c>
      <c r="E60" s="16" t="s">
        <v>79</v>
      </c>
      <c r="F60" s="14" t="s">
        <v>2229</v>
      </c>
      <c r="G60" s="17"/>
      <c r="H60" s="125" t="str">
        <f>Settings!$B$3&amp;".mit.ppin.stl.drg.1"</f>
        <v>egy.mit.ppin.stl.drg.1</v>
      </c>
      <c r="I60" t="s">
        <v>2231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5" x14ac:dyDescent="0.25">
      <c r="B61" s="14" t="s">
        <v>1438</v>
      </c>
      <c r="C61" s="14" t="s">
        <v>43</v>
      </c>
      <c r="D61" s="15" t="s">
        <v>2232</v>
      </c>
      <c r="E61" s="16" t="s">
        <v>79</v>
      </c>
      <c r="F61" s="14" t="s">
        <v>2229</v>
      </c>
      <c r="G61" s="17"/>
      <c r="H61" s="125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5" x14ac:dyDescent="0.25">
      <c r="B62" s="14" t="s">
        <v>1441</v>
      </c>
      <c r="C62" s="14" t="s">
        <v>43</v>
      </c>
      <c r="D62" s="15" t="s">
        <v>2233</v>
      </c>
      <c r="E62" s="16" t="s">
        <v>79</v>
      </c>
      <c r="F62" s="14" t="s">
        <v>2229</v>
      </c>
      <c r="G62" s="17"/>
      <c r="H62" s="125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5" x14ac:dyDescent="0.25">
      <c r="B63" s="14" t="s">
        <v>1444</v>
      </c>
      <c r="C63" s="14" t="s">
        <v>113</v>
      </c>
      <c r="D63" s="15" t="s">
        <v>2234</v>
      </c>
      <c r="E63" s="16" t="s">
        <v>79</v>
      </c>
      <c r="F63" s="14" t="s">
        <v>2229</v>
      </c>
      <c r="G63" s="17"/>
      <c r="H63" s="125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5" x14ac:dyDescent="0.25">
      <c r="B64" s="14" t="s">
        <v>1447</v>
      </c>
      <c r="C64" s="14" t="s">
        <v>117</v>
      </c>
      <c r="D64" s="15" t="s">
        <v>2235</v>
      </c>
      <c r="E64" s="16" t="s">
        <v>79</v>
      </c>
      <c r="F64" s="14" t="s">
        <v>2229</v>
      </c>
      <c r="G64" s="17"/>
      <c r="H64" s="125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5" x14ac:dyDescent="0.25">
      <c r="B65" s="14" t="s">
        <v>1450</v>
      </c>
      <c r="C65" s="14" t="s">
        <v>117</v>
      </c>
      <c r="D65" s="15" t="s">
        <v>2236</v>
      </c>
      <c r="E65" s="16" t="s">
        <v>79</v>
      </c>
      <c r="F65" s="14" t="s">
        <v>2229</v>
      </c>
      <c r="G65" s="17"/>
      <c r="H65" s="125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5" x14ac:dyDescent="0.25">
      <c r="B66" s="14" t="s">
        <v>1453</v>
      </c>
      <c r="C66" s="14" t="s">
        <v>117</v>
      </c>
      <c r="D66" s="15" t="s">
        <v>2237</v>
      </c>
      <c r="E66" s="16" t="s">
        <v>79</v>
      </c>
      <c r="F66" s="14" t="s">
        <v>2229</v>
      </c>
      <c r="G66" s="17"/>
      <c r="H66" s="125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5" x14ac:dyDescent="0.25">
      <c r="B67" s="14" t="s">
        <v>1456</v>
      </c>
      <c r="C67" s="14" t="s">
        <v>115</v>
      </c>
      <c r="D67" s="15" t="s">
        <v>2238</v>
      </c>
      <c r="E67" s="16" t="s">
        <v>79</v>
      </c>
      <c r="F67" s="14" t="s">
        <v>2229</v>
      </c>
      <c r="G67" s="17"/>
      <c r="H67" s="125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5" x14ac:dyDescent="0.25">
      <c r="A69" s="11"/>
      <c r="B69" s="6"/>
      <c r="C69" s="7" t="s">
        <v>2239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5" x14ac:dyDescent="0.25">
      <c r="B70" s="14" t="s">
        <v>1435</v>
      </c>
      <c r="C70" s="14" t="s">
        <v>43</v>
      </c>
      <c r="D70" s="15" t="s">
        <v>2240</v>
      </c>
      <c r="E70" s="16" t="s">
        <v>1854</v>
      </c>
      <c r="F70" s="14" t="s">
        <v>2239</v>
      </c>
      <c r="G70" s="17"/>
      <c r="H70" s="125" t="str">
        <f>Settings!$B$3&amp;".mit.obr.stl.drg.1"</f>
        <v>egy.mit.obr.stl.drg.1</v>
      </c>
      <c r="I70" t="s">
        <v>2241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5" x14ac:dyDescent="0.25">
      <c r="B71" s="14" t="s">
        <v>1438</v>
      </c>
      <c r="C71" s="14" t="s">
        <v>43</v>
      </c>
      <c r="D71" s="15" t="s">
        <v>2242</v>
      </c>
      <c r="E71" s="16" t="s">
        <v>1854</v>
      </c>
      <c r="F71" s="14" t="s">
        <v>2239</v>
      </c>
      <c r="G71" s="17"/>
      <c r="H71" s="125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5" x14ac:dyDescent="0.25">
      <c r="B72" s="14" t="s">
        <v>1441</v>
      </c>
      <c r="C72" s="14" t="s">
        <v>43</v>
      </c>
      <c r="D72" s="15" t="s">
        <v>2243</v>
      </c>
      <c r="E72" s="16" t="s">
        <v>1854</v>
      </c>
      <c r="F72" s="14" t="s">
        <v>2239</v>
      </c>
      <c r="G72" s="17"/>
      <c r="H72" s="125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5" x14ac:dyDescent="0.25">
      <c r="B73" s="14" t="s">
        <v>1444</v>
      </c>
      <c r="C73" s="14" t="s">
        <v>113</v>
      </c>
      <c r="D73" s="15" t="s">
        <v>2244</v>
      </c>
      <c r="E73" s="16" t="s">
        <v>1854</v>
      </c>
      <c r="F73" s="14" t="s">
        <v>2239</v>
      </c>
      <c r="G73" s="17"/>
      <c r="H73" s="125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5" x14ac:dyDescent="0.25">
      <c r="B74" s="14" t="s">
        <v>1447</v>
      </c>
      <c r="C74" s="14" t="s">
        <v>117</v>
      </c>
      <c r="D74" s="15" t="s">
        <v>2245</v>
      </c>
      <c r="E74" s="16" t="s">
        <v>1854</v>
      </c>
      <c r="F74" s="14" t="s">
        <v>2239</v>
      </c>
      <c r="G74" s="17"/>
      <c r="H74" s="125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5" x14ac:dyDescent="0.25">
      <c r="B75" s="14" t="s">
        <v>1450</v>
      </c>
      <c r="C75" s="14" t="s">
        <v>117</v>
      </c>
      <c r="D75" s="15" t="s">
        <v>2246</v>
      </c>
      <c r="E75" s="16" t="s">
        <v>1854</v>
      </c>
      <c r="F75" s="14" t="s">
        <v>2239</v>
      </c>
      <c r="G75" s="17"/>
      <c r="H75" s="125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5" x14ac:dyDescent="0.25">
      <c r="B76" s="14" t="s">
        <v>1453</v>
      </c>
      <c r="C76" s="14" t="s">
        <v>117</v>
      </c>
      <c r="D76" s="15" t="s">
        <v>2247</v>
      </c>
      <c r="E76" s="16" t="s">
        <v>1854</v>
      </c>
      <c r="F76" s="14" t="s">
        <v>2239</v>
      </c>
      <c r="G76" s="17"/>
      <c r="H76" s="125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5" x14ac:dyDescent="0.25">
      <c r="B77" s="14" t="s">
        <v>1456</v>
      </c>
      <c r="C77" s="14" t="s">
        <v>115</v>
      </c>
      <c r="D77" s="15" t="s">
        <v>2248</v>
      </c>
      <c r="E77" s="16" t="s">
        <v>1854</v>
      </c>
      <c r="F77" s="14" t="s">
        <v>2239</v>
      </c>
      <c r="G77" s="17"/>
      <c r="H77" s="125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5" x14ac:dyDescent="0.25">
      <c r="B78" s="14" t="s">
        <v>110</v>
      </c>
      <c r="C78" s="14"/>
      <c r="D78" s="25" t="s">
        <v>2249</v>
      </c>
      <c r="E78" s="16" t="s">
        <v>1854</v>
      </c>
      <c r="F78" s="14" t="s">
        <v>2239</v>
      </c>
      <c r="H78" s="125" t="str">
        <f>Settings!$B$3&amp;".mit.obr.cbam.tot.1"</f>
        <v>egy.mit.obr.cbam.tot.1</v>
      </c>
      <c r="L78" s="127">
        <f t="shared" ref="L78:AE78" si="24">SUM(L70:L77)</f>
        <v>0</v>
      </c>
      <c r="M78" s="127">
        <f t="shared" si="24"/>
        <v>0</v>
      </c>
      <c r="N78" s="127">
        <f t="shared" si="24"/>
        <v>0</v>
      </c>
      <c r="O78" s="127">
        <f t="shared" si="24"/>
        <v>0</v>
      </c>
      <c r="P78" s="127">
        <f t="shared" si="24"/>
        <v>0</v>
      </c>
      <c r="Q78" s="127">
        <f t="shared" si="24"/>
        <v>0</v>
      </c>
      <c r="R78" s="127">
        <f t="shared" si="24"/>
        <v>0</v>
      </c>
      <c r="S78" s="127">
        <f t="shared" si="24"/>
        <v>0</v>
      </c>
      <c r="T78" s="127">
        <f t="shared" si="24"/>
        <v>0</v>
      </c>
      <c r="U78" s="127">
        <f t="shared" si="24"/>
        <v>0</v>
      </c>
      <c r="V78" s="127">
        <f t="shared" si="24"/>
        <v>0</v>
      </c>
      <c r="W78" s="127">
        <f t="shared" si="24"/>
        <v>0</v>
      </c>
      <c r="X78" s="127">
        <f t="shared" si="24"/>
        <v>0</v>
      </c>
      <c r="Y78" s="127">
        <f t="shared" si="24"/>
        <v>0</v>
      </c>
      <c r="Z78" s="127">
        <f t="shared" si="24"/>
        <v>0</v>
      </c>
      <c r="AA78" s="127">
        <f t="shared" si="24"/>
        <v>0</v>
      </c>
      <c r="AB78" s="127">
        <f t="shared" si="24"/>
        <v>0</v>
      </c>
      <c r="AC78" s="127">
        <f t="shared" si="24"/>
        <v>0</v>
      </c>
      <c r="AD78" s="127">
        <f t="shared" si="24"/>
        <v>0</v>
      </c>
      <c r="AE78" s="127">
        <f t="shared" si="24"/>
        <v>0</v>
      </c>
    </row>
    <row r="80" spans="1:35" customFormat="1" ht="15" x14ac:dyDescent="0.2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5" x14ac:dyDescent="0.25">
      <c r="B81" s="14" t="s">
        <v>110</v>
      </c>
      <c r="C81" s="14" t="s">
        <v>43</v>
      </c>
      <c r="D81" s="25" t="s">
        <v>2250</v>
      </c>
      <c r="E81" s="16" t="s">
        <v>1854</v>
      </c>
      <c r="F81" s="14" t="s">
        <v>2239</v>
      </c>
      <c r="H81" s="125" t="str">
        <f>Settings!$B$3&amp;".mit.obr.ind.irn.1"</f>
        <v>egy.mit.obr.ind.irn.1</v>
      </c>
      <c r="I81" t="s">
        <v>2251</v>
      </c>
      <c r="L81" s="127">
        <f t="shared" ref="L81:AE81" si="25">L$70+L$71+L$72</f>
        <v>0</v>
      </c>
      <c r="M81" s="127">
        <f t="shared" si="25"/>
        <v>0</v>
      </c>
      <c r="N81" s="127">
        <f t="shared" si="25"/>
        <v>0</v>
      </c>
      <c r="O81" s="127">
        <f t="shared" si="25"/>
        <v>0</v>
      </c>
      <c r="P81" s="127">
        <f t="shared" si="25"/>
        <v>0</v>
      </c>
      <c r="Q81" s="127">
        <f t="shared" si="25"/>
        <v>0</v>
      </c>
      <c r="R81" s="127">
        <f t="shared" si="25"/>
        <v>0</v>
      </c>
      <c r="S81" s="127">
        <f t="shared" si="25"/>
        <v>0</v>
      </c>
      <c r="T81" s="127">
        <f t="shared" si="25"/>
        <v>0</v>
      </c>
      <c r="U81" s="127">
        <f t="shared" si="25"/>
        <v>0</v>
      </c>
      <c r="V81" s="127">
        <f t="shared" si="25"/>
        <v>0</v>
      </c>
      <c r="W81" s="127">
        <f t="shared" si="25"/>
        <v>0</v>
      </c>
      <c r="X81" s="127">
        <f t="shared" si="25"/>
        <v>0</v>
      </c>
      <c r="Y81" s="127">
        <f t="shared" si="25"/>
        <v>0</v>
      </c>
      <c r="Z81" s="127">
        <f t="shared" si="25"/>
        <v>0</v>
      </c>
      <c r="AA81" s="127">
        <f t="shared" si="25"/>
        <v>0</v>
      </c>
      <c r="AB81" s="127">
        <f t="shared" si="25"/>
        <v>0</v>
      </c>
      <c r="AC81" s="127">
        <f t="shared" si="25"/>
        <v>0</v>
      </c>
      <c r="AD81" s="127">
        <f t="shared" si="25"/>
        <v>0</v>
      </c>
      <c r="AE81" s="127">
        <f t="shared" si="25"/>
        <v>0</v>
      </c>
    </row>
    <row r="82" spans="1:35" customFormat="1" ht="15" x14ac:dyDescent="0.25">
      <c r="B82" s="14" t="s">
        <v>110</v>
      </c>
      <c r="C82" s="14" t="s">
        <v>43</v>
      </c>
      <c r="D82" s="25" t="s">
        <v>2252</v>
      </c>
      <c r="E82" s="16" t="s">
        <v>1854</v>
      </c>
      <c r="F82" s="14" t="s">
        <v>2253</v>
      </c>
      <c r="H82" s="125" t="str">
        <f>Settings!$B$3&amp;".mit.ccf.ind.irn.1"</f>
        <v>egy.mit.ccf.ind.irn.1</v>
      </c>
      <c r="L82" s="127">
        <f>L$20*Mitigation_Industry!L$276/1000+L$21*Mitigation_Industry!L$277/1000+L$22*Mitigation_Industry!L$278/1000</f>
        <v>0</v>
      </c>
      <c r="M82" s="127">
        <f>M$20*Mitigation_Industry!M$276/1000+M$21*Mitigation_Industry!M$277/1000+M$22*Mitigation_Industry!M$278/1000</f>
        <v>0</v>
      </c>
      <c r="N82" s="127">
        <f>N$20*Mitigation_Industry!N$276/1000+N$21*Mitigation_Industry!N$277/1000+N$22*Mitigation_Industry!N$278/1000</f>
        <v>0</v>
      </c>
      <c r="O82" s="127">
        <f>O$20*Mitigation_Industry!O$276/1000+O$21*Mitigation_Industry!O$277/1000+O$22*Mitigation_Industry!O$278/1000</f>
        <v>0</v>
      </c>
      <c r="P82" s="127">
        <f>P$20*Mitigation_Industry!P$276/1000+P$21*Mitigation_Industry!P$277/1000+P$22*Mitigation_Industry!P$278/1000</f>
        <v>0</v>
      </c>
      <c r="Q82" s="127">
        <f>Q$20*Mitigation_Industry!Q$276/1000+Q$21*Mitigation_Industry!Q$277/1000+Q$22*Mitigation_Industry!Q$278/1000</f>
        <v>0</v>
      </c>
      <c r="R82" s="127">
        <f>R$20*Mitigation_Industry!R$276/1000+R$21*Mitigation_Industry!R$277/1000+R$22*Mitigation_Industry!R$278/1000</f>
        <v>0</v>
      </c>
      <c r="S82" s="127">
        <f>S$20*Mitigation_Industry!S$276/1000+S$21*Mitigation_Industry!S$277/1000+S$22*Mitigation_Industry!S$278/1000</f>
        <v>0</v>
      </c>
      <c r="T82" s="127">
        <f>T$20*Mitigation_Industry!T$276/1000+T$21*Mitigation_Industry!T$277/1000+T$22*Mitigation_Industry!T$278/1000</f>
        <v>0</v>
      </c>
      <c r="U82" s="127">
        <f>U$20*Mitigation_Industry!U$276/1000+U$21*Mitigation_Industry!U$277/1000+U$22*Mitigation_Industry!U$278/1000</f>
        <v>0</v>
      </c>
      <c r="V82" s="127">
        <f>V$20*Mitigation_Industry!V$276/1000+V$21*Mitigation_Industry!V$277/1000+V$22*Mitigation_Industry!V$278/1000</f>
        <v>0</v>
      </c>
      <c r="W82" s="127">
        <f>W$20*Mitigation_Industry!W$276/1000+W$21*Mitigation_Industry!W$277/1000+W$22*Mitigation_Industry!W$278/1000</f>
        <v>0</v>
      </c>
      <c r="X82" s="127">
        <f>X$20*Mitigation_Industry!X$276/1000+X$21*Mitigation_Industry!X$277/1000+X$22*Mitigation_Industry!X$278/1000</f>
        <v>0</v>
      </c>
      <c r="Y82" s="127">
        <f>Y$20*Mitigation_Industry!Y$276/1000+Y$21*Mitigation_Industry!Y$277/1000+Y$22*Mitigation_Industry!Y$278/1000</f>
        <v>0</v>
      </c>
      <c r="Z82" s="127">
        <f>Z$20*Mitigation_Industry!Z$276/1000+Z$21*Mitigation_Industry!Z$277/1000+Z$22*Mitigation_Industry!Z$278/1000</f>
        <v>0</v>
      </c>
      <c r="AA82" s="127">
        <f>AA$20*Mitigation_Industry!AA$276/1000+AA$21*Mitigation_Industry!AA$277/1000+AA$22*Mitigation_Industry!AA$278/1000</f>
        <v>0</v>
      </c>
      <c r="AB82" s="127">
        <f>AB$20*Mitigation_Industry!AB$276/1000+AB$21*Mitigation_Industry!AB$277/1000+AB$22*Mitigation_Industry!AB$278/1000</f>
        <v>0</v>
      </c>
      <c r="AC82" s="127">
        <f>AC$20*Mitigation_Industry!AC$276/1000+AC$21*Mitigation_Industry!AC$277/1000+AC$22*Mitigation_Industry!AC$278/1000</f>
        <v>0</v>
      </c>
      <c r="AD82" s="127">
        <f>AD$20*Mitigation_Industry!AD$276/1000+AD$21*Mitigation_Industry!AD$277/1000+AD$22*Mitigation_Industry!AD$278/1000</f>
        <v>0</v>
      </c>
      <c r="AE82" s="127">
        <f>AE$20*Mitigation_Industry!AE$276/1000+AE$21*Mitigation_Industry!AE$277/1000+AE$22*Mitigation_Industry!AE$278/1000</f>
        <v>0</v>
      </c>
    </row>
    <row r="83" spans="1:35" customFormat="1" ht="15" x14ac:dyDescent="0.25">
      <c r="B83" s="14" t="s">
        <v>110</v>
      </c>
      <c r="C83" s="14" t="s">
        <v>43</v>
      </c>
      <c r="D83" s="25" t="s">
        <v>2254</v>
      </c>
      <c r="E83" s="16" t="s">
        <v>79</v>
      </c>
      <c r="F83" s="14" t="s">
        <v>2255</v>
      </c>
      <c r="H83" s="125" t="str">
        <f>Settings!$B$3&amp;".mit.rsh.ind.irn.1"</f>
        <v>egy.mit.rsh.ind.irn.1</v>
      </c>
      <c r="I83" t="s">
        <v>2256</v>
      </c>
      <c r="L83" s="127">
        <f t="shared" ref="L83:AE83" si="26">IF(L$82&lt;=0,0,MIN(1,L$81/L$82))</f>
        <v>0</v>
      </c>
      <c r="M83" s="127">
        <f t="shared" si="26"/>
        <v>0</v>
      </c>
      <c r="N83" s="127">
        <f t="shared" si="26"/>
        <v>0</v>
      </c>
      <c r="O83" s="127">
        <f t="shared" si="26"/>
        <v>0</v>
      </c>
      <c r="P83" s="127">
        <f t="shared" si="26"/>
        <v>0</v>
      </c>
      <c r="Q83" s="127">
        <f t="shared" si="26"/>
        <v>0</v>
      </c>
      <c r="R83" s="127">
        <f t="shared" si="26"/>
        <v>0</v>
      </c>
      <c r="S83" s="127">
        <f t="shared" si="26"/>
        <v>0</v>
      </c>
      <c r="T83" s="127">
        <f t="shared" si="26"/>
        <v>0</v>
      </c>
      <c r="U83" s="127">
        <f t="shared" si="26"/>
        <v>0</v>
      </c>
      <c r="V83" s="127">
        <f t="shared" si="26"/>
        <v>0</v>
      </c>
      <c r="W83" s="127">
        <f t="shared" si="26"/>
        <v>0</v>
      </c>
      <c r="X83" s="127">
        <f t="shared" si="26"/>
        <v>0</v>
      </c>
      <c r="Y83" s="127">
        <f t="shared" si="26"/>
        <v>0</v>
      </c>
      <c r="Z83" s="127">
        <f t="shared" si="26"/>
        <v>0</v>
      </c>
      <c r="AA83" s="127">
        <f t="shared" si="26"/>
        <v>0</v>
      </c>
      <c r="AB83" s="127">
        <f t="shared" si="26"/>
        <v>0</v>
      </c>
      <c r="AC83" s="127">
        <f t="shared" si="26"/>
        <v>0</v>
      </c>
      <c r="AD83" s="127">
        <f t="shared" si="26"/>
        <v>0</v>
      </c>
      <c r="AE83" s="127">
        <f t="shared" si="26"/>
        <v>0</v>
      </c>
    </row>
    <row r="84" spans="1:35" customFormat="1" ht="15" x14ac:dyDescent="0.25">
      <c r="B84" s="14" t="s">
        <v>49</v>
      </c>
      <c r="C84" s="14" t="s">
        <v>43</v>
      </c>
      <c r="D84" s="15" t="s">
        <v>2257</v>
      </c>
      <c r="E84" s="16" t="s">
        <v>51</v>
      </c>
      <c r="F84" s="14" t="s">
        <v>2258</v>
      </c>
      <c r="G84" s="17"/>
      <c r="H84" s="125" t="str">
        <f>Settings!$B$3&amp;".mit.atpn.irn.coa.e.1"</f>
        <v>egy.mit.atpn.irn.coa.e.1</v>
      </c>
      <c r="I84" t="s">
        <v>2259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5" x14ac:dyDescent="0.25">
      <c r="B85" s="14" t="s">
        <v>53</v>
      </c>
      <c r="C85" s="14" t="s">
        <v>43</v>
      </c>
      <c r="D85" s="15" t="s">
        <v>2260</v>
      </c>
      <c r="E85" s="16" t="s">
        <v>51</v>
      </c>
      <c r="F85" s="14" t="s">
        <v>2258</v>
      </c>
      <c r="G85" s="17"/>
      <c r="H85" s="125" t="str">
        <f>Settings!$B$3&amp;".mit.atpn.irn.nga.e.1"</f>
        <v>egy.mit.atpn.irn.nga.e.1</v>
      </c>
      <c r="I85" t="s">
        <v>2261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5" x14ac:dyDescent="0.25">
      <c r="B86" s="14" t="s">
        <v>55</v>
      </c>
      <c r="C86" s="14" t="s">
        <v>43</v>
      </c>
      <c r="D86" s="15" t="s">
        <v>2262</v>
      </c>
      <c r="E86" s="16" t="s">
        <v>57</v>
      </c>
      <c r="F86" s="14" t="s">
        <v>2258</v>
      </c>
      <c r="G86" s="17"/>
      <c r="H86" s="125" t="str">
        <f>Settings!$B$3&amp;".mit.atpn.irn.gso.e.1"</f>
        <v>egy.mit.atpn.irn.gso.e.1</v>
      </c>
      <c r="I86" t="s">
        <v>2263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5" x14ac:dyDescent="0.25">
      <c r="B87" s="14" t="s">
        <v>58</v>
      </c>
      <c r="C87" s="14" t="s">
        <v>43</v>
      </c>
      <c r="D87" s="15" t="s">
        <v>2264</v>
      </c>
      <c r="E87" s="16" t="s">
        <v>57</v>
      </c>
      <c r="F87" s="14" t="s">
        <v>2258</v>
      </c>
      <c r="G87" s="17"/>
      <c r="H87" s="125" t="str">
        <f>Settings!$B$3&amp;".mit.atpn.irn.die.e.1"</f>
        <v>egy.mit.atpn.irn.die.e.1</v>
      </c>
      <c r="I87" t="s">
        <v>2265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5" x14ac:dyDescent="0.25">
      <c r="B88" s="14" t="s">
        <v>60</v>
      </c>
      <c r="C88" s="14" t="s">
        <v>43</v>
      </c>
      <c r="D88" s="15" t="s">
        <v>2266</v>
      </c>
      <c r="E88" s="16" t="s">
        <v>57</v>
      </c>
      <c r="F88" s="14" t="s">
        <v>2258</v>
      </c>
      <c r="G88" s="17"/>
      <c r="H88" s="125" t="str">
        <f>Settings!$B$3&amp;".mit.atpn.irn.lpg.e.1"</f>
        <v>egy.mit.atpn.irn.lpg.e.1</v>
      </c>
      <c r="I88" t="s">
        <v>2267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5" x14ac:dyDescent="0.25">
      <c r="B89" s="14" t="s">
        <v>62</v>
      </c>
      <c r="C89" s="14" t="s">
        <v>43</v>
      </c>
      <c r="D89" s="15" t="s">
        <v>2268</v>
      </c>
      <c r="E89" s="16" t="s">
        <v>57</v>
      </c>
      <c r="F89" s="14" t="s">
        <v>2258</v>
      </c>
      <c r="G89" s="17"/>
      <c r="H89" s="125" t="str">
        <f>Settings!$B$3&amp;".mit.atpn.irn.ker.e.1"</f>
        <v>egy.mit.atpn.irn.ker.e.1</v>
      </c>
      <c r="I89" t="s">
        <v>2269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5" x14ac:dyDescent="0.25">
      <c r="B90" s="14" t="s">
        <v>64</v>
      </c>
      <c r="C90" s="14" t="s">
        <v>43</v>
      </c>
      <c r="D90" s="15" t="s">
        <v>2270</v>
      </c>
      <c r="E90" s="16" t="s">
        <v>66</v>
      </c>
      <c r="F90" s="14" t="s">
        <v>2258</v>
      </c>
      <c r="G90" s="17"/>
      <c r="H90" s="125" t="str">
        <f>Settings!$B$3&amp;".mit.atpn.irn.oop.e.1"</f>
        <v>egy.mit.atpn.irn.oop.e.1</v>
      </c>
      <c r="I90" t="s">
        <v>2271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5" x14ac:dyDescent="0.25">
      <c r="B91" s="14" t="s">
        <v>67</v>
      </c>
      <c r="C91" s="14" t="s">
        <v>43</v>
      </c>
      <c r="D91" s="15" t="s">
        <v>2272</v>
      </c>
      <c r="E91" s="16" t="s">
        <v>51</v>
      </c>
      <c r="F91" s="14" t="s">
        <v>2258</v>
      </c>
      <c r="G91" s="17"/>
      <c r="H91" s="125" t="str">
        <f>Settings!$B$3&amp;".mit.atpn.irn.bio.e.1"</f>
        <v>egy.mit.atpn.irn.bio.e.1</v>
      </c>
      <c r="I91" t="s">
        <v>2273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5" x14ac:dyDescent="0.25">
      <c r="B92" s="14" t="s">
        <v>69</v>
      </c>
      <c r="C92" s="14" t="s">
        <v>43</v>
      </c>
      <c r="D92" s="15" t="s">
        <v>2274</v>
      </c>
      <c r="E92" s="16" t="s">
        <v>71</v>
      </c>
      <c r="F92" s="14" t="s">
        <v>2258</v>
      </c>
      <c r="G92" s="17"/>
      <c r="H92" s="125" t="str">
        <f>Settings!$B$3&amp;".mit.atpn.irn.ren.e.1"</f>
        <v>egy.mit.atpn.irn.ren.e.1</v>
      </c>
      <c r="I92" t="s">
        <v>2275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5" x14ac:dyDescent="0.2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5" x14ac:dyDescent="0.25">
      <c r="B95" s="14" t="s">
        <v>110</v>
      </c>
      <c r="C95" s="14" t="s">
        <v>113</v>
      </c>
      <c r="D95" s="25" t="s">
        <v>2250</v>
      </c>
      <c r="E95" s="16" t="s">
        <v>1854</v>
      </c>
      <c r="F95" s="14" t="s">
        <v>2239</v>
      </c>
      <c r="H95" s="125" t="str">
        <f>Settings!$B$3&amp;".mit.obr.ind.cem.1"</f>
        <v>egy.mit.obr.ind.cem.1</v>
      </c>
      <c r="I95" t="s">
        <v>2276</v>
      </c>
      <c r="L95" s="127">
        <f t="shared" ref="L95:AE95" si="27">L$73</f>
        <v>0</v>
      </c>
      <c r="M95" s="127">
        <f t="shared" si="27"/>
        <v>0</v>
      </c>
      <c r="N95" s="127">
        <f t="shared" si="27"/>
        <v>0</v>
      </c>
      <c r="O95" s="127">
        <f t="shared" si="27"/>
        <v>0</v>
      </c>
      <c r="P95" s="127">
        <f t="shared" si="27"/>
        <v>0</v>
      </c>
      <c r="Q95" s="127">
        <f t="shared" si="27"/>
        <v>0</v>
      </c>
      <c r="R95" s="127">
        <f t="shared" si="27"/>
        <v>0</v>
      </c>
      <c r="S95" s="127">
        <f t="shared" si="27"/>
        <v>0</v>
      </c>
      <c r="T95" s="127">
        <f t="shared" si="27"/>
        <v>0</v>
      </c>
      <c r="U95" s="127">
        <f t="shared" si="27"/>
        <v>0</v>
      </c>
      <c r="V95" s="127">
        <f t="shared" si="27"/>
        <v>0</v>
      </c>
      <c r="W95" s="127">
        <f t="shared" si="27"/>
        <v>0</v>
      </c>
      <c r="X95" s="127">
        <f t="shared" si="27"/>
        <v>0</v>
      </c>
      <c r="Y95" s="127">
        <f t="shared" si="27"/>
        <v>0</v>
      </c>
      <c r="Z95" s="127">
        <f t="shared" si="27"/>
        <v>0</v>
      </c>
      <c r="AA95" s="127">
        <f t="shared" si="27"/>
        <v>0</v>
      </c>
      <c r="AB95" s="127">
        <f t="shared" si="27"/>
        <v>0</v>
      </c>
      <c r="AC95" s="127">
        <f t="shared" si="27"/>
        <v>0</v>
      </c>
      <c r="AD95" s="127">
        <f t="shared" si="27"/>
        <v>0</v>
      </c>
      <c r="AE95" s="127">
        <f t="shared" si="27"/>
        <v>0</v>
      </c>
    </row>
    <row r="96" spans="1:35" customFormat="1" ht="15" x14ac:dyDescent="0.25">
      <c r="B96" s="14" t="s">
        <v>110</v>
      </c>
      <c r="C96" s="14" t="s">
        <v>113</v>
      </c>
      <c r="D96" s="25" t="s">
        <v>2252</v>
      </c>
      <c r="E96" s="16" t="s">
        <v>1854</v>
      </c>
      <c r="F96" s="14" t="s">
        <v>2253</v>
      </c>
      <c r="H96" s="125" t="str">
        <f>Settings!$B$3&amp;".mit.ccf.ind.cem.1"</f>
        <v>egy.mit.ccf.ind.cem.1</v>
      </c>
      <c r="L96" s="127">
        <f>L$23*Mitigation_Industry!L$279/1000</f>
        <v>0</v>
      </c>
      <c r="M96" s="127">
        <f>M$23*Mitigation_Industry!M$279/1000</f>
        <v>0</v>
      </c>
      <c r="N96" s="127">
        <f>N$23*Mitigation_Industry!N$279/1000</f>
        <v>0</v>
      </c>
      <c r="O96" s="127">
        <f>O$23*Mitigation_Industry!O$279/1000</f>
        <v>0</v>
      </c>
      <c r="P96" s="127">
        <f>P$23*Mitigation_Industry!P$279/1000</f>
        <v>0</v>
      </c>
      <c r="Q96" s="127">
        <f>Q$23*Mitigation_Industry!Q$279/1000</f>
        <v>0</v>
      </c>
      <c r="R96" s="127">
        <f>R$23*Mitigation_Industry!R$279/1000</f>
        <v>0</v>
      </c>
      <c r="S96" s="127">
        <f>S$23*Mitigation_Industry!S$279/1000</f>
        <v>0</v>
      </c>
      <c r="T96" s="127">
        <f>T$23*Mitigation_Industry!T$279/1000</f>
        <v>0</v>
      </c>
      <c r="U96" s="127">
        <f>U$23*Mitigation_Industry!U$279/1000</f>
        <v>0</v>
      </c>
      <c r="V96" s="127">
        <f>V$23*Mitigation_Industry!V$279/1000</f>
        <v>0</v>
      </c>
      <c r="W96" s="127">
        <f>W$23*Mitigation_Industry!W$279/1000</f>
        <v>0</v>
      </c>
      <c r="X96" s="127">
        <f>X$23*Mitigation_Industry!X$279/1000</f>
        <v>0</v>
      </c>
      <c r="Y96" s="127">
        <f>Y$23*Mitigation_Industry!Y$279/1000</f>
        <v>0</v>
      </c>
      <c r="Z96" s="127">
        <f>Z$23*Mitigation_Industry!Z$279/1000</f>
        <v>0</v>
      </c>
      <c r="AA96" s="127">
        <f>AA$23*Mitigation_Industry!AA$279/1000</f>
        <v>0</v>
      </c>
      <c r="AB96" s="127">
        <f>AB$23*Mitigation_Industry!AB$279/1000</f>
        <v>0</v>
      </c>
      <c r="AC96" s="127">
        <f>AC$23*Mitigation_Industry!AC$279/1000</f>
        <v>0</v>
      </c>
      <c r="AD96" s="127">
        <f>AD$23*Mitigation_Industry!AD$279/1000</f>
        <v>0</v>
      </c>
      <c r="AE96" s="127">
        <f>AE$23*Mitigation_Industry!AE$279/1000</f>
        <v>0</v>
      </c>
    </row>
    <row r="97" spans="1:35" customFormat="1" ht="15" x14ac:dyDescent="0.25">
      <c r="B97" s="14" t="s">
        <v>110</v>
      </c>
      <c r="C97" s="14" t="s">
        <v>113</v>
      </c>
      <c r="D97" s="25" t="s">
        <v>2254</v>
      </c>
      <c r="E97" s="16" t="s">
        <v>79</v>
      </c>
      <c r="F97" s="14" t="s">
        <v>2255</v>
      </c>
      <c r="H97" s="125" t="str">
        <f>Settings!$B$3&amp;".mit.rsh.ind.cem.1"</f>
        <v>egy.mit.rsh.ind.cem.1</v>
      </c>
      <c r="I97" t="s">
        <v>2256</v>
      </c>
      <c r="L97" s="127">
        <f t="shared" ref="L97:AE97" si="28">IF(L$96&lt;=0,0,MIN(1,L$95/L$96))</f>
        <v>0</v>
      </c>
      <c r="M97" s="127">
        <f t="shared" si="28"/>
        <v>0</v>
      </c>
      <c r="N97" s="127">
        <f t="shared" si="28"/>
        <v>0</v>
      </c>
      <c r="O97" s="127">
        <f t="shared" si="28"/>
        <v>0</v>
      </c>
      <c r="P97" s="127">
        <f t="shared" si="28"/>
        <v>0</v>
      </c>
      <c r="Q97" s="127">
        <f t="shared" si="28"/>
        <v>0</v>
      </c>
      <c r="R97" s="127">
        <f t="shared" si="28"/>
        <v>0</v>
      </c>
      <c r="S97" s="127">
        <f t="shared" si="28"/>
        <v>0</v>
      </c>
      <c r="T97" s="127">
        <f t="shared" si="28"/>
        <v>0</v>
      </c>
      <c r="U97" s="127">
        <f t="shared" si="28"/>
        <v>0</v>
      </c>
      <c r="V97" s="127">
        <f t="shared" si="28"/>
        <v>0</v>
      </c>
      <c r="W97" s="127">
        <f t="shared" si="28"/>
        <v>0</v>
      </c>
      <c r="X97" s="127">
        <f t="shared" si="28"/>
        <v>0</v>
      </c>
      <c r="Y97" s="127">
        <f t="shared" si="28"/>
        <v>0</v>
      </c>
      <c r="Z97" s="127">
        <f t="shared" si="28"/>
        <v>0</v>
      </c>
      <c r="AA97" s="127">
        <f t="shared" si="28"/>
        <v>0</v>
      </c>
      <c r="AB97" s="127">
        <f t="shared" si="28"/>
        <v>0</v>
      </c>
      <c r="AC97" s="127">
        <f t="shared" si="28"/>
        <v>0</v>
      </c>
      <c r="AD97" s="127">
        <f t="shared" si="28"/>
        <v>0</v>
      </c>
      <c r="AE97" s="127">
        <f t="shared" si="28"/>
        <v>0</v>
      </c>
    </row>
    <row r="98" spans="1:35" customFormat="1" ht="15" x14ac:dyDescent="0.25">
      <c r="B98" s="14" t="s">
        <v>49</v>
      </c>
      <c r="C98" s="14" t="s">
        <v>113</v>
      </c>
      <c r="D98" s="15" t="s">
        <v>2257</v>
      </c>
      <c r="E98" s="16" t="s">
        <v>51</v>
      </c>
      <c r="F98" s="14" t="s">
        <v>2258</v>
      </c>
      <c r="G98" s="17"/>
      <c r="H98" s="125" t="str">
        <f>Settings!$B$3&amp;".mit.atpn.cem.coa.e.1"</f>
        <v>egy.mit.atpn.cem.coa.e.1</v>
      </c>
      <c r="I98" t="s">
        <v>2277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5" x14ac:dyDescent="0.25">
      <c r="B99" s="14" t="s">
        <v>53</v>
      </c>
      <c r="C99" s="14" t="s">
        <v>113</v>
      </c>
      <c r="D99" s="15" t="s">
        <v>2260</v>
      </c>
      <c r="E99" s="16" t="s">
        <v>51</v>
      </c>
      <c r="F99" s="14" t="s">
        <v>2258</v>
      </c>
      <c r="G99" s="17"/>
      <c r="H99" s="125" t="str">
        <f>Settings!$B$3&amp;".mit.atpn.cem.nga.e.1"</f>
        <v>egy.mit.atpn.cem.nga.e.1</v>
      </c>
      <c r="I99" t="s">
        <v>2278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5" x14ac:dyDescent="0.25">
      <c r="B100" s="14" t="s">
        <v>55</v>
      </c>
      <c r="C100" s="14" t="s">
        <v>113</v>
      </c>
      <c r="D100" s="15" t="s">
        <v>2262</v>
      </c>
      <c r="E100" s="16" t="s">
        <v>57</v>
      </c>
      <c r="F100" s="14" t="s">
        <v>2258</v>
      </c>
      <c r="G100" s="17"/>
      <c r="H100" s="125" t="str">
        <f>Settings!$B$3&amp;".mit.atpn.cem.gso.e.1"</f>
        <v>egy.mit.atpn.cem.gso.e.1</v>
      </c>
      <c r="I100" t="s">
        <v>2279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5" x14ac:dyDescent="0.25">
      <c r="B101" s="14" t="s">
        <v>58</v>
      </c>
      <c r="C101" s="14" t="s">
        <v>113</v>
      </c>
      <c r="D101" s="15" t="s">
        <v>2264</v>
      </c>
      <c r="E101" s="16" t="s">
        <v>57</v>
      </c>
      <c r="F101" s="14" t="s">
        <v>2258</v>
      </c>
      <c r="G101" s="17"/>
      <c r="H101" s="125" t="str">
        <f>Settings!$B$3&amp;".mit.atpn.cem.die.e.1"</f>
        <v>egy.mit.atpn.cem.die.e.1</v>
      </c>
      <c r="I101" t="s">
        <v>2280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5" x14ac:dyDescent="0.25">
      <c r="B102" s="14" t="s">
        <v>60</v>
      </c>
      <c r="C102" s="14" t="s">
        <v>113</v>
      </c>
      <c r="D102" s="15" t="s">
        <v>2266</v>
      </c>
      <c r="E102" s="16" t="s">
        <v>57</v>
      </c>
      <c r="F102" s="14" t="s">
        <v>2258</v>
      </c>
      <c r="G102" s="17"/>
      <c r="H102" s="125" t="str">
        <f>Settings!$B$3&amp;".mit.atpn.cem.lpg.e.1"</f>
        <v>egy.mit.atpn.cem.lpg.e.1</v>
      </c>
      <c r="I102" t="s">
        <v>2281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5" x14ac:dyDescent="0.25">
      <c r="B103" s="14" t="s">
        <v>62</v>
      </c>
      <c r="C103" s="14" t="s">
        <v>113</v>
      </c>
      <c r="D103" s="15" t="s">
        <v>2268</v>
      </c>
      <c r="E103" s="16" t="s">
        <v>57</v>
      </c>
      <c r="F103" s="14" t="s">
        <v>2258</v>
      </c>
      <c r="G103" s="17"/>
      <c r="H103" s="125" t="str">
        <f>Settings!$B$3&amp;".mit.atpn.cem.ker.e.1"</f>
        <v>egy.mit.atpn.cem.ker.e.1</v>
      </c>
      <c r="I103" t="s">
        <v>2282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5" x14ac:dyDescent="0.25">
      <c r="B104" s="14" t="s">
        <v>64</v>
      </c>
      <c r="C104" s="14" t="s">
        <v>113</v>
      </c>
      <c r="D104" s="15" t="s">
        <v>2270</v>
      </c>
      <c r="E104" s="16" t="s">
        <v>66</v>
      </c>
      <c r="F104" s="14" t="s">
        <v>2258</v>
      </c>
      <c r="G104" s="17"/>
      <c r="H104" s="125" t="str">
        <f>Settings!$B$3&amp;".mit.atpn.cem.oop.e.1"</f>
        <v>egy.mit.atpn.cem.oop.e.1</v>
      </c>
      <c r="I104" t="s">
        <v>2283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5" x14ac:dyDescent="0.25">
      <c r="B105" s="14" t="s">
        <v>67</v>
      </c>
      <c r="C105" s="14" t="s">
        <v>113</v>
      </c>
      <c r="D105" s="15" t="s">
        <v>2272</v>
      </c>
      <c r="E105" s="16" t="s">
        <v>51</v>
      </c>
      <c r="F105" s="14" t="s">
        <v>2258</v>
      </c>
      <c r="G105" s="17"/>
      <c r="H105" s="125" t="str">
        <f>Settings!$B$3&amp;".mit.atpn.cem.bio.e.1"</f>
        <v>egy.mit.atpn.cem.bio.e.1</v>
      </c>
      <c r="I105" t="s">
        <v>2284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5" x14ac:dyDescent="0.25">
      <c r="B106" s="14" t="s">
        <v>69</v>
      </c>
      <c r="C106" s="14" t="s">
        <v>113</v>
      </c>
      <c r="D106" s="15" t="s">
        <v>2274</v>
      </c>
      <c r="E106" s="16" t="s">
        <v>71</v>
      </c>
      <c r="F106" s="14" t="s">
        <v>2258</v>
      </c>
      <c r="G106" s="17"/>
      <c r="H106" s="125" t="str">
        <f>Settings!$B$3&amp;".mit.atpn.cem.ren.e.1"</f>
        <v>egy.mit.atpn.cem.ren.e.1</v>
      </c>
      <c r="I106" t="s">
        <v>2285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5" x14ac:dyDescent="0.2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5" x14ac:dyDescent="0.25">
      <c r="B109" s="14" t="s">
        <v>110</v>
      </c>
      <c r="C109" s="14" t="s">
        <v>115</v>
      </c>
      <c r="D109" s="25" t="s">
        <v>2250</v>
      </c>
      <c r="E109" s="16" t="s">
        <v>1854</v>
      </c>
      <c r="F109" s="14" t="s">
        <v>2239</v>
      </c>
      <c r="H109" s="125" t="str">
        <f>Settings!$B$3&amp;".mit.obr.ind.nfm.1"</f>
        <v>egy.mit.obr.ind.nfm.1</v>
      </c>
      <c r="I109" t="s">
        <v>2286</v>
      </c>
      <c r="L109" s="127">
        <f t="shared" ref="L109:AE109" si="29">L$77</f>
        <v>0</v>
      </c>
      <c r="M109" s="127">
        <f t="shared" si="29"/>
        <v>0</v>
      </c>
      <c r="N109" s="127">
        <f t="shared" si="29"/>
        <v>0</v>
      </c>
      <c r="O109" s="127">
        <f t="shared" si="29"/>
        <v>0</v>
      </c>
      <c r="P109" s="127">
        <f t="shared" si="29"/>
        <v>0</v>
      </c>
      <c r="Q109" s="127">
        <f t="shared" si="29"/>
        <v>0</v>
      </c>
      <c r="R109" s="127">
        <f t="shared" si="29"/>
        <v>0</v>
      </c>
      <c r="S109" s="127">
        <f t="shared" si="29"/>
        <v>0</v>
      </c>
      <c r="T109" s="127">
        <f t="shared" si="29"/>
        <v>0</v>
      </c>
      <c r="U109" s="127">
        <f t="shared" si="29"/>
        <v>0</v>
      </c>
      <c r="V109" s="127">
        <f t="shared" si="29"/>
        <v>0</v>
      </c>
      <c r="W109" s="127">
        <f t="shared" si="29"/>
        <v>0</v>
      </c>
      <c r="X109" s="127">
        <f t="shared" si="29"/>
        <v>0</v>
      </c>
      <c r="Y109" s="127">
        <f t="shared" si="29"/>
        <v>0</v>
      </c>
      <c r="Z109" s="127">
        <f t="shared" si="29"/>
        <v>0</v>
      </c>
      <c r="AA109" s="127">
        <f t="shared" si="29"/>
        <v>0</v>
      </c>
      <c r="AB109" s="127">
        <f t="shared" si="29"/>
        <v>0</v>
      </c>
      <c r="AC109" s="127">
        <f t="shared" si="29"/>
        <v>0</v>
      </c>
      <c r="AD109" s="127">
        <f t="shared" si="29"/>
        <v>0</v>
      </c>
      <c r="AE109" s="127">
        <f t="shared" si="29"/>
        <v>0</v>
      </c>
    </row>
    <row r="110" spans="1:35" customFormat="1" ht="15" x14ac:dyDescent="0.25">
      <c r="B110" s="14" t="s">
        <v>110</v>
      </c>
      <c r="C110" s="14" t="s">
        <v>115</v>
      </c>
      <c r="D110" s="25" t="s">
        <v>2252</v>
      </c>
      <c r="E110" s="16" t="s">
        <v>1854</v>
      </c>
      <c r="F110" s="14" t="s">
        <v>2253</v>
      </c>
      <c r="H110" s="125" t="str">
        <f>Settings!$B$3&amp;".mit.ccf.ind.nfm.1"</f>
        <v>egy.mit.ccf.ind.nfm.1</v>
      </c>
      <c r="L110" s="127">
        <f>L$27*Mitigation_Industry!L$283/1000</f>
        <v>0</v>
      </c>
      <c r="M110" s="127">
        <f>M$27*Mitigation_Industry!M$283/1000</f>
        <v>0</v>
      </c>
      <c r="N110" s="127">
        <f>N$27*Mitigation_Industry!N$283/1000</f>
        <v>0</v>
      </c>
      <c r="O110" s="127">
        <f>O$27*Mitigation_Industry!O$283/1000</f>
        <v>0</v>
      </c>
      <c r="P110" s="127">
        <f>P$27*Mitigation_Industry!P$283/1000</f>
        <v>0</v>
      </c>
      <c r="Q110" s="127">
        <f>Q$27*Mitigation_Industry!Q$283/1000</f>
        <v>0</v>
      </c>
      <c r="R110" s="127">
        <f>R$27*Mitigation_Industry!R$283/1000</f>
        <v>0</v>
      </c>
      <c r="S110" s="127">
        <f>S$27*Mitigation_Industry!S$283/1000</f>
        <v>0</v>
      </c>
      <c r="T110" s="127">
        <f>T$27*Mitigation_Industry!T$283/1000</f>
        <v>0</v>
      </c>
      <c r="U110" s="127">
        <f>U$27*Mitigation_Industry!U$283/1000</f>
        <v>0</v>
      </c>
      <c r="V110" s="127">
        <f>V$27*Mitigation_Industry!V$283/1000</f>
        <v>0</v>
      </c>
      <c r="W110" s="127">
        <f>W$27*Mitigation_Industry!W$283/1000</f>
        <v>0</v>
      </c>
      <c r="X110" s="127">
        <f>X$27*Mitigation_Industry!X$283/1000</f>
        <v>0</v>
      </c>
      <c r="Y110" s="127">
        <f>Y$27*Mitigation_Industry!Y$283/1000</f>
        <v>0</v>
      </c>
      <c r="Z110" s="127">
        <f>Z$27*Mitigation_Industry!Z$283/1000</f>
        <v>0</v>
      </c>
      <c r="AA110" s="127">
        <f>AA$27*Mitigation_Industry!AA$283/1000</f>
        <v>0</v>
      </c>
      <c r="AB110" s="127">
        <f>AB$27*Mitigation_Industry!AB$283/1000</f>
        <v>0</v>
      </c>
      <c r="AC110" s="127">
        <f>AC$27*Mitigation_Industry!AC$283/1000</f>
        <v>0</v>
      </c>
      <c r="AD110" s="127">
        <f>AD$27*Mitigation_Industry!AD$283/1000</f>
        <v>0</v>
      </c>
      <c r="AE110" s="127">
        <f>AE$27*Mitigation_Industry!AE$283/1000</f>
        <v>0</v>
      </c>
    </row>
    <row r="111" spans="1:35" customFormat="1" ht="15" x14ac:dyDescent="0.25">
      <c r="B111" s="14" t="s">
        <v>110</v>
      </c>
      <c r="C111" s="14" t="s">
        <v>115</v>
      </c>
      <c r="D111" s="25" t="s">
        <v>2254</v>
      </c>
      <c r="E111" s="16" t="s">
        <v>79</v>
      </c>
      <c r="F111" s="14" t="s">
        <v>2255</v>
      </c>
      <c r="H111" s="125" t="str">
        <f>Settings!$B$3&amp;".mit.rsh.ind.nfm.1"</f>
        <v>egy.mit.rsh.ind.nfm.1</v>
      </c>
      <c r="I111" t="s">
        <v>2256</v>
      </c>
      <c r="L111" s="127">
        <f t="shared" ref="L111:AE111" si="30">IF(L$110&lt;=0,0,MIN(1,L$109/L$110))</f>
        <v>0</v>
      </c>
      <c r="M111" s="127">
        <f t="shared" si="30"/>
        <v>0</v>
      </c>
      <c r="N111" s="127">
        <f t="shared" si="30"/>
        <v>0</v>
      </c>
      <c r="O111" s="127">
        <f t="shared" si="30"/>
        <v>0</v>
      </c>
      <c r="P111" s="127">
        <f t="shared" si="30"/>
        <v>0</v>
      </c>
      <c r="Q111" s="127">
        <f t="shared" si="30"/>
        <v>0</v>
      </c>
      <c r="R111" s="127">
        <f t="shared" si="30"/>
        <v>0</v>
      </c>
      <c r="S111" s="127">
        <f t="shared" si="30"/>
        <v>0</v>
      </c>
      <c r="T111" s="127">
        <f t="shared" si="30"/>
        <v>0</v>
      </c>
      <c r="U111" s="127">
        <f t="shared" si="30"/>
        <v>0</v>
      </c>
      <c r="V111" s="127">
        <f t="shared" si="30"/>
        <v>0</v>
      </c>
      <c r="W111" s="127">
        <f t="shared" si="30"/>
        <v>0</v>
      </c>
      <c r="X111" s="127">
        <f t="shared" si="30"/>
        <v>0</v>
      </c>
      <c r="Y111" s="127">
        <f t="shared" si="30"/>
        <v>0</v>
      </c>
      <c r="Z111" s="127">
        <f t="shared" si="30"/>
        <v>0</v>
      </c>
      <c r="AA111" s="127">
        <f t="shared" si="30"/>
        <v>0</v>
      </c>
      <c r="AB111" s="127">
        <f t="shared" si="30"/>
        <v>0</v>
      </c>
      <c r="AC111" s="127">
        <f t="shared" si="30"/>
        <v>0</v>
      </c>
      <c r="AD111" s="127">
        <f t="shared" si="30"/>
        <v>0</v>
      </c>
      <c r="AE111" s="127">
        <f t="shared" si="30"/>
        <v>0</v>
      </c>
    </row>
    <row r="112" spans="1:35" customFormat="1" ht="15" x14ac:dyDescent="0.25">
      <c r="B112" s="14" t="s">
        <v>49</v>
      </c>
      <c r="C112" s="14" t="s">
        <v>115</v>
      </c>
      <c r="D112" s="15" t="s">
        <v>2257</v>
      </c>
      <c r="E112" s="16" t="s">
        <v>51</v>
      </c>
      <c r="F112" s="14" t="s">
        <v>2258</v>
      </c>
      <c r="G112" s="17"/>
      <c r="H112" s="125" t="str">
        <f>Settings!$B$3&amp;".mit.atpn.nfm.coa.e.1"</f>
        <v>egy.mit.atpn.nfm.coa.e.1</v>
      </c>
      <c r="I112" t="s">
        <v>2287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5" x14ac:dyDescent="0.25">
      <c r="B113" s="14" t="s">
        <v>53</v>
      </c>
      <c r="C113" s="14" t="s">
        <v>115</v>
      </c>
      <c r="D113" s="15" t="s">
        <v>2260</v>
      </c>
      <c r="E113" s="16" t="s">
        <v>51</v>
      </c>
      <c r="F113" s="14" t="s">
        <v>2258</v>
      </c>
      <c r="G113" s="17"/>
      <c r="H113" s="125" t="str">
        <f>Settings!$B$3&amp;".mit.atpn.nfm.nga.e.1"</f>
        <v>egy.mit.atpn.nfm.nga.e.1</v>
      </c>
      <c r="I113" t="s">
        <v>2288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5" x14ac:dyDescent="0.25">
      <c r="B114" s="14" t="s">
        <v>55</v>
      </c>
      <c r="C114" s="14" t="s">
        <v>115</v>
      </c>
      <c r="D114" s="15" t="s">
        <v>2262</v>
      </c>
      <c r="E114" s="16" t="s">
        <v>57</v>
      </c>
      <c r="F114" s="14" t="s">
        <v>2258</v>
      </c>
      <c r="G114" s="17"/>
      <c r="H114" s="125" t="str">
        <f>Settings!$B$3&amp;".mit.atpn.nfm.gso.e.1"</f>
        <v>egy.mit.atpn.nfm.gso.e.1</v>
      </c>
      <c r="I114" t="s">
        <v>2289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5" x14ac:dyDescent="0.25">
      <c r="B115" s="14" t="s">
        <v>58</v>
      </c>
      <c r="C115" s="14" t="s">
        <v>115</v>
      </c>
      <c r="D115" s="15" t="s">
        <v>2264</v>
      </c>
      <c r="E115" s="16" t="s">
        <v>57</v>
      </c>
      <c r="F115" s="14" t="s">
        <v>2258</v>
      </c>
      <c r="G115" s="17"/>
      <c r="H115" s="125" t="str">
        <f>Settings!$B$3&amp;".mit.atpn.nfm.die.e.1"</f>
        <v>egy.mit.atpn.nfm.die.e.1</v>
      </c>
      <c r="I115" t="s">
        <v>2290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5" x14ac:dyDescent="0.25">
      <c r="B116" s="14" t="s">
        <v>60</v>
      </c>
      <c r="C116" s="14" t="s">
        <v>115</v>
      </c>
      <c r="D116" s="15" t="s">
        <v>2266</v>
      </c>
      <c r="E116" s="16" t="s">
        <v>57</v>
      </c>
      <c r="F116" s="14" t="s">
        <v>2258</v>
      </c>
      <c r="G116" s="17"/>
      <c r="H116" s="125" t="str">
        <f>Settings!$B$3&amp;".mit.atpn.nfm.lpg.e.1"</f>
        <v>egy.mit.atpn.nfm.lpg.e.1</v>
      </c>
      <c r="I116" t="s">
        <v>2291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5" x14ac:dyDescent="0.25">
      <c r="B117" s="14" t="s">
        <v>62</v>
      </c>
      <c r="C117" s="14" t="s">
        <v>115</v>
      </c>
      <c r="D117" s="15" t="s">
        <v>2268</v>
      </c>
      <c r="E117" s="16" t="s">
        <v>57</v>
      </c>
      <c r="F117" s="14" t="s">
        <v>2258</v>
      </c>
      <c r="G117" s="17"/>
      <c r="H117" s="125" t="str">
        <f>Settings!$B$3&amp;".mit.atpn.nfm.ker.e.1"</f>
        <v>egy.mit.atpn.nfm.ker.e.1</v>
      </c>
      <c r="I117" t="s">
        <v>2292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5" x14ac:dyDescent="0.25">
      <c r="B118" s="14" t="s">
        <v>64</v>
      </c>
      <c r="C118" s="14" t="s">
        <v>115</v>
      </c>
      <c r="D118" s="15" t="s">
        <v>2270</v>
      </c>
      <c r="E118" s="16" t="s">
        <v>66</v>
      </c>
      <c r="F118" s="14" t="s">
        <v>2258</v>
      </c>
      <c r="G118" s="17"/>
      <c r="H118" s="125" t="str">
        <f>Settings!$B$3&amp;".mit.atpn.nfm.oop.e.1"</f>
        <v>egy.mit.atpn.nfm.oop.e.1</v>
      </c>
      <c r="I118" t="s">
        <v>2293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5" x14ac:dyDescent="0.25">
      <c r="B119" s="14" t="s">
        <v>67</v>
      </c>
      <c r="C119" s="14" t="s">
        <v>115</v>
      </c>
      <c r="D119" s="15" t="s">
        <v>2272</v>
      </c>
      <c r="E119" s="16" t="s">
        <v>51</v>
      </c>
      <c r="F119" s="14" t="s">
        <v>2258</v>
      </c>
      <c r="G119" s="17"/>
      <c r="H119" s="125" t="str">
        <f>Settings!$B$3&amp;".mit.atpn.nfm.bio.e.1"</f>
        <v>egy.mit.atpn.nfm.bio.e.1</v>
      </c>
      <c r="I119" t="s">
        <v>2294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5" x14ac:dyDescent="0.25">
      <c r="B120" s="14" t="s">
        <v>69</v>
      </c>
      <c r="C120" s="14" t="s">
        <v>115</v>
      </c>
      <c r="D120" s="15" t="s">
        <v>2274</v>
      </c>
      <c r="E120" s="16" t="s">
        <v>71</v>
      </c>
      <c r="F120" s="14" t="s">
        <v>2258</v>
      </c>
      <c r="G120" s="17"/>
      <c r="H120" s="125" t="str">
        <f>Settings!$B$3&amp;".mit.atpn.nfm.ren.e.1"</f>
        <v>egy.mit.atpn.nfm.ren.e.1</v>
      </c>
      <c r="I120" t="s">
        <v>2295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5" x14ac:dyDescent="0.2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5" x14ac:dyDescent="0.25">
      <c r="B123" s="14" t="s">
        <v>110</v>
      </c>
      <c r="C123" s="14" t="s">
        <v>117</v>
      </c>
      <c r="D123" s="25" t="s">
        <v>2250</v>
      </c>
      <c r="E123" s="16" t="s">
        <v>1854</v>
      </c>
      <c r="F123" s="14" t="s">
        <v>2239</v>
      </c>
      <c r="H123" s="125" t="str">
        <f>Settings!$B$3&amp;".mit.obr.ind.mch.1"</f>
        <v>egy.mit.obr.ind.mch.1</v>
      </c>
      <c r="I123" t="s">
        <v>2296</v>
      </c>
      <c r="L123" s="127">
        <f t="shared" ref="L123:AE123" si="31">L$74+L$75+L$76</f>
        <v>0</v>
      </c>
      <c r="M123" s="127">
        <f t="shared" si="31"/>
        <v>0</v>
      </c>
      <c r="N123" s="127">
        <f t="shared" si="31"/>
        <v>0</v>
      </c>
      <c r="O123" s="127">
        <f t="shared" si="31"/>
        <v>0</v>
      </c>
      <c r="P123" s="127">
        <f t="shared" si="31"/>
        <v>0</v>
      </c>
      <c r="Q123" s="127">
        <f t="shared" si="31"/>
        <v>0</v>
      </c>
      <c r="R123" s="127">
        <f t="shared" si="31"/>
        <v>0</v>
      </c>
      <c r="S123" s="127">
        <f t="shared" si="31"/>
        <v>0</v>
      </c>
      <c r="T123" s="127">
        <f t="shared" si="31"/>
        <v>0</v>
      </c>
      <c r="U123" s="127">
        <f t="shared" si="31"/>
        <v>0</v>
      </c>
      <c r="V123" s="127">
        <f t="shared" si="31"/>
        <v>0</v>
      </c>
      <c r="W123" s="127">
        <f t="shared" si="31"/>
        <v>0</v>
      </c>
      <c r="X123" s="127">
        <f t="shared" si="31"/>
        <v>0</v>
      </c>
      <c r="Y123" s="127">
        <f t="shared" si="31"/>
        <v>0</v>
      </c>
      <c r="Z123" s="127">
        <f t="shared" si="31"/>
        <v>0</v>
      </c>
      <c r="AA123" s="127">
        <f t="shared" si="31"/>
        <v>0</v>
      </c>
      <c r="AB123" s="127">
        <f t="shared" si="31"/>
        <v>0</v>
      </c>
      <c r="AC123" s="127">
        <f t="shared" si="31"/>
        <v>0</v>
      </c>
      <c r="AD123" s="127">
        <f t="shared" si="31"/>
        <v>0</v>
      </c>
      <c r="AE123" s="127">
        <f t="shared" si="31"/>
        <v>0</v>
      </c>
    </row>
    <row r="124" spans="1:35" customFormat="1" ht="15" x14ac:dyDescent="0.25">
      <c r="B124" s="14" t="s">
        <v>110</v>
      </c>
      <c r="C124" s="14" t="s">
        <v>117</v>
      </c>
      <c r="D124" s="25" t="s">
        <v>2252</v>
      </c>
      <c r="E124" s="16" t="s">
        <v>1854</v>
      </c>
      <c r="F124" s="14" t="s">
        <v>2253</v>
      </c>
      <c r="H124" s="125" t="str">
        <f>Settings!$B$3&amp;".mit.ccf.ind.mch.1"</f>
        <v>egy.mit.ccf.ind.mch.1</v>
      </c>
      <c r="L124" s="127">
        <f>L$24*Mitigation_Industry!L$280/1000+L$25*Mitigation_Industry!L$281/1000+L$26*Mitigation_Industry!L$282/1000</f>
        <v>0</v>
      </c>
      <c r="M124" s="127">
        <f>M$24*Mitigation_Industry!M$280/1000+M$25*Mitigation_Industry!M$281/1000+M$26*Mitigation_Industry!M$282/1000</f>
        <v>0</v>
      </c>
      <c r="N124" s="127">
        <f>N$24*Mitigation_Industry!N$280/1000+N$25*Mitigation_Industry!N$281/1000+N$26*Mitigation_Industry!N$282/1000</f>
        <v>0</v>
      </c>
      <c r="O124" s="127">
        <f>O$24*Mitigation_Industry!O$280/1000+O$25*Mitigation_Industry!O$281/1000+O$26*Mitigation_Industry!O$282/1000</f>
        <v>0</v>
      </c>
      <c r="P124" s="127">
        <f>P$24*Mitigation_Industry!P$280/1000+P$25*Mitigation_Industry!P$281/1000+P$26*Mitigation_Industry!P$282/1000</f>
        <v>0</v>
      </c>
      <c r="Q124" s="127">
        <f>Q$24*Mitigation_Industry!Q$280/1000+Q$25*Mitigation_Industry!Q$281/1000+Q$26*Mitigation_Industry!Q$282/1000</f>
        <v>0</v>
      </c>
      <c r="R124" s="127">
        <f>R$24*Mitigation_Industry!R$280/1000+R$25*Mitigation_Industry!R$281/1000+R$26*Mitigation_Industry!R$282/1000</f>
        <v>0</v>
      </c>
      <c r="S124" s="127">
        <f>S$24*Mitigation_Industry!S$280/1000+S$25*Mitigation_Industry!S$281/1000+S$26*Mitigation_Industry!S$282/1000</f>
        <v>0</v>
      </c>
      <c r="T124" s="127">
        <f>T$24*Mitigation_Industry!T$280/1000+T$25*Mitigation_Industry!T$281/1000+T$26*Mitigation_Industry!T$282/1000</f>
        <v>0</v>
      </c>
      <c r="U124" s="127">
        <f>U$24*Mitigation_Industry!U$280/1000+U$25*Mitigation_Industry!U$281/1000+U$26*Mitigation_Industry!U$282/1000</f>
        <v>0</v>
      </c>
      <c r="V124" s="127">
        <f>V$24*Mitigation_Industry!V$280/1000+V$25*Mitigation_Industry!V$281/1000+V$26*Mitigation_Industry!V$282/1000</f>
        <v>0</v>
      </c>
      <c r="W124" s="127">
        <f>W$24*Mitigation_Industry!W$280/1000+W$25*Mitigation_Industry!W$281/1000+W$26*Mitigation_Industry!W$282/1000</f>
        <v>0</v>
      </c>
      <c r="X124" s="127">
        <f>X$24*Mitigation_Industry!X$280/1000+X$25*Mitigation_Industry!X$281/1000+X$26*Mitigation_Industry!X$282/1000</f>
        <v>0</v>
      </c>
      <c r="Y124" s="127">
        <f>Y$24*Mitigation_Industry!Y$280/1000+Y$25*Mitigation_Industry!Y$281/1000+Y$26*Mitigation_Industry!Y$282/1000</f>
        <v>0</v>
      </c>
      <c r="Z124" s="127">
        <f>Z$24*Mitigation_Industry!Z$280/1000+Z$25*Mitigation_Industry!Z$281/1000+Z$26*Mitigation_Industry!Z$282/1000</f>
        <v>0</v>
      </c>
      <c r="AA124" s="127">
        <f>AA$24*Mitigation_Industry!AA$280/1000+AA$25*Mitigation_Industry!AA$281/1000+AA$26*Mitigation_Industry!AA$282/1000</f>
        <v>0</v>
      </c>
      <c r="AB124" s="127">
        <f>AB$24*Mitigation_Industry!AB$280/1000+AB$25*Mitigation_Industry!AB$281/1000+AB$26*Mitigation_Industry!AB$282/1000</f>
        <v>0</v>
      </c>
      <c r="AC124" s="127">
        <f>AC$24*Mitigation_Industry!AC$280/1000+AC$25*Mitigation_Industry!AC$281/1000+AC$26*Mitigation_Industry!AC$282/1000</f>
        <v>0</v>
      </c>
      <c r="AD124" s="127">
        <f>AD$24*Mitigation_Industry!AD$280/1000+AD$25*Mitigation_Industry!AD$281/1000+AD$26*Mitigation_Industry!AD$282/1000</f>
        <v>0</v>
      </c>
      <c r="AE124" s="127">
        <f>AE$24*Mitigation_Industry!AE$280/1000+AE$25*Mitigation_Industry!AE$281/1000+AE$26*Mitigation_Industry!AE$282/1000</f>
        <v>0</v>
      </c>
    </row>
    <row r="125" spans="1:35" customFormat="1" ht="15" x14ac:dyDescent="0.25">
      <c r="B125" s="14" t="s">
        <v>110</v>
      </c>
      <c r="C125" s="14" t="s">
        <v>117</v>
      </c>
      <c r="D125" s="25" t="s">
        <v>2254</v>
      </c>
      <c r="E125" s="16" t="s">
        <v>79</v>
      </c>
      <c r="F125" s="14" t="s">
        <v>2255</v>
      </c>
      <c r="H125" s="125" t="str">
        <f>Settings!$B$3&amp;".mit.rsh.ind.mch.1"</f>
        <v>egy.mit.rsh.ind.mch.1</v>
      </c>
      <c r="I125" t="s">
        <v>2256</v>
      </c>
      <c r="L125" s="127">
        <f t="shared" ref="L125:AE125" si="32">IF(L$124&lt;=0,0,MIN(1,L$123/L$124))</f>
        <v>0</v>
      </c>
      <c r="M125" s="127">
        <f t="shared" si="32"/>
        <v>0</v>
      </c>
      <c r="N125" s="127">
        <f t="shared" si="32"/>
        <v>0</v>
      </c>
      <c r="O125" s="127">
        <f t="shared" si="32"/>
        <v>0</v>
      </c>
      <c r="P125" s="127">
        <f t="shared" si="32"/>
        <v>0</v>
      </c>
      <c r="Q125" s="127">
        <f t="shared" si="32"/>
        <v>0</v>
      </c>
      <c r="R125" s="127">
        <f t="shared" si="32"/>
        <v>0</v>
      </c>
      <c r="S125" s="127">
        <f t="shared" si="32"/>
        <v>0</v>
      </c>
      <c r="T125" s="127">
        <f t="shared" si="32"/>
        <v>0</v>
      </c>
      <c r="U125" s="127">
        <f t="shared" si="32"/>
        <v>0</v>
      </c>
      <c r="V125" s="127">
        <f t="shared" si="32"/>
        <v>0</v>
      </c>
      <c r="W125" s="127">
        <f t="shared" si="32"/>
        <v>0</v>
      </c>
      <c r="X125" s="127">
        <f t="shared" si="32"/>
        <v>0</v>
      </c>
      <c r="Y125" s="127">
        <f t="shared" si="32"/>
        <v>0</v>
      </c>
      <c r="Z125" s="127">
        <f t="shared" si="32"/>
        <v>0</v>
      </c>
      <c r="AA125" s="127">
        <f t="shared" si="32"/>
        <v>0</v>
      </c>
      <c r="AB125" s="127">
        <f t="shared" si="32"/>
        <v>0</v>
      </c>
      <c r="AC125" s="127">
        <f t="shared" si="32"/>
        <v>0</v>
      </c>
      <c r="AD125" s="127">
        <f t="shared" si="32"/>
        <v>0</v>
      </c>
      <c r="AE125" s="127">
        <f t="shared" si="32"/>
        <v>0</v>
      </c>
    </row>
    <row r="126" spans="1:35" customFormat="1" ht="15" x14ac:dyDescent="0.25">
      <c r="B126" s="14" t="s">
        <v>49</v>
      </c>
      <c r="C126" s="14" t="s">
        <v>117</v>
      </c>
      <c r="D126" s="15" t="s">
        <v>2257</v>
      </c>
      <c r="E126" s="16" t="s">
        <v>51</v>
      </c>
      <c r="F126" s="14" t="s">
        <v>2258</v>
      </c>
      <c r="G126" s="17"/>
      <c r="H126" s="125" t="str">
        <f>Settings!$B$3&amp;".mit.atpn.mch.coa.e.1"</f>
        <v>egy.mit.atpn.mch.coa.e.1</v>
      </c>
      <c r="I126" t="s">
        <v>2297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5" x14ac:dyDescent="0.25">
      <c r="B127" s="14" t="s">
        <v>53</v>
      </c>
      <c r="C127" s="14" t="s">
        <v>117</v>
      </c>
      <c r="D127" s="15" t="s">
        <v>2260</v>
      </c>
      <c r="E127" s="16" t="s">
        <v>51</v>
      </c>
      <c r="F127" s="14" t="s">
        <v>2258</v>
      </c>
      <c r="G127" s="17"/>
      <c r="H127" s="125" t="str">
        <f>Settings!$B$3&amp;".mit.atpn.mch.nga.e.1"</f>
        <v>egy.mit.atpn.mch.nga.e.1</v>
      </c>
      <c r="I127" t="s">
        <v>2298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5" x14ac:dyDescent="0.25">
      <c r="B128" s="14" t="s">
        <v>55</v>
      </c>
      <c r="C128" s="14" t="s">
        <v>117</v>
      </c>
      <c r="D128" s="15" t="s">
        <v>2262</v>
      </c>
      <c r="E128" s="16" t="s">
        <v>57</v>
      </c>
      <c r="F128" s="14" t="s">
        <v>2258</v>
      </c>
      <c r="G128" s="17"/>
      <c r="H128" s="125" t="str">
        <f>Settings!$B$3&amp;".mit.atpn.mch.gso.e.1"</f>
        <v>egy.mit.atpn.mch.gso.e.1</v>
      </c>
      <c r="I128" t="s">
        <v>2299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5" x14ac:dyDescent="0.25">
      <c r="B129" s="14" t="s">
        <v>58</v>
      </c>
      <c r="C129" s="14" t="s">
        <v>117</v>
      </c>
      <c r="D129" s="15" t="s">
        <v>2264</v>
      </c>
      <c r="E129" s="16" t="s">
        <v>57</v>
      </c>
      <c r="F129" s="14" t="s">
        <v>2258</v>
      </c>
      <c r="G129" s="17"/>
      <c r="H129" s="125" t="str">
        <f>Settings!$B$3&amp;".mit.atpn.mch.die.e.1"</f>
        <v>egy.mit.atpn.mch.die.e.1</v>
      </c>
      <c r="I129" t="s">
        <v>2300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5" x14ac:dyDescent="0.25">
      <c r="B130" s="14" t="s">
        <v>60</v>
      </c>
      <c r="C130" s="14" t="s">
        <v>117</v>
      </c>
      <c r="D130" s="15" t="s">
        <v>2266</v>
      </c>
      <c r="E130" s="16" t="s">
        <v>57</v>
      </c>
      <c r="F130" s="14" t="s">
        <v>2258</v>
      </c>
      <c r="G130" s="17"/>
      <c r="H130" s="125" t="str">
        <f>Settings!$B$3&amp;".mit.atpn.mch.lpg.e.1"</f>
        <v>egy.mit.atpn.mch.lpg.e.1</v>
      </c>
      <c r="I130" t="s">
        <v>2301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5" x14ac:dyDescent="0.25">
      <c r="B131" s="14" t="s">
        <v>62</v>
      </c>
      <c r="C131" s="14" t="s">
        <v>117</v>
      </c>
      <c r="D131" s="15" t="s">
        <v>2268</v>
      </c>
      <c r="E131" s="16" t="s">
        <v>57</v>
      </c>
      <c r="F131" s="14" t="s">
        <v>2258</v>
      </c>
      <c r="G131" s="17"/>
      <c r="H131" s="125" t="str">
        <f>Settings!$B$3&amp;".mit.atpn.mch.ker.e.1"</f>
        <v>egy.mit.atpn.mch.ker.e.1</v>
      </c>
      <c r="I131" t="s">
        <v>2302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5" x14ac:dyDescent="0.25">
      <c r="B132" s="14" t="s">
        <v>64</v>
      </c>
      <c r="C132" s="14" t="s">
        <v>117</v>
      </c>
      <c r="D132" s="15" t="s">
        <v>2270</v>
      </c>
      <c r="E132" s="16" t="s">
        <v>66</v>
      </c>
      <c r="F132" s="14" t="s">
        <v>2258</v>
      </c>
      <c r="G132" s="17"/>
      <c r="H132" s="125" t="str">
        <f>Settings!$B$3&amp;".mit.atpn.mch.oop.e.1"</f>
        <v>egy.mit.atpn.mch.oop.e.1</v>
      </c>
      <c r="I132" t="s">
        <v>2303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5" x14ac:dyDescent="0.25">
      <c r="B133" s="14" t="s">
        <v>67</v>
      </c>
      <c r="C133" s="14" t="s">
        <v>117</v>
      </c>
      <c r="D133" s="15" t="s">
        <v>2272</v>
      </c>
      <c r="E133" s="16" t="s">
        <v>51</v>
      </c>
      <c r="F133" s="14" t="s">
        <v>2258</v>
      </c>
      <c r="G133" s="17"/>
      <c r="H133" s="125" t="str">
        <f>Settings!$B$3&amp;".mit.atpn.mch.bio.e.1"</f>
        <v>egy.mit.atpn.mch.bio.e.1</v>
      </c>
      <c r="I133" t="s">
        <v>2304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5" x14ac:dyDescent="0.25">
      <c r="B134" s="14" t="s">
        <v>69</v>
      </c>
      <c r="C134" s="14" t="s">
        <v>117</v>
      </c>
      <c r="D134" s="15" t="s">
        <v>2274</v>
      </c>
      <c r="E134" s="16" t="s">
        <v>71</v>
      </c>
      <c r="F134" s="14" t="s">
        <v>2258</v>
      </c>
      <c r="G134" s="17"/>
      <c r="H134" s="125" t="str">
        <f>Settings!$B$3&amp;".mit.atpn.mch.ren.e.1"</f>
        <v>egy.mit.atpn.mch.ren.e.1</v>
      </c>
      <c r="I134" t="s">
        <v>2305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5" x14ac:dyDescent="0.25">
      <c r="A136" s="11"/>
      <c r="B136" s="6"/>
      <c r="C136" s="7" t="s">
        <v>2306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5" x14ac:dyDescent="0.25">
      <c r="B137" s="14" t="s">
        <v>110</v>
      </c>
      <c r="C137" s="14"/>
      <c r="D137" s="25" t="s">
        <v>2307</v>
      </c>
      <c r="E137" s="16" t="s">
        <v>1854</v>
      </c>
      <c r="F137" s="14" t="s">
        <v>2308</v>
      </c>
      <c r="H137" s="17"/>
      <c r="I137" t="s">
        <v>2309</v>
      </c>
      <c r="L137" s="127">
        <f>Mitigation_Industry!L$400</f>
        <v>0</v>
      </c>
      <c r="M137" s="127">
        <f>Mitigation_Industry!M$400</f>
        <v>0</v>
      </c>
      <c r="N137" s="127">
        <f>Mitigation_Industry!N$400</f>
        <v>0</v>
      </c>
      <c r="O137" s="127">
        <f>Mitigation_Industry!O$400</f>
        <v>0</v>
      </c>
      <c r="P137" s="127">
        <f>Mitigation_Industry!P$400</f>
        <v>0</v>
      </c>
      <c r="Q137" s="127">
        <f>Mitigation_Industry!Q$400</f>
        <v>0</v>
      </c>
      <c r="R137" s="127">
        <f>Mitigation_Industry!R$400</f>
        <v>0</v>
      </c>
      <c r="S137" s="127">
        <f>Mitigation_Industry!S$400</f>
        <v>0</v>
      </c>
      <c r="T137" s="127">
        <f>Mitigation_Industry!T$400</f>
        <v>0</v>
      </c>
      <c r="U137" s="127">
        <f>Mitigation_Industry!U$400</f>
        <v>0</v>
      </c>
      <c r="V137" s="127">
        <f>Mitigation_Industry!V$400</f>
        <v>0</v>
      </c>
      <c r="W137" s="127">
        <f>Mitigation_Industry!W$400</f>
        <v>0</v>
      </c>
      <c r="X137" s="127">
        <f>Mitigation_Industry!X$400</f>
        <v>0</v>
      </c>
      <c r="Y137" s="127">
        <f>Mitigation_Industry!Y$400</f>
        <v>0</v>
      </c>
      <c r="Z137" s="127">
        <f>Mitigation_Industry!Z$400</f>
        <v>0</v>
      </c>
      <c r="AA137" s="127">
        <f>Mitigation_Industry!AA$400</f>
        <v>0</v>
      </c>
      <c r="AB137" s="127">
        <f>Mitigation_Industry!AB$400</f>
        <v>0</v>
      </c>
      <c r="AC137" s="127">
        <f>Mitigation_Industry!AC$400</f>
        <v>0</v>
      </c>
      <c r="AD137" s="127">
        <f>Mitigation_Industry!AD$400</f>
        <v>0</v>
      </c>
      <c r="AE137" s="127">
        <f>Mitigation_Industry!AE$400</f>
        <v>0</v>
      </c>
    </row>
    <row r="138" spans="1:35" customFormat="1" ht="15" x14ac:dyDescent="0.25">
      <c r="B138" s="14" t="s">
        <v>110</v>
      </c>
      <c r="C138" s="14"/>
      <c r="D138" s="25" t="s">
        <v>2310</v>
      </c>
      <c r="E138" s="16" t="s">
        <v>1854</v>
      </c>
      <c r="F138" s="14" t="s">
        <v>2239</v>
      </c>
      <c r="H138" s="17"/>
      <c r="L138" s="127">
        <f t="shared" ref="L138:AE138" si="33">L$78</f>
        <v>0</v>
      </c>
      <c r="M138" s="127">
        <f t="shared" si="33"/>
        <v>0</v>
      </c>
      <c r="N138" s="127">
        <f t="shared" si="33"/>
        <v>0</v>
      </c>
      <c r="O138" s="127">
        <f t="shared" si="33"/>
        <v>0</v>
      </c>
      <c r="P138" s="127">
        <f t="shared" si="33"/>
        <v>0</v>
      </c>
      <c r="Q138" s="127">
        <f t="shared" si="33"/>
        <v>0</v>
      </c>
      <c r="R138" s="127">
        <f t="shared" si="33"/>
        <v>0</v>
      </c>
      <c r="S138" s="127">
        <f t="shared" si="33"/>
        <v>0</v>
      </c>
      <c r="T138" s="127">
        <f t="shared" si="33"/>
        <v>0</v>
      </c>
      <c r="U138" s="127">
        <f t="shared" si="33"/>
        <v>0</v>
      </c>
      <c r="V138" s="127">
        <f t="shared" si="33"/>
        <v>0</v>
      </c>
      <c r="W138" s="127">
        <f t="shared" si="33"/>
        <v>0</v>
      </c>
      <c r="X138" s="127">
        <f t="shared" si="33"/>
        <v>0</v>
      </c>
      <c r="Y138" s="127">
        <f t="shared" si="33"/>
        <v>0</v>
      </c>
      <c r="Z138" s="127">
        <f t="shared" si="33"/>
        <v>0</v>
      </c>
      <c r="AA138" s="127">
        <f t="shared" si="33"/>
        <v>0</v>
      </c>
      <c r="AB138" s="127">
        <f t="shared" si="33"/>
        <v>0</v>
      </c>
      <c r="AC138" s="127">
        <f t="shared" si="33"/>
        <v>0</v>
      </c>
      <c r="AD138" s="127">
        <f t="shared" si="33"/>
        <v>0</v>
      </c>
      <c r="AE138" s="127">
        <f t="shared" si="33"/>
        <v>0</v>
      </c>
    </row>
    <row r="139" spans="1:35" customFormat="1" ht="15" x14ac:dyDescent="0.25">
      <c r="B139" s="14" t="s">
        <v>110</v>
      </c>
      <c r="C139" s="14"/>
      <c r="D139" s="25" t="s">
        <v>2311</v>
      </c>
      <c r="E139" s="16" t="s">
        <v>1854</v>
      </c>
      <c r="F139" s="14" t="s">
        <v>2312</v>
      </c>
      <c r="H139" s="125" t="str">
        <f>Settings!$B$3&amp;".mit.revnet.cbam.tot.1"</f>
        <v>egy.mit.revnet.cbam.tot.1</v>
      </c>
      <c r="L139" s="127">
        <f t="shared" ref="L139:AE139" si="34">L137-L138</f>
        <v>0</v>
      </c>
      <c r="M139" s="127">
        <f t="shared" si="34"/>
        <v>0</v>
      </c>
      <c r="N139" s="127">
        <f t="shared" si="34"/>
        <v>0</v>
      </c>
      <c r="O139" s="127">
        <f t="shared" si="34"/>
        <v>0</v>
      </c>
      <c r="P139" s="127">
        <f t="shared" si="34"/>
        <v>0</v>
      </c>
      <c r="Q139" s="127">
        <f t="shared" si="34"/>
        <v>0</v>
      </c>
      <c r="R139" s="127">
        <f t="shared" si="34"/>
        <v>0</v>
      </c>
      <c r="S139" s="127">
        <f t="shared" si="34"/>
        <v>0</v>
      </c>
      <c r="T139" s="127">
        <f t="shared" si="34"/>
        <v>0</v>
      </c>
      <c r="U139" s="127">
        <f t="shared" si="34"/>
        <v>0</v>
      </c>
      <c r="V139" s="127">
        <f t="shared" si="34"/>
        <v>0</v>
      </c>
      <c r="W139" s="127">
        <f t="shared" si="34"/>
        <v>0</v>
      </c>
      <c r="X139" s="127">
        <f t="shared" si="34"/>
        <v>0</v>
      </c>
      <c r="Y139" s="127">
        <f t="shared" si="34"/>
        <v>0</v>
      </c>
      <c r="Z139" s="127">
        <f t="shared" si="34"/>
        <v>0</v>
      </c>
      <c r="AA139" s="127">
        <f t="shared" si="34"/>
        <v>0</v>
      </c>
      <c r="AB139" s="127">
        <f t="shared" si="34"/>
        <v>0</v>
      </c>
      <c r="AC139" s="127">
        <f t="shared" si="34"/>
        <v>0</v>
      </c>
      <c r="AD139" s="127">
        <f t="shared" si="34"/>
        <v>0</v>
      </c>
      <c r="AE139" s="127">
        <f t="shared" si="34"/>
        <v>0</v>
      </c>
    </row>
    <row r="142" spans="1:35" customFormat="1" ht="18" customHeight="1" x14ac:dyDescent="0.25">
      <c r="A142" s="8"/>
      <c r="B142" s="9" t="s">
        <v>2313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5" x14ac:dyDescent="0.25">
      <c r="A144" s="11"/>
      <c r="B144" s="6"/>
      <c r="C144" s="7" t="s">
        <v>2173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5" x14ac:dyDescent="0.25">
      <c r="B145" s="14" t="s">
        <v>1782</v>
      </c>
      <c r="C145" s="14"/>
      <c r="D145" s="15" t="s">
        <v>2174</v>
      </c>
      <c r="E145" s="16" t="s">
        <v>79</v>
      </c>
      <c r="F145" s="14" t="s">
        <v>1782</v>
      </c>
      <c r="G145" s="125" t="s">
        <v>1785</v>
      </c>
      <c r="H145" s="17"/>
      <c r="I145" t="s">
        <v>2175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5" x14ac:dyDescent="0.25">
      <c r="B146" s="14" t="s">
        <v>1786</v>
      </c>
      <c r="C146" s="14"/>
      <c r="D146" s="15" t="s">
        <v>2176</v>
      </c>
      <c r="E146" s="16" t="s">
        <v>1398</v>
      </c>
      <c r="F146" s="14" t="s">
        <v>1786</v>
      </c>
      <c r="G146" s="125" t="s">
        <v>1788</v>
      </c>
      <c r="H146" s="17"/>
      <c r="I146" t="s">
        <v>2314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5" x14ac:dyDescent="0.25">
      <c r="A148" s="11"/>
      <c r="B148" s="6"/>
      <c r="C148" s="7" t="s">
        <v>2178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5" x14ac:dyDescent="0.25">
      <c r="B149" s="14" t="s">
        <v>1435</v>
      </c>
      <c r="C149" s="14" t="s">
        <v>43</v>
      </c>
      <c r="D149" s="15" t="s">
        <v>2179</v>
      </c>
      <c r="E149" s="16" t="s">
        <v>2180</v>
      </c>
      <c r="F149" s="14" t="s">
        <v>2178</v>
      </c>
      <c r="G149" s="17"/>
      <c r="H149" s="125" t="str">
        <f>Settings!$B$3&amp;".mit.obrbm.stl.drg.2"</f>
        <v>egy.mit.obrbm.stl.drg.2</v>
      </c>
      <c r="I149" t="s">
        <v>2181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5" x14ac:dyDescent="0.25">
      <c r="B150" s="14" t="s">
        <v>1438</v>
      </c>
      <c r="C150" s="14" t="s">
        <v>43</v>
      </c>
      <c r="D150" s="15" t="s">
        <v>2182</v>
      </c>
      <c r="E150" s="16" t="s">
        <v>2180</v>
      </c>
      <c r="F150" s="14" t="s">
        <v>2178</v>
      </c>
      <c r="G150" s="17"/>
      <c r="H150" s="125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5" x14ac:dyDescent="0.25">
      <c r="B151" s="14" t="s">
        <v>1441</v>
      </c>
      <c r="C151" s="14" t="s">
        <v>43</v>
      </c>
      <c r="D151" s="15" t="s">
        <v>2183</v>
      </c>
      <c r="E151" s="16" t="s">
        <v>2180</v>
      </c>
      <c r="F151" s="14" t="s">
        <v>2178</v>
      </c>
      <c r="G151" s="17"/>
      <c r="H151" s="125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5" x14ac:dyDescent="0.25">
      <c r="B152" s="14" t="s">
        <v>1444</v>
      </c>
      <c r="C152" s="14" t="s">
        <v>113</v>
      </c>
      <c r="D152" s="15" t="s">
        <v>2184</v>
      </c>
      <c r="E152" s="16" t="s">
        <v>2180</v>
      </c>
      <c r="F152" s="14" t="s">
        <v>2178</v>
      </c>
      <c r="G152" s="17"/>
      <c r="H152" s="125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5" x14ac:dyDescent="0.25">
      <c r="B153" s="14" t="s">
        <v>1447</v>
      </c>
      <c r="C153" s="14" t="s">
        <v>117</v>
      </c>
      <c r="D153" s="15" t="s">
        <v>2185</v>
      </c>
      <c r="E153" s="16" t="s">
        <v>2180</v>
      </c>
      <c r="F153" s="14" t="s">
        <v>2178</v>
      </c>
      <c r="G153" s="17"/>
      <c r="H153" s="125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5" x14ac:dyDescent="0.25">
      <c r="B154" s="14" t="s">
        <v>1450</v>
      </c>
      <c r="C154" s="14" t="s">
        <v>117</v>
      </c>
      <c r="D154" s="15" t="s">
        <v>2186</v>
      </c>
      <c r="E154" s="16" t="s">
        <v>2180</v>
      </c>
      <c r="F154" s="14" t="s">
        <v>2178</v>
      </c>
      <c r="G154" s="17"/>
      <c r="H154" s="125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5" x14ac:dyDescent="0.25">
      <c r="B155" s="14" t="s">
        <v>1453</v>
      </c>
      <c r="C155" s="14" t="s">
        <v>117</v>
      </c>
      <c r="D155" s="15" t="s">
        <v>2187</v>
      </c>
      <c r="E155" s="16" t="s">
        <v>2180</v>
      </c>
      <c r="F155" s="14" t="s">
        <v>2178</v>
      </c>
      <c r="G155" s="17"/>
      <c r="H155" s="125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5" x14ac:dyDescent="0.25">
      <c r="B156" s="14" t="s">
        <v>1456</v>
      </c>
      <c r="C156" s="14" t="s">
        <v>115</v>
      </c>
      <c r="D156" s="15" t="s">
        <v>2188</v>
      </c>
      <c r="E156" s="16" t="s">
        <v>2180</v>
      </c>
      <c r="F156" s="14" t="s">
        <v>2178</v>
      </c>
      <c r="G156" s="17"/>
      <c r="H156" s="125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5" x14ac:dyDescent="0.25">
      <c r="A158" s="11"/>
      <c r="B158" s="6"/>
      <c r="C158" s="7" t="s">
        <v>2189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5" x14ac:dyDescent="0.25">
      <c r="B159" s="14" t="s">
        <v>1435</v>
      </c>
      <c r="C159" s="14" t="s">
        <v>43</v>
      </c>
      <c r="D159" s="15" t="s">
        <v>2190</v>
      </c>
      <c r="E159" s="16" t="s">
        <v>2191</v>
      </c>
      <c r="F159" s="14" t="s">
        <v>2189</v>
      </c>
      <c r="G159" s="17"/>
      <c r="H159" s="125" t="str">
        <f>Settings!$B$3&amp;".mit.ccpt.stl.drg.2"</f>
        <v>egy.mit.ccpt.stl.drg.2</v>
      </c>
      <c r="I159" t="s">
        <v>2192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5" x14ac:dyDescent="0.25">
      <c r="B160" s="14" t="s">
        <v>1438</v>
      </c>
      <c r="C160" s="14" t="s">
        <v>43</v>
      </c>
      <c r="D160" s="15" t="s">
        <v>2193</v>
      </c>
      <c r="E160" s="16" t="s">
        <v>2191</v>
      </c>
      <c r="F160" s="14" t="s">
        <v>2189</v>
      </c>
      <c r="G160" s="17"/>
      <c r="H160" s="125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5" x14ac:dyDescent="0.25">
      <c r="B161" s="14" t="s">
        <v>1441</v>
      </c>
      <c r="C161" s="14" t="s">
        <v>43</v>
      </c>
      <c r="D161" s="15" t="s">
        <v>2194</v>
      </c>
      <c r="E161" s="16" t="s">
        <v>2191</v>
      </c>
      <c r="F161" s="14" t="s">
        <v>2189</v>
      </c>
      <c r="G161" s="17"/>
      <c r="H161" s="125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5" x14ac:dyDescent="0.25">
      <c r="B162" s="14" t="s">
        <v>1444</v>
      </c>
      <c r="C162" s="14" t="s">
        <v>113</v>
      </c>
      <c r="D162" s="15" t="s">
        <v>2195</v>
      </c>
      <c r="E162" s="16" t="s">
        <v>2191</v>
      </c>
      <c r="F162" s="14" t="s">
        <v>2189</v>
      </c>
      <c r="G162" s="17"/>
      <c r="H162" s="125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5" x14ac:dyDescent="0.25">
      <c r="B163" s="14" t="s">
        <v>1447</v>
      </c>
      <c r="C163" s="14" t="s">
        <v>117</v>
      </c>
      <c r="D163" s="15" t="s">
        <v>2196</v>
      </c>
      <c r="E163" s="16" t="s">
        <v>2191</v>
      </c>
      <c r="F163" s="14" t="s">
        <v>2189</v>
      </c>
      <c r="G163" s="17"/>
      <c r="H163" s="125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5" x14ac:dyDescent="0.25">
      <c r="B164" s="14" t="s">
        <v>1450</v>
      </c>
      <c r="C164" s="14" t="s">
        <v>117</v>
      </c>
      <c r="D164" s="15" t="s">
        <v>2197</v>
      </c>
      <c r="E164" s="16" t="s">
        <v>2191</v>
      </c>
      <c r="F164" s="14" t="s">
        <v>2189</v>
      </c>
      <c r="G164" s="17"/>
      <c r="H164" s="125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5" x14ac:dyDescent="0.25">
      <c r="B165" s="14" t="s">
        <v>1453</v>
      </c>
      <c r="C165" s="14" t="s">
        <v>117</v>
      </c>
      <c r="D165" s="15" t="s">
        <v>2198</v>
      </c>
      <c r="E165" s="16" t="s">
        <v>2191</v>
      </c>
      <c r="F165" s="14" t="s">
        <v>2189</v>
      </c>
      <c r="G165" s="17"/>
      <c r="H165" s="125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5" x14ac:dyDescent="0.25">
      <c r="B166" s="14" t="s">
        <v>1456</v>
      </c>
      <c r="C166" s="14" t="s">
        <v>115</v>
      </c>
      <c r="D166" s="15" t="s">
        <v>2199</v>
      </c>
      <c r="E166" s="16" t="s">
        <v>2191</v>
      </c>
      <c r="F166" s="14" t="s">
        <v>2189</v>
      </c>
      <c r="G166" s="17"/>
      <c r="H166" s="125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5" x14ac:dyDescent="0.25">
      <c r="A168" s="11"/>
      <c r="B168" s="6"/>
      <c r="C168" s="7" t="s">
        <v>2200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5" x14ac:dyDescent="0.25">
      <c r="B169" s="14" t="s">
        <v>1435</v>
      </c>
      <c r="C169" s="14" t="s">
        <v>43</v>
      </c>
      <c r="D169" s="15" t="s">
        <v>2201</v>
      </c>
      <c r="E169" s="16" t="s">
        <v>2191</v>
      </c>
      <c r="F169" s="14" t="s">
        <v>2200</v>
      </c>
      <c r="G169" s="17"/>
      <c r="H169" s="125" t="str">
        <f>Settings!$B$3&amp;".mit.obrpu.stl.drg.2"</f>
        <v>egy.mit.obrpu.stl.drg.2</v>
      </c>
      <c r="I169" t="s">
        <v>2202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5" x14ac:dyDescent="0.25">
      <c r="B170" s="14" t="s">
        <v>1438</v>
      </c>
      <c r="C170" s="14" t="s">
        <v>43</v>
      </c>
      <c r="D170" s="15" t="s">
        <v>2203</v>
      </c>
      <c r="E170" s="16" t="s">
        <v>2191</v>
      </c>
      <c r="F170" s="14" t="s">
        <v>2200</v>
      </c>
      <c r="G170" s="17"/>
      <c r="H170" s="125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5" x14ac:dyDescent="0.25">
      <c r="B171" s="14" t="s">
        <v>1441</v>
      </c>
      <c r="C171" s="14" t="s">
        <v>43</v>
      </c>
      <c r="D171" s="15" t="s">
        <v>2204</v>
      </c>
      <c r="E171" s="16" t="s">
        <v>2191</v>
      </c>
      <c r="F171" s="14" t="s">
        <v>2200</v>
      </c>
      <c r="G171" s="17"/>
      <c r="H171" s="125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5" x14ac:dyDescent="0.25">
      <c r="B172" s="14" t="s">
        <v>1444</v>
      </c>
      <c r="C172" s="14" t="s">
        <v>113</v>
      </c>
      <c r="D172" s="15" t="s">
        <v>2205</v>
      </c>
      <c r="E172" s="16" t="s">
        <v>2191</v>
      </c>
      <c r="F172" s="14" t="s">
        <v>2200</v>
      </c>
      <c r="G172" s="17"/>
      <c r="H172" s="125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5" x14ac:dyDescent="0.25">
      <c r="B173" s="14" t="s">
        <v>1447</v>
      </c>
      <c r="C173" s="14" t="s">
        <v>117</v>
      </c>
      <c r="D173" s="15" t="s">
        <v>2206</v>
      </c>
      <c r="E173" s="16" t="s">
        <v>2191</v>
      </c>
      <c r="F173" s="14" t="s">
        <v>2200</v>
      </c>
      <c r="G173" s="17"/>
      <c r="H173" s="125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5" x14ac:dyDescent="0.25">
      <c r="B174" s="14" t="s">
        <v>1450</v>
      </c>
      <c r="C174" s="14" t="s">
        <v>117</v>
      </c>
      <c r="D174" s="15" t="s">
        <v>2207</v>
      </c>
      <c r="E174" s="16" t="s">
        <v>2191</v>
      </c>
      <c r="F174" s="14" t="s">
        <v>2200</v>
      </c>
      <c r="G174" s="17"/>
      <c r="H174" s="125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5" x14ac:dyDescent="0.25">
      <c r="B175" s="14" t="s">
        <v>1453</v>
      </c>
      <c r="C175" s="14" t="s">
        <v>117</v>
      </c>
      <c r="D175" s="15" t="s">
        <v>2208</v>
      </c>
      <c r="E175" s="16" t="s">
        <v>2191</v>
      </c>
      <c r="F175" s="14" t="s">
        <v>2200</v>
      </c>
      <c r="G175" s="17"/>
      <c r="H175" s="125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5" x14ac:dyDescent="0.25">
      <c r="B176" s="14" t="s">
        <v>1456</v>
      </c>
      <c r="C176" s="14" t="s">
        <v>115</v>
      </c>
      <c r="D176" s="15" t="s">
        <v>2209</v>
      </c>
      <c r="E176" s="16" t="s">
        <v>2191</v>
      </c>
      <c r="F176" s="14" t="s">
        <v>2200</v>
      </c>
      <c r="G176" s="17"/>
      <c r="H176" s="125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5" x14ac:dyDescent="0.25">
      <c r="A178" s="11"/>
      <c r="B178" s="6"/>
      <c r="C178" s="7" t="s">
        <v>2210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5" x14ac:dyDescent="0.25">
      <c r="B179" s="14" t="s">
        <v>1435</v>
      </c>
      <c r="C179" s="14" t="s">
        <v>43</v>
      </c>
      <c r="D179" s="15" t="s">
        <v>2211</v>
      </c>
      <c r="E179" s="16" t="s">
        <v>2191</v>
      </c>
      <c r="F179" s="14" t="s">
        <v>2210</v>
      </c>
      <c r="G179" s="17"/>
      <c r="H179" s="125" t="str">
        <f>Settings!$B$3&amp;".mit.obrpt.stl.drg.2"</f>
        <v>egy.mit.obrpt.stl.drg.2</v>
      </c>
      <c r="I179" t="s">
        <v>2212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5" x14ac:dyDescent="0.25">
      <c r="B180" s="14" t="s">
        <v>1438</v>
      </c>
      <c r="C180" s="14" t="s">
        <v>43</v>
      </c>
      <c r="D180" s="15" t="s">
        <v>2213</v>
      </c>
      <c r="E180" s="16" t="s">
        <v>2191</v>
      </c>
      <c r="F180" s="14" t="s">
        <v>2210</v>
      </c>
      <c r="G180" s="17"/>
      <c r="H180" s="125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5" x14ac:dyDescent="0.25">
      <c r="B181" s="14" t="s">
        <v>1441</v>
      </c>
      <c r="C181" s="14" t="s">
        <v>43</v>
      </c>
      <c r="D181" s="15" t="s">
        <v>2214</v>
      </c>
      <c r="E181" s="16" t="s">
        <v>2191</v>
      </c>
      <c r="F181" s="14" t="s">
        <v>2210</v>
      </c>
      <c r="G181" s="17"/>
      <c r="H181" s="125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5" x14ac:dyDescent="0.25">
      <c r="B182" s="14" t="s">
        <v>1444</v>
      </c>
      <c r="C182" s="14" t="s">
        <v>113</v>
      </c>
      <c r="D182" s="15" t="s">
        <v>2215</v>
      </c>
      <c r="E182" s="16" t="s">
        <v>2191</v>
      </c>
      <c r="F182" s="14" t="s">
        <v>2210</v>
      </c>
      <c r="G182" s="17"/>
      <c r="H182" s="125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5" x14ac:dyDescent="0.25">
      <c r="B183" s="14" t="s">
        <v>1447</v>
      </c>
      <c r="C183" s="14" t="s">
        <v>117</v>
      </c>
      <c r="D183" s="15" t="s">
        <v>2216</v>
      </c>
      <c r="E183" s="16" t="s">
        <v>2191</v>
      </c>
      <c r="F183" s="14" t="s">
        <v>2210</v>
      </c>
      <c r="G183" s="17"/>
      <c r="H183" s="125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5" x14ac:dyDescent="0.25">
      <c r="B184" s="14" t="s">
        <v>1450</v>
      </c>
      <c r="C184" s="14" t="s">
        <v>117</v>
      </c>
      <c r="D184" s="15" t="s">
        <v>2217</v>
      </c>
      <c r="E184" s="16" t="s">
        <v>2191</v>
      </c>
      <c r="F184" s="14" t="s">
        <v>2210</v>
      </c>
      <c r="G184" s="17"/>
      <c r="H184" s="125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5" x14ac:dyDescent="0.25">
      <c r="B185" s="14" t="s">
        <v>1453</v>
      </c>
      <c r="C185" s="14" t="s">
        <v>117</v>
      </c>
      <c r="D185" s="15" t="s">
        <v>2218</v>
      </c>
      <c r="E185" s="16" t="s">
        <v>2191</v>
      </c>
      <c r="F185" s="14" t="s">
        <v>2210</v>
      </c>
      <c r="G185" s="17"/>
      <c r="H185" s="125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5" x14ac:dyDescent="0.25">
      <c r="B186" s="14" t="s">
        <v>1456</v>
      </c>
      <c r="C186" s="14" t="s">
        <v>115</v>
      </c>
      <c r="D186" s="15" t="s">
        <v>2219</v>
      </c>
      <c r="E186" s="16" t="s">
        <v>2191</v>
      </c>
      <c r="F186" s="14" t="s">
        <v>2210</v>
      </c>
      <c r="G186" s="17"/>
      <c r="H186" s="125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5" x14ac:dyDescent="0.25">
      <c r="A188" s="11"/>
      <c r="B188" s="6"/>
      <c r="C188" s="7" t="s">
        <v>2220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5" x14ac:dyDescent="0.25">
      <c r="B189" s="14" t="s">
        <v>1435</v>
      </c>
      <c r="C189" s="14" t="s">
        <v>43</v>
      </c>
      <c r="D189" s="15" t="s">
        <v>2221</v>
      </c>
      <c r="E189" s="16" t="s">
        <v>2191</v>
      </c>
      <c r="F189" s="14" t="s">
        <v>2220</v>
      </c>
      <c r="G189" s="17"/>
      <c r="H189" s="125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5" x14ac:dyDescent="0.25">
      <c r="B190" s="14" t="s">
        <v>1438</v>
      </c>
      <c r="C190" s="14" t="s">
        <v>43</v>
      </c>
      <c r="D190" s="15" t="s">
        <v>2222</v>
      </c>
      <c r="E190" s="16" t="s">
        <v>2191</v>
      </c>
      <c r="F190" s="14" t="s">
        <v>2220</v>
      </c>
      <c r="G190" s="17"/>
      <c r="H190" s="125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5" x14ac:dyDescent="0.25">
      <c r="B191" s="14" t="s">
        <v>1441</v>
      </c>
      <c r="C191" s="14" t="s">
        <v>43</v>
      </c>
      <c r="D191" s="15" t="s">
        <v>2223</v>
      </c>
      <c r="E191" s="16" t="s">
        <v>2191</v>
      </c>
      <c r="F191" s="14" t="s">
        <v>2220</v>
      </c>
      <c r="G191" s="17"/>
      <c r="H191" s="125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5" x14ac:dyDescent="0.25">
      <c r="B192" s="14" t="s">
        <v>1444</v>
      </c>
      <c r="C192" s="14" t="s">
        <v>113</v>
      </c>
      <c r="D192" s="15" t="s">
        <v>2224</v>
      </c>
      <c r="E192" s="16" t="s">
        <v>2191</v>
      </c>
      <c r="F192" s="14" t="s">
        <v>2220</v>
      </c>
      <c r="G192" s="17"/>
      <c r="H192" s="125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5" x14ac:dyDescent="0.25">
      <c r="B193" s="14" t="s">
        <v>1447</v>
      </c>
      <c r="C193" s="14" t="s">
        <v>117</v>
      </c>
      <c r="D193" s="15" t="s">
        <v>2225</v>
      </c>
      <c r="E193" s="16" t="s">
        <v>2191</v>
      </c>
      <c r="F193" s="14" t="s">
        <v>2220</v>
      </c>
      <c r="G193" s="17"/>
      <c r="H193" s="125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5" x14ac:dyDescent="0.25">
      <c r="B194" s="14" t="s">
        <v>1450</v>
      </c>
      <c r="C194" s="14" t="s">
        <v>117</v>
      </c>
      <c r="D194" s="15" t="s">
        <v>2226</v>
      </c>
      <c r="E194" s="16" t="s">
        <v>2191</v>
      </c>
      <c r="F194" s="14" t="s">
        <v>2220</v>
      </c>
      <c r="G194" s="17"/>
      <c r="H194" s="125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5" x14ac:dyDescent="0.25">
      <c r="B195" s="14" t="s">
        <v>1453</v>
      </c>
      <c r="C195" s="14" t="s">
        <v>117</v>
      </c>
      <c r="D195" s="15" t="s">
        <v>2227</v>
      </c>
      <c r="E195" s="16" t="s">
        <v>2191</v>
      </c>
      <c r="F195" s="14" t="s">
        <v>2220</v>
      </c>
      <c r="G195" s="17"/>
      <c r="H195" s="125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5" x14ac:dyDescent="0.25">
      <c r="B196" s="14" t="s">
        <v>1456</v>
      </c>
      <c r="C196" s="14" t="s">
        <v>115</v>
      </c>
      <c r="D196" s="15" t="s">
        <v>2228</v>
      </c>
      <c r="E196" s="16" t="s">
        <v>2191</v>
      </c>
      <c r="F196" s="14" t="s">
        <v>2220</v>
      </c>
      <c r="G196" s="17"/>
      <c r="H196" s="125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5" x14ac:dyDescent="0.25">
      <c r="A198" s="11"/>
      <c r="B198" s="6"/>
      <c r="C198" s="7" t="s">
        <v>2229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5" x14ac:dyDescent="0.25">
      <c r="B199" s="14" t="s">
        <v>1435</v>
      </c>
      <c r="C199" s="14" t="s">
        <v>43</v>
      </c>
      <c r="D199" s="15" t="s">
        <v>2230</v>
      </c>
      <c r="E199" s="16" t="s">
        <v>79</v>
      </c>
      <c r="F199" s="14" t="s">
        <v>2229</v>
      </c>
      <c r="G199" s="17"/>
      <c r="H199" s="125" t="str">
        <f>Settings!$B$3&amp;".mit.ppin.stl.drg.2"</f>
        <v>egy.mit.ppin.stl.drg.2</v>
      </c>
      <c r="I199" t="s">
        <v>2231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5" x14ac:dyDescent="0.25">
      <c r="B200" s="14" t="s">
        <v>1438</v>
      </c>
      <c r="C200" s="14" t="s">
        <v>43</v>
      </c>
      <c r="D200" s="15" t="s">
        <v>2232</v>
      </c>
      <c r="E200" s="16" t="s">
        <v>79</v>
      </c>
      <c r="F200" s="14" t="s">
        <v>2229</v>
      </c>
      <c r="G200" s="17"/>
      <c r="H200" s="125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5" x14ac:dyDescent="0.25">
      <c r="B201" s="14" t="s">
        <v>1441</v>
      </c>
      <c r="C201" s="14" t="s">
        <v>43</v>
      </c>
      <c r="D201" s="15" t="s">
        <v>2233</v>
      </c>
      <c r="E201" s="16" t="s">
        <v>79</v>
      </c>
      <c r="F201" s="14" t="s">
        <v>2229</v>
      </c>
      <c r="G201" s="17"/>
      <c r="H201" s="125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5" x14ac:dyDescent="0.25">
      <c r="B202" s="14" t="s">
        <v>1444</v>
      </c>
      <c r="C202" s="14" t="s">
        <v>113</v>
      </c>
      <c r="D202" s="15" t="s">
        <v>2234</v>
      </c>
      <c r="E202" s="16" t="s">
        <v>79</v>
      </c>
      <c r="F202" s="14" t="s">
        <v>2229</v>
      </c>
      <c r="G202" s="17"/>
      <c r="H202" s="125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5" x14ac:dyDescent="0.25">
      <c r="B203" s="14" t="s">
        <v>1447</v>
      </c>
      <c r="C203" s="14" t="s">
        <v>117</v>
      </c>
      <c r="D203" s="15" t="s">
        <v>2235</v>
      </c>
      <c r="E203" s="16" t="s">
        <v>79</v>
      </c>
      <c r="F203" s="14" t="s">
        <v>2229</v>
      </c>
      <c r="G203" s="17"/>
      <c r="H203" s="125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5" x14ac:dyDescent="0.25">
      <c r="B204" s="14" t="s">
        <v>1450</v>
      </c>
      <c r="C204" s="14" t="s">
        <v>117</v>
      </c>
      <c r="D204" s="15" t="s">
        <v>2236</v>
      </c>
      <c r="E204" s="16" t="s">
        <v>79</v>
      </c>
      <c r="F204" s="14" t="s">
        <v>2229</v>
      </c>
      <c r="G204" s="17"/>
      <c r="H204" s="125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5" x14ac:dyDescent="0.25">
      <c r="B205" s="14" t="s">
        <v>1453</v>
      </c>
      <c r="C205" s="14" t="s">
        <v>117</v>
      </c>
      <c r="D205" s="15" t="s">
        <v>2237</v>
      </c>
      <c r="E205" s="16" t="s">
        <v>79</v>
      </c>
      <c r="F205" s="14" t="s">
        <v>2229</v>
      </c>
      <c r="G205" s="17"/>
      <c r="H205" s="125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5" x14ac:dyDescent="0.25">
      <c r="B206" s="14" t="s">
        <v>1456</v>
      </c>
      <c r="C206" s="14" t="s">
        <v>115</v>
      </c>
      <c r="D206" s="15" t="s">
        <v>2238</v>
      </c>
      <c r="E206" s="16" t="s">
        <v>79</v>
      </c>
      <c r="F206" s="14" t="s">
        <v>2229</v>
      </c>
      <c r="G206" s="17"/>
      <c r="H206" s="125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5" x14ac:dyDescent="0.25">
      <c r="A208" s="11"/>
      <c r="B208" s="6"/>
      <c r="C208" s="7" t="s">
        <v>2239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5" x14ac:dyDescent="0.25">
      <c r="B209" s="14" t="s">
        <v>1435</v>
      </c>
      <c r="C209" s="14" t="s">
        <v>43</v>
      </c>
      <c r="D209" s="15" t="s">
        <v>2240</v>
      </c>
      <c r="E209" s="16" t="s">
        <v>1854</v>
      </c>
      <c r="F209" s="14" t="s">
        <v>2239</v>
      </c>
      <c r="G209" s="17"/>
      <c r="H209" s="125" t="str">
        <f>Settings!$B$3&amp;".mit.obr.stl.drg.2"</f>
        <v>egy.mit.obr.stl.drg.2</v>
      </c>
      <c r="I209" t="s">
        <v>2241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5" x14ac:dyDescent="0.25">
      <c r="B210" s="14" t="s">
        <v>1438</v>
      </c>
      <c r="C210" s="14" t="s">
        <v>43</v>
      </c>
      <c r="D210" s="15" t="s">
        <v>2242</v>
      </c>
      <c r="E210" s="16" t="s">
        <v>1854</v>
      </c>
      <c r="F210" s="14" t="s">
        <v>2239</v>
      </c>
      <c r="G210" s="17"/>
      <c r="H210" s="125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5" x14ac:dyDescent="0.25">
      <c r="B211" s="14" t="s">
        <v>1441</v>
      </c>
      <c r="C211" s="14" t="s">
        <v>43</v>
      </c>
      <c r="D211" s="15" t="s">
        <v>2243</v>
      </c>
      <c r="E211" s="16" t="s">
        <v>1854</v>
      </c>
      <c r="F211" s="14" t="s">
        <v>2239</v>
      </c>
      <c r="G211" s="17"/>
      <c r="H211" s="125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5" x14ac:dyDescent="0.25">
      <c r="B212" s="14" t="s">
        <v>1444</v>
      </c>
      <c r="C212" s="14" t="s">
        <v>113</v>
      </c>
      <c r="D212" s="15" t="s">
        <v>2244</v>
      </c>
      <c r="E212" s="16" t="s">
        <v>1854</v>
      </c>
      <c r="F212" s="14" t="s">
        <v>2239</v>
      </c>
      <c r="G212" s="17"/>
      <c r="H212" s="125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5" x14ac:dyDescent="0.25">
      <c r="B213" s="14" t="s">
        <v>1447</v>
      </c>
      <c r="C213" s="14" t="s">
        <v>117</v>
      </c>
      <c r="D213" s="15" t="s">
        <v>2245</v>
      </c>
      <c r="E213" s="16" t="s">
        <v>1854</v>
      </c>
      <c r="F213" s="14" t="s">
        <v>2239</v>
      </c>
      <c r="G213" s="17"/>
      <c r="H213" s="125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5" x14ac:dyDescent="0.25">
      <c r="B214" s="14" t="s">
        <v>1450</v>
      </c>
      <c r="C214" s="14" t="s">
        <v>117</v>
      </c>
      <c r="D214" s="15" t="s">
        <v>2246</v>
      </c>
      <c r="E214" s="16" t="s">
        <v>1854</v>
      </c>
      <c r="F214" s="14" t="s">
        <v>2239</v>
      </c>
      <c r="G214" s="17"/>
      <c r="H214" s="125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5" x14ac:dyDescent="0.25">
      <c r="B215" s="14" t="s">
        <v>1453</v>
      </c>
      <c r="C215" s="14" t="s">
        <v>117</v>
      </c>
      <c r="D215" s="15" t="s">
        <v>2247</v>
      </c>
      <c r="E215" s="16" t="s">
        <v>1854</v>
      </c>
      <c r="F215" s="14" t="s">
        <v>2239</v>
      </c>
      <c r="G215" s="17"/>
      <c r="H215" s="125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5" x14ac:dyDescent="0.25">
      <c r="B216" s="14" t="s">
        <v>1456</v>
      </c>
      <c r="C216" s="14" t="s">
        <v>115</v>
      </c>
      <c r="D216" s="15" t="s">
        <v>2248</v>
      </c>
      <c r="E216" s="16" t="s">
        <v>1854</v>
      </c>
      <c r="F216" s="14" t="s">
        <v>2239</v>
      </c>
      <c r="G216" s="17"/>
      <c r="H216" s="125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5" x14ac:dyDescent="0.25">
      <c r="B217" s="14" t="s">
        <v>110</v>
      </c>
      <c r="C217" s="14"/>
      <c r="D217" s="25" t="s">
        <v>2249</v>
      </c>
      <c r="E217" s="16" t="s">
        <v>1854</v>
      </c>
      <c r="F217" s="14" t="s">
        <v>2239</v>
      </c>
      <c r="H217" s="125" t="str">
        <f>Settings!$B$3&amp;".mit.obr.cbam.tot.2"</f>
        <v>egy.mit.obr.cbam.tot.2</v>
      </c>
      <c r="L217" s="127">
        <f t="shared" ref="L217:AE217" si="59">SUM(L209:L216)</f>
        <v>0</v>
      </c>
      <c r="M217" s="127">
        <f t="shared" si="59"/>
        <v>0</v>
      </c>
      <c r="N217" s="127">
        <f t="shared" si="59"/>
        <v>0</v>
      </c>
      <c r="O217" s="127">
        <f t="shared" si="59"/>
        <v>0</v>
      </c>
      <c r="P217" s="127">
        <f t="shared" si="59"/>
        <v>0</v>
      </c>
      <c r="Q217" s="127">
        <f t="shared" si="59"/>
        <v>0</v>
      </c>
      <c r="R217" s="127">
        <f t="shared" si="59"/>
        <v>0</v>
      </c>
      <c r="S217" s="127">
        <f t="shared" si="59"/>
        <v>0</v>
      </c>
      <c r="T217" s="127">
        <f t="shared" si="59"/>
        <v>0</v>
      </c>
      <c r="U217" s="127">
        <f t="shared" si="59"/>
        <v>0</v>
      </c>
      <c r="V217" s="127">
        <f t="shared" si="59"/>
        <v>0</v>
      </c>
      <c r="W217" s="127">
        <f t="shared" si="59"/>
        <v>0</v>
      </c>
      <c r="X217" s="127">
        <f t="shared" si="59"/>
        <v>0</v>
      </c>
      <c r="Y217" s="127">
        <f t="shared" si="59"/>
        <v>0</v>
      </c>
      <c r="Z217" s="127">
        <f t="shared" si="59"/>
        <v>0</v>
      </c>
      <c r="AA217" s="127">
        <f t="shared" si="59"/>
        <v>0</v>
      </c>
      <c r="AB217" s="127">
        <f t="shared" si="59"/>
        <v>0</v>
      </c>
      <c r="AC217" s="127">
        <f t="shared" si="59"/>
        <v>0</v>
      </c>
      <c r="AD217" s="127">
        <f t="shared" si="59"/>
        <v>0</v>
      </c>
      <c r="AE217" s="127">
        <f t="shared" si="59"/>
        <v>0</v>
      </c>
    </row>
    <row r="219" spans="1:35" customFormat="1" ht="15" x14ac:dyDescent="0.2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5" x14ac:dyDescent="0.25">
      <c r="B220" s="14" t="s">
        <v>110</v>
      </c>
      <c r="C220" s="14" t="s">
        <v>43</v>
      </c>
      <c r="D220" s="25" t="s">
        <v>2250</v>
      </c>
      <c r="E220" s="16" t="s">
        <v>1854</v>
      </c>
      <c r="F220" s="14" t="s">
        <v>2239</v>
      </c>
      <c r="H220" s="125" t="str">
        <f>Settings!$B$3&amp;".mit.obr.ind.irn.2"</f>
        <v>egy.mit.obr.ind.irn.2</v>
      </c>
      <c r="I220" t="s">
        <v>2251</v>
      </c>
      <c r="L220" s="127">
        <f t="shared" ref="L220:AE220" si="60">L$209+L$210+L$211</f>
        <v>0</v>
      </c>
      <c r="M220" s="127">
        <f t="shared" si="60"/>
        <v>0</v>
      </c>
      <c r="N220" s="127">
        <f t="shared" si="60"/>
        <v>0</v>
      </c>
      <c r="O220" s="127">
        <f t="shared" si="60"/>
        <v>0</v>
      </c>
      <c r="P220" s="127">
        <f t="shared" si="60"/>
        <v>0</v>
      </c>
      <c r="Q220" s="127">
        <f t="shared" si="60"/>
        <v>0</v>
      </c>
      <c r="R220" s="127">
        <f t="shared" si="60"/>
        <v>0</v>
      </c>
      <c r="S220" s="127">
        <f t="shared" si="60"/>
        <v>0</v>
      </c>
      <c r="T220" s="127">
        <f t="shared" si="60"/>
        <v>0</v>
      </c>
      <c r="U220" s="127">
        <f t="shared" si="60"/>
        <v>0</v>
      </c>
      <c r="V220" s="127">
        <f t="shared" si="60"/>
        <v>0</v>
      </c>
      <c r="W220" s="127">
        <f t="shared" si="60"/>
        <v>0</v>
      </c>
      <c r="X220" s="127">
        <f t="shared" si="60"/>
        <v>0</v>
      </c>
      <c r="Y220" s="127">
        <f t="shared" si="60"/>
        <v>0</v>
      </c>
      <c r="Z220" s="127">
        <f t="shared" si="60"/>
        <v>0</v>
      </c>
      <c r="AA220" s="127">
        <f t="shared" si="60"/>
        <v>0</v>
      </c>
      <c r="AB220" s="127">
        <f t="shared" si="60"/>
        <v>0</v>
      </c>
      <c r="AC220" s="127">
        <f t="shared" si="60"/>
        <v>0</v>
      </c>
      <c r="AD220" s="127">
        <f t="shared" si="60"/>
        <v>0</v>
      </c>
      <c r="AE220" s="127">
        <f t="shared" si="60"/>
        <v>0</v>
      </c>
    </row>
    <row r="221" spans="1:35" customFormat="1" ht="15" x14ac:dyDescent="0.25">
      <c r="B221" s="14" t="s">
        <v>110</v>
      </c>
      <c r="C221" s="14" t="s">
        <v>43</v>
      </c>
      <c r="D221" s="25" t="s">
        <v>2252</v>
      </c>
      <c r="E221" s="16" t="s">
        <v>1854</v>
      </c>
      <c r="F221" s="14" t="s">
        <v>2253</v>
      </c>
      <c r="H221" s="125" t="str">
        <f>Settings!$B$3&amp;".mit.ccf.ind.irn.2"</f>
        <v>egy.mit.ccf.ind.irn.2</v>
      </c>
      <c r="L221" s="127">
        <f>L$159*Mitigation_Industry!L$675/1000+L$160*Mitigation_Industry!L$676/1000+L$161*Mitigation_Industry!L$677/1000</f>
        <v>0</v>
      </c>
      <c r="M221" s="127">
        <f>M$159*Mitigation_Industry!M$675/1000+M$160*Mitigation_Industry!M$676/1000+M$161*Mitigation_Industry!M$677/1000</f>
        <v>0</v>
      </c>
      <c r="N221" s="127">
        <f>N$159*Mitigation_Industry!N$675/1000+N$160*Mitigation_Industry!N$676/1000+N$161*Mitigation_Industry!N$677/1000</f>
        <v>0</v>
      </c>
      <c r="O221" s="127">
        <f>O$159*Mitigation_Industry!O$675/1000+O$160*Mitigation_Industry!O$676/1000+O$161*Mitigation_Industry!O$677/1000</f>
        <v>0</v>
      </c>
      <c r="P221" s="127">
        <f>P$159*Mitigation_Industry!P$675/1000+P$160*Mitigation_Industry!P$676/1000+P$161*Mitigation_Industry!P$677/1000</f>
        <v>0</v>
      </c>
      <c r="Q221" s="127">
        <f>Q$159*Mitigation_Industry!Q$675/1000+Q$160*Mitigation_Industry!Q$676/1000+Q$161*Mitigation_Industry!Q$677/1000</f>
        <v>44.484183479382082</v>
      </c>
      <c r="R221" s="127">
        <f>R$159*Mitigation_Industry!R$675/1000+R$160*Mitigation_Industry!R$676/1000+R$161*Mitigation_Industry!R$677/1000</f>
        <v>92.882975104949779</v>
      </c>
      <c r="S221" s="127">
        <f>S$159*Mitigation_Industry!S$675/1000+S$160*Mitigation_Industry!S$676/1000+S$161*Mitigation_Industry!S$677/1000</f>
        <v>145.45473901435133</v>
      </c>
      <c r="T221" s="127">
        <f>T$159*Mitigation_Industry!T$675/1000+T$160*Mitigation_Industry!T$676/1000+T$161*Mitigation_Industry!T$677/1000</f>
        <v>202.4729967079771</v>
      </c>
      <c r="U221" s="127">
        <f>U$159*Mitigation_Industry!U$675/1000+U$160*Mitigation_Industry!U$676/1000+U$161*Mitigation_Industry!U$677/1000</f>
        <v>264.22726070391013</v>
      </c>
      <c r="V221" s="127">
        <f>V$159*Mitigation_Industry!V$675/1000+V$160*Mitigation_Industry!V$676/1000+V$161*Mitigation_Industry!V$677/1000</f>
        <v>331.02391220985851</v>
      </c>
      <c r="W221" s="127">
        <f>W$159*Mitigation_Industry!W$675/1000+W$160*Mitigation_Industry!W$676/1000+W$161*Mitigation_Industry!W$677/1000</f>
        <v>403.18712507160774</v>
      </c>
      <c r="X221" s="127">
        <f>X$159*Mitigation_Industry!X$675/1000+X$160*Mitigation_Industry!X$676/1000+X$161*Mitigation_Industry!X$677/1000</f>
        <v>481.05983837115264</v>
      </c>
      <c r="Y221" s="127">
        <f>Y$159*Mitigation_Industry!Y$675/1000+Y$160*Mitigation_Industry!Y$676/1000+Y$161*Mitigation_Industry!Y$677/1000</f>
        <v>565.00478016691886</v>
      </c>
      <c r="Z221" s="127">
        <f>Z$159*Mitigation_Industry!Z$675/1000+Z$160*Mitigation_Industry!Z$676/1000+Z$161*Mitigation_Industry!Z$677/1000</f>
        <v>655.40554499362565</v>
      </c>
      <c r="AA221" s="127">
        <f>AA$159*Mitigation_Industry!AA$675/1000+AA$160*Mitigation_Industry!AA$676/1000+AA$161*Mitigation_Industry!AA$677/1000</f>
        <v>752.66772787067964</v>
      </c>
      <c r="AB221" s="127">
        <f>AB$159*Mitigation_Industry!AB$675/1000+AB$160*Mitigation_Industry!AB$676/1000+AB$161*Mitigation_Industry!AB$677/1000</f>
        <v>857.22011770580696</v>
      </c>
      <c r="AC221" s="127">
        <f>AC$159*Mitigation_Industry!AC$675/1000+AC$160*Mitigation_Industry!AC$676/1000+AC$161*Mitigation_Industry!AC$677/1000</f>
        <v>969.51595312526786</v>
      </c>
      <c r="AD221" s="127">
        <f>AD$159*Mitigation_Industry!AD$675/1000+AD$160*Mitigation_Industry!AD$676/1000+AD$161*Mitigation_Industry!AD$677/1000</f>
        <v>1090.0342439137623</v>
      </c>
      <c r="AE221" s="127">
        <f>AE$159*Mitigation_Industry!AE$675/1000+AE$160*Mitigation_Industry!AE$676/1000+AE$161*Mitigation_Industry!AE$677/1000</f>
        <v>1219.2811614063942</v>
      </c>
    </row>
    <row r="222" spans="1:35" customFormat="1" ht="15" x14ac:dyDescent="0.25">
      <c r="B222" s="14" t="s">
        <v>110</v>
      </c>
      <c r="C222" s="14" t="s">
        <v>43</v>
      </c>
      <c r="D222" s="25" t="s">
        <v>2254</v>
      </c>
      <c r="E222" s="16" t="s">
        <v>79</v>
      </c>
      <c r="F222" s="14" t="s">
        <v>2255</v>
      </c>
      <c r="H222" s="125" t="str">
        <f>Settings!$B$3&amp;".mit.rsh.ind.irn.2"</f>
        <v>egy.mit.rsh.ind.irn.2</v>
      </c>
      <c r="I222" t="s">
        <v>2256</v>
      </c>
      <c r="L222" s="127">
        <f t="shared" ref="L222:AE222" si="61">IF(L$221&lt;=0,0,MIN(1,L$220/L$221))</f>
        <v>0</v>
      </c>
      <c r="M222" s="127">
        <f t="shared" si="61"/>
        <v>0</v>
      </c>
      <c r="N222" s="127">
        <f t="shared" si="61"/>
        <v>0</v>
      </c>
      <c r="O222" s="127">
        <f t="shared" si="61"/>
        <v>0</v>
      </c>
      <c r="P222" s="127">
        <f t="shared" si="61"/>
        <v>0</v>
      </c>
      <c r="Q222" s="127">
        <f t="shared" si="61"/>
        <v>0</v>
      </c>
      <c r="R222" s="127">
        <f t="shared" si="61"/>
        <v>0</v>
      </c>
      <c r="S222" s="127">
        <f t="shared" si="61"/>
        <v>0</v>
      </c>
      <c r="T222" s="127">
        <f t="shared" si="61"/>
        <v>0</v>
      </c>
      <c r="U222" s="127">
        <f t="shared" si="61"/>
        <v>0</v>
      </c>
      <c r="V222" s="127">
        <f t="shared" si="61"/>
        <v>0</v>
      </c>
      <c r="W222" s="127">
        <f t="shared" si="61"/>
        <v>0</v>
      </c>
      <c r="X222" s="127">
        <f t="shared" si="61"/>
        <v>0</v>
      </c>
      <c r="Y222" s="127">
        <f t="shared" si="61"/>
        <v>0</v>
      </c>
      <c r="Z222" s="127">
        <f t="shared" si="61"/>
        <v>0</v>
      </c>
      <c r="AA222" s="127">
        <f t="shared" si="61"/>
        <v>0</v>
      </c>
      <c r="AB222" s="127">
        <f t="shared" si="61"/>
        <v>0</v>
      </c>
      <c r="AC222" s="127">
        <f t="shared" si="61"/>
        <v>0</v>
      </c>
      <c r="AD222" s="127">
        <f t="shared" si="61"/>
        <v>0</v>
      </c>
      <c r="AE222" s="127">
        <f t="shared" si="61"/>
        <v>0</v>
      </c>
    </row>
    <row r="223" spans="1:35" customFormat="1" ht="15" x14ac:dyDescent="0.25">
      <c r="B223" s="14" t="s">
        <v>49</v>
      </c>
      <c r="C223" s="14" t="s">
        <v>43</v>
      </c>
      <c r="D223" s="15" t="s">
        <v>2257</v>
      </c>
      <c r="E223" s="16" t="s">
        <v>51</v>
      </c>
      <c r="F223" s="14" t="s">
        <v>2258</v>
      </c>
      <c r="G223" s="17"/>
      <c r="H223" s="125" t="str">
        <f>Settings!$B$3&amp;".mit.atpn.irn.coa.e.2"</f>
        <v>egy.mit.atpn.irn.coa.e.2</v>
      </c>
      <c r="I223" t="s">
        <v>2315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5" x14ac:dyDescent="0.25">
      <c r="B224" s="14" t="s">
        <v>53</v>
      </c>
      <c r="C224" s="14" t="s">
        <v>43</v>
      </c>
      <c r="D224" s="15" t="s">
        <v>2260</v>
      </c>
      <c r="E224" s="16" t="s">
        <v>51</v>
      </c>
      <c r="F224" s="14" t="s">
        <v>2258</v>
      </c>
      <c r="G224" s="17"/>
      <c r="H224" s="125" t="str">
        <f>Settings!$B$3&amp;".mit.atpn.irn.nga.e.2"</f>
        <v>egy.mit.atpn.irn.nga.e.2</v>
      </c>
      <c r="I224" t="s">
        <v>2316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5" x14ac:dyDescent="0.25">
      <c r="B225" s="14" t="s">
        <v>55</v>
      </c>
      <c r="C225" s="14" t="s">
        <v>43</v>
      </c>
      <c r="D225" s="15" t="s">
        <v>2262</v>
      </c>
      <c r="E225" s="16" t="s">
        <v>57</v>
      </c>
      <c r="F225" s="14" t="s">
        <v>2258</v>
      </c>
      <c r="G225" s="17"/>
      <c r="H225" s="125" t="str">
        <f>Settings!$B$3&amp;".mit.atpn.irn.gso.e.2"</f>
        <v>egy.mit.atpn.irn.gso.e.2</v>
      </c>
      <c r="I225" t="s">
        <v>2317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5" x14ac:dyDescent="0.25">
      <c r="B226" s="14" t="s">
        <v>58</v>
      </c>
      <c r="C226" s="14" t="s">
        <v>43</v>
      </c>
      <c r="D226" s="15" t="s">
        <v>2264</v>
      </c>
      <c r="E226" s="16" t="s">
        <v>57</v>
      </c>
      <c r="F226" s="14" t="s">
        <v>2258</v>
      </c>
      <c r="G226" s="17"/>
      <c r="H226" s="125" t="str">
        <f>Settings!$B$3&amp;".mit.atpn.irn.die.e.2"</f>
        <v>egy.mit.atpn.irn.die.e.2</v>
      </c>
      <c r="I226" t="s">
        <v>2318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5" x14ac:dyDescent="0.25">
      <c r="B227" s="14" t="s">
        <v>60</v>
      </c>
      <c r="C227" s="14" t="s">
        <v>43</v>
      </c>
      <c r="D227" s="15" t="s">
        <v>2266</v>
      </c>
      <c r="E227" s="16" t="s">
        <v>57</v>
      </c>
      <c r="F227" s="14" t="s">
        <v>2258</v>
      </c>
      <c r="G227" s="17"/>
      <c r="H227" s="125" t="str">
        <f>Settings!$B$3&amp;".mit.atpn.irn.lpg.e.2"</f>
        <v>egy.mit.atpn.irn.lpg.e.2</v>
      </c>
      <c r="I227" t="s">
        <v>2319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5" x14ac:dyDescent="0.25">
      <c r="B228" s="14" t="s">
        <v>62</v>
      </c>
      <c r="C228" s="14" t="s">
        <v>43</v>
      </c>
      <c r="D228" s="15" t="s">
        <v>2268</v>
      </c>
      <c r="E228" s="16" t="s">
        <v>57</v>
      </c>
      <c r="F228" s="14" t="s">
        <v>2258</v>
      </c>
      <c r="G228" s="17"/>
      <c r="H228" s="125" t="str">
        <f>Settings!$B$3&amp;".mit.atpn.irn.ker.e.2"</f>
        <v>egy.mit.atpn.irn.ker.e.2</v>
      </c>
      <c r="I228" t="s">
        <v>2320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5" x14ac:dyDescent="0.25">
      <c r="B229" s="14" t="s">
        <v>64</v>
      </c>
      <c r="C229" s="14" t="s">
        <v>43</v>
      </c>
      <c r="D229" s="15" t="s">
        <v>2270</v>
      </c>
      <c r="E229" s="16" t="s">
        <v>66</v>
      </c>
      <c r="F229" s="14" t="s">
        <v>2258</v>
      </c>
      <c r="G229" s="17"/>
      <c r="H229" s="125" t="str">
        <f>Settings!$B$3&amp;".mit.atpn.irn.oop.e.2"</f>
        <v>egy.mit.atpn.irn.oop.e.2</v>
      </c>
      <c r="I229" t="s">
        <v>2321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5" x14ac:dyDescent="0.25">
      <c r="B230" s="14" t="s">
        <v>67</v>
      </c>
      <c r="C230" s="14" t="s">
        <v>43</v>
      </c>
      <c r="D230" s="15" t="s">
        <v>2272</v>
      </c>
      <c r="E230" s="16" t="s">
        <v>51</v>
      </c>
      <c r="F230" s="14" t="s">
        <v>2258</v>
      </c>
      <c r="G230" s="17"/>
      <c r="H230" s="125" t="str">
        <f>Settings!$B$3&amp;".mit.atpn.irn.bio.e.2"</f>
        <v>egy.mit.atpn.irn.bio.e.2</v>
      </c>
      <c r="I230" t="s">
        <v>2322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5" x14ac:dyDescent="0.25">
      <c r="B231" s="14" t="s">
        <v>69</v>
      </c>
      <c r="C231" s="14" t="s">
        <v>43</v>
      </c>
      <c r="D231" s="15" t="s">
        <v>2274</v>
      </c>
      <c r="E231" s="16" t="s">
        <v>71</v>
      </c>
      <c r="F231" s="14" t="s">
        <v>2258</v>
      </c>
      <c r="G231" s="17"/>
      <c r="H231" s="125" t="str">
        <f>Settings!$B$3&amp;".mit.atpn.irn.ren.e.2"</f>
        <v>egy.mit.atpn.irn.ren.e.2</v>
      </c>
      <c r="I231" t="s">
        <v>2323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5" x14ac:dyDescent="0.2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5" x14ac:dyDescent="0.25">
      <c r="B234" s="14" t="s">
        <v>110</v>
      </c>
      <c r="C234" s="14" t="s">
        <v>113</v>
      </c>
      <c r="D234" s="25" t="s">
        <v>2250</v>
      </c>
      <c r="E234" s="16" t="s">
        <v>1854</v>
      </c>
      <c r="F234" s="14" t="s">
        <v>2239</v>
      </c>
      <c r="H234" s="125" t="str">
        <f>Settings!$B$3&amp;".mit.obr.ind.cem.2"</f>
        <v>egy.mit.obr.ind.cem.2</v>
      </c>
      <c r="I234" t="s">
        <v>2276</v>
      </c>
      <c r="L234" s="127">
        <f t="shared" ref="L234:AE234" si="62">L$212</f>
        <v>0</v>
      </c>
      <c r="M234" s="127">
        <f t="shared" si="62"/>
        <v>0</v>
      </c>
      <c r="N234" s="127">
        <f t="shared" si="62"/>
        <v>0</v>
      </c>
      <c r="O234" s="127">
        <f t="shared" si="62"/>
        <v>0</v>
      </c>
      <c r="P234" s="127">
        <f t="shared" si="62"/>
        <v>0</v>
      </c>
      <c r="Q234" s="127">
        <f t="shared" si="62"/>
        <v>0</v>
      </c>
      <c r="R234" s="127">
        <f t="shared" si="62"/>
        <v>0</v>
      </c>
      <c r="S234" s="127">
        <f t="shared" si="62"/>
        <v>0</v>
      </c>
      <c r="T234" s="127">
        <f t="shared" si="62"/>
        <v>0</v>
      </c>
      <c r="U234" s="127">
        <f t="shared" si="62"/>
        <v>0</v>
      </c>
      <c r="V234" s="127">
        <f t="shared" si="62"/>
        <v>0</v>
      </c>
      <c r="W234" s="127">
        <f t="shared" si="62"/>
        <v>0</v>
      </c>
      <c r="X234" s="127">
        <f t="shared" si="62"/>
        <v>0</v>
      </c>
      <c r="Y234" s="127">
        <f t="shared" si="62"/>
        <v>0</v>
      </c>
      <c r="Z234" s="127">
        <f t="shared" si="62"/>
        <v>0</v>
      </c>
      <c r="AA234" s="127">
        <f t="shared" si="62"/>
        <v>0</v>
      </c>
      <c r="AB234" s="127">
        <f t="shared" si="62"/>
        <v>0</v>
      </c>
      <c r="AC234" s="127">
        <f t="shared" si="62"/>
        <v>0</v>
      </c>
      <c r="AD234" s="127">
        <f t="shared" si="62"/>
        <v>0</v>
      </c>
      <c r="AE234" s="127">
        <f t="shared" si="62"/>
        <v>0</v>
      </c>
    </row>
    <row r="235" spans="1:35" customFormat="1" ht="15" x14ac:dyDescent="0.25">
      <c r="B235" s="14" t="s">
        <v>110</v>
      </c>
      <c r="C235" s="14" t="s">
        <v>113</v>
      </c>
      <c r="D235" s="25" t="s">
        <v>2252</v>
      </c>
      <c r="E235" s="16" t="s">
        <v>1854</v>
      </c>
      <c r="F235" s="14" t="s">
        <v>2253</v>
      </c>
      <c r="H235" s="125" t="str">
        <f>Settings!$B$3&amp;".mit.ccf.ind.cem.2"</f>
        <v>egy.mit.ccf.ind.cem.2</v>
      </c>
      <c r="L235" s="127">
        <f>L$162*Mitigation_Industry!L$678/1000</f>
        <v>0</v>
      </c>
      <c r="M235" s="127">
        <f>M$162*Mitigation_Industry!M$678/1000</f>
        <v>0</v>
      </c>
      <c r="N235" s="127">
        <f>N$162*Mitigation_Industry!N$678/1000</f>
        <v>0</v>
      </c>
      <c r="O235" s="127">
        <f>O$162*Mitigation_Industry!O$678/1000</f>
        <v>0</v>
      </c>
      <c r="P235" s="127">
        <f>P$162*Mitigation_Industry!P$678/1000</f>
        <v>0</v>
      </c>
      <c r="Q235" s="127">
        <f>Q$162*Mitigation_Industry!Q$678/1000</f>
        <v>216.02967406292771</v>
      </c>
      <c r="R235" s="127">
        <f>R$162*Mitigation_Industry!R$678/1000</f>
        <v>446.31730661400866</v>
      </c>
      <c r="S235" s="127">
        <f>S$162*Mitigation_Industry!S$678/1000</f>
        <v>691.56866659840637</v>
      </c>
      <c r="T235" s="127">
        <f>T$162*Mitigation_Industry!T$678/1000</f>
        <v>952.52057679487154</v>
      </c>
      <c r="U235" s="127">
        <f>U$162*Mitigation_Industry!U$678/1000</f>
        <v>1229.9421947863777</v>
      </c>
      <c r="V235" s="127">
        <f>V$162*Mitigation_Industry!V$678/1000</f>
        <v>1524.6363446571936</v>
      </c>
      <c r="W235" s="127">
        <f>W$162*Mitigation_Industry!W$678/1000</f>
        <v>1837.440901369361</v>
      </c>
      <c r="X235" s="127">
        <f>X$162*Mitigation_Industry!X$678/1000</f>
        <v>2169.2302298451991</v>
      </c>
      <c r="Y235" s="127">
        <f>Y$162*Mitigation_Industry!Y$678/1000</f>
        <v>2520.9166808588525</v>
      </c>
      <c r="Z235" s="127">
        <f>Z$162*Mitigation_Industry!Z$678/1000</f>
        <v>2893.4521459191046</v>
      </c>
      <c r="AA235" s="127">
        <f>AA$162*Mitigation_Industry!AA$678/1000</f>
        <v>3287.8296734078785</v>
      </c>
      <c r="AB235" s="127">
        <f>AB$162*Mitigation_Industry!AB$678/1000</f>
        <v>3705.0851483240049</v>
      </c>
      <c r="AC235" s="127">
        <f>AC$162*Mitigation_Industry!AC$678/1000</f>
        <v>4146.299038070254</v>
      </c>
      <c r="AD235" s="127">
        <f>AD$162*Mitigation_Industry!AD$678/1000</f>
        <v>4612.5982068132316</v>
      </c>
      <c r="AE235" s="127">
        <f>AE$162*Mitigation_Industry!AE$678/1000</f>
        <v>5105.1578010407875</v>
      </c>
    </row>
    <row r="236" spans="1:35" customFormat="1" ht="15" x14ac:dyDescent="0.25">
      <c r="B236" s="14" t="s">
        <v>110</v>
      </c>
      <c r="C236" s="14" t="s">
        <v>113</v>
      </c>
      <c r="D236" s="25" t="s">
        <v>2254</v>
      </c>
      <c r="E236" s="16" t="s">
        <v>79</v>
      </c>
      <c r="F236" s="14" t="s">
        <v>2255</v>
      </c>
      <c r="H236" s="125" t="str">
        <f>Settings!$B$3&amp;".mit.rsh.ind.cem.2"</f>
        <v>egy.mit.rsh.ind.cem.2</v>
      </c>
      <c r="I236" t="s">
        <v>2256</v>
      </c>
      <c r="L236" s="127">
        <f t="shared" ref="L236:AE236" si="63">IF(L$235&lt;=0,0,MIN(1,L$234/L$235))</f>
        <v>0</v>
      </c>
      <c r="M236" s="127">
        <f t="shared" si="63"/>
        <v>0</v>
      </c>
      <c r="N236" s="127">
        <f t="shared" si="63"/>
        <v>0</v>
      </c>
      <c r="O236" s="127">
        <f t="shared" si="63"/>
        <v>0</v>
      </c>
      <c r="P236" s="127">
        <f t="shared" si="63"/>
        <v>0</v>
      </c>
      <c r="Q236" s="127">
        <f t="shared" si="63"/>
        <v>0</v>
      </c>
      <c r="R236" s="127">
        <f t="shared" si="63"/>
        <v>0</v>
      </c>
      <c r="S236" s="127">
        <f t="shared" si="63"/>
        <v>0</v>
      </c>
      <c r="T236" s="127">
        <f t="shared" si="63"/>
        <v>0</v>
      </c>
      <c r="U236" s="127">
        <f t="shared" si="63"/>
        <v>0</v>
      </c>
      <c r="V236" s="127">
        <f t="shared" si="63"/>
        <v>0</v>
      </c>
      <c r="W236" s="127">
        <f t="shared" si="63"/>
        <v>0</v>
      </c>
      <c r="X236" s="127">
        <f t="shared" si="63"/>
        <v>0</v>
      </c>
      <c r="Y236" s="127">
        <f t="shared" si="63"/>
        <v>0</v>
      </c>
      <c r="Z236" s="127">
        <f t="shared" si="63"/>
        <v>0</v>
      </c>
      <c r="AA236" s="127">
        <f t="shared" si="63"/>
        <v>0</v>
      </c>
      <c r="AB236" s="127">
        <f t="shared" si="63"/>
        <v>0</v>
      </c>
      <c r="AC236" s="127">
        <f t="shared" si="63"/>
        <v>0</v>
      </c>
      <c r="AD236" s="127">
        <f t="shared" si="63"/>
        <v>0</v>
      </c>
      <c r="AE236" s="127">
        <f t="shared" si="63"/>
        <v>0</v>
      </c>
    </row>
    <row r="237" spans="1:35" customFormat="1" ht="15" x14ac:dyDescent="0.25">
      <c r="B237" s="14" t="s">
        <v>49</v>
      </c>
      <c r="C237" s="14" t="s">
        <v>113</v>
      </c>
      <c r="D237" s="15" t="s">
        <v>2257</v>
      </c>
      <c r="E237" s="16" t="s">
        <v>51</v>
      </c>
      <c r="F237" s="14" t="s">
        <v>2258</v>
      </c>
      <c r="G237" s="17"/>
      <c r="H237" s="125" t="str">
        <f>Settings!$B$3&amp;".mit.atpn.cem.coa.e.2"</f>
        <v>egy.mit.atpn.cem.coa.e.2</v>
      </c>
      <c r="I237" t="s">
        <v>2324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5" x14ac:dyDescent="0.25">
      <c r="B238" s="14" t="s">
        <v>53</v>
      </c>
      <c r="C238" s="14" t="s">
        <v>113</v>
      </c>
      <c r="D238" s="15" t="s">
        <v>2260</v>
      </c>
      <c r="E238" s="16" t="s">
        <v>51</v>
      </c>
      <c r="F238" s="14" t="s">
        <v>2258</v>
      </c>
      <c r="G238" s="17"/>
      <c r="H238" s="125" t="str">
        <f>Settings!$B$3&amp;".mit.atpn.cem.nga.e.2"</f>
        <v>egy.mit.atpn.cem.nga.e.2</v>
      </c>
      <c r="I238" t="s">
        <v>2325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5" x14ac:dyDescent="0.25">
      <c r="B239" s="14" t="s">
        <v>55</v>
      </c>
      <c r="C239" s="14" t="s">
        <v>113</v>
      </c>
      <c r="D239" s="15" t="s">
        <v>2262</v>
      </c>
      <c r="E239" s="16" t="s">
        <v>57</v>
      </c>
      <c r="F239" s="14" t="s">
        <v>2258</v>
      </c>
      <c r="G239" s="17"/>
      <c r="H239" s="125" t="str">
        <f>Settings!$B$3&amp;".mit.atpn.cem.gso.e.2"</f>
        <v>egy.mit.atpn.cem.gso.e.2</v>
      </c>
      <c r="I239" t="s">
        <v>2326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5" x14ac:dyDescent="0.25">
      <c r="B240" s="14" t="s">
        <v>58</v>
      </c>
      <c r="C240" s="14" t="s">
        <v>113</v>
      </c>
      <c r="D240" s="15" t="s">
        <v>2264</v>
      </c>
      <c r="E240" s="16" t="s">
        <v>57</v>
      </c>
      <c r="F240" s="14" t="s">
        <v>2258</v>
      </c>
      <c r="G240" s="17"/>
      <c r="H240" s="125" t="str">
        <f>Settings!$B$3&amp;".mit.atpn.cem.die.e.2"</f>
        <v>egy.mit.atpn.cem.die.e.2</v>
      </c>
      <c r="I240" t="s">
        <v>2327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5" x14ac:dyDescent="0.25">
      <c r="B241" s="14" t="s">
        <v>60</v>
      </c>
      <c r="C241" s="14" t="s">
        <v>113</v>
      </c>
      <c r="D241" s="15" t="s">
        <v>2266</v>
      </c>
      <c r="E241" s="16" t="s">
        <v>57</v>
      </c>
      <c r="F241" s="14" t="s">
        <v>2258</v>
      </c>
      <c r="G241" s="17"/>
      <c r="H241" s="125" t="str">
        <f>Settings!$B$3&amp;".mit.atpn.cem.lpg.e.2"</f>
        <v>egy.mit.atpn.cem.lpg.e.2</v>
      </c>
      <c r="I241" t="s">
        <v>2328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5" x14ac:dyDescent="0.25">
      <c r="B242" s="14" t="s">
        <v>62</v>
      </c>
      <c r="C242" s="14" t="s">
        <v>113</v>
      </c>
      <c r="D242" s="15" t="s">
        <v>2268</v>
      </c>
      <c r="E242" s="16" t="s">
        <v>57</v>
      </c>
      <c r="F242" s="14" t="s">
        <v>2258</v>
      </c>
      <c r="G242" s="17"/>
      <c r="H242" s="125" t="str">
        <f>Settings!$B$3&amp;".mit.atpn.cem.ker.e.2"</f>
        <v>egy.mit.atpn.cem.ker.e.2</v>
      </c>
      <c r="I242" t="s">
        <v>2329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5" x14ac:dyDescent="0.25">
      <c r="B243" s="14" t="s">
        <v>64</v>
      </c>
      <c r="C243" s="14" t="s">
        <v>113</v>
      </c>
      <c r="D243" s="15" t="s">
        <v>2270</v>
      </c>
      <c r="E243" s="16" t="s">
        <v>66</v>
      </c>
      <c r="F243" s="14" t="s">
        <v>2258</v>
      </c>
      <c r="G243" s="17"/>
      <c r="H243" s="125" t="str">
        <f>Settings!$B$3&amp;".mit.atpn.cem.oop.e.2"</f>
        <v>egy.mit.atpn.cem.oop.e.2</v>
      </c>
      <c r="I243" t="s">
        <v>2330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5" x14ac:dyDescent="0.25">
      <c r="B244" s="14" t="s">
        <v>67</v>
      </c>
      <c r="C244" s="14" t="s">
        <v>113</v>
      </c>
      <c r="D244" s="15" t="s">
        <v>2272</v>
      </c>
      <c r="E244" s="16" t="s">
        <v>51</v>
      </c>
      <c r="F244" s="14" t="s">
        <v>2258</v>
      </c>
      <c r="G244" s="17"/>
      <c r="H244" s="125" t="str">
        <f>Settings!$B$3&amp;".mit.atpn.cem.bio.e.2"</f>
        <v>egy.mit.atpn.cem.bio.e.2</v>
      </c>
      <c r="I244" t="s">
        <v>2331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5" x14ac:dyDescent="0.25">
      <c r="B245" s="14" t="s">
        <v>69</v>
      </c>
      <c r="C245" s="14" t="s">
        <v>113</v>
      </c>
      <c r="D245" s="15" t="s">
        <v>2274</v>
      </c>
      <c r="E245" s="16" t="s">
        <v>71</v>
      </c>
      <c r="F245" s="14" t="s">
        <v>2258</v>
      </c>
      <c r="G245" s="17"/>
      <c r="H245" s="125" t="str">
        <f>Settings!$B$3&amp;".mit.atpn.cem.ren.e.2"</f>
        <v>egy.mit.atpn.cem.ren.e.2</v>
      </c>
      <c r="I245" t="s">
        <v>2332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5" x14ac:dyDescent="0.2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5" x14ac:dyDescent="0.25">
      <c r="B248" s="14" t="s">
        <v>110</v>
      </c>
      <c r="C248" s="14" t="s">
        <v>115</v>
      </c>
      <c r="D248" s="25" t="s">
        <v>2250</v>
      </c>
      <c r="E248" s="16" t="s">
        <v>1854</v>
      </c>
      <c r="F248" s="14" t="s">
        <v>2239</v>
      </c>
      <c r="H248" s="125" t="str">
        <f>Settings!$B$3&amp;".mit.obr.ind.nfm.2"</f>
        <v>egy.mit.obr.ind.nfm.2</v>
      </c>
      <c r="I248" t="s">
        <v>2286</v>
      </c>
      <c r="L248" s="127">
        <f t="shared" ref="L248:AE248" si="64">L$216</f>
        <v>0</v>
      </c>
      <c r="M248" s="127">
        <f t="shared" si="64"/>
        <v>0</v>
      </c>
      <c r="N248" s="127">
        <f t="shared" si="64"/>
        <v>0</v>
      </c>
      <c r="O248" s="127">
        <f t="shared" si="64"/>
        <v>0</v>
      </c>
      <c r="P248" s="127">
        <f t="shared" si="64"/>
        <v>0</v>
      </c>
      <c r="Q248" s="127">
        <f t="shared" si="64"/>
        <v>0</v>
      </c>
      <c r="R248" s="127">
        <f t="shared" si="64"/>
        <v>0</v>
      </c>
      <c r="S248" s="127">
        <f t="shared" si="64"/>
        <v>0</v>
      </c>
      <c r="T248" s="127">
        <f t="shared" si="64"/>
        <v>0</v>
      </c>
      <c r="U248" s="127">
        <f t="shared" si="64"/>
        <v>0</v>
      </c>
      <c r="V248" s="127">
        <f t="shared" si="64"/>
        <v>0</v>
      </c>
      <c r="W248" s="127">
        <f t="shared" si="64"/>
        <v>0</v>
      </c>
      <c r="X248" s="127">
        <f t="shared" si="64"/>
        <v>0</v>
      </c>
      <c r="Y248" s="127">
        <f t="shared" si="64"/>
        <v>0</v>
      </c>
      <c r="Z248" s="127">
        <f t="shared" si="64"/>
        <v>0</v>
      </c>
      <c r="AA248" s="127">
        <f t="shared" si="64"/>
        <v>0</v>
      </c>
      <c r="AB248" s="127">
        <f t="shared" si="64"/>
        <v>0</v>
      </c>
      <c r="AC248" s="127">
        <f t="shared" si="64"/>
        <v>0</v>
      </c>
      <c r="AD248" s="127">
        <f t="shared" si="64"/>
        <v>0</v>
      </c>
      <c r="AE248" s="127">
        <f t="shared" si="64"/>
        <v>0</v>
      </c>
    </row>
    <row r="249" spans="1:35" customFormat="1" ht="15" x14ac:dyDescent="0.25">
      <c r="B249" s="14" t="s">
        <v>110</v>
      </c>
      <c r="C249" s="14" t="s">
        <v>115</v>
      </c>
      <c r="D249" s="25" t="s">
        <v>2252</v>
      </c>
      <c r="E249" s="16" t="s">
        <v>1854</v>
      </c>
      <c r="F249" s="14" t="s">
        <v>2253</v>
      </c>
      <c r="H249" s="125" t="str">
        <f>Settings!$B$3&amp;".mit.ccf.ind.nfm.2"</f>
        <v>egy.mit.ccf.ind.nfm.2</v>
      </c>
      <c r="L249" s="127">
        <f>L$166*Mitigation_Industry!L$682/1000</f>
        <v>0</v>
      </c>
      <c r="M249" s="127">
        <f>M$166*Mitigation_Industry!M$682/1000</f>
        <v>0</v>
      </c>
      <c r="N249" s="127">
        <f>N$166*Mitigation_Industry!N$682/1000</f>
        <v>0</v>
      </c>
      <c r="O249" s="127">
        <f>O$166*Mitigation_Industry!O$682/1000</f>
        <v>0</v>
      </c>
      <c r="P249" s="127">
        <f>P$166*Mitigation_Industry!P$682/1000</f>
        <v>0</v>
      </c>
      <c r="Q249" s="127">
        <f>Q$166*Mitigation_Industry!Q$682/1000</f>
        <v>0.5434682643843749</v>
      </c>
      <c r="R249" s="127">
        <f>R$166*Mitigation_Industry!R$682/1000</f>
        <v>1.1467180378510311</v>
      </c>
      <c r="S249" s="127">
        <f>S$166*Mitigation_Industry!S$682/1000</f>
        <v>1.8146812948992568</v>
      </c>
      <c r="T249" s="127">
        <f>T$166*Mitigation_Industry!T$682/1000</f>
        <v>2.5526516881582877</v>
      </c>
      <c r="U249" s="127">
        <f>U$166*Mitigation_Industry!U$682/1000</f>
        <v>3.3663094137587413</v>
      </c>
      <c r="V249" s="127">
        <f>V$166*Mitigation_Industry!V$682/1000</f>
        <v>4.261747717818567</v>
      </c>
      <c r="W249" s="127">
        <f>W$166*Mitigation_Industry!W$682/1000</f>
        <v>5.2455011493483523</v>
      </c>
      <c r="X249" s="127">
        <f>X$166*Mitigation_Industry!X$682/1000</f>
        <v>6.3245756715000132</v>
      </c>
      <c r="Y249" s="127">
        <f>Y$166*Mitigation_Industry!Y$682/1000</f>
        <v>7.506480750111578</v>
      </c>
      <c r="Z249" s="127">
        <f>Z$166*Mitigation_Industry!Z$682/1000</f>
        <v>8.7992635459641271</v>
      </c>
      <c r="AA249" s="127">
        <f>AA$166*Mitigation_Industry!AA$682/1000</f>
        <v>10.211545345091368</v>
      </c>
      <c r="AB249" s="127">
        <f>AB$166*Mitigation_Industry!AB$682/1000</f>
        <v>11.752560369896068</v>
      </c>
      <c r="AC249" s="127">
        <f>AC$166*Mitigation_Industry!AC$682/1000</f>
        <v>13.432197122760376</v>
      </c>
      <c r="AD249" s="127">
        <f>AD$166*Mitigation_Industry!AD$682/1000</f>
        <v>15.261042423320831</v>
      </c>
      <c r="AE249" s="127">
        <f>AE$166*Mitigation_Industry!AE$682/1000</f>
        <v>17.250428310646576</v>
      </c>
    </row>
    <row r="250" spans="1:35" customFormat="1" ht="15" x14ac:dyDescent="0.25">
      <c r="B250" s="14" t="s">
        <v>110</v>
      </c>
      <c r="C250" s="14" t="s">
        <v>115</v>
      </c>
      <c r="D250" s="25" t="s">
        <v>2254</v>
      </c>
      <c r="E250" s="16" t="s">
        <v>79</v>
      </c>
      <c r="F250" s="14" t="s">
        <v>2255</v>
      </c>
      <c r="H250" s="125" t="str">
        <f>Settings!$B$3&amp;".mit.rsh.ind.nfm.2"</f>
        <v>egy.mit.rsh.ind.nfm.2</v>
      </c>
      <c r="I250" t="s">
        <v>2256</v>
      </c>
      <c r="L250" s="127">
        <f t="shared" ref="L250:AE250" si="65">IF(L$249&lt;=0,0,MIN(1,L$248/L$249))</f>
        <v>0</v>
      </c>
      <c r="M250" s="127">
        <f t="shared" si="65"/>
        <v>0</v>
      </c>
      <c r="N250" s="127">
        <f t="shared" si="65"/>
        <v>0</v>
      </c>
      <c r="O250" s="127">
        <f t="shared" si="65"/>
        <v>0</v>
      </c>
      <c r="P250" s="127">
        <f t="shared" si="65"/>
        <v>0</v>
      </c>
      <c r="Q250" s="127">
        <f t="shared" si="65"/>
        <v>0</v>
      </c>
      <c r="R250" s="127">
        <f t="shared" si="65"/>
        <v>0</v>
      </c>
      <c r="S250" s="127">
        <f t="shared" si="65"/>
        <v>0</v>
      </c>
      <c r="T250" s="127">
        <f t="shared" si="65"/>
        <v>0</v>
      </c>
      <c r="U250" s="127">
        <f t="shared" si="65"/>
        <v>0</v>
      </c>
      <c r="V250" s="127">
        <f t="shared" si="65"/>
        <v>0</v>
      </c>
      <c r="W250" s="127">
        <f t="shared" si="65"/>
        <v>0</v>
      </c>
      <c r="X250" s="127">
        <f t="shared" si="65"/>
        <v>0</v>
      </c>
      <c r="Y250" s="127">
        <f t="shared" si="65"/>
        <v>0</v>
      </c>
      <c r="Z250" s="127">
        <f t="shared" si="65"/>
        <v>0</v>
      </c>
      <c r="AA250" s="127">
        <f t="shared" si="65"/>
        <v>0</v>
      </c>
      <c r="AB250" s="127">
        <f t="shared" si="65"/>
        <v>0</v>
      </c>
      <c r="AC250" s="127">
        <f t="shared" si="65"/>
        <v>0</v>
      </c>
      <c r="AD250" s="127">
        <f t="shared" si="65"/>
        <v>0</v>
      </c>
      <c r="AE250" s="127">
        <f t="shared" si="65"/>
        <v>0</v>
      </c>
    </row>
    <row r="251" spans="1:35" customFormat="1" ht="15" x14ac:dyDescent="0.25">
      <c r="B251" s="14" t="s">
        <v>49</v>
      </c>
      <c r="C251" s="14" t="s">
        <v>115</v>
      </c>
      <c r="D251" s="15" t="s">
        <v>2257</v>
      </c>
      <c r="E251" s="16" t="s">
        <v>51</v>
      </c>
      <c r="F251" s="14" t="s">
        <v>2258</v>
      </c>
      <c r="G251" s="17"/>
      <c r="H251" s="125" t="str">
        <f>Settings!$B$3&amp;".mit.atpn.nfm.coa.e.2"</f>
        <v>egy.mit.atpn.nfm.coa.e.2</v>
      </c>
      <c r="I251" t="s">
        <v>2333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5" x14ac:dyDescent="0.25">
      <c r="B252" s="14" t="s">
        <v>53</v>
      </c>
      <c r="C252" s="14" t="s">
        <v>115</v>
      </c>
      <c r="D252" s="15" t="s">
        <v>2260</v>
      </c>
      <c r="E252" s="16" t="s">
        <v>51</v>
      </c>
      <c r="F252" s="14" t="s">
        <v>2258</v>
      </c>
      <c r="G252" s="17"/>
      <c r="H252" s="125" t="str">
        <f>Settings!$B$3&amp;".mit.atpn.nfm.nga.e.2"</f>
        <v>egy.mit.atpn.nfm.nga.e.2</v>
      </c>
      <c r="I252" t="s">
        <v>2334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5" x14ac:dyDescent="0.25">
      <c r="B253" s="14" t="s">
        <v>55</v>
      </c>
      <c r="C253" s="14" t="s">
        <v>115</v>
      </c>
      <c r="D253" s="15" t="s">
        <v>2262</v>
      </c>
      <c r="E253" s="16" t="s">
        <v>57</v>
      </c>
      <c r="F253" s="14" t="s">
        <v>2258</v>
      </c>
      <c r="G253" s="17"/>
      <c r="H253" s="125" t="str">
        <f>Settings!$B$3&amp;".mit.atpn.nfm.gso.e.2"</f>
        <v>egy.mit.atpn.nfm.gso.e.2</v>
      </c>
      <c r="I253" t="s">
        <v>2335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5" x14ac:dyDescent="0.25">
      <c r="B254" s="14" t="s">
        <v>58</v>
      </c>
      <c r="C254" s="14" t="s">
        <v>115</v>
      </c>
      <c r="D254" s="15" t="s">
        <v>2264</v>
      </c>
      <c r="E254" s="16" t="s">
        <v>57</v>
      </c>
      <c r="F254" s="14" t="s">
        <v>2258</v>
      </c>
      <c r="G254" s="17"/>
      <c r="H254" s="125" t="str">
        <f>Settings!$B$3&amp;".mit.atpn.nfm.die.e.2"</f>
        <v>egy.mit.atpn.nfm.die.e.2</v>
      </c>
      <c r="I254" t="s">
        <v>2336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5" x14ac:dyDescent="0.25">
      <c r="B255" s="14" t="s">
        <v>60</v>
      </c>
      <c r="C255" s="14" t="s">
        <v>115</v>
      </c>
      <c r="D255" s="15" t="s">
        <v>2266</v>
      </c>
      <c r="E255" s="16" t="s">
        <v>57</v>
      </c>
      <c r="F255" s="14" t="s">
        <v>2258</v>
      </c>
      <c r="G255" s="17"/>
      <c r="H255" s="125" t="str">
        <f>Settings!$B$3&amp;".mit.atpn.nfm.lpg.e.2"</f>
        <v>egy.mit.atpn.nfm.lpg.e.2</v>
      </c>
      <c r="I255" t="s">
        <v>2337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5" x14ac:dyDescent="0.25">
      <c r="B256" s="14" t="s">
        <v>62</v>
      </c>
      <c r="C256" s="14" t="s">
        <v>115</v>
      </c>
      <c r="D256" s="15" t="s">
        <v>2268</v>
      </c>
      <c r="E256" s="16" t="s">
        <v>57</v>
      </c>
      <c r="F256" s="14" t="s">
        <v>2258</v>
      </c>
      <c r="G256" s="17"/>
      <c r="H256" s="125" t="str">
        <f>Settings!$B$3&amp;".mit.atpn.nfm.ker.e.2"</f>
        <v>egy.mit.atpn.nfm.ker.e.2</v>
      </c>
      <c r="I256" t="s">
        <v>2338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5" x14ac:dyDescent="0.25">
      <c r="B257" s="14" t="s">
        <v>64</v>
      </c>
      <c r="C257" s="14" t="s">
        <v>115</v>
      </c>
      <c r="D257" s="15" t="s">
        <v>2270</v>
      </c>
      <c r="E257" s="16" t="s">
        <v>66</v>
      </c>
      <c r="F257" s="14" t="s">
        <v>2258</v>
      </c>
      <c r="G257" s="17"/>
      <c r="H257" s="125" t="str">
        <f>Settings!$B$3&amp;".mit.atpn.nfm.oop.e.2"</f>
        <v>egy.mit.atpn.nfm.oop.e.2</v>
      </c>
      <c r="I257" t="s">
        <v>2339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5" x14ac:dyDescent="0.25">
      <c r="B258" s="14" t="s">
        <v>67</v>
      </c>
      <c r="C258" s="14" t="s">
        <v>115</v>
      </c>
      <c r="D258" s="15" t="s">
        <v>2272</v>
      </c>
      <c r="E258" s="16" t="s">
        <v>51</v>
      </c>
      <c r="F258" s="14" t="s">
        <v>2258</v>
      </c>
      <c r="G258" s="17"/>
      <c r="H258" s="125" t="str">
        <f>Settings!$B$3&amp;".mit.atpn.nfm.bio.e.2"</f>
        <v>egy.mit.atpn.nfm.bio.e.2</v>
      </c>
      <c r="I258" t="s">
        <v>2340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5" x14ac:dyDescent="0.25">
      <c r="B259" s="14" t="s">
        <v>69</v>
      </c>
      <c r="C259" s="14" t="s">
        <v>115</v>
      </c>
      <c r="D259" s="15" t="s">
        <v>2274</v>
      </c>
      <c r="E259" s="16" t="s">
        <v>71</v>
      </c>
      <c r="F259" s="14" t="s">
        <v>2258</v>
      </c>
      <c r="G259" s="17"/>
      <c r="H259" s="125" t="str">
        <f>Settings!$B$3&amp;".mit.atpn.nfm.ren.e.2"</f>
        <v>egy.mit.atpn.nfm.ren.e.2</v>
      </c>
      <c r="I259" t="s">
        <v>2341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5" x14ac:dyDescent="0.2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5" x14ac:dyDescent="0.25">
      <c r="B262" s="14" t="s">
        <v>110</v>
      </c>
      <c r="C262" s="14" t="s">
        <v>117</v>
      </c>
      <c r="D262" s="25" t="s">
        <v>2250</v>
      </c>
      <c r="E262" s="16" t="s">
        <v>1854</v>
      </c>
      <c r="F262" s="14" t="s">
        <v>2239</v>
      </c>
      <c r="H262" s="125" t="str">
        <f>Settings!$B$3&amp;".mit.obr.ind.mch.2"</f>
        <v>egy.mit.obr.ind.mch.2</v>
      </c>
      <c r="I262" t="s">
        <v>2296</v>
      </c>
      <c r="L262" s="127">
        <f t="shared" ref="L262:AE262" si="66">L$213+L$214+L$215</f>
        <v>0</v>
      </c>
      <c r="M262" s="127">
        <f t="shared" si="66"/>
        <v>0</v>
      </c>
      <c r="N262" s="127">
        <f t="shared" si="66"/>
        <v>0</v>
      </c>
      <c r="O262" s="127">
        <f t="shared" si="66"/>
        <v>0</v>
      </c>
      <c r="P262" s="127">
        <f t="shared" si="66"/>
        <v>0</v>
      </c>
      <c r="Q262" s="127">
        <f t="shared" si="66"/>
        <v>0</v>
      </c>
      <c r="R262" s="127">
        <f t="shared" si="66"/>
        <v>0</v>
      </c>
      <c r="S262" s="127">
        <f t="shared" si="66"/>
        <v>0</v>
      </c>
      <c r="T262" s="127">
        <f t="shared" si="66"/>
        <v>0</v>
      </c>
      <c r="U262" s="127">
        <f t="shared" si="66"/>
        <v>0</v>
      </c>
      <c r="V262" s="127">
        <f t="shared" si="66"/>
        <v>0</v>
      </c>
      <c r="W262" s="127">
        <f t="shared" si="66"/>
        <v>0</v>
      </c>
      <c r="X262" s="127">
        <f t="shared" si="66"/>
        <v>0</v>
      </c>
      <c r="Y262" s="127">
        <f t="shared" si="66"/>
        <v>0</v>
      </c>
      <c r="Z262" s="127">
        <f t="shared" si="66"/>
        <v>0</v>
      </c>
      <c r="AA262" s="127">
        <f t="shared" si="66"/>
        <v>0</v>
      </c>
      <c r="AB262" s="127">
        <f t="shared" si="66"/>
        <v>0</v>
      </c>
      <c r="AC262" s="127">
        <f t="shared" si="66"/>
        <v>0</v>
      </c>
      <c r="AD262" s="127">
        <f t="shared" si="66"/>
        <v>0</v>
      </c>
      <c r="AE262" s="127">
        <f t="shared" si="66"/>
        <v>0</v>
      </c>
    </row>
    <row r="263" spans="1:35" customFormat="1" ht="15" x14ac:dyDescent="0.25">
      <c r="B263" s="14" t="s">
        <v>110</v>
      </c>
      <c r="C263" s="14" t="s">
        <v>117</v>
      </c>
      <c r="D263" s="25" t="s">
        <v>2252</v>
      </c>
      <c r="E263" s="16" t="s">
        <v>1854</v>
      </c>
      <c r="F263" s="14" t="s">
        <v>2253</v>
      </c>
      <c r="H263" s="125" t="str">
        <f>Settings!$B$3&amp;".mit.ccf.ind.mch.2"</f>
        <v>egy.mit.ccf.ind.mch.2</v>
      </c>
      <c r="L263" s="127">
        <f>L$163*Mitigation_Industry!L$679/1000+L$164*Mitigation_Industry!L$680/1000+L$165*Mitigation_Industry!L$681/1000</f>
        <v>0</v>
      </c>
      <c r="M263" s="127">
        <f>M$163*Mitigation_Industry!M$679/1000+M$164*Mitigation_Industry!M$680/1000+M$165*Mitigation_Industry!M$681/1000</f>
        <v>0</v>
      </c>
      <c r="N263" s="127">
        <f>N$163*Mitigation_Industry!N$679/1000+N$164*Mitigation_Industry!N$680/1000+N$165*Mitigation_Industry!N$681/1000</f>
        <v>0</v>
      </c>
      <c r="O263" s="127">
        <f>O$163*Mitigation_Industry!O$679/1000+O$164*Mitigation_Industry!O$680/1000+O$165*Mitigation_Industry!O$681/1000</f>
        <v>0</v>
      </c>
      <c r="P263" s="127">
        <f>P$163*Mitigation_Industry!P$679/1000+P$164*Mitigation_Industry!P$680/1000+P$165*Mitigation_Industry!P$681/1000</f>
        <v>0</v>
      </c>
      <c r="Q263" s="127">
        <f>Q$163*Mitigation_Industry!Q$679/1000+Q$164*Mitigation_Industry!Q$680/1000+Q$165*Mitigation_Industry!Q$681/1000</f>
        <v>52.123603322757127</v>
      </c>
      <c r="R263" s="127">
        <f>R$163*Mitigation_Industry!R$679/1000+R$164*Mitigation_Industry!R$680/1000+R$165*Mitigation_Industry!R$681/1000</f>
        <v>106.54064519171556</v>
      </c>
      <c r="S263" s="127">
        <f>S$163*Mitigation_Industry!S$679/1000+S$164*Mitigation_Industry!S$680/1000+S$165*Mitigation_Industry!S$681/1000</f>
        <v>163.32680907889997</v>
      </c>
      <c r="T263" s="127">
        <f>T$163*Mitigation_Industry!T$679/1000+T$164*Mitigation_Industry!T$680/1000+T$165*Mitigation_Industry!T$681/1000</f>
        <v>222.55999850484761</v>
      </c>
      <c r="U263" s="127">
        <f>U$163*Mitigation_Industry!U$679/1000+U$164*Mitigation_Industry!U$680/1000+U$165*Mitigation_Industry!U$681/1000</f>
        <v>284.32039808994296</v>
      </c>
      <c r="V263" s="127">
        <f>V$163*Mitigation_Industry!V$679/1000+V$164*Mitigation_Industry!V$680/1000+V$165*Mitigation_Industry!V$681/1000</f>
        <v>348.69053621750601</v>
      </c>
      <c r="W263" s="127">
        <f>W$163*Mitigation_Industry!W$679/1000+W$164*Mitigation_Industry!W$680/1000+W$165*Mitigation_Industry!W$681/1000</f>
        <v>415.75534935000633</v>
      </c>
      <c r="X263" s="127">
        <f>X$163*Mitigation_Industry!X$679/1000+X$164*Mitigation_Industry!X$680/1000+X$165*Mitigation_Industry!X$681/1000</f>
        <v>485.60224804080741</v>
      </c>
      <c r="Y263" s="127">
        <f>Y$163*Mitigation_Industry!Y$679/1000+Y$164*Mitigation_Industry!Y$680/1000+Y$165*Mitigation_Industry!Y$681/1000</f>
        <v>558.32118468491831</v>
      </c>
      <c r="Z263" s="127">
        <f>Z$163*Mitigation_Industry!Z$679/1000+Z$164*Mitigation_Industry!Z$680/1000+Z$165*Mitigation_Industry!Z$681/1000</f>
        <v>634.00472305331834</v>
      </c>
      <c r="AA263" s="127">
        <f>AA$163*Mitigation_Industry!AA$679/1000+AA$164*Mitigation_Industry!AA$680/1000+AA$165*Mitigation_Industry!AA$681/1000</f>
        <v>712.74810965654046</v>
      </c>
      <c r="AB263" s="127">
        <f>AB$163*Mitigation_Industry!AB$679/1000+AB$164*Mitigation_Industry!AB$680/1000+AB$165*Mitigation_Industry!AB$681/1000</f>
        <v>794.64934698434661</v>
      </c>
      <c r="AC263" s="127">
        <f>AC$163*Mitigation_Industry!AC$679/1000+AC$164*Mitigation_Industry!AC$680/1000+AC$165*Mitigation_Industry!AC$681/1000</f>
        <v>879.80926866950233</v>
      </c>
      <c r="AD263" s="127">
        <f>AD$163*Mitigation_Industry!AD$679/1000+AD$164*Mitigation_Industry!AD$680/1000+AD$165*Mitigation_Industry!AD$681/1000</f>
        <v>968.33161662486475</v>
      </c>
      <c r="AE263" s="127">
        <f>AE$163*Mitigation_Industry!AE$679/1000+AE$164*Mitigation_Industry!AE$680/1000+AE$165*Mitigation_Industry!AE$681/1000</f>
        <v>1060.3231202042268</v>
      </c>
    </row>
    <row r="264" spans="1:35" customFormat="1" ht="15" x14ac:dyDescent="0.25">
      <c r="B264" s="14" t="s">
        <v>110</v>
      </c>
      <c r="C264" s="14" t="s">
        <v>117</v>
      </c>
      <c r="D264" s="25" t="s">
        <v>2254</v>
      </c>
      <c r="E264" s="16" t="s">
        <v>79</v>
      </c>
      <c r="F264" s="14" t="s">
        <v>2255</v>
      </c>
      <c r="H264" s="125" t="str">
        <f>Settings!$B$3&amp;".mit.rsh.ind.mch.2"</f>
        <v>egy.mit.rsh.ind.mch.2</v>
      </c>
      <c r="I264" t="s">
        <v>2256</v>
      </c>
      <c r="L264" s="127">
        <f t="shared" ref="L264:AE264" si="67">IF(L$263&lt;=0,0,MIN(1,L$262/L$263))</f>
        <v>0</v>
      </c>
      <c r="M264" s="127">
        <f t="shared" si="67"/>
        <v>0</v>
      </c>
      <c r="N264" s="127">
        <f t="shared" si="67"/>
        <v>0</v>
      </c>
      <c r="O264" s="127">
        <f t="shared" si="67"/>
        <v>0</v>
      </c>
      <c r="P264" s="127">
        <f t="shared" si="67"/>
        <v>0</v>
      </c>
      <c r="Q264" s="127">
        <f t="shared" si="67"/>
        <v>0</v>
      </c>
      <c r="R264" s="127">
        <f t="shared" si="67"/>
        <v>0</v>
      </c>
      <c r="S264" s="127">
        <f t="shared" si="67"/>
        <v>0</v>
      </c>
      <c r="T264" s="127">
        <f t="shared" si="67"/>
        <v>0</v>
      </c>
      <c r="U264" s="127">
        <f t="shared" si="67"/>
        <v>0</v>
      </c>
      <c r="V264" s="127">
        <f t="shared" si="67"/>
        <v>0</v>
      </c>
      <c r="W264" s="127">
        <f t="shared" si="67"/>
        <v>0</v>
      </c>
      <c r="X264" s="127">
        <f t="shared" si="67"/>
        <v>0</v>
      </c>
      <c r="Y264" s="127">
        <f t="shared" si="67"/>
        <v>0</v>
      </c>
      <c r="Z264" s="127">
        <f t="shared" si="67"/>
        <v>0</v>
      </c>
      <c r="AA264" s="127">
        <f t="shared" si="67"/>
        <v>0</v>
      </c>
      <c r="AB264" s="127">
        <f t="shared" si="67"/>
        <v>0</v>
      </c>
      <c r="AC264" s="127">
        <f t="shared" si="67"/>
        <v>0</v>
      </c>
      <c r="AD264" s="127">
        <f t="shared" si="67"/>
        <v>0</v>
      </c>
      <c r="AE264" s="127">
        <f t="shared" si="67"/>
        <v>0</v>
      </c>
    </row>
    <row r="265" spans="1:35" customFormat="1" ht="15" x14ac:dyDescent="0.25">
      <c r="B265" s="14" t="s">
        <v>49</v>
      </c>
      <c r="C265" s="14" t="s">
        <v>117</v>
      </c>
      <c r="D265" s="15" t="s">
        <v>2257</v>
      </c>
      <c r="E265" s="16" t="s">
        <v>51</v>
      </c>
      <c r="F265" s="14" t="s">
        <v>2258</v>
      </c>
      <c r="G265" s="17"/>
      <c r="H265" s="125" t="str">
        <f>Settings!$B$3&amp;".mit.atpn.mch.coa.e.2"</f>
        <v>egy.mit.atpn.mch.coa.e.2</v>
      </c>
      <c r="I265" t="s">
        <v>2342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5" x14ac:dyDescent="0.25">
      <c r="B266" s="14" t="s">
        <v>53</v>
      </c>
      <c r="C266" s="14" t="s">
        <v>117</v>
      </c>
      <c r="D266" s="15" t="s">
        <v>2260</v>
      </c>
      <c r="E266" s="16" t="s">
        <v>51</v>
      </c>
      <c r="F266" s="14" t="s">
        <v>2258</v>
      </c>
      <c r="G266" s="17"/>
      <c r="H266" s="125" t="str">
        <f>Settings!$B$3&amp;".mit.atpn.mch.nga.e.2"</f>
        <v>egy.mit.atpn.mch.nga.e.2</v>
      </c>
      <c r="I266" t="s">
        <v>2343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5" x14ac:dyDescent="0.25">
      <c r="B267" s="14" t="s">
        <v>55</v>
      </c>
      <c r="C267" s="14" t="s">
        <v>117</v>
      </c>
      <c r="D267" s="15" t="s">
        <v>2262</v>
      </c>
      <c r="E267" s="16" t="s">
        <v>57</v>
      </c>
      <c r="F267" s="14" t="s">
        <v>2258</v>
      </c>
      <c r="G267" s="17"/>
      <c r="H267" s="125" t="str">
        <f>Settings!$B$3&amp;".mit.atpn.mch.gso.e.2"</f>
        <v>egy.mit.atpn.mch.gso.e.2</v>
      </c>
      <c r="I267" t="s">
        <v>2344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5" x14ac:dyDescent="0.25">
      <c r="B268" s="14" t="s">
        <v>58</v>
      </c>
      <c r="C268" s="14" t="s">
        <v>117</v>
      </c>
      <c r="D268" s="15" t="s">
        <v>2264</v>
      </c>
      <c r="E268" s="16" t="s">
        <v>57</v>
      </c>
      <c r="F268" s="14" t="s">
        <v>2258</v>
      </c>
      <c r="G268" s="17"/>
      <c r="H268" s="125" t="str">
        <f>Settings!$B$3&amp;".mit.atpn.mch.die.e.2"</f>
        <v>egy.mit.atpn.mch.die.e.2</v>
      </c>
      <c r="I268" t="s">
        <v>2345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5" x14ac:dyDescent="0.25">
      <c r="B269" s="14" t="s">
        <v>60</v>
      </c>
      <c r="C269" s="14" t="s">
        <v>117</v>
      </c>
      <c r="D269" s="15" t="s">
        <v>2266</v>
      </c>
      <c r="E269" s="16" t="s">
        <v>57</v>
      </c>
      <c r="F269" s="14" t="s">
        <v>2258</v>
      </c>
      <c r="G269" s="17"/>
      <c r="H269" s="125" t="str">
        <f>Settings!$B$3&amp;".mit.atpn.mch.lpg.e.2"</f>
        <v>egy.mit.atpn.mch.lpg.e.2</v>
      </c>
      <c r="I269" t="s">
        <v>2346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5" x14ac:dyDescent="0.25">
      <c r="B270" s="14" t="s">
        <v>62</v>
      </c>
      <c r="C270" s="14" t="s">
        <v>117</v>
      </c>
      <c r="D270" s="15" t="s">
        <v>2268</v>
      </c>
      <c r="E270" s="16" t="s">
        <v>57</v>
      </c>
      <c r="F270" s="14" t="s">
        <v>2258</v>
      </c>
      <c r="G270" s="17"/>
      <c r="H270" s="125" t="str">
        <f>Settings!$B$3&amp;".mit.atpn.mch.ker.e.2"</f>
        <v>egy.mit.atpn.mch.ker.e.2</v>
      </c>
      <c r="I270" t="s">
        <v>2347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5" x14ac:dyDescent="0.25">
      <c r="B271" s="14" t="s">
        <v>64</v>
      </c>
      <c r="C271" s="14" t="s">
        <v>117</v>
      </c>
      <c r="D271" s="15" t="s">
        <v>2270</v>
      </c>
      <c r="E271" s="16" t="s">
        <v>66</v>
      </c>
      <c r="F271" s="14" t="s">
        <v>2258</v>
      </c>
      <c r="G271" s="17"/>
      <c r="H271" s="125" t="str">
        <f>Settings!$B$3&amp;".mit.atpn.mch.oop.e.2"</f>
        <v>egy.mit.atpn.mch.oop.e.2</v>
      </c>
      <c r="I271" t="s">
        <v>2348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5" x14ac:dyDescent="0.25">
      <c r="B272" s="14" t="s">
        <v>67</v>
      </c>
      <c r="C272" s="14" t="s">
        <v>117</v>
      </c>
      <c r="D272" s="15" t="s">
        <v>2272</v>
      </c>
      <c r="E272" s="16" t="s">
        <v>51</v>
      </c>
      <c r="F272" s="14" t="s">
        <v>2258</v>
      </c>
      <c r="G272" s="17"/>
      <c r="H272" s="125" t="str">
        <f>Settings!$B$3&amp;".mit.atpn.mch.bio.e.2"</f>
        <v>egy.mit.atpn.mch.bio.e.2</v>
      </c>
      <c r="I272" t="s">
        <v>2349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5" x14ac:dyDescent="0.25">
      <c r="B273" s="14" t="s">
        <v>69</v>
      </c>
      <c r="C273" s="14" t="s">
        <v>117</v>
      </c>
      <c r="D273" s="15" t="s">
        <v>2274</v>
      </c>
      <c r="E273" s="16" t="s">
        <v>71</v>
      </c>
      <c r="F273" s="14" t="s">
        <v>2258</v>
      </c>
      <c r="G273" s="17"/>
      <c r="H273" s="125" t="str">
        <f>Settings!$B$3&amp;".mit.atpn.mch.ren.e.2"</f>
        <v>egy.mit.atpn.mch.ren.e.2</v>
      </c>
      <c r="I273" t="s">
        <v>2350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5" x14ac:dyDescent="0.25">
      <c r="A275" s="11"/>
      <c r="B275" s="6"/>
      <c r="C275" s="7" t="s">
        <v>2306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5" x14ac:dyDescent="0.25">
      <c r="B276" s="14" t="s">
        <v>110</v>
      </c>
      <c r="C276" s="14"/>
      <c r="D276" s="25" t="s">
        <v>2307</v>
      </c>
      <c r="E276" s="16" t="s">
        <v>1854</v>
      </c>
      <c r="F276" s="14" t="s">
        <v>2308</v>
      </c>
      <c r="H276" s="17"/>
      <c r="I276" t="s">
        <v>2351</v>
      </c>
      <c r="L276" s="127">
        <f>Mitigation_Industry!L$799</f>
        <v>0</v>
      </c>
      <c r="M276" s="127">
        <f>Mitigation_Industry!M$799</f>
        <v>0</v>
      </c>
      <c r="N276" s="127">
        <f>Mitigation_Industry!N$799</f>
        <v>0</v>
      </c>
      <c r="O276" s="127">
        <f>Mitigation_Industry!O$799</f>
        <v>0</v>
      </c>
      <c r="P276" s="127">
        <f>Mitigation_Industry!P$799</f>
        <v>0</v>
      </c>
      <c r="Q276" s="127">
        <f>Mitigation_Industry!Q$799</f>
        <v>313.18092912945133</v>
      </c>
      <c r="R276" s="127">
        <f>Mitigation_Industry!R$799</f>
        <v>646.88764494852489</v>
      </c>
      <c r="S276" s="127">
        <f>Mitigation_Industry!S$799</f>
        <v>1002.1648959865571</v>
      </c>
      <c r="T276" s="127">
        <f>Mitigation_Industry!T$799</f>
        <v>1380.1062236958546</v>
      </c>
      <c r="U276" s="127">
        <f>Mitigation_Industry!U$799</f>
        <v>1781.8561629939895</v>
      </c>
      <c r="V276" s="127">
        <f>Mitigation_Industry!V$799</f>
        <v>2208.6125408023772</v>
      </c>
      <c r="W276" s="127">
        <f>Mitigation_Industry!W$799</f>
        <v>2661.6288769403232</v>
      </c>
      <c r="X276" s="127">
        <f>Mitigation_Industry!X$799</f>
        <v>3142.2168919286596</v>
      </c>
      <c r="Y276" s="127">
        <f>Mitigation_Industry!Y$799</f>
        <v>3651.7491264608011</v>
      </c>
      <c r="Z276" s="127">
        <f>Mitigation_Industry!Z$799</f>
        <v>4191.6616775120128</v>
      </c>
      <c r="AA276" s="127">
        <f>Mitigation_Industry!AA$799</f>
        <v>4763.45705628019</v>
      </c>
      <c r="AB276" s="127">
        <f>Mitigation_Industry!AB$799</f>
        <v>5368.7071733840539</v>
      </c>
      <c r="AC276" s="127">
        <f>Mitigation_Industry!AC$799</f>
        <v>6009.0564569877843</v>
      </c>
      <c r="AD276" s="127">
        <f>Mitigation_Industry!AD$799</f>
        <v>6686.2251097751796</v>
      </c>
      <c r="AE276" s="127">
        <f>Mitigation_Industry!AE$799</f>
        <v>7402.012510962054</v>
      </c>
    </row>
    <row r="277" spans="1:35" customFormat="1" ht="15" x14ac:dyDescent="0.25">
      <c r="B277" s="14" t="s">
        <v>110</v>
      </c>
      <c r="C277" s="14"/>
      <c r="D277" s="25" t="s">
        <v>2310</v>
      </c>
      <c r="E277" s="16" t="s">
        <v>1854</v>
      </c>
      <c r="F277" s="14" t="s">
        <v>2239</v>
      </c>
      <c r="H277" s="17"/>
      <c r="L277" s="127">
        <f t="shared" ref="L277:AE277" si="68">L$217</f>
        <v>0</v>
      </c>
      <c r="M277" s="127">
        <f t="shared" si="68"/>
        <v>0</v>
      </c>
      <c r="N277" s="127">
        <f t="shared" si="68"/>
        <v>0</v>
      </c>
      <c r="O277" s="127">
        <f t="shared" si="68"/>
        <v>0</v>
      </c>
      <c r="P277" s="127">
        <f t="shared" si="68"/>
        <v>0</v>
      </c>
      <c r="Q277" s="127">
        <f t="shared" si="68"/>
        <v>0</v>
      </c>
      <c r="R277" s="127">
        <f t="shared" si="68"/>
        <v>0</v>
      </c>
      <c r="S277" s="127">
        <f t="shared" si="68"/>
        <v>0</v>
      </c>
      <c r="T277" s="127">
        <f t="shared" si="68"/>
        <v>0</v>
      </c>
      <c r="U277" s="127">
        <f t="shared" si="68"/>
        <v>0</v>
      </c>
      <c r="V277" s="127">
        <f t="shared" si="68"/>
        <v>0</v>
      </c>
      <c r="W277" s="127">
        <f t="shared" si="68"/>
        <v>0</v>
      </c>
      <c r="X277" s="127">
        <f t="shared" si="68"/>
        <v>0</v>
      </c>
      <c r="Y277" s="127">
        <f t="shared" si="68"/>
        <v>0</v>
      </c>
      <c r="Z277" s="127">
        <f t="shared" si="68"/>
        <v>0</v>
      </c>
      <c r="AA277" s="127">
        <f t="shared" si="68"/>
        <v>0</v>
      </c>
      <c r="AB277" s="127">
        <f t="shared" si="68"/>
        <v>0</v>
      </c>
      <c r="AC277" s="127">
        <f t="shared" si="68"/>
        <v>0</v>
      </c>
      <c r="AD277" s="127">
        <f t="shared" si="68"/>
        <v>0</v>
      </c>
      <c r="AE277" s="127">
        <f t="shared" si="68"/>
        <v>0</v>
      </c>
    </row>
    <row r="278" spans="1:35" customFormat="1" ht="15" x14ac:dyDescent="0.25">
      <c r="B278" s="14" t="s">
        <v>110</v>
      </c>
      <c r="C278" s="14"/>
      <c r="D278" s="25" t="s">
        <v>2311</v>
      </c>
      <c r="E278" s="16" t="s">
        <v>1854</v>
      </c>
      <c r="F278" s="14" t="s">
        <v>2312</v>
      </c>
      <c r="H278" s="125" t="str">
        <f>Settings!$B$3&amp;".mit.revnet.cbam.tot.2"</f>
        <v>egy.mit.revnet.cbam.tot.2</v>
      </c>
      <c r="L278" s="127">
        <f t="shared" ref="L278:AE278" si="69">L276-L277</f>
        <v>0</v>
      </c>
      <c r="M278" s="127">
        <f t="shared" si="69"/>
        <v>0</v>
      </c>
      <c r="N278" s="127">
        <f t="shared" si="69"/>
        <v>0</v>
      </c>
      <c r="O278" s="127">
        <f t="shared" si="69"/>
        <v>0</v>
      </c>
      <c r="P278" s="127">
        <f t="shared" si="69"/>
        <v>0</v>
      </c>
      <c r="Q278" s="127">
        <f t="shared" si="69"/>
        <v>313.18092912945133</v>
      </c>
      <c r="R278" s="127">
        <f t="shared" si="69"/>
        <v>646.88764494852489</v>
      </c>
      <c r="S278" s="127">
        <f t="shared" si="69"/>
        <v>1002.1648959865571</v>
      </c>
      <c r="T278" s="127">
        <f t="shared" si="69"/>
        <v>1380.1062236958546</v>
      </c>
      <c r="U278" s="127">
        <f t="shared" si="69"/>
        <v>1781.8561629939895</v>
      </c>
      <c r="V278" s="127">
        <f t="shared" si="69"/>
        <v>2208.6125408023772</v>
      </c>
      <c r="W278" s="127">
        <f t="shared" si="69"/>
        <v>2661.6288769403232</v>
      </c>
      <c r="X278" s="127">
        <f t="shared" si="69"/>
        <v>3142.2168919286596</v>
      </c>
      <c r="Y278" s="127">
        <f t="shared" si="69"/>
        <v>3651.7491264608011</v>
      </c>
      <c r="Z278" s="127">
        <f t="shared" si="69"/>
        <v>4191.6616775120128</v>
      </c>
      <c r="AA278" s="127">
        <f t="shared" si="69"/>
        <v>4763.45705628019</v>
      </c>
      <c r="AB278" s="127">
        <f t="shared" si="69"/>
        <v>5368.7071733840539</v>
      </c>
      <c r="AC278" s="127">
        <f t="shared" si="69"/>
        <v>6009.0564569877843</v>
      </c>
      <c r="AD278" s="127">
        <f t="shared" si="69"/>
        <v>6686.2251097751796</v>
      </c>
      <c r="AE278" s="127">
        <f t="shared" si="69"/>
        <v>7402.012510962054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ColWidth="9" defaultRowHeight="14.25" x14ac:dyDescent="0.2"/>
  <cols>
    <col min="1" max="1" width="3" style="112" customWidth="1"/>
    <col min="2" max="2" width="12.42578125" style="112" customWidth="1"/>
    <col min="3" max="3" width="28" style="112" customWidth="1"/>
    <col min="4" max="4" width="44.5703125" style="112" customWidth="1"/>
    <col min="5" max="5" width="14.7109375" style="112" customWidth="1"/>
    <col min="6" max="6" width="17.7109375" style="112" customWidth="1"/>
    <col min="7" max="7" width="30.28515625" style="112" customWidth="1"/>
    <col min="8" max="8" width="28.85546875" style="112" customWidth="1"/>
    <col min="9" max="9" width="60.5703125" style="112" customWidth="1"/>
    <col min="10" max="10" width="30.28515625" style="112" customWidth="1"/>
    <col min="11" max="11" width="10.5703125" style="112" customWidth="1"/>
    <col min="12" max="35" width="12" style="112" customWidth="1"/>
    <col min="36" max="16384" width="9" style="112"/>
  </cols>
  <sheetData>
    <row r="1" spans="1:35" customFormat="1" ht="15" x14ac:dyDescent="0.2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5" x14ac:dyDescent="0.25">
      <c r="A2" s="33"/>
      <c r="B2" s="44" t="s">
        <v>2535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5" x14ac:dyDescent="0.25">
      <c r="B3" s="121" t="s">
        <v>2536</v>
      </c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</row>
    <row r="4" spans="1:35" x14ac:dyDescent="0.2">
      <c r="D4" s="112" t="s">
        <v>2537</v>
      </c>
      <c r="E4" s="112" t="s">
        <v>2538</v>
      </c>
      <c r="F4" s="129" t="s">
        <v>2539</v>
      </c>
      <c r="I4" s="112" t="s">
        <v>2542</v>
      </c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</row>
    <row r="5" spans="1:35" x14ac:dyDescent="0.2">
      <c r="D5" s="112" t="s">
        <v>2540</v>
      </c>
      <c r="E5" s="112" t="s">
        <v>1398</v>
      </c>
      <c r="F5" s="129">
        <v>1000</v>
      </c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</row>
    <row r="6" spans="1:35" x14ac:dyDescent="0.2">
      <c r="D6" s="112" t="s">
        <v>2541</v>
      </c>
      <c r="E6" s="112" t="s">
        <v>79</v>
      </c>
      <c r="F6" s="129">
        <v>1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</row>
    <row r="7" spans="1:35" x14ac:dyDescent="0.2"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</row>
    <row r="8" spans="1:35" customFormat="1" ht="18" customHeight="1" x14ac:dyDescent="0.25">
      <c r="A8" s="8"/>
      <c r="B8" s="9" t="s">
        <v>2543</v>
      </c>
      <c r="C8" s="10"/>
      <c r="D8" s="10"/>
      <c r="E8" s="10"/>
      <c r="F8" s="10"/>
      <c r="G8" s="10"/>
      <c r="H8" s="10"/>
      <c r="I8" s="10"/>
      <c r="J8" s="10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</row>
    <row r="9" spans="1:35" x14ac:dyDescent="0.2"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</row>
    <row r="10" spans="1:35" customFormat="1" ht="15" x14ac:dyDescent="0.25">
      <c r="A10" s="11"/>
      <c r="B10" s="6"/>
      <c r="C10" s="7" t="s">
        <v>2173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4">
        <v>2021</v>
      </c>
      <c r="L10" s="135">
        <v>2022</v>
      </c>
      <c r="M10" s="134">
        <v>2023</v>
      </c>
      <c r="N10" s="134">
        <v>2024</v>
      </c>
      <c r="O10" s="134">
        <v>2025</v>
      </c>
      <c r="P10" s="134">
        <v>2026</v>
      </c>
      <c r="Q10" s="134">
        <v>2027</v>
      </c>
      <c r="R10" s="134">
        <v>2028</v>
      </c>
      <c r="S10" s="134">
        <v>2029</v>
      </c>
      <c r="T10" s="134">
        <v>2030</v>
      </c>
      <c r="U10" s="134">
        <v>2031</v>
      </c>
      <c r="V10" s="134">
        <v>2032</v>
      </c>
      <c r="W10" s="134">
        <v>2033</v>
      </c>
      <c r="X10" s="134">
        <v>2034</v>
      </c>
      <c r="Y10" s="134">
        <v>2035</v>
      </c>
      <c r="Z10" s="134">
        <v>2036</v>
      </c>
      <c r="AA10" s="134">
        <v>2037</v>
      </c>
      <c r="AB10" s="134">
        <v>2038</v>
      </c>
      <c r="AC10" s="134">
        <v>2039</v>
      </c>
      <c r="AD10" s="134">
        <v>2040</v>
      </c>
      <c r="AE10" s="134">
        <v>2041</v>
      </c>
      <c r="AF10" s="134">
        <v>2042</v>
      </c>
      <c r="AG10" s="134">
        <v>2043</v>
      </c>
      <c r="AH10" s="134">
        <v>2044</v>
      </c>
      <c r="AI10" s="134">
        <v>2045</v>
      </c>
    </row>
    <row r="11" spans="1:35" customFormat="1" ht="15" x14ac:dyDescent="0.25">
      <c r="B11" s="14" t="s">
        <v>1789</v>
      </c>
      <c r="C11" s="14"/>
      <c r="D11" s="15" t="s">
        <v>2544</v>
      </c>
      <c r="E11" s="16" t="s">
        <v>79</v>
      </c>
      <c r="F11" s="14" t="s">
        <v>1789</v>
      </c>
      <c r="G11" s="125" t="s">
        <v>1842</v>
      </c>
      <c r="H11" s="17"/>
      <c r="I11" t="s">
        <v>2175</v>
      </c>
      <c r="K11" s="136"/>
      <c r="L11" s="137">
        <f>INDEX(Data_Prices!L:L,MATCH($G11,Data_Prices!$A:$A,0))</f>
        <v>0</v>
      </c>
      <c r="M11" s="137">
        <f>INDEX(Data_Prices!M:M,MATCH($G11,Data_Prices!$A:$A,0))</f>
        <v>0</v>
      </c>
      <c r="N11" s="137">
        <f>INDEX(Data_Prices!N:N,MATCH($G11,Data_Prices!$A:$A,0))</f>
        <v>0</v>
      </c>
      <c r="O11" s="137">
        <f>INDEX(Data_Prices!O:O,MATCH($G11,Data_Prices!$A:$A,0))</f>
        <v>0</v>
      </c>
      <c r="P11" s="137">
        <f>INDEX(Data_Prices!P:P,MATCH($G11,Data_Prices!$A:$A,0))</f>
        <v>0</v>
      </c>
      <c r="Q11" s="137">
        <f>INDEX(Data_Prices!Q:Q,MATCH($G11,Data_Prices!$A:$A,0))</f>
        <v>0</v>
      </c>
      <c r="R11" s="137">
        <f>INDEX(Data_Prices!R:R,MATCH($G11,Data_Prices!$A:$A,0))</f>
        <v>0</v>
      </c>
      <c r="S11" s="137">
        <f>INDEX(Data_Prices!S:S,MATCH($G11,Data_Prices!$A:$A,0))</f>
        <v>0</v>
      </c>
      <c r="T11" s="137">
        <f>INDEX(Data_Prices!T:T,MATCH($G11,Data_Prices!$A:$A,0))</f>
        <v>0</v>
      </c>
      <c r="U11" s="137">
        <f>INDEX(Data_Prices!U:U,MATCH($G11,Data_Prices!$A:$A,0))</f>
        <v>0</v>
      </c>
      <c r="V11" s="137">
        <f>INDEX(Data_Prices!V:V,MATCH($G11,Data_Prices!$A:$A,0))</f>
        <v>0</v>
      </c>
      <c r="W11" s="137">
        <f>INDEX(Data_Prices!W:W,MATCH($G11,Data_Prices!$A:$A,0))</f>
        <v>0</v>
      </c>
      <c r="X11" s="137">
        <f>INDEX(Data_Prices!X:X,MATCH($G11,Data_Prices!$A:$A,0))</f>
        <v>0</v>
      </c>
      <c r="Y11" s="137">
        <f>INDEX(Data_Prices!Y:Y,MATCH($G11,Data_Prices!$A:$A,0))</f>
        <v>0</v>
      </c>
      <c r="Z11" s="137">
        <f>INDEX(Data_Prices!Z:Z,MATCH($G11,Data_Prices!$A:$A,0))</f>
        <v>0</v>
      </c>
      <c r="AA11" s="137">
        <f>INDEX(Data_Prices!AA:AA,MATCH($G11,Data_Prices!$A:$A,0))</f>
        <v>0</v>
      </c>
      <c r="AB11" s="137">
        <f>INDEX(Data_Prices!AB:AB,MATCH($G11,Data_Prices!$A:$A,0))</f>
        <v>0</v>
      </c>
      <c r="AC11" s="137">
        <f>INDEX(Data_Prices!AC:AC,MATCH($G11,Data_Prices!$A:$A,0))</f>
        <v>0</v>
      </c>
      <c r="AD11" s="137">
        <f>INDEX(Data_Prices!AD:AD,MATCH($G11,Data_Prices!$A:$A,0))</f>
        <v>0</v>
      </c>
      <c r="AE11" s="137">
        <f>INDEX(Data_Prices!AE:AE,MATCH($G11,Data_Prices!$A:$A,0))</f>
        <v>0</v>
      </c>
      <c r="AF11" s="138"/>
      <c r="AG11" s="138"/>
      <c r="AH11" s="138"/>
      <c r="AI11" s="138"/>
    </row>
    <row r="12" spans="1:35" customFormat="1" ht="15" x14ac:dyDescent="0.25">
      <c r="B12" s="14" t="s">
        <v>1397</v>
      </c>
      <c r="C12" s="14"/>
      <c r="D12" s="15" t="s">
        <v>2545</v>
      </c>
      <c r="E12" s="16" t="s">
        <v>1398</v>
      </c>
      <c r="F12" s="14" t="s">
        <v>1397</v>
      </c>
      <c r="G12" s="17"/>
      <c r="H12" s="17"/>
      <c r="I12" t="s">
        <v>2546</v>
      </c>
      <c r="K12" s="136"/>
      <c r="L12" s="137">
        <f>Mitigation_Industry!L$247</f>
        <v>0</v>
      </c>
      <c r="M12" s="137">
        <f>Mitigation_Industry!M$247</f>
        <v>0</v>
      </c>
      <c r="N12" s="137">
        <f>Mitigation_Industry!N$247</f>
        <v>0</v>
      </c>
      <c r="O12" s="137">
        <f>Mitigation_Industry!O$247</f>
        <v>0</v>
      </c>
      <c r="P12" s="137">
        <f>Mitigation_Industry!P$247</f>
        <v>0</v>
      </c>
      <c r="Q12" s="137">
        <f>Mitigation_Industry!Q$247</f>
        <v>0</v>
      </c>
      <c r="R12" s="137">
        <f>Mitigation_Industry!R$247</f>
        <v>0</v>
      </c>
      <c r="S12" s="137">
        <f>Mitigation_Industry!S$247</f>
        <v>0</v>
      </c>
      <c r="T12" s="137">
        <f>Mitigation_Industry!T$247</f>
        <v>0</v>
      </c>
      <c r="U12" s="137">
        <f>Mitigation_Industry!U$247</f>
        <v>0</v>
      </c>
      <c r="V12" s="137">
        <f>Mitigation_Industry!V$247</f>
        <v>0</v>
      </c>
      <c r="W12" s="137">
        <f>Mitigation_Industry!W$247</f>
        <v>0</v>
      </c>
      <c r="X12" s="137">
        <f>Mitigation_Industry!X$247</f>
        <v>0</v>
      </c>
      <c r="Y12" s="137">
        <f>Mitigation_Industry!Y$247</f>
        <v>0</v>
      </c>
      <c r="Z12" s="137">
        <f>Mitigation_Industry!Z$247</f>
        <v>0</v>
      </c>
      <c r="AA12" s="137">
        <f>Mitigation_Industry!AA$247</f>
        <v>0</v>
      </c>
      <c r="AB12" s="137">
        <f>Mitigation_Industry!AB$247</f>
        <v>0</v>
      </c>
      <c r="AC12" s="137">
        <f>Mitigation_Industry!AC$247</f>
        <v>0</v>
      </c>
      <c r="AD12" s="137">
        <f>Mitigation_Industry!AD$247</f>
        <v>0</v>
      </c>
      <c r="AE12" s="137">
        <f>Mitigation_Industry!AE$247</f>
        <v>0</v>
      </c>
      <c r="AF12" s="138"/>
      <c r="AG12" s="138"/>
      <c r="AH12" s="138"/>
      <c r="AI12" s="138"/>
    </row>
    <row r="13" spans="1:35" customFormat="1" ht="15" x14ac:dyDescent="0.25">
      <c r="B13" s="14" t="s">
        <v>1401</v>
      </c>
      <c r="C13" s="14"/>
      <c r="D13" s="15" t="s">
        <v>2547</v>
      </c>
      <c r="E13" s="16" t="s">
        <v>1398</v>
      </c>
      <c r="F13" s="14" t="s">
        <v>1401</v>
      </c>
      <c r="G13" s="17"/>
      <c r="H13" s="17"/>
      <c r="I13" t="s">
        <v>2548</v>
      </c>
      <c r="K13" s="136"/>
      <c r="L13" s="137">
        <f>Mitigation_Industry!L$248</f>
        <v>0</v>
      </c>
      <c r="M13" s="137">
        <f>Mitigation_Industry!M$248</f>
        <v>0</v>
      </c>
      <c r="N13" s="137">
        <f>Mitigation_Industry!N$248</f>
        <v>0</v>
      </c>
      <c r="O13" s="137">
        <f>Mitigation_Industry!O$248</f>
        <v>0</v>
      </c>
      <c r="P13" s="137">
        <f>Mitigation_Industry!P$248</f>
        <v>0</v>
      </c>
      <c r="Q13" s="137">
        <f>Mitigation_Industry!Q$248</f>
        <v>0</v>
      </c>
      <c r="R13" s="137">
        <f>Mitigation_Industry!R$248</f>
        <v>0</v>
      </c>
      <c r="S13" s="137">
        <f>Mitigation_Industry!S$248</f>
        <v>0</v>
      </c>
      <c r="T13" s="137">
        <f>Mitigation_Industry!T$248</f>
        <v>0</v>
      </c>
      <c r="U13" s="137">
        <f>Mitigation_Industry!U$248</f>
        <v>0</v>
      </c>
      <c r="V13" s="137">
        <f>Mitigation_Industry!V$248</f>
        <v>0</v>
      </c>
      <c r="W13" s="137">
        <f>Mitigation_Industry!W$248</f>
        <v>0</v>
      </c>
      <c r="X13" s="137">
        <f>Mitigation_Industry!X$248</f>
        <v>0</v>
      </c>
      <c r="Y13" s="137">
        <f>Mitigation_Industry!Y$248</f>
        <v>0</v>
      </c>
      <c r="Z13" s="137">
        <f>Mitigation_Industry!Z$248</f>
        <v>0</v>
      </c>
      <c r="AA13" s="137">
        <f>Mitigation_Industry!AA$248</f>
        <v>0</v>
      </c>
      <c r="AB13" s="137">
        <f>Mitigation_Industry!AB$248</f>
        <v>0</v>
      </c>
      <c r="AC13" s="137">
        <f>Mitigation_Industry!AC$248</f>
        <v>0</v>
      </c>
      <c r="AD13" s="137">
        <f>Mitigation_Industry!AD$248</f>
        <v>0</v>
      </c>
      <c r="AE13" s="137">
        <f>Mitigation_Industry!AE$248</f>
        <v>0</v>
      </c>
      <c r="AF13" s="138"/>
      <c r="AG13" s="138"/>
      <c r="AH13" s="138"/>
      <c r="AI13" s="138"/>
    </row>
    <row r="14" spans="1:35" customFormat="1" ht="15" x14ac:dyDescent="0.25">
      <c r="B14" s="14" t="s">
        <v>1775</v>
      </c>
      <c r="C14" s="14"/>
      <c r="D14" s="15" t="s">
        <v>2549</v>
      </c>
      <c r="E14" s="16" t="s">
        <v>1398</v>
      </c>
      <c r="F14" s="14" t="s">
        <v>1775</v>
      </c>
      <c r="G14" s="17"/>
      <c r="H14" s="17"/>
      <c r="I14" t="s">
        <v>2550</v>
      </c>
      <c r="K14" s="136"/>
      <c r="L14" s="137">
        <f>Mitigation_Industry!L$308</f>
        <v>0</v>
      </c>
      <c r="M14" s="137">
        <f>Mitigation_Industry!M$308</f>
        <v>0</v>
      </c>
      <c r="N14" s="137">
        <f>Mitigation_Industry!N$308</f>
        <v>0</v>
      </c>
      <c r="O14" s="137">
        <f>Mitigation_Industry!O$308</f>
        <v>0</v>
      </c>
      <c r="P14" s="137">
        <f>Mitigation_Industry!P$308</f>
        <v>0</v>
      </c>
      <c r="Q14" s="137">
        <f>Mitigation_Industry!Q$308</f>
        <v>0</v>
      </c>
      <c r="R14" s="137">
        <f>Mitigation_Industry!R$308</f>
        <v>0</v>
      </c>
      <c r="S14" s="137">
        <f>Mitigation_Industry!S$308</f>
        <v>0</v>
      </c>
      <c r="T14" s="137">
        <f>Mitigation_Industry!T$308</f>
        <v>0</v>
      </c>
      <c r="U14" s="137">
        <f>Mitigation_Industry!U$308</f>
        <v>0</v>
      </c>
      <c r="V14" s="137">
        <f>Mitigation_Industry!V$308</f>
        <v>0</v>
      </c>
      <c r="W14" s="137">
        <f>Mitigation_Industry!W$308</f>
        <v>0</v>
      </c>
      <c r="X14" s="137">
        <f>Mitigation_Industry!X$308</f>
        <v>0</v>
      </c>
      <c r="Y14" s="137">
        <f>Mitigation_Industry!Y$308</f>
        <v>0</v>
      </c>
      <c r="Z14" s="137">
        <f>Mitigation_Industry!Z$308</f>
        <v>0</v>
      </c>
      <c r="AA14" s="137">
        <f>Mitigation_Industry!AA$308</f>
        <v>0</v>
      </c>
      <c r="AB14" s="137">
        <f>Mitigation_Industry!AB$308</f>
        <v>0</v>
      </c>
      <c r="AC14" s="137">
        <f>Mitigation_Industry!AC$308</f>
        <v>0</v>
      </c>
      <c r="AD14" s="137">
        <f>Mitigation_Industry!AD$308</f>
        <v>0</v>
      </c>
      <c r="AE14" s="137">
        <f>Mitigation_Industry!AE$308</f>
        <v>0</v>
      </c>
      <c r="AF14" s="138"/>
      <c r="AG14" s="138"/>
      <c r="AH14" s="138"/>
      <c r="AI14" s="138"/>
    </row>
    <row r="15" spans="1:35" x14ac:dyDescent="0.2"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</row>
    <row r="16" spans="1:35" customFormat="1" ht="15" x14ac:dyDescent="0.25">
      <c r="A16" s="11"/>
      <c r="B16" s="6"/>
      <c r="C16" s="7" t="s">
        <v>2551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4">
        <v>2021</v>
      </c>
      <c r="L16" s="135">
        <v>2022</v>
      </c>
      <c r="M16" s="134">
        <v>2023</v>
      </c>
      <c r="N16" s="134">
        <v>2024</v>
      </c>
      <c r="O16" s="134">
        <v>2025</v>
      </c>
      <c r="P16" s="134">
        <v>2026</v>
      </c>
      <c r="Q16" s="134">
        <v>2027</v>
      </c>
      <c r="R16" s="134">
        <v>2028</v>
      </c>
      <c r="S16" s="134">
        <v>2029</v>
      </c>
      <c r="T16" s="134">
        <v>2030</v>
      </c>
      <c r="U16" s="134">
        <v>2031</v>
      </c>
      <c r="V16" s="134">
        <v>2032</v>
      </c>
      <c r="W16" s="134">
        <v>2033</v>
      </c>
      <c r="X16" s="134">
        <v>2034</v>
      </c>
      <c r="Y16" s="134">
        <v>2035</v>
      </c>
      <c r="Z16" s="134">
        <v>2036</v>
      </c>
      <c r="AA16" s="134">
        <v>2037</v>
      </c>
      <c r="AB16" s="134">
        <v>2038</v>
      </c>
      <c r="AC16" s="134">
        <v>2039</v>
      </c>
      <c r="AD16" s="134">
        <v>2040</v>
      </c>
      <c r="AE16" s="134">
        <v>2041</v>
      </c>
      <c r="AF16" s="134">
        <v>2042</v>
      </c>
      <c r="AG16" s="134">
        <v>2043</v>
      </c>
      <c r="AH16" s="134">
        <v>2044</v>
      </c>
      <c r="AI16" s="134">
        <v>2045</v>
      </c>
    </row>
    <row r="17" spans="1:35" customFormat="1" ht="15" x14ac:dyDescent="0.25">
      <c r="B17" s="14" t="s">
        <v>1435</v>
      </c>
      <c r="C17" s="14" t="s">
        <v>43</v>
      </c>
      <c r="D17" s="15" t="s">
        <v>2552</v>
      </c>
      <c r="E17" s="16" t="s">
        <v>1398</v>
      </c>
      <c r="F17" s="14" t="s">
        <v>2551</v>
      </c>
      <c r="G17" s="17"/>
      <c r="H17" s="125" t="str">
        <f>Settings!$B$3&amp;".mit.pf.stl.drg.1"</f>
        <v>egy.mit.pf.stl.drg.1</v>
      </c>
      <c r="I17" t="s">
        <v>2553</v>
      </c>
      <c r="K17" s="136"/>
      <c r="L17" s="137">
        <f>Mitigation_Industry!$F$299*L$12+Mitigation_Industry!$G$299*L$13</f>
        <v>0</v>
      </c>
      <c r="M17" s="137">
        <f>Mitigation_Industry!$F$299*M$12+Mitigation_Industry!$G$299*M$13</f>
        <v>0</v>
      </c>
      <c r="N17" s="137">
        <f>Mitigation_Industry!$F$299*N$12+Mitigation_Industry!$G$299*N$13</f>
        <v>0</v>
      </c>
      <c r="O17" s="137">
        <f>Mitigation_Industry!$F$299*O$12+Mitigation_Industry!$G$299*O$13</f>
        <v>0</v>
      </c>
      <c r="P17" s="137">
        <f>Mitigation_Industry!$F$299*P$12+Mitigation_Industry!$G$299*P$13</f>
        <v>0</v>
      </c>
      <c r="Q17" s="137">
        <f>Mitigation_Industry!$F$299*Q$12+Mitigation_Industry!$G$299*Q$13</f>
        <v>0</v>
      </c>
      <c r="R17" s="137">
        <f>Mitigation_Industry!$F$299*R$12+Mitigation_Industry!$G$299*R$13</f>
        <v>0</v>
      </c>
      <c r="S17" s="137">
        <f>Mitigation_Industry!$F$299*S$12+Mitigation_Industry!$G$299*S$13</f>
        <v>0</v>
      </c>
      <c r="T17" s="137">
        <f>Mitigation_Industry!$F$299*T$12+Mitigation_Industry!$G$299*T$13</f>
        <v>0</v>
      </c>
      <c r="U17" s="137">
        <f>Mitigation_Industry!$F$299*U$12+Mitigation_Industry!$G$299*U$13</f>
        <v>0</v>
      </c>
      <c r="V17" s="137">
        <f>Mitigation_Industry!$F$299*V$12+Mitigation_Industry!$G$299*V$13</f>
        <v>0</v>
      </c>
      <c r="W17" s="137">
        <f>Mitigation_Industry!$F$299*W$12+Mitigation_Industry!$G$299*W$13</f>
        <v>0</v>
      </c>
      <c r="X17" s="137">
        <f>Mitigation_Industry!$F$299*X$12+Mitigation_Industry!$G$299*X$13</f>
        <v>0</v>
      </c>
      <c r="Y17" s="137">
        <f>Mitigation_Industry!$F$299*Y$12+Mitigation_Industry!$G$299*Y$13</f>
        <v>0</v>
      </c>
      <c r="Z17" s="137">
        <f>Mitigation_Industry!$F$299*Z$12+Mitigation_Industry!$G$299*Z$13</f>
        <v>0</v>
      </c>
      <c r="AA17" s="137">
        <f>Mitigation_Industry!$F$299*AA$12+Mitigation_Industry!$G$299*AA$13</f>
        <v>0</v>
      </c>
      <c r="AB17" s="137">
        <f>Mitigation_Industry!$F$299*AB$12+Mitigation_Industry!$G$299*AB$13</f>
        <v>0</v>
      </c>
      <c r="AC17" s="137">
        <f>Mitigation_Industry!$F$299*AC$12+Mitigation_Industry!$G$299*AC$13</f>
        <v>0</v>
      </c>
      <c r="AD17" s="137">
        <f>Mitigation_Industry!$F$299*AD$12+Mitigation_Industry!$G$299*AD$13</f>
        <v>0</v>
      </c>
      <c r="AE17" s="137">
        <f>Mitigation_Industry!$F$299*AE$12+Mitigation_Industry!$G$299*AE$13</f>
        <v>0</v>
      </c>
      <c r="AF17" s="138"/>
      <c r="AG17" s="138"/>
      <c r="AH17" s="138"/>
      <c r="AI17" s="138"/>
    </row>
    <row r="18" spans="1:35" customFormat="1" ht="15" x14ac:dyDescent="0.25">
      <c r="B18" s="14" t="s">
        <v>1438</v>
      </c>
      <c r="C18" s="14" t="s">
        <v>43</v>
      </c>
      <c r="D18" s="15" t="s">
        <v>2554</v>
      </c>
      <c r="E18" s="16" t="s">
        <v>1398</v>
      </c>
      <c r="F18" s="14" t="s">
        <v>2551</v>
      </c>
      <c r="G18" s="17"/>
      <c r="H18" s="125" t="str">
        <f>Settings!$B$3&amp;".mit.pf.stl.scr.1"</f>
        <v>egy.mit.pf.stl.scr.1</v>
      </c>
      <c r="K18" s="136"/>
      <c r="L18" s="137">
        <f>Mitigation_Industry!$F$300*L$12+Mitigation_Industry!$G$300*L$13</f>
        <v>0</v>
      </c>
      <c r="M18" s="137">
        <f>Mitigation_Industry!$F$300*M$12+Mitigation_Industry!$G$300*M$13</f>
        <v>0</v>
      </c>
      <c r="N18" s="137">
        <f>Mitigation_Industry!$F$300*N$12+Mitigation_Industry!$G$300*N$13</f>
        <v>0</v>
      </c>
      <c r="O18" s="137">
        <f>Mitigation_Industry!$F$300*O$12+Mitigation_Industry!$G$300*O$13</f>
        <v>0</v>
      </c>
      <c r="P18" s="137">
        <f>Mitigation_Industry!$F$300*P$12+Mitigation_Industry!$G$300*P$13</f>
        <v>0</v>
      </c>
      <c r="Q18" s="137">
        <f>Mitigation_Industry!$F$300*Q$12+Mitigation_Industry!$G$300*Q$13</f>
        <v>0</v>
      </c>
      <c r="R18" s="137">
        <f>Mitigation_Industry!$F$300*R$12+Mitigation_Industry!$G$300*R$13</f>
        <v>0</v>
      </c>
      <c r="S18" s="137">
        <f>Mitigation_Industry!$F$300*S$12+Mitigation_Industry!$G$300*S$13</f>
        <v>0</v>
      </c>
      <c r="T18" s="137">
        <f>Mitigation_Industry!$F$300*T$12+Mitigation_Industry!$G$300*T$13</f>
        <v>0</v>
      </c>
      <c r="U18" s="137">
        <f>Mitigation_Industry!$F$300*U$12+Mitigation_Industry!$G$300*U$13</f>
        <v>0</v>
      </c>
      <c r="V18" s="137">
        <f>Mitigation_Industry!$F$300*V$12+Mitigation_Industry!$G$300*V$13</f>
        <v>0</v>
      </c>
      <c r="W18" s="137">
        <f>Mitigation_Industry!$F$300*W$12+Mitigation_Industry!$G$300*W$13</f>
        <v>0</v>
      </c>
      <c r="X18" s="137">
        <f>Mitigation_Industry!$F$300*X$12+Mitigation_Industry!$G$300*X$13</f>
        <v>0</v>
      </c>
      <c r="Y18" s="137">
        <f>Mitigation_Industry!$F$300*Y$12+Mitigation_Industry!$G$300*Y$13</f>
        <v>0</v>
      </c>
      <c r="Z18" s="137">
        <f>Mitigation_Industry!$F$300*Z$12+Mitigation_Industry!$G$300*Z$13</f>
        <v>0</v>
      </c>
      <c r="AA18" s="137">
        <f>Mitigation_Industry!$F$300*AA$12+Mitigation_Industry!$G$300*AA$13</f>
        <v>0</v>
      </c>
      <c r="AB18" s="137">
        <f>Mitigation_Industry!$F$300*AB$12+Mitigation_Industry!$G$300*AB$13</f>
        <v>0</v>
      </c>
      <c r="AC18" s="137">
        <f>Mitigation_Industry!$F$300*AC$12+Mitigation_Industry!$G$300*AC$13</f>
        <v>0</v>
      </c>
      <c r="AD18" s="137">
        <f>Mitigation_Industry!$F$300*AD$12+Mitigation_Industry!$G$300*AD$13</f>
        <v>0</v>
      </c>
      <c r="AE18" s="137">
        <f>Mitigation_Industry!$F$300*AE$12+Mitigation_Industry!$G$300*AE$13</f>
        <v>0</v>
      </c>
      <c r="AF18" s="138"/>
      <c r="AG18" s="138"/>
      <c r="AH18" s="138"/>
      <c r="AI18" s="138"/>
    </row>
    <row r="19" spans="1:35" customFormat="1" ht="15" x14ac:dyDescent="0.25">
      <c r="B19" s="14" t="s">
        <v>1441</v>
      </c>
      <c r="C19" s="14" t="s">
        <v>43</v>
      </c>
      <c r="D19" s="15" t="s">
        <v>2555</v>
      </c>
      <c r="E19" s="16" t="s">
        <v>1398</v>
      </c>
      <c r="F19" s="14" t="s">
        <v>2551</v>
      </c>
      <c r="G19" s="17"/>
      <c r="H19" s="125" t="str">
        <f>Settings!$B$3&amp;".mit.pf.stl.bof.1"</f>
        <v>egy.mit.pf.stl.bof.1</v>
      </c>
      <c r="K19" s="136"/>
      <c r="L19" s="137">
        <f>Mitigation_Industry!$F$301*L$12+Mitigation_Industry!$G$301*L$13</f>
        <v>0</v>
      </c>
      <c r="M19" s="137">
        <f>Mitigation_Industry!$F$301*M$12+Mitigation_Industry!$G$301*M$13</f>
        <v>0</v>
      </c>
      <c r="N19" s="137">
        <f>Mitigation_Industry!$F$301*N$12+Mitigation_Industry!$G$301*N$13</f>
        <v>0</v>
      </c>
      <c r="O19" s="137">
        <f>Mitigation_Industry!$F$301*O$12+Mitigation_Industry!$G$301*O$13</f>
        <v>0</v>
      </c>
      <c r="P19" s="137">
        <f>Mitigation_Industry!$F$301*P$12+Mitigation_Industry!$G$301*P$13</f>
        <v>0</v>
      </c>
      <c r="Q19" s="137">
        <f>Mitigation_Industry!$F$301*Q$12+Mitigation_Industry!$G$301*Q$13</f>
        <v>0</v>
      </c>
      <c r="R19" s="137">
        <f>Mitigation_Industry!$F$301*R$12+Mitigation_Industry!$G$301*R$13</f>
        <v>0</v>
      </c>
      <c r="S19" s="137">
        <f>Mitigation_Industry!$F$301*S$12+Mitigation_Industry!$G$301*S$13</f>
        <v>0</v>
      </c>
      <c r="T19" s="137">
        <f>Mitigation_Industry!$F$301*T$12+Mitigation_Industry!$G$301*T$13</f>
        <v>0</v>
      </c>
      <c r="U19" s="137">
        <f>Mitigation_Industry!$F$301*U$12+Mitigation_Industry!$G$301*U$13</f>
        <v>0</v>
      </c>
      <c r="V19" s="137">
        <f>Mitigation_Industry!$F$301*V$12+Mitigation_Industry!$G$301*V$13</f>
        <v>0</v>
      </c>
      <c r="W19" s="137">
        <f>Mitigation_Industry!$F$301*W$12+Mitigation_Industry!$G$301*W$13</f>
        <v>0</v>
      </c>
      <c r="X19" s="137">
        <f>Mitigation_Industry!$F$301*X$12+Mitigation_Industry!$G$301*X$13</f>
        <v>0</v>
      </c>
      <c r="Y19" s="137">
        <f>Mitigation_Industry!$F$301*Y$12+Mitigation_Industry!$G$301*Y$13</f>
        <v>0</v>
      </c>
      <c r="Z19" s="137">
        <f>Mitigation_Industry!$F$301*Z$12+Mitigation_Industry!$G$301*Z$13</f>
        <v>0</v>
      </c>
      <c r="AA19" s="137">
        <f>Mitigation_Industry!$F$301*AA$12+Mitigation_Industry!$G$301*AA$13</f>
        <v>0</v>
      </c>
      <c r="AB19" s="137">
        <f>Mitigation_Industry!$F$301*AB$12+Mitigation_Industry!$G$301*AB$13</f>
        <v>0</v>
      </c>
      <c r="AC19" s="137">
        <f>Mitigation_Industry!$F$301*AC$12+Mitigation_Industry!$G$301*AC$13</f>
        <v>0</v>
      </c>
      <c r="AD19" s="137">
        <f>Mitigation_Industry!$F$301*AD$12+Mitigation_Industry!$G$301*AD$13</f>
        <v>0</v>
      </c>
      <c r="AE19" s="137">
        <f>Mitigation_Industry!$F$301*AE$12+Mitigation_Industry!$G$301*AE$13</f>
        <v>0</v>
      </c>
      <c r="AF19" s="138"/>
      <c r="AG19" s="138"/>
      <c r="AH19" s="138"/>
      <c r="AI19" s="138"/>
    </row>
    <row r="20" spans="1:35" customFormat="1" ht="15" x14ac:dyDescent="0.25">
      <c r="B20" s="14" t="s">
        <v>1444</v>
      </c>
      <c r="C20" s="14" t="s">
        <v>113</v>
      </c>
      <c r="D20" s="15" t="s">
        <v>2556</v>
      </c>
      <c r="E20" s="16" t="s">
        <v>1398</v>
      </c>
      <c r="F20" s="14" t="s">
        <v>2551</v>
      </c>
      <c r="G20" s="17"/>
      <c r="H20" s="125" t="str">
        <f>Settings!$B$3&amp;".mit.pf.cmt.dry.1"</f>
        <v>egy.mit.pf.cmt.dry.1</v>
      </c>
      <c r="K20" s="136"/>
      <c r="L20" s="137">
        <f>Mitigation_Industry!$F$302*L$12+Mitigation_Industry!$G$302*L$13</f>
        <v>0</v>
      </c>
      <c r="M20" s="137">
        <f>Mitigation_Industry!$F$302*M$12+Mitigation_Industry!$G$302*M$13</f>
        <v>0</v>
      </c>
      <c r="N20" s="137">
        <f>Mitigation_Industry!$F$302*N$12+Mitigation_Industry!$G$302*N$13</f>
        <v>0</v>
      </c>
      <c r="O20" s="137">
        <f>Mitigation_Industry!$F$302*O$12+Mitigation_Industry!$G$302*O$13</f>
        <v>0</v>
      </c>
      <c r="P20" s="137">
        <f>Mitigation_Industry!$F$302*P$12+Mitigation_Industry!$G$302*P$13</f>
        <v>0</v>
      </c>
      <c r="Q20" s="137">
        <f>Mitigation_Industry!$F$302*Q$12+Mitigation_Industry!$G$302*Q$13</f>
        <v>0</v>
      </c>
      <c r="R20" s="137">
        <f>Mitigation_Industry!$F$302*R$12+Mitigation_Industry!$G$302*R$13</f>
        <v>0</v>
      </c>
      <c r="S20" s="137">
        <f>Mitigation_Industry!$F$302*S$12+Mitigation_Industry!$G$302*S$13</f>
        <v>0</v>
      </c>
      <c r="T20" s="137">
        <f>Mitigation_Industry!$F$302*T$12+Mitigation_Industry!$G$302*T$13</f>
        <v>0</v>
      </c>
      <c r="U20" s="137">
        <f>Mitigation_Industry!$F$302*U$12+Mitigation_Industry!$G$302*U$13</f>
        <v>0</v>
      </c>
      <c r="V20" s="137">
        <f>Mitigation_Industry!$F$302*V$12+Mitigation_Industry!$G$302*V$13</f>
        <v>0</v>
      </c>
      <c r="W20" s="137">
        <f>Mitigation_Industry!$F$302*W$12+Mitigation_Industry!$G$302*W$13</f>
        <v>0</v>
      </c>
      <c r="X20" s="137">
        <f>Mitigation_Industry!$F$302*X$12+Mitigation_Industry!$G$302*X$13</f>
        <v>0</v>
      </c>
      <c r="Y20" s="137">
        <f>Mitigation_Industry!$F$302*Y$12+Mitigation_Industry!$G$302*Y$13</f>
        <v>0</v>
      </c>
      <c r="Z20" s="137">
        <f>Mitigation_Industry!$F$302*Z$12+Mitigation_Industry!$G$302*Z$13</f>
        <v>0</v>
      </c>
      <c r="AA20" s="137">
        <f>Mitigation_Industry!$F$302*AA$12+Mitigation_Industry!$G$302*AA$13</f>
        <v>0</v>
      </c>
      <c r="AB20" s="137">
        <f>Mitigation_Industry!$F$302*AB$12+Mitigation_Industry!$G$302*AB$13</f>
        <v>0</v>
      </c>
      <c r="AC20" s="137">
        <f>Mitigation_Industry!$F$302*AC$12+Mitigation_Industry!$G$302*AC$13</f>
        <v>0</v>
      </c>
      <c r="AD20" s="137">
        <f>Mitigation_Industry!$F$302*AD$12+Mitigation_Industry!$G$302*AD$13</f>
        <v>0</v>
      </c>
      <c r="AE20" s="137">
        <f>Mitigation_Industry!$F$302*AE$12+Mitigation_Industry!$G$302*AE$13</f>
        <v>0</v>
      </c>
      <c r="AF20" s="138"/>
      <c r="AG20" s="138"/>
      <c r="AH20" s="138"/>
      <c r="AI20" s="138"/>
    </row>
    <row r="21" spans="1:35" customFormat="1" ht="15" x14ac:dyDescent="0.25">
      <c r="B21" s="14" t="s">
        <v>1447</v>
      </c>
      <c r="C21" s="14" t="s">
        <v>117</v>
      </c>
      <c r="D21" s="15" t="s">
        <v>2557</v>
      </c>
      <c r="E21" s="16" t="s">
        <v>1398</v>
      </c>
      <c r="F21" s="14" t="s">
        <v>2551</v>
      </c>
      <c r="G21" s="17"/>
      <c r="H21" s="125" t="str">
        <f>Settings!$B$3&amp;".mit.pf.frt.amc.1"</f>
        <v>egy.mit.pf.frt.amc.1</v>
      </c>
      <c r="K21" s="136"/>
      <c r="L21" s="137">
        <f>Mitigation_Industry!$F$303*L$12+Mitigation_Industry!$G$303*L$13</f>
        <v>0</v>
      </c>
      <c r="M21" s="137">
        <f>Mitigation_Industry!$F$303*M$12+Mitigation_Industry!$G$303*M$13</f>
        <v>0</v>
      </c>
      <c r="N21" s="137">
        <f>Mitigation_Industry!$F$303*N$12+Mitigation_Industry!$G$303*N$13</f>
        <v>0</v>
      </c>
      <c r="O21" s="137">
        <f>Mitigation_Industry!$F$303*O$12+Mitigation_Industry!$G$303*O$13</f>
        <v>0</v>
      </c>
      <c r="P21" s="137">
        <f>Mitigation_Industry!$F$303*P$12+Mitigation_Industry!$G$303*P$13</f>
        <v>0</v>
      </c>
      <c r="Q21" s="137">
        <f>Mitigation_Industry!$F$303*Q$12+Mitigation_Industry!$G$303*Q$13</f>
        <v>0</v>
      </c>
      <c r="R21" s="137">
        <f>Mitigation_Industry!$F$303*R$12+Mitigation_Industry!$G$303*R$13</f>
        <v>0</v>
      </c>
      <c r="S21" s="137">
        <f>Mitigation_Industry!$F$303*S$12+Mitigation_Industry!$G$303*S$13</f>
        <v>0</v>
      </c>
      <c r="T21" s="137">
        <f>Mitigation_Industry!$F$303*T$12+Mitigation_Industry!$G$303*T$13</f>
        <v>0</v>
      </c>
      <c r="U21" s="137">
        <f>Mitigation_Industry!$F$303*U$12+Mitigation_Industry!$G$303*U$13</f>
        <v>0</v>
      </c>
      <c r="V21" s="137">
        <f>Mitigation_Industry!$F$303*V$12+Mitigation_Industry!$G$303*V$13</f>
        <v>0</v>
      </c>
      <c r="W21" s="137">
        <f>Mitigation_Industry!$F$303*W$12+Mitigation_Industry!$G$303*W$13</f>
        <v>0</v>
      </c>
      <c r="X21" s="137">
        <f>Mitigation_Industry!$F$303*X$12+Mitigation_Industry!$G$303*X$13</f>
        <v>0</v>
      </c>
      <c r="Y21" s="137">
        <f>Mitigation_Industry!$F$303*Y$12+Mitigation_Industry!$G$303*Y$13</f>
        <v>0</v>
      </c>
      <c r="Z21" s="137">
        <f>Mitigation_Industry!$F$303*Z$12+Mitigation_Industry!$G$303*Z$13</f>
        <v>0</v>
      </c>
      <c r="AA21" s="137">
        <f>Mitigation_Industry!$F$303*AA$12+Mitigation_Industry!$G$303*AA$13</f>
        <v>0</v>
      </c>
      <c r="AB21" s="137">
        <f>Mitigation_Industry!$F$303*AB$12+Mitigation_Industry!$G$303*AB$13</f>
        <v>0</v>
      </c>
      <c r="AC21" s="137">
        <f>Mitigation_Industry!$F$303*AC$12+Mitigation_Industry!$G$303*AC$13</f>
        <v>0</v>
      </c>
      <c r="AD21" s="137">
        <f>Mitigation_Industry!$F$303*AD$12+Mitigation_Industry!$G$303*AD$13</f>
        <v>0</v>
      </c>
      <c r="AE21" s="137">
        <f>Mitigation_Industry!$F$303*AE$12+Mitigation_Industry!$G$303*AE$13</f>
        <v>0</v>
      </c>
      <c r="AF21" s="138"/>
      <c r="AG21" s="138"/>
      <c r="AH21" s="138"/>
      <c r="AI21" s="138"/>
    </row>
    <row r="22" spans="1:35" customFormat="1" ht="15" x14ac:dyDescent="0.25">
      <c r="B22" s="14" t="s">
        <v>1450</v>
      </c>
      <c r="C22" s="14" t="s">
        <v>117</v>
      </c>
      <c r="D22" s="15" t="s">
        <v>2558</v>
      </c>
      <c r="E22" s="16" t="s">
        <v>1398</v>
      </c>
      <c r="F22" s="14" t="s">
        <v>2551</v>
      </c>
      <c r="G22" s="17"/>
      <c r="H22" s="125" t="str">
        <f>Settings!$B$3&amp;".mit.pf.frt.ure.1"</f>
        <v>egy.mit.pf.frt.ure.1</v>
      </c>
      <c r="K22" s="136"/>
      <c r="L22" s="137">
        <f>Mitigation_Industry!$F$304*L$12+Mitigation_Industry!$G$304*L$13</f>
        <v>0</v>
      </c>
      <c r="M22" s="137">
        <f>Mitigation_Industry!$F$304*M$12+Mitigation_Industry!$G$304*M$13</f>
        <v>0</v>
      </c>
      <c r="N22" s="137">
        <f>Mitigation_Industry!$F$304*N$12+Mitigation_Industry!$G$304*N$13</f>
        <v>0</v>
      </c>
      <c r="O22" s="137">
        <f>Mitigation_Industry!$F$304*O$12+Mitigation_Industry!$G$304*O$13</f>
        <v>0</v>
      </c>
      <c r="P22" s="137">
        <f>Mitigation_Industry!$F$304*P$12+Mitigation_Industry!$G$304*P$13</f>
        <v>0</v>
      </c>
      <c r="Q22" s="137">
        <f>Mitigation_Industry!$F$304*Q$12+Mitigation_Industry!$G$304*Q$13</f>
        <v>0</v>
      </c>
      <c r="R22" s="137">
        <f>Mitigation_Industry!$F$304*R$12+Mitigation_Industry!$G$304*R$13</f>
        <v>0</v>
      </c>
      <c r="S22" s="137">
        <f>Mitigation_Industry!$F$304*S$12+Mitigation_Industry!$G$304*S$13</f>
        <v>0</v>
      </c>
      <c r="T22" s="137">
        <f>Mitigation_Industry!$F$304*T$12+Mitigation_Industry!$G$304*T$13</f>
        <v>0</v>
      </c>
      <c r="U22" s="137">
        <f>Mitigation_Industry!$F$304*U$12+Mitigation_Industry!$G$304*U$13</f>
        <v>0</v>
      </c>
      <c r="V22" s="137">
        <f>Mitigation_Industry!$F$304*V$12+Mitigation_Industry!$G$304*V$13</f>
        <v>0</v>
      </c>
      <c r="W22" s="137">
        <f>Mitigation_Industry!$F$304*W$12+Mitigation_Industry!$G$304*W$13</f>
        <v>0</v>
      </c>
      <c r="X22" s="137">
        <f>Mitigation_Industry!$F$304*X$12+Mitigation_Industry!$G$304*X$13</f>
        <v>0</v>
      </c>
      <c r="Y22" s="137">
        <f>Mitigation_Industry!$F$304*Y$12+Mitigation_Industry!$G$304*Y$13</f>
        <v>0</v>
      </c>
      <c r="Z22" s="137">
        <f>Mitigation_Industry!$F$304*Z$12+Mitigation_Industry!$G$304*Z$13</f>
        <v>0</v>
      </c>
      <c r="AA22" s="137">
        <f>Mitigation_Industry!$F$304*AA$12+Mitigation_Industry!$G$304*AA$13</f>
        <v>0</v>
      </c>
      <c r="AB22" s="137">
        <f>Mitigation_Industry!$F$304*AB$12+Mitigation_Industry!$G$304*AB$13</f>
        <v>0</v>
      </c>
      <c r="AC22" s="137">
        <f>Mitigation_Industry!$F$304*AC$12+Mitigation_Industry!$G$304*AC$13</f>
        <v>0</v>
      </c>
      <c r="AD22" s="137">
        <f>Mitigation_Industry!$F$304*AD$12+Mitigation_Industry!$G$304*AD$13</f>
        <v>0</v>
      </c>
      <c r="AE22" s="137">
        <f>Mitigation_Industry!$F$304*AE$12+Mitigation_Industry!$G$304*AE$13</f>
        <v>0</v>
      </c>
      <c r="AF22" s="138"/>
      <c r="AG22" s="138"/>
      <c r="AH22" s="138"/>
      <c r="AI22" s="138"/>
    </row>
    <row r="23" spans="1:35" customFormat="1" ht="15" x14ac:dyDescent="0.25">
      <c r="B23" s="14" t="s">
        <v>1453</v>
      </c>
      <c r="C23" s="14" t="s">
        <v>117</v>
      </c>
      <c r="D23" s="15" t="s">
        <v>2559</v>
      </c>
      <c r="E23" s="16" t="s">
        <v>1398</v>
      </c>
      <c r="F23" s="14" t="s">
        <v>2551</v>
      </c>
      <c r="G23" s="17"/>
      <c r="H23" s="125" t="str">
        <f>Settings!$B$3&amp;".mit.pf.frt.nit.1"</f>
        <v>egy.mit.pf.frt.nit.1</v>
      </c>
      <c r="K23" s="136"/>
      <c r="L23" s="137">
        <f>Mitigation_Industry!$F$305*L$12+Mitigation_Industry!$G$305*L$13</f>
        <v>0</v>
      </c>
      <c r="M23" s="137">
        <f>Mitigation_Industry!$F$305*M$12+Mitigation_Industry!$G$305*M$13</f>
        <v>0</v>
      </c>
      <c r="N23" s="137">
        <f>Mitigation_Industry!$F$305*N$12+Mitigation_Industry!$G$305*N$13</f>
        <v>0</v>
      </c>
      <c r="O23" s="137">
        <f>Mitigation_Industry!$F$305*O$12+Mitigation_Industry!$G$305*O$13</f>
        <v>0</v>
      </c>
      <c r="P23" s="137">
        <f>Mitigation_Industry!$F$305*P$12+Mitigation_Industry!$G$305*P$13</f>
        <v>0</v>
      </c>
      <c r="Q23" s="137">
        <f>Mitigation_Industry!$F$305*Q$12+Mitigation_Industry!$G$305*Q$13</f>
        <v>0</v>
      </c>
      <c r="R23" s="137">
        <f>Mitigation_Industry!$F$305*R$12+Mitigation_Industry!$G$305*R$13</f>
        <v>0</v>
      </c>
      <c r="S23" s="137">
        <f>Mitigation_Industry!$F$305*S$12+Mitigation_Industry!$G$305*S$13</f>
        <v>0</v>
      </c>
      <c r="T23" s="137">
        <f>Mitigation_Industry!$F$305*T$12+Mitigation_Industry!$G$305*T$13</f>
        <v>0</v>
      </c>
      <c r="U23" s="137">
        <f>Mitigation_Industry!$F$305*U$12+Mitigation_Industry!$G$305*U$13</f>
        <v>0</v>
      </c>
      <c r="V23" s="137">
        <f>Mitigation_Industry!$F$305*V$12+Mitigation_Industry!$G$305*V$13</f>
        <v>0</v>
      </c>
      <c r="W23" s="137">
        <f>Mitigation_Industry!$F$305*W$12+Mitigation_Industry!$G$305*W$13</f>
        <v>0</v>
      </c>
      <c r="X23" s="137">
        <f>Mitigation_Industry!$F$305*X$12+Mitigation_Industry!$G$305*X$13</f>
        <v>0</v>
      </c>
      <c r="Y23" s="137">
        <f>Mitigation_Industry!$F$305*Y$12+Mitigation_Industry!$G$305*Y$13</f>
        <v>0</v>
      </c>
      <c r="Z23" s="137">
        <f>Mitigation_Industry!$F$305*Z$12+Mitigation_Industry!$G$305*Z$13</f>
        <v>0</v>
      </c>
      <c r="AA23" s="137">
        <f>Mitigation_Industry!$F$305*AA$12+Mitigation_Industry!$G$305*AA$13</f>
        <v>0</v>
      </c>
      <c r="AB23" s="137">
        <f>Mitigation_Industry!$F$305*AB$12+Mitigation_Industry!$G$305*AB$13</f>
        <v>0</v>
      </c>
      <c r="AC23" s="137">
        <f>Mitigation_Industry!$F$305*AC$12+Mitigation_Industry!$G$305*AC$13</f>
        <v>0</v>
      </c>
      <c r="AD23" s="137">
        <f>Mitigation_Industry!$F$305*AD$12+Mitigation_Industry!$G$305*AD$13</f>
        <v>0</v>
      </c>
      <c r="AE23" s="137">
        <f>Mitigation_Industry!$F$305*AE$12+Mitigation_Industry!$G$305*AE$13</f>
        <v>0</v>
      </c>
      <c r="AF23" s="138"/>
      <c r="AG23" s="138"/>
      <c r="AH23" s="138"/>
      <c r="AI23" s="138"/>
    </row>
    <row r="24" spans="1:35" customFormat="1" ht="15" x14ac:dyDescent="0.25">
      <c r="B24" s="14" t="s">
        <v>1456</v>
      </c>
      <c r="C24" s="14" t="s">
        <v>115</v>
      </c>
      <c r="D24" s="15" t="s">
        <v>2560</v>
      </c>
      <c r="E24" s="16" t="s">
        <v>1398</v>
      </c>
      <c r="F24" s="14" t="s">
        <v>2551</v>
      </c>
      <c r="G24" s="17"/>
      <c r="H24" s="125" t="str">
        <f>Settings!$B$3&amp;".mit.pf.alu.prp.1"</f>
        <v>egy.mit.pf.alu.prp.1</v>
      </c>
      <c r="K24" s="136"/>
      <c r="L24" s="137">
        <f>Mitigation_Industry!$F$306*L$12+Mitigation_Industry!$G$306*L$13</f>
        <v>0</v>
      </c>
      <c r="M24" s="137">
        <f>Mitigation_Industry!$F$306*M$12+Mitigation_Industry!$G$306*M$13</f>
        <v>0</v>
      </c>
      <c r="N24" s="137">
        <f>Mitigation_Industry!$F$306*N$12+Mitigation_Industry!$G$306*N$13</f>
        <v>0</v>
      </c>
      <c r="O24" s="137">
        <f>Mitigation_Industry!$F$306*O$12+Mitigation_Industry!$G$306*O$13</f>
        <v>0</v>
      </c>
      <c r="P24" s="137">
        <f>Mitigation_Industry!$F$306*P$12+Mitigation_Industry!$G$306*P$13</f>
        <v>0</v>
      </c>
      <c r="Q24" s="137">
        <f>Mitigation_Industry!$F$306*Q$12+Mitigation_Industry!$G$306*Q$13</f>
        <v>0</v>
      </c>
      <c r="R24" s="137">
        <f>Mitigation_Industry!$F$306*R$12+Mitigation_Industry!$G$306*R$13</f>
        <v>0</v>
      </c>
      <c r="S24" s="137">
        <f>Mitigation_Industry!$F$306*S$12+Mitigation_Industry!$G$306*S$13</f>
        <v>0</v>
      </c>
      <c r="T24" s="137">
        <f>Mitigation_Industry!$F$306*T$12+Mitigation_Industry!$G$306*T$13</f>
        <v>0</v>
      </c>
      <c r="U24" s="137">
        <f>Mitigation_Industry!$F$306*U$12+Mitigation_Industry!$G$306*U$13</f>
        <v>0</v>
      </c>
      <c r="V24" s="137">
        <f>Mitigation_Industry!$F$306*V$12+Mitigation_Industry!$G$306*V$13</f>
        <v>0</v>
      </c>
      <c r="W24" s="137">
        <f>Mitigation_Industry!$F$306*W$12+Mitigation_Industry!$G$306*W$13</f>
        <v>0</v>
      </c>
      <c r="X24" s="137">
        <f>Mitigation_Industry!$F$306*X$12+Mitigation_Industry!$G$306*X$13</f>
        <v>0</v>
      </c>
      <c r="Y24" s="137">
        <f>Mitigation_Industry!$F$306*Y$12+Mitigation_Industry!$G$306*Y$13</f>
        <v>0</v>
      </c>
      <c r="Z24" s="137">
        <f>Mitigation_Industry!$F$306*Z$12+Mitigation_Industry!$G$306*Z$13</f>
        <v>0</v>
      </c>
      <c r="AA24" s="137">
        <f>Mitigation_Industry!$F$306*AA$12+Mitigation_Industry!$G$306*AA$13</f>
        <v>0</v>
      </c>
      <c r="AB24" s="137">
        <f>Mitigation_Industry!$F$306*AB$12+Mitigation_Industry!$G$306*AB$13</f>
        <v>0</v>
      </c>
      <c r="AC24" s="137">
        <f>Mitigation_Industry!$F$306*AC$12+Mitigation_Industry!$G$306*AC$13</f>
        <v>0</v>
      </c>
      <c r="AD24" s="137">
        <f>Mitigation_Industry!$F$306*AD$12+Mitigation_Industry!$G$306*AD$13</f>
        <v>0</v>
      </c>
      <c r="AE24" s="137">
        <f>Mitigation_Industry!$F$306*AE$12+Mitigation_Industry!$G$306*AE$13</f>
        <v>0</v>
      </c>
      <c r="AF24" s="138"/>
      <c r="AG24" s="138"/>
      <c r="AH24" s="138"/>
      <c r="AI24" s="138"/>
    </row>
    <row r="25" spans="1:35" x14ac:dyDescent="0.2"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</row>
    <row r="26" spans="1:35" customFormat="1" ht="15" x14ac:dyDescent="0.25">
      <c r="A26" s="11"/>
      <c r="B26" s="6"/>
      <c r="C26" s="7" t="s">
        <v>2561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4">
        <v>2021</v>
      </c>
      <c r="L26" s="135">
        <v>2022</v>
      </c>
      <c r="M26" s="134">
        <v>2023</v>
      </c>
      <c r="N26" s="134">
        <v>2024</v>
      </c>
      <c r="O26" s="134">
        <v>2025</v>
      </c>
      <c r="P26" s="134">
        <v>2026</v>
      </c>
      <c r="Q26" s="134">
        <v>2027</v>
      </c>
      <c r="R26" s="134">
        <v>2028</v>
      </c>
      <c r="S26" s="134">
        <v>2029</v>
      </c>
      <c r="T26" s="134">
        <v>2030</v>
      </c>
      <c r="U26" s="134">
        <v>2031</v>
      </c>
      <c r="V26" s="134">
        <v>2032</v>
      </c>
      <c r="W26" s="134">
        <v>2033</v>
      </c>
      <c r="X26" s="134">
        <v>2034</v>
      </c>
      <c r="Y26" s="134">
        <v>2035</v>
      </c>
      <c r="Z26" s="134">
        <v>2036</v>
      </c>
      <c r="AA26" s="134">
        <v>2037</v>
      </c>
      <c r="AB26" s="134">
        <v>2038</v>
      </c>
      <c r="AC26" s="134">
        <v>2039</v>
      </c>
      <c r="AD26" s="134">
        <v>2040</v>
      </c>
      <c r="AE26" s="134">
        <v>2041</v>
      </c>
      <c r="AF26" s="134">
        <v>2042</v>
      </c>
      <c r="AG26" s="134">
        <v>2043</v>
      </c>
      <c r="AH26" s="134">
        <v>2044</v>
      </c>
      <c r="AI26" s="134">
        <v>2045</v>
      </c>
    </row>
    <row r="27" spans="1:35" customFormat="1" ht="15" x14ac:dyDescent="0.25">
      <c r="B27" s="14" t="s">
        <v>2562</v>
      </c>
      <c r="C27" s="14" t="s">
        <v>43</v>
      </c>
      <c r="D27" s="15" t="s">
        <v>2563</v>
      </c>
      <c r="E27" s="16" t="s">
        <v>1398</v>
      </c>
      <c r="F27" s="14" t="s">
        <v>2561</v>
      </c>
      <c r="G27" s="17"/>
      <c r="H27" s="125" t="str">
        <f>Settings!$B$3&amp;".mit.pp.stl.drg.np.1"</f>
        <v>egy.mit.pp.stl.drg.np.1</v>
      </c>
      <c r="I27" t="s">
        <v>2564</v>
      </c>
      <c r="K27" s="136"/>
      <c r="L27" s="137">
        <f>Mitigation_Industry!$F$310*L$14+Mitigation_Industry!$G$310*L$13</f>
        <v>0</v>
      </c>
      <c r="M27" s="137">
        <f>Mitigation_Industry!$F$310*M$14+Mitigation_Industry!$G$310*M$13</f>
        <v>0</v>
      </c>
      <c r="N27" s="137">
        <f>Mitigation_Industry!$F$310*N$14+Mitigation_Industry!$G$310*N$13</f>
        <v>0</v>
      </c>
      <c r="O27" s="137">
        <f>Mitigation_Industry!$F$310*O$14+Mitigation_Industry!$G$310*O$13</f>
        <v>0</v>
      </c>
      <c r="P27" s="137">
        <f>Mitigation_Industry!$F$310*P$14+Mitigation_Industry!$G$310*P$13</f>
        <v>0</v>
      </c>
      <c r="Q27" s="137">
        <f>Mitigation_Industry!$F$310*Q$14+Mitigation_Industry!$G$310*Q$13</f>
        <v>0</v>
      </c>
      <c r="R27" s="137">
        <f>Mitigation_Industry!$F$310*R$14+Mitigation_Industry!$G$310*R$13</f>
        <v>0</v>
      </c>
      <c r="S27" s="137">
        <f>Mitigation_Industry!$F$310*S$14+Mitigation_Industry!$G$310*S$13</f>
        <v>0</v>
      </c>
      <c r="T27" s="137">
        <f>Mitigation_Industry!$F$310*T$14+Mitigation_Industry!$G$310*T$13</f>
        <v>0</v>
      </c>
      <c r="U27" s="137">
        <f>Mitigation_Industry!$F$310*U$14+Mitigation_Industry!$G$310*U$13</f>
        <v>0</v>
      </c>
      <c r="V27" s="137">
        <f>Mitigation_Industry!$F$310*V$14+Mitigation_Industry!$G$310*V$13</f>
        <v>0</v>
      </c>
      <c r="W27" s="137">
        <f>Mitigation_Industry!$F$310*W$14+Mitigation_Industry!$G$310*W$13</f>
        <v>0</v>
      </c>
      <c r="X27" s="137">
        <f>Mitigation_Industry!$F$310*X$14+Mitigation_Industry!$G$310*X$13</f>
        <v>0</v>
      </c>
      <c r="Y27" s="137">
        <f>Mitigation_Industry!$F$310*Y$14+Mitigation_Industry!$G$310*Y$13</f>
        <v>0</v>
      </c>
      <c r="Z27" s="137">
        <f>Mitigation_Industry!$F$310*Z$14+Mitigation_Industry!$G$310*Z$13</f>
        <v>0</v>
      </c>
      <c r="AA27" s="137">
        <f>Mitigation_Industry!$F$310*AA$14+Mitigation_Industry!$G$310*AA$13</f>
        <v>0</v>
      </c>
      <c r="AB27" s="137">
        <f>Mitigation_Industry!$F$310*AB$14+Mitigation_Industry!$G$310*AB$13</f>
        <v>0</v>
      </c>
      <c r="AC27" s="137">
        <f>Mitigation_Industry!$F$310*AC$14+Mitigation_Industry!$G$310*AC$13</f>
        <v>0</v>
      </c>
      <c r="AD27" s="137">
        <f>Mitigation_Industry!$F$310*AD$14+Mitigation_Industry!$G$310*AD$13</f>
        <v>0</v>
      </c>
      <c r="AE27" s="137">
        <f>Mitigation_Industry!$F$310*AE$14+Mitigation_Industry!$G$310*AE$13</f>
        <v>0</v>
      </c>
      <c r="AF27" s="138"/>
      <c r="AG27" s="138"/>
      <c r="AH27" s="138"/>
      <c r="AI27" s="138"/>
    </row>
    <row r="28" spans="1:35" customFormat="1" ht="15" x14ac:dyDescent="0.25">
      <c r="B28" s="14" t="s">
        <v>2565</v>
      </c>
      <c r="C28" s="14" t="s">
        <v>43</v>
      </c>
      <c r="D28" s="15" t="s">
        <v>2566</v>
      </c>
      <c r="E28" s="16" t="s">
        <v>1398</v>
      </c>
      <c r="F28" s="14" t="s">
        <v>2561</v>
      </c>
      <c r="G28" s="17"/>
      <c r="H28" s="125" t="str">
        <f>Settings!$B$3&amp;".mit.pp.stl.scr.np.1"</f>
        <v>egy.mit.pp.stl.scr.np.1</v>
      </c>
      <c r="K28" s="136"/>
      <c r="L28" s="137">
        <f>Mitigation_Industry!$F$311*L$14+Mitigation_Industry!$G$311*L$13</f>
        <v>0</v>
      </c>
      <c r="M28" s="137">
        <f>Mitigation_Industry!$F$311*M$14+Mitigation_Industry!$G$311*M$13</f>
        <v>0</v>
      </c>
      <c r="N28" s="137">
        <f>Mitigation_Industry!$F$311*N$14+Mitigation_Industry!$G$311*N$13</f>
        <v>0</v>
      </c>
      <c r="O28" s="137">
        <f>Mitigation_Industry!$F$311*O$14+Mitigation_Industry!$G$311*O$13</f>
        <v>0</v>
      </c>
      <c r="P28" s="137">
        <f>Mitigation_Industry!$F$311*P$14+Mitigation_Industry!$G$311*P$13</f>
        <v>0</v>
      </c>
      <c r="Q28" s="137">
        <f>Mitigation_Industry!$F$311*Q$14+Mitigation_Industry!$G$311*Q$13</f>
        <v>0</v>
      </c>
      <c r="R28" s="137">
        <f>Mitigation_Industry!$F$311*R$14+Mitigation_Industry!$G$311*R$13</f>
        <v>0</v>
      </c>
      <c r="S28" s="137">
        <f>Mitigation_Industry!$F$311*S$14+Mitigation_Industry!$G$311*S$13</f>
        <v>0</v>
      </c>
      <c r="T28" s="137">
        <f>Mitigation_Industry!$F$311*T$14+Mitigation_Industry!$G$311*T$13</f>
        <v>0</v>
      </c>
      <c r="U28" s="137">
        <f>Mitigation_Industry!$F$311*U$14+Mitigation_Industry!$G$311*U$13</f>
        <v>0</v>
      </c>
      <c r="V28" s="137">
        <f>Mitigation_Industry!$F$311*V$14+Mitigation_Industry!$G$311*V$13</f>
        <v>0</v>
      </c>
      <c r="W28" s="137">
        <f>Mitigation_Industry!$F$311*W$14+Mitigation_Industry!$G$311*W$13</f>
        <v>0</v>
      </c>
      <c r="X28" s="137">
        <f>Mitigation_Industry!$F$311*X$14+Mitigation_Industry!$G$311*X$13</f>
        <v>0</v>
      </c>
      <c r="Y28" s="137">
        <f>Mitigation_Industry!$F$311*Y$14+Mitigation_Industry!$G$311*Y$13</f>
        <v>0</v>
      </c>
      <c r="Z28" s="137">
        <f>Mitigation_Industry!$F$311*Z$14+Mitigation_Industry!$G$311*Z$13</f>
        <v>0</v>
      </c>
      <c r="AA28" s="137">
        <f>Mitigation_Industry!$F$311*AA$14+Mitigation_Industry!$G$311*AA$13</f>
        <v>0</v>
      </c>
      <c r="AB28" s="137">
        <f>Mitigation_Industry!$F$311*AB$14+Mitigation_Industry!$G$311*AB$13</f>
        <v>0</v>
      </c>
      <c r="AC28" s="137">
        <f>Mitigation_Industry!$F$311*AC$14+Mitigation_Industry!$G$311*AC$13</f>
        <v>0</v>
      </c>
      <c r="AD28" s="137">
        <f>Mitigation_Industry!$F$311*AD$14+Mitigation_Industry!$G$311*AD$13</f>
        <v>0</v>
      </c>
      <c r="AE28" s="137">
        <f>Mitigation_Industry!$F$311*AE$14+Mitigation_Industry!$G$311*AE$13</f>
        <v>0</v>
      </c>
      <c r="AF28" s="138"/>
      <c r="AG28" s="138"/>
      <c r="AH28" s="138"/>
      <c r="AI28" s="138"/>
    </row>
    <row r="29" spans="1:35" customFormat="1" ht="15" x14ac:dyDescent="0.25">
      <c r="B29" s="14" t="s">
        <v>2567</v>
      </c>
      <c r="C29" s="14" t="s">
        <v>43</v>
      </c>
      <c r="D29" s="15" t="s">
        <v>2568</v>
      </c>
      <c r="E29" s="16" t="s">
        <v>1398</v>
      </c>
      <c r="F29" s="14" t="s">
        <v>2561</v>
      </c>
      <c r="G29" s="17"/>
      <c r="H29" s="125" t="str">
        <f>Settings!$B$3&amp;".mit.pp.stl.bof.np.1"</f>
        <v>egy.mit.pp.stl.bof.np.1</v>
      </c>
      <c r="K29" s="136"/>
      <c r="L29" s="137">
        <f>Mitigation_Industry!$F$312*L$14+Mitigation_Industry!$G$312*L$13</f>
        <v>0</v>
      </c>
      <c r="M29" s="137">
        <f>Mitigation_Industry!$F$312*M$14+Mitigation_Industry!$G$312*M$13</f>
        <v>0</v>
      </c>
      <c r="N29" s="137">
        <f>Mitigation_Industry!$F$312*N$14+Mitigation_Industry!$G$312*N$13</f>
        <v>0</v>
      </c>
      <c r="O29" s="137">
        <f>Mitigation_Industry!$F$312*O$14+Mitigation_Industry!$G$312*O$13</f>
        <v>0</v>
      </c>
      <c r="P29" s="137">
        <f>Mitigation_Industry!$F$312*P$14+Mitigation_Industry!$G$312*P$13</f>
        <v>0</v>
      </c>
      <c r="Q29" s="137">
        <f>Mitigation_Industry!$F$312*Q$14+Mitigation_Industry!$G$312*Q$13</f>
        <v>0</v>
      </c>
      <c r="R29" s="137">
        <f>Mitigation_Industry!$F$312*R$14+Mitigation_Industry!$G$312*R$13</f>
        <v>0</v>
      </c>
      <c r="S29" s="137">
        <f>Mitigation_Industry!$F$312*S$14+Mitigation_Industry!$G$312*S$13</f>
        <v>0</v>
      </c>
      <c r="T29" s="137">
        <f>Mitigation_Industry!$F$312*T$14+Mitigation_Industry!$G$312*T$13</f>
        <v>0</v>
      </c>
      <c r="U29" s="137">
        <f>Mitigation_Industry!$F$312*U$14+Mitigation_Industry!$G$312*U$13</f>
        <v>0</v>
      </c>
      <c r="V29" s="137">
        <f>Mitigation_Industry!$F$312*V$14+Mitigation_Industry!$G$312*V$13</f>
        <v>0</v>
      </c>
      <c r="W29" s="137">
        <f>Mitigation_Industry!$F$312*W$14+Mitigation_Industry!$G$312*W$13</f>
        <v>0</v>
      </c>
      <c r="X29" s="137">
        <f>Mitigation_Industry!$F$312*X$14+Mitigation_Industry!$G$312*X$13</f>
        <v>0</v>
      </c>
      <c r="Y29" s="137">
        <f>Mitigation_Industry!$F$312*Y$14+Mitigation_Industry!$G$312*Y$13</f>
        <v>0</v>
      </c>
      <c r="Z29" s="137">
        <f>Mitigation_Industry!$F$312*Z$14+Mitigation_Industry!$G$312*Z$13</f>
        <v>0</v>
      </c>
      <c r="AA29" s="137">
        <f>Mitigation_Industry!$F$312*AA$14+Mitigation_Industry!$G$312*AA$13</f>
        <v>0</v>
      </c>
      <c r="AB29" s="137">
        <f>Mitigation_Industry!$F$312*AB$14+Mitigation_Industry!$G$312*AB$13</f>
        <v>0</v>
      </c>
      <c r="AC29" s="137">
        <f>Mitigation_Industry!$F$312*AC$14+Mitigation_Industry!$G$312*AC$13</f>
        <v>0</v>
      </c>
      <c r="AD29" s="137">
        <f>Mitigation_Industry!$F$312*AD$14+Mitigation_Industry!$G$312*AD$13</f>
        <v>0</v>
      </c>
      <c r="AE29" s="137">
        <f>Mitigation_Industry!$F$312*AE$14+Mitigation_Industry!$G$312*AE$13</f>
        <v>0</v>
      </c>
      <c r="AF29" s="138"/>
      <c r="AG29" s="138"/>
      <c r="AH29" s="138"/>
      <c r="AI29" s="138"/>
    </row>
    <row r="30" spans="1:35" customFormat="1" ht="15" x14ac:dyDescent="0.25">
      <c r="B30" s="14" t="s">
        <v>2569</v>
      </c>
      <c r="C30" s="14" t="s">
        <v>113</v>
      </c>
      <c r="D30" s="15" t="s">
        <v>2570</v>
      </c>
      <c r="E30" s="16" t="s">
        <v>1398</v>
      </c>
      <c r="F30" s="14" t="s">
        <v>2561</v>
      </c>
      <c r="G30" s="17"/>
      <c r="H30" s="125" t="str">
        <f>Settings!$B$3&amp;".mit.pp.cmt.dry.np.1"</f>
        <v>egy.mit.pp.cmt.dry.np.1</v>
      </c>
      <c r="K30" s="136"/>
      <c r="L30" s="137">
        <f>Mitigation_Industry!$F$313*L$14+Mitigation_Industry!$G$313*L$13</f>
        <v>0</v>
      </c>
      <c r="M30" s="137">
        <f>Mitigation_Industry!$F$313*M$14+Mitigation_Industry!$G$313*M$13</f>
        <v>0</v>
      </c>
      <c r="N30" s="137">
        <f>Mitigation_Industry!$F$313*N$14+Mitigation_Industry!$G$313*N$13</f>
        <v>0</v>
      </c>
      <c r="O30" s="137">
        <f>Mitigation_Industry!$F$313*O$14+Mitigation_Industry!$G$313*O$13</f>
        <v>0</v>
      </c>
      <c r="P30" s="137">
        <f>Mitigation_Industry!$F$313*P$14+Mitigation_Industry!$G$313*P$13</f>
        <v>0</v>
      </c>
      <c r="Q30" s="137">
        <f>Mitigation_Industry!$F$313*Q$14+Mitigation_Industry!$G$313*Q$13</f>
        <v>0</v>
      </c>
      <c r="R30" s="137">
        <f>Mitigation_Industry!$F$313*R$14+Mitigation_Industry!$G$313*R$13</f>
        <v>0</v>
      </c>
      <c r="S30" s="137">
        <f>Mitigation_Industry!$F$313*S$14+Mitigation_Industry!$G$313*S$13</f>
        <v>0</v>
      </c>
      <c r="T30" s="137">
        <f>Mitigation_Industry!$F$313*T$14+Mitigation_Industry!$G$313*T$13</f>
        <v>0</v>
      </c>
      <c r="U30" s="137">
        <f>Mitigation_Industry!$F$313*U$14+Mitigation_Industry!$G$313*U$13</f>
        <v>0</v>
      </c>
      <c r="V30" s="137">
        <f>Mitigation_Industry!$F$313*V$14+Mitigation_Industry!$G$313*V$13</f>
        <v>0</v>
      </c>
      <c r="W30" s="137">
        <f>Mitigation_Industry!$F$313*W$14+Mitigation_Industry!$G$313*W$13</f>
        <v>0</v>
      </c>
      <c r="X30" s="137">
        <f>Mitigation_Industry!$F$313*X$14+Mitigation_Industry!$G$313*X$13</f>
        <v>0</v>
      </c>
      <c r="Y30" s="137">
        <f>Mitigation_Industry!$F$313*Y$14+Mitigation_Industry!$G$313*Y$13</f>
        <v>0</v>
      </c>
      <c r="Z30" s="137">
        <f>Mitigation_Industry!$F$313*Z$14+Mitigation_Industry!$G$313*Z$13</f>
        <v>0</v>
      </c>
      <c r="AA30" s="137">
        <f>Mitigation_Industry!$F$313*AA$14+Mitigation_Industry!$G$313*AA$13</f>
        <v>0</v>
      </c>
      <c r="AB30" s="137">
        <f>Mitigation_Industry!$F$313*AB$14+Mitigation_Industry!$G$313*AB$13</f>
        <v>0</v>
      </c>
      <c r="AC30" s="137">
        <f>Mitigation_Industry!$F$313*AC$14+Mitigation_Industry!$G$313*AC$13</f>
        <v>0</v>
      </c>
      <c r="AD30" s="137">
        <f>Mitigation_Industry!$F$313*AD$14+Mitigation_Industry!$G$313*AD$13</f>
        <v>0</v>
      </c>
      <c r="AE30" s="137">
        <f>Mitigation_Industry!$F$313*AE$14+Mitigation_Industry!$G$313*AE$13</f>
        <v>0</v>
      </c>
      <c r="AF30" s="138"/>
      <c r="AG30" s="138"/>
      <c r="AH30" s="138"/>
      <c r="AI30" s="138"/>
    </row>
    <row r="31" spans="1:35" customFormat="1" ht="15" x14ac:dyDescent="0.25">
      <c r="B31" s="14" t="s">
        <v>2571</v>
      </c>
      <c r="C31" s="14" t="s">
        <v>117</v>
      </c>
      <c r="D31" s="15" t="s">
        <v>2572</v>
      </c>
      <c r="E31" s="16" t="s">
        <v>1398</v>
      </c>
      <c r="F31" s="14" t="s">
        <v>2561</v>
      </c>
      <c r="G31" s="17"/>
      <c r="H31" s="125" t="str">
        <f>Settings!$B$3&amp;".mit.pp.frt.amc.np.1"</f>
        <v>egy.mit.pp.frt.amc.np.1</v>
      </c>
      <c r="K31" s="136"/>
      <c r="L31" s="137">
        <f>Mitigation_Industry!$F$314*L$14+Mitigation_Industry!$G$314*L$13</f>
        <v>0</v>
      </c>
      <c r="M31" s="137">
        <f>Mitigation_Industry!$F$314*M$14+Mitigation_Industry!$G$314*M$13</f>
        <v>0</v>
      </c>
      <c r="N31" s="137">
        <f>Mitigation_Industry!$F$314*N$14+Mitigation_Industry!$G$314*N$13</f>
        <v>0</v>
      </c>
      <c r="O31" s="137">
        <f>Mitigation_Industry!$F$314*O$14+Mitigation_Industry!$G$314*O$13</f>
        <v>0</v>
      </c>
      <c r="P31" s="137">
        <f>Mitigation_Industry!$F$314*P$14+Mitigation_Industry!$G$314*P$13</f>
        <v>0</v>
      </c>
      <c r="Q31" s="137">
        <f>Mitigation_Industry!$F$314*Q$14+Mitigation_Industry!$G$314*Q$13</f>
        <v>0</v>
      </c>
      <c r="R31" s="137">
        <f>Mitigation_Industry!$F$314*R$14+Mitigation_Industry!$G$314*R$13</f>
        <v>0</v>
      </c>
      <c r="S31" s="137">
        <f>Mitigation_Industry!$F$314*S$14+Mitigation_Industry!$G$314*S$13</f>
        <v>0</v>
      </c>
      <c r="T31" s="137">
        <f>Mitigation_Industry!$F$314*T$14+Mitigation_Industry!$G$314*T$13</f>
        <v>0</v>
      </c>
      <c r="U31" s="137">
        <f>Mitigation_Industry!$F$314*U$14+Mitigation_Industry!$G$314*U$13</f>
        <v>0</v>
      </c>
      <c r="V31" s="137">
        <f>Mitigation_Industry!$F$314*V$14+Mitigation_Industry!$G$314*V$13</f>
        <v>0</v>
      </c>
      <c r="W31" s="137">
        <f>Mitigation_Industry!$F$314*W$14+Mitigation_Industry!$G$314*W$13</f>
        <v>0</v>
      </c>
      <c r="X31" s="137">
        <f>Mitigation_Industry!$F$314*X$14+Mitigation_Industry!$G$314*X$13</f>
        <v>0</v>
      </c>
      <c r="Y31" s="137">
        <f>Mitigation_Industry!$F$314*Y$14+Mitigation_Industry!$G$314*Y$13</f>
        <v>0</v>
      </c>
      <c r="Z31" s="137">
        <f>Mitigation_Industry!$F$314*Z$14+Mitigation_Industry!$G$314*Z$13</f>
        <v>0</v>
      </c>
      <c r="AA31" s="137">
        <f>Mitigation_Industry!$F$314*AA$14+Mitigation_Industry!$G$314*AA$13</f>
        <v>0</v>
      </c>
      <c r="AB31" s="137">
        <f>Mitigation_Industry!$F$314*AB$14+Mitigation_Industry!$G$314*AB$13</f>
        <v>0</v>
      </c>
      <c r="AC31" s="137">
        <f>Mitigation_Industry!$F$314*AC$14+Mitigation_Industry!$G$314*AC$13</f>
        <v>0</v>
      </c>
      <c r="AD31" s="137">
        <f>Mitigation_Industry!$F$314*AD$14+Mitigation_Industry!$G$314*AD$13</f>
        <v>0</v>
      </c>
      <c r="AE31" s="137">
        <f>Mitigation_Industry!$F$314*AE$14+Mitigation_Industry!$G$314*AE$13</f>
        <v>0</v>
      </c>
      <c r="AF31" s="138"/>
      <c r="AG31" s="138"/>
      <c r="AH31" s="138"/>
      <c r="AI31" s="138"/>
    </row>
    <row r="32" spans="1:35" customFormat="1" ht="15" x14ac:dyDescent="0.25">
      <c r="B32" s="14" t="s">
        <v>2573</v>
      </c>
      <c r="C32" s="14" t="s">
        <v>117</v>
      </c>
      <c r="D32" s="15" t="s">
        <v>2574</v>
      </c>
      <c r="E32" s="16" t="s">
        <v>1398</v>
      </c>
      <c r="F32" s="14" t="s">
        <v>2561</v>
      </c>
      <c r="G32" s="17"/>
      <c r="H32" s="125" t="str">
        <f>Settings!$B$3&amp;".mit.pp.frt.ure.np.1"</f>
        <v>egy.mit.pp.frt.ure.np.1</v>
      </c>
      <c r="K32" s="136"/>
      <c r="L32" s="137">
        <f>Mitigation_Industry!$F$315*L$14+Mitigation_Industry!$G$315*L$13</f>
        <v>0</v>
      </c>
      <c r="M32" s="137">
        <f>Mitigation_Industry!$F$315*M$14+Mitigation_Industry!$G$315*M$13</f>
        <v>0</v>
      </c>
      <c r="N32" s="137">
        <f>Mitigation_Industry!$F$315*N$14+Mitigation_Industry!$G$315*N$13</f>
        <v>0</v>
      </c>
      <c r="O32" s="137">
        <f>Mitigation_Industry!$F$315*O$14+Mitigation_Industry!$G$315*O$13</f>
        <v>0</v>
      </c>
      <c r="P32" s="137">
        <f>Mitigation_Industry!$F$315*P$14+Mitigation_Industry!$G$315*P$13</f>
        <v>0</v>
      </c>
      <c r="Q32" s="137">
        <f>Mitigation_Industry!$F$315*Q$14+Mitigation_Industry!$G$315*Q$13</f>
        <v>0</v>
      </c>
      <c r="R32" s="137">
        <f>Mitigation_Industry!$F$315*R$14+Mitigation_Industry!$G$315*R$13</f>
        <v>0</v>
      </c>
      <c r="S32" s="137">
        <f>Mitigation_Industry!$F$315*S$14+Mitigation_Industry!$G$315*S$13</f>
        <v>0</v>
      </c>
      <c r="T32" s="137">
        <f>Mitigation_Industry!$F$315*T$14+Mitigation_Industry!$G$315*T$13</f>
        <v>0</v>
      </c>
      <c r="U32" s="137">
        <f>Mitigation_Industry!$F$315*U$14+Mitigation_Industry!$G$315*U$13</f>
        <v>0</v>
      </c>
      <c r="V32" s="137">
        <f>Mitigation_Industry!$F$315*V$14+Mitigation_Industry!$G$315*V$13</f>
        <v>0</v>
      </c>
      <c r="W32" s="137">
        <f>Mitigation_Industry!$F$315*W$14+Mitigation_Industry!$G$315*W$13</f>
        <v>0</v>
      </c>
      <c r="X32" s="137">
        <f>Mitigation_Industry!$F$315*X$14+Mitigation_Industry!$G$315*X$13</f>
        <v>0</v>
      </c>
      <c r="Y32" s="137">
        <f>Mitigation_Industry!$F$315*Y$14+Mitigation_Industry!$G$315*Y$13</f>
        <v>0</v>
      </c>
      <c r="Z32" s="137">
        <f>Mitigation_Industry!$F$315*Z$14+Mitigation_Industry!$G$315*Z$13</f>
        <v>0</v>
      </c>
      <c r="AA32" s="137">
        <f>Mitigation_Industry!$F$315*AA$14+Mitigation_Industry!$G$315*AA$13</f>
        <v>0</v>
      </c>
      <c r="AB32" s="137">
        <f>Mitigation_Industry!$F$315*AB$14+Mitigation_Industry!$G$315*AB$13</f>
        <v>0</v>
      </c>
      <c r="AC32" s="137">
        <f>Mitigation_Industry!$F$315*AC$14+Mitigation_Industry!$G$315*AC$13</f>
        <v>0</v>
      </c>
      <c r="AD32" s="137">
        <f>Mitigation_Industry!$F$315*AD$14+Mitigation_Industry!$G$315*AD$13</f>
        <v>0</v>
      </c>
      <c r="AE32" s="137">
        <f>Mitigation_Industry!$F$315*AE$14+Mitigation_Industry!$G$315*AE$13</f>
        <v>0</v>
      </c>
      <c r="AF32" s="138"/>
      <c r="AG32" s="138"/>
      <c r="AH32" s="138"/>
      <c r="AI32" s="138"/>
    </row>
    <row r="33" spans="1:35" customFormat="1" ht="15" x14ac:dyDescent="0.25">
      <c r="B33" s="14" t="s">
        <v>2575</v>
      </c>
      <c r="C33" s="14" t="s">
        <v>117</v>
      </c>
      <c r="D33" s="15" t="s">
        <v>2576</v>
      </c>
      <c r="E33" s="16" t="s">
        <v>1398</v>
      </c>
      <c r="F33" s="14" t="s">
        <v>2561</v>
      </c>
      <c r="G33" s="17"/>
      <c r="H33" s="125" t="str">
        <f>Settings!$B$3&amp;".mit.pp.frt.nit.np.1"</f>
        <v>egy.mit.pp.frt.nit.np.1</v>
      </c>
      <c r="K33" s="136"/>
      <c r="L33" s="137">
        <f>Mitigation_Industry!$F$316*L$14+Mitigation_Industry!$G$316*L$13</f>
        <v>0</v>
      </c>
      <c r="M33" s="137">
        <f>Mitigation_Industry!$F$316*M$14+Mitigation_Industry!$G$316*M$13</f>
        <v>0</v>
      </c>
      <c r="N33" s="137">
        <f>Mitigation_Industry!$F$316*N$14+Mitigation_Industry!$G$316*N$13</f>
        <v>0</v>
      </c>
      <c r="O33" s="137">
        <f>Mitigation_Industry!$F$316*O$14+Mitigation_Industry!$G$316*O$13</f>
        <v>0</v>
      </c>
      <c r="P33" s="137">
        <f>Mitigation_Industry!$F$316*P$14+Mitigation_Industry!$G$316*P$13</f>
        <v>0</v>
      </c>
      <c r="Q33" s="137">
        <f>Mitigation_Industry!$F$316*Q$14+Mitigation_Industry!$G$316*Q$13</f>
        <v>0</v>
      </c>
      <c r="R33" s="137">
        <f>Mitigation_Industry!$F$316*R$14+Mitigation_Industry!$G$316*R$13</f>
        <v>0</v>
      </c>
      <c r="S33" s="137">
        <f>Mitigation_Industry!$F$316*S$14+Mitigation_Industry!$G$316*S$13</f>
        <v>0</v>
      </c>
      <c r="T33" s="137">
        <f>Mitigation_Industry!$F$316*T$14+Mitigation_Industry!$G$316*T$13</f>
        <v>0</v>
      </c>
      <c r="U33" s="137">
        <f>Mitigation_Industry!$F$316*U$14+Mitigation_Industry!$G$316*U$13</f>
        <v>0</v>
      </c>
      <c r="V33" s="137">
        <f>Mitigation_Industry!$F$316*V$14+Mitigation_Industry!$G$316*V$13</f>
        <v>0</v>
      </c>
      <c r="W33" s="137">
        <f>Mitigation_Industry!$F$316*W$14+Mitigation_Industry!$G$316*W$13</f>
        <v>0</v>
      </c>
      <c r="X33" s="137">
        <f>Mitigation_Industry!$F$316*X$14+Mitigation_Industry!$G$316*X$13</f>
        <v>0</v>
      </c>
      <c r="Y33" s="137">
        <f>Mitigation_Industry!$F$316*Y$14+Mitigation_Industry!$G$316*Y$13</f>
        <v>0</v>
      </c>
      <c r="Z33" s="137">
        <f>Mitigation_Industry!$F$316*Z$14+Mitigation_Industry!$G$316*Z$13</f>
        <v>0</v>
      </c>
      <c r="AA33" s="137">
        <f>Mitigation_Industry!$F$316*AA$14+Mitigation_Industry!$G$316*AA$13</f>
        <v>0</v>
      </c>
      <c r="AB33" s="137">
        <f>Mitigation_Industry!$F$316*AB$14+Mitigation_Industry!$G$316*AB$13</f>
        <v>0</v>
      </c>
      <c r="AC33" s="137">
        <f>Mitigation_Industry!$F$316*AC$14+Mitigation_Industry!$G$316*AC$13</f>
        <v>0</v>
      </c>
      <c r="AD33" s="137">
        <f>Mitigation_Industry!$F$316*AD$14+Mitigation_Industry!$G$316*AD$13</f>
        <v>0</v>
      </c>
      <c r="AE33" s="137">
        <f>Mitigation_Industry!$F$316*AE$14+Mitigation_Industry!$G$316*AE$13</f>
        <v>0</v>
      </c>
      <c r="AF33" s="138"/>
      <c r="AG33" s="138"/>
      <c r="AH33" s="138"/>
      <c r="AI33" s="138"/>
    </row>
    <row r="34" spans="1:35" customFormat="1" ht="15" x14ac:dyDescent="0.25">
      <c r="B34" s="14" t="s">
        <v>2577</v>
      </c>
      <c r="C34" s="14" t="s">
        <v>115</v>
      </c>
      <c r="D34" s="15" t="s">
        <v>2578</v>
      </c>
      <c r="E34" s="16" t="s">
        <v>1398</v>
      </c>
      <c r="F34" s="14" t="s">
        <v>2561</v>
      </c>
      <c r="G34" s="17"/>
      <c r="H34" s="125" t="str">
        <f>Settings!$B$3&amp;".mit.pp.alu.prp.np.1"</f>
        <v>egy.mit.pp.alu.prp.np.1</v>
      </c>
      <c r="K34" s="136"/>
      <c r="L34" s="137">
        <f>Mitigation_Industry!$F$317*L$14+Mitigation_Industry!$G$317*L$13</f>
        <v>0</v>
      </c>
      <c r="M34" s="137">
        <f>Mitigation_Industry!$F$317*M$14+Mitigation_Industry!$G$317*M$13</f>
        <v>0</v>
      </c>
      <c r="N34" s="137">
        <f>Mitigation_Industry!$F$317*N$14+Mitigation_Industry!$G$317*N$13</f>
        <v>0</v>
      </c>
      <c r="O34" s="137">
        <f>Mitigation_Industry!$F$317*O$14+Mitigation_Industry!$G$317*O$13</f>
        <v>0</v>
      </c>
      <c r="P34" s="137">
        <f>Mitigation_Industry!$F$317*P$14+Mitigation_Industry!$G$317*P$13</f>
        <v>0</v>
      </c>
      <c r="Q34" s="137">
        <f>Mitigation_Industry!$F$317*Q$14+Mitigation_Industry!$G$317*Q$13</f>
        <v>0</v>
      </c>
      <c r="R34" s="137">
        <f>Mitigation_Industry!$F$317*R$14+Mitigation_Industry!$G$317*R$13</f>
        <v>0</v>
      </c>
      <c r="S34" s="137">
        <f>Mitigation_Industry!$F$317*S$14+Mitigation_Industry!$G$317*S$13</f>
        <v>0</v>
      </c>
      <c r="T34" s="137">
        <f>Mitigation_Industry!$F$317*T$14+Mitigation_Industry!$G$317*T$13</f>
        <v>0</v>
      </c>
      <c r="U34" s="137">
        <f>Mitigation_Industry!$F$317*U$14+Mitigation_Industry!$G$317*U$13</f>
        <v>0</v>
      </c>
      <c r="V34" s="137">
        <f>Mitigation_Industry!$F$317*V$14+Mitigation_Industry!$G$317*V$13</f>
        <v>0</v>
      </c>
      <c r="W34" s="137">
        <f>Mitigation_Industry!$F$317*W$14+Mitigation_Industry!$G$317*W$13</f>
        <v>0</v>
      </c>
      <c r="X34" s="137">
        <f>Mitigation_Industry!$F$317*X$14+Mitigation_Industry!$G$317*X$13</f>
        <v>0</v>
      </c>
      <c r="Y34" s="137">
        <f>Mitigation_Industry!$F$317*Y$14+Mitigation_Industry!$G$317*Y$13</f>
        <v>0</v>
      </c>
      <c r="Z34" s="137">
        <f>Mitigation_Industry!$F$317*Z$14+Mitigation_Industry!$G$317*Z$13</f>
        <v>0</v>
      </c>
      <c r="AA34" s="137">
        <f>Mitigation_Industry!$F$317*AA$14+Mitigation_Industry!$G$317*AA$13</f>
        <v>0</v>
      </c>
      <c r="AB34" s="137">
        <f>Mitigation_Industry!$F$317*AB$14+Mitigation_Industry!$G$317*AB$13</f>
        <v>0</v>
      </c>
      <c r="AC34" s="137">
        <f>Mitigation_Industry!$F$317*AC$14+Mitigation_Industry!$G$317*AC$13</f>
        <v>0</v>
      </c>
      <c r="AD34" s="137">
        <f>Mitigation_Industry!$F$317*AD$14+Mitigation_Industry!$G$317*AD$13</f>
        <v>0</v>
      </c>
      <c r="AE34" s="137">
        <f>Mitigation_Industry!$F$317*AE$14+Mitigation_Industry!$G$317*AE$13</f>
        <v>0</v>
      </c>
      <c r="AF34" s="138"/>
      <c r="AG34" s="138"/>
      <c r="AH34" s="138"/>
      <c r="AI34" s="138"/>
    </row>
    <row r="35" spans="1:35" customFormat="1" ht="15" x14ac:dyDescent="0.25">
      <c r="B35" s="14" t="s">
        <v>2579</v>
      </c>
      <c r="C35" s="14" t="s">
        <v>43</v>
      </c>
      <c r="D35" s="15" t="s">
        <v>2580</v>
      </c>
      <c r="E35" s="16" t="s">
        <v>1398</v>
      </c>
      <c r="F35" s="14" t="s">
        <v>2561</v>
      </c>
      <c r="G35" s="17"/>
      <c r="H35" s="125" t="str">
        <f>Settings!$B$3&amp;".mit.pp.stl.drg.no.1"</f>
        <v>egy.mit.pp.stl.drg.no.1</v>
      </c>
      <c r="K35" s="136"/>
      <c r="L35" s="137">
        <f>Mitigation_Industry!$F$310*L$14+Mitigation_Industry!$G$310*L$13</f>
        <v>0</v>
      </c>
      <c r="M35" s="137">
        <f>Mitigation_Industry!$F$310*M$14+Mitigation_Industry!$G$310*M$13</f>
        <v>0</v>
      </c>
      <c r="N35" s="137">
        <f>Mitigation_Industry!$F$310*N$14+Mitigation_Industry!$G$310*N$13</f>
        <v>0</v>
      </c>
      <c r="O35" s="137">
        <f>Mitigation_Industry!$F$310*O$14+Mitigation_Industry!$G$310*O$13</f>
        <v>0</v>
      </c>
      <c r="P35" s="137">
        <f>Mitigation_Industry!$F$310*P$14+Mitigation_Industry!$G$310*P$13</f>
        <v>0</v>
      </c>
      <c r="Q35" s="137">
        <f>Mitigation_Industry!$F$310*Q$14+Mitigation_Industry!$G$310*Q$13</f>
        <v>0</v>
      </c>
      <c r="R35" s="137">
        <f>Mitigation_Industry!$F$310*R$14+Mitigation_Industry!$G$310*R$13</f>
        <v>0</v>
      </c>
      <c r="S35" s="137">
        <f>Mitigation_Industry!$F$310*S$14+Mitigation_Industry!$G$310*S$13</f>
        <v>0</v>
      </c>
      <c r="T35" s="137">
        <f>Mitigation_Industry!$F$310*T$14+Mitigation_Industry!$G$310*T$13</f>
        <v>0</v>
      </c>
      <c r="U35" s="137">
        <f>Mitigation_Industry!$F$310*U$14+Mitigation_Industry!$G$310*U$13</f>
        <v>0</v>
      </c>
      <c r="V35" s="137">
        <f>Mitigation_Industry!$F$310*V$14+Mitigation_Industry!$G$310*V$13</f>
        <v>0</v>
      </c>
      <c r="W35" s="137">
        <f>Mitigation_Industry!$F$310*W$14+Mitigation_Industry!$G$310*W$13</f>
        <v>0</v>
      </c>
      <c r="X35" s="137">
        <f>Mitigation_Industry!$F$310*X$14+Mitigation_Industry!$G$310*X$13</f>
        <v>0</v>
      </c>
      <c r="Y35" s="137">
        <f>Mitigation_Industry!$F$310*Y$14+Mitigation_Industry!$G$310*Y$13</f>
        <v>0</v>
      </c>
      <c r="Z35" s="137">
        <f>Mitigation_Industry!$F$310*Z$14+Mitigation_Industry!$G$310*Z$13</f>
        <v>0</v>
      </c>
      <c r="AA35" s="137">
        <f>Mitigation_Industry!$F$310*AA$14+Mitigation_Industry!$G$310*AA$13</f>
        <v>0</v>
      </c>
      <c r="AB35" s="137">
        <f>Mitigation_Industry!$F$310*AB$14+Mitigation_Industry!$G$310*AB$13</f>
        <v>0</v>
      </c>
      <c r="AC35" s="137">
        <f>Mitigation_Industry!$F$310*AC$14+Mitigation_Industry!$G$310*AC$13</f>
        <v>0</v>
      </c>
      <c r="AD35" s="137">
        <f>Mitigation_Industry!$F$310*AD$14+Mitigation_Industry!$G$310*AD$13</f>
        <v>0</v>
      </c>
      <c r="AE35" s="137">
        <f>Mitigation_Industry!$F$310*AE$14+Mitigation_Industry!$G$310*AE$13</f>
        <v>0</v>
      </c>
      <c r="AF35" s="138"/>
      <c r="AG35" s="138"/>
      <c r="AH35" s="138"/>
      <c r="AI35" s="138"/>
    </row>
    <row r="36" spans="1:35" customFormat="1" ht="15" x14ac:dyDescent="0.25">
      <c r="B36" s="14" t="s">
        <v>2581</v>
      </c>
      <c r="C36" s="14" t="s">
        <v>43</v>
      </c>
      <c r="D36" s="15" t="s">
        <v>2582</v>
      </c>
      <c r="E36" s="16" t="s">
        <v>1398</v>
      </c>
      <c r="F36" s="14" t="s">
        <v>2561</v>
      </c>
      <c r="G36" s="17"/>
      <c r="H36" s="125" t="str">
        <f>Settings!$B$3&amp;".mit.pp.stl.scr.no.1"</f>
        <v>egy.mit.pp.stl.scr.no.1</v>
      </c>
      <c r="K36" s="136"/>
      <c r="L36" s="137">
        <f>Mitigation_Industry!$F$311*L$14+Mitigation_Industry!$G$311*L$13</f>
        <v>0</v>
      </c>
      <c r="M36" s="137">
        <f>Mitigation_Industry!$F$311*M$14+Mitigation_Industry!$G$311*M$13</f>
        <v>0</v>
      </c>
      <c r="N36" s="137">
        <f>Mitigation_Industry!$F$311*N$14+Mitigation_Industry!$G$311*N$13</f>
        <v>0</v>
      </c>
      <c r="O36" s="137">
        <f>Mitigation_Industry!$F$311*O$14+Mitigation_Industry!$G$311*O$13</f>
        <v>0</v>
      </c>
      <c r="P36" s="137">
        <f>Mitigation_Industry!$F$311*P$14+Mitigation_Industry!$G$311*P$13</f>
        <v>0</v>
      </c>
      <c r="Q36" s="137">
        <f>Mitigation_Industry!$F$311*Q$14+Mitigation_Industry!$G$311*Q$13</f>
        <v>0</v>
      </c>
      <c r="R36" s="137">
        <f>Mitigation_Industry!$F$311*R$14+Mitigation_Industry!$G$311*R$13</f>
        <v>0</v>
      </c>
      <c r="S36" s="137">
        <f>Mitigation_Industry!$F$311*S$14+Mitigation_Industry!$G$311*S$13</f>
        <v>0</v>
      </c>
      <c r="T36" s="137">
        <f>Mitigation_Industry!$F$311*T$14+Mitigation_Industry!$G$311*T$13</f>
        <v>0</v>
      </c>
      <c r="U36" s="137">
        <f>Mitigation_Industry!$F$311*U$14+Mitigation_Industry!$G$311*U$13</f>
        <v>0</v>
      </c>
      <c r="V36" s="137">
        <f>Mitigation_Industry!$F$311*V$14+Mitigation_Industry!$G$311*V$13</f>
        <v>0</v>
      </c>
      <c r="W36" s="137">
        <f>Mitigation_Industry!$F$311*W$14+Mitigation_Industry!$G$311*W$13</f>
        <v>0</v>
      </c>
      <c r="X36" s="137">
        <f>Mitigation_Industry!$F$311*X$14+Mitigation_Industry!$G$311*X$13</f>
        <v>0</v>
      </c>
      <c r="Y36" s="137">
        <f>Mitigation_Industry!$F$311*Y$14+Mitigation_Industry!$G$311*Y$13</f>
        <v>0</v>
      </c>
      <c r="Z36" s="137">
        <f>Mitigation_Industry!$F$311*Z$14+Mitigation_Industry!$G$311*Z$13</f>
        <v>0</v>
      </c>
      <c r="AA36" s="137">
        <f>Mitigation_Industry!$F$311*AA$14+Mitigation_Industry!$G$311*AA$13</f>
        <v>0</v>
      </c>
      <c r="AB36" s="137">
        <f>Mitigation_Industry!$F$311*AB$14+Mitigation_Industry!$G$311*AB$13</f>
        <v>0</v>
      </c>
      <c r="AC36" s="137">
        <f>Mitigation_Industry!$F$311*AC$14+Mitigation_Industry!$G$311*AC$13</f>
        <v>0</v>
      </c>
      <c r="AD36" s="137">
        <f>Mitigation_Industry!$F$311*AD$14+Mitigation_Industry!$G$311*AD$13</f>
        <v>0</v>
      </c>
      <c r="AE36" s="137">
        <f>Mitigation_Industry!$F$311*AE$14+Mitigation_Industry!$G$311*AE$13</f>
        <v>0</v>
      </c>
      <c r="AF36" s="138"/>
      <c r="AG36" s="138"/>
      <c r="AH36" s="138"/>
      <c r="AI36" s="138"/>
    </row>
    <row r="37" spans="1:35" customFormat="1" ht="15" x14ac:dyDescent="0.25">
      <c r="B37" s="14" t="s">
        <v>2583</v>
      </c>
      <c r="C37" s="14" t="s">
        <v>43</v>
      </c>
      <c r="D37" s="15" t="s">
        <v>2584</v>
      </c>
      <c r="E37" s="16" t="s">
        <v>1398</v>
      </c>
      <c r="F37" s="14" t="s">
        <v>2561</v>
      </c>
      <c r="G37" s="17"/>
      <c r="H37" s="125" t="str">
        <f>Settings!$B$3&amp;".mit.pp.stl.bof.no.1"</f>
        <v>egy.mit.pp.stl.bof.no.1</v>
      </c>
      <c r="K37" s="136"/>
      <c r="L37" s="137">
        <f>Mitigation_Industry!$F$312*L$14+Mitigation_Industry!$G$312*L$13</f>
        <v>0</v>
      </c>
      <c r="M37" s="137">
        <f>Mitigation_Industry!$F$312*M$14+Mitigation_Industry!$G$312*M$13</f>
        <v>0</v>
      </c>
      <c r="N37" s="137">
        <f>Mitigation_Industry!$F$312*N$14+Mitigation_Industry!$G$312*N$13</f>
        <v>0</v>
      </c>
      <c r="O37" s="137">
        <f>Mitigation_Industry!$F$312*O$14+Mitigation_Industry!$G$312*O$13</f>
        <v>0</v>
      </c>
      <c r="P37" s="137">
        <f>Mitigation_Industry!$F$312*P$14+Mitigation_Industry!$G$312*P$13</f>
        <v>0</v>
      </c>
      <c r="Q37" s="137">
        <f>Mitigation_Industry!$F$312*Q$14+Mitigation_Industry!$G$312*Q$13</f>
        <v>0</v>
      </c>
      <c r="R37" s="137">
        <f>Mitigation_Industry!$F$312*R$14+Mitigation_Industry!$G$312*R$13</f>
        <v>0</v>
      </c>
      <c r="S37" s="137">
        <f>Mitigation_Industry!$F$312*S$14+Mitigation_Industry!$G$312*S$13</f>
        <v>0</v>
      </c>
      <c r="T37" s="137">
        <f>Mitigation_Industry!$F$312*T$14+Mitigation_Industry!$G$312*T$13</f>
        <v>0</v>
      </c>
      <c r="U37" s="137">
        <f>Mitigation_Industry!$F$312*U$14+Mitigation_Industry!$G$312*U$13</f>
        <v>0</v>
      </c>
      <c r="V37" s="137">
        <f>Mitigation_Industry!$F$312*V$14+Mitigation_Industry!$G$312*V$13</f>
        <v>0</v>
      </c>
      <c r="W37" s="137">
        <f>Mitigation_Industry!$F$312*W$14+Mitigation_Industry!$G$312*W$13</f>
        <v>0</v>
      </c>
      <c r="X37" s="137">
        <f>Mitigation_Industry!$F$312*X$14+Mitigation_Industry!$G$312*X$13</f>
        <v>0</v>
      </c>
      <c r="Y37" s="137">
        <f>Mitigation_Industry!$F$312*Y$14+Mitigation_Industry!$G$312*Y$13</f>
        <v>0</v>
      </c>
      <c r="Z37" s="137">
        <f>Mitigation_Industry!$F$312*Z$14+Mitigation_Industry!$G$312*Z$13</f>
        <v>0</v>
      </c>
      <c r="AA37" s="137">
        <f>Mitigation_Industry!$F$312*AA$14+Mitigation_Industry!$G$312*AA$13</f>
        <v>0</v>
      </c>
      <c r="AB37" s="137">
        <f>Mitigation_Industry!$F$312*AB$14+Mitigation_Industry!$G$312*AB$13</f>
        <v>0</v>
      </c>
      <c r="AC37" s="137">
        <f>Mitigation_Industry!$F$312*AC$14+Mitigation_Industry!$G$312*AC$13</f>
        <v>0</v>
      </c>
      <c r="AD37" s="137">
        <f>Mitigation_Industry!$F$312*AD$14+Mitigation_Industry!$G$312*AD$13</f>
        <v>0</v>
      </c>
      <c r="AE37" s="137">
        <f>Mitigation_Industry!$F$312*AE$14+Mitigation_Industry!$G$312*AE$13</f>
        <v>0</v>
      </c>
      <c r="AF37" s="138"/>
      <c r="AG37" s="138"/>
      <c r="AH37" s="138"/>
      <c r="AI37" s="138"/>
    </row>
    <row r="38" spans="1:35" customFormat="1" ht="15" x14ac:dyDescent="0.25">
      <c r="B38" s="14" t="s">
        <v>2585</v>
      </c>
      <c r="C38" s="14" t="s">
        <v>113</v>
      </c>
      <c r="D38" s="15" t="s">
        <v>2586</v>
      </c>
      <c r="E38" s="16" t="s">
        <v>1398</v>
      </c>
      <c r="F38" s="14" t="s">
        <v>2561</v>
      </c>
      <c r="G38" s="17"/>
      <c r="H38" s="125" t="str">
        <f>Settings!$B$3&amp;".mit.pp.cmt.dry.no.1"</f>
        <v>egy.mit.pp.cmt.dry.no.1</v>
      </c>
      <c r="K38" s="136"/>
      <c r="L38" s="137">
        <f>Mitigation_Industry!$F$313*L$14+Mitigation_Industry!$G$313*L$13</f>
        <v>0</v>
      </c>
      <c r="M38" s="137">
        <f>Mitigation_Industry!$F$313*M$14+Mitigation_Industry!$G$313*M$13</f>
        <v>0</v>
      </c>
      <c r="N38" s="137">
        <f>Mitigation_Industry!$F$313*N$14+Mitigation_Industry!$G$313*N$13</f>
        <v>0</v>
      </c>
      <c r="O38" s="137">
        <f>Mitigation_Industry!$F$313*O$14+Mitigation_Industry!$G$313*O$13</f>
        <v>0</v>
      </c>
      <c r="P38" s="137">
        <f>Mitigation_Industry!$F$313*P$14+Mitigation_Industry!$G$313*P$13</f>
        <v>0</v>
      </c>
      <c r="Q38" s="137">
        <f>Mitigation_Industry!$F$313*Q$14+Mitigation_Industry!$G$313*Q$13</f>
        <v>0</v>
      </c>
      <c r="R38" s="137">
        <f>Mitigation_Industry!$F$313*R$14+Mitigation_Industry!$G$313*R$13</f>
        <v>0</v>
      </c>
      <c r="S38" s="137">
        <f>Mitigation_Industry!$F$313*S$14+Mitigation_Industry!$G$313*S$13</f>
        <v>0</v>
      </c>
      <c r="T38" s="137">
        <f>Mitigation_Industry!$F$313*T$14+Mitigation_Industry!$G$313*T$13</f>
        <v>0</v>
      </c>
      <c r="U38" s="137">
        <f>Mitigation_Industry!$F$313*U$14+Mitigation_Industry!$G$313*U$13</f>
        <v>0</v>
      </c>
      <c r="V38" s="137">
        <f>Mitigation_Industry!$F$313*V$14+Mitigation_Industry!$G$313*V$13</f>
        <v>0</v>
      </c>
      <c r="W38" s="137">
        <f>Mitigation_Industry!$F$313*W$14+Mitigation_Industry!$G$313*W$13</f>
        <v>0</v>
      </c>
      <c r="X38" s="137">
        <f>Mitigation_Industry!$F$313*X$14+Mitigation_Industry!$G$313*X$13</f>
        <v>0</v>
      </c>
      <c r="Y38" s="137">
        <f>Mitigation_Industry!$F$313*Y$14+Mitigation_Industry!$G$313*Y$13</f>
        <v>0</v>
      </c>
      <c r="Z38" s="137">
        <f>Mitigation_Industry!$F$313*Z$14+Mitigation_Industry!$G$313*Z$13</f>
        <v>0</v>
      </c>
      <c r="AA38" s="137">
        <f>Mitigation_Industry!$F$313*AA$14+Mitigation_Industry!$G$313*AA$13</f>
        <v>0</v>
      </c>
      <c r="AB38" s="137">
        <f>Mitigation_Industry!$F$313*AB$14+Mitigation_Industry!$G$313*AB$13</f>
        <v>0</v>
      </c>
      <c r="AC38" s="137">
        <f>Mitigation_Industry!$F$313*AC$14+Mitigation_Industry!$G$313*AC$13</f>
        <v>0</v>
      </c>
      <c r="AD38" s="137">
        <f>Mitigation_Industry!$F$313*AD$14+Mitigation_Industry!$G$313*AD$13</f>
        <v>0</v>
      </c>
      <c r="AE38" s="137">
        <f>Mitigation_Industry!$F$313*AE$14+Mitigation_Industry!$G$313*AE$13</f>
        <v>0</v>
      </c>
      <c r="AF38" s="138"/>
      <c r="AG38" s="138"/>
      <c r="AH38" s="138"/>
      <c r="AI38" s="138"/>
    </row>
    <row r="39" spans="1:35" customFormat="1" ht="15" x14ac:dyDescent="0.25">
      <c r="B39" s="14" t="s">
        <v>2587</v>
      </c>
      <c r="C39" s="14" t="s">
        <v>117</v>
      </c>
      <c r="D39" s="15" t="s">
        <v>2588</v>
      </c>
      <c r="E39" s="16" t="s">
        <v>1398</v>
      </c>
      <c r="F39" s="14" t="s">
        <v>2561</v>
      </c>
      <c r="G39" s="17"/>
      <c r="H39" s="125" t="str">
        <f>Settings!$B$3&amp;".mit.pp.frt.amc.no.1"</f>
        <v>egy.mit.pp.frt.amc.no.1</v>
      </c>
      <c r="K39" s="136"/>
      <c r="L39" s="137">
        <f>Mitigation_Industry!$F$314*L$14+Mitigation_Industry!$G$314*L$13</f>
        <v>0</v>
      </c>
      <c r="M39" s="137">
        <f>Mitigation_Industry!$F$314*M$14+Mitigation_Industry!$G$314*M$13</f>
        <v>0</v>
      </c>
      <c r="N39" s="137">
        <f>Mitigation_Industry!$F$314*N$14+Mitigation_Industry!$G$314*N$13</f>
        <v>0</v>
      </c>
      <c r="O39" s="137">
        <f>Mitigation_Industry!$F$314*O$14+Mitigation_Industry!$G$314*O$13</f>
        <v>0</v>
      </c>
      <c r="P39" s="137">
        <f>Mitigation_Industry!$F$314*P$14+Mitigation_Industry!$G$314*P$13</f>
        <v>0</v>
      </c>
      <c r="Q39" s="137">
        <f>Mitigation_Industry!$F$314*Q$14+Mitigation_Industry!$G$314*Q$13</f>
        <v>0</v>
      </c>
      <c r="R39" s="137">
        <f>Mitigation_Industry!$F$314*R$14+Mitigation_Industry!$G$314*R$13</f>
        <v>0</v>
      </c>
      <c r="S39" s="137">
        <f>Mitigation_Industry!$F$314*S$14+Mitigation_Industry!$G$314*S$13</f>
        <v>0</v>
      </c>
      <c r="T39" s="137">
        <f>Mitigation_Industry!$F$314*T$14+Mitigation_Industry!$G$314*T$13</f>
        <v>0</v>
      </c>
      <c r="U39" s="137">
        <f>Mitigation_Industry!$F$314*U$14+Mitigation_Industry!$G$314*U$13</f>
        <v>0</v>
      </c>
      <c r="V39" s="137">
        <f>Mitigation_Industry!$F$314*V$14+Mitigation_Industry!$G$314*V$13</f>
        <v>0</v>
      </c>
      <c r="W39" s="137">
        <f>Mitigation_Industry!$F$314*W$14+Mitigation_Industry!$G$314*W$13</f>
        <v>0</v>
      </c>
      <c r="X39" s="137">
        <f>Mitigation_Industry!$F$314*X$14+Mitigation_Industry!$G$314*X$13</f>
        <v>0</v>
      </c>
      <c r="Y39" s="137">
        <f>Mitigation_Industry!$F$314*Y$14+Mitigation_Industry!$G$314*Y$13</f>
        <v>0</v>
      </c>
      <c r="Z39" s="137">
        <f>Mitigation_Industry!$F$314*Z$14+Mitigation_Industry!$G$314*Z$13</f>
        <v>0</v>
      </c>
      <c r="AA39" s="137">
        <f>Mitigation_Industry!$F$314*AA$14+Mitigation_Industry!$G$314*AA$13</f>
        <v>0</v>
      </c>
      <c r="AB39" s="137">
        <f>Mitigation_Industry!$F$314*AB$14+Mitigation_Industry!$G$314*AB$13</f>
        <v>0</v>
      </c>
      <c r="AC39" s="137">
        <f>Mitigation_Industry!$F$314*AC$14+Mitigation_Industry!$G$314*AC$13</f>
        <v>0</v>
      </c>
      <c r="AD39" s="137">
        <f>Mitigation_Industry!$F$314*AD$14+Mitigation_Industry!$G$314*AD$13</f>
        <v>0</v>
      </c>
      <c r="AE39" s="137">
        <f>Mitigation_Industry!$F$314*AE$14+Mitigation_Industry!$G$314*AE$13</f>
        <v>0</v>
      </c>
      <c r="AF39" s="138"/>
      <c r="AG39" s="138"/>
      <c r="AH39" s="138"/>
      <c r="AI39" s="138"/>
    </row>
    <row r="40" spans="1:35" customFormat="1" ht="15" x14ac:dyDescent="0.25">
      <c r="B40" s="14" t="s">
        <v>2589</v>
      </c>
      <c r="C40" s="14" t="s">
        <v>117</v>
      </c>
      <c r="D40" s="15" t="s">
        <v>2590</v>
      </c>
      <c r="E40" s="16" t="s">
        <v>1398</v>
      </c>
      <c r="F40" s="14" t="s">
        <v>2561</v>
      </c>
      <c r="G40" s="17"/>
      <c r="H40" s="125" t="str">
        <f>Settings!$B$3&amp;".mit.pp.frt.ure.no.1"</f>
        <v>egy.mit.pp.frt.ure.no.1</v>
      </c>
      <c r="K40" s="136"/>
      <c r="L40" s="137">
        <f>Mitigation_Industry!$F$315*L$14+Mitigation_Industry!$G$315*L$13</f>
        <v>0</v>
      </c>
      <c r="M40" s="137">
        <f>Mitigation_Industry!$F$315*M$14+Mitigation_Industry!$G$315*M$13</f>
        <v>0</v>
      </c>
      <c r="N40" s="137">
        <f>Mitigation_Industry!$F$315*N$14+Mitigation_Industry!$G$315*N$13</f>
        <v>0</v>
      </c>
      <c r="O40" s="137">
        <f>Mitigation_Industry!$F$315*O$14+Mitigation_Industry!$G$315*O$13</f>
        <v>0</v>
      </c>
      <c r="P40" s="137">
        <f>Mitigation_Industry!$F$315*P$14+Mitigation_Industry!$G$315*P$13</f>
        <v>0</v>
      </c>
      <c r="Q40" s="137">
        <f>Mitigation_Industry!$F$315*Q$14+Mitigation_Industry!$G$315*Q$13</f>
        <v>0</v>
      </c>
      <c r="R40" s="137">
        <f>Mitigation_Industry!$F$315*R$14+Mitigation_Industry!$G$315*R$13</f>
        <v>0</v>
      </c>
      <c r="S40" s="137">
        <f>Mitigation_Industry!$F$315*S$14+Mitigation_Industry!$G$315*S$13</f>
        <v>0</v>
      </c>
      <c r="T40" s="137">
        <f>Mitigation_Industry!$F$315*T$14+Mitigation_Industry!$G$315*T$13</f>
        <v>0</v>
      </c>
      <c r="U40" s="137">
        <f>Mitigation_Industry!$F$315*U$14+Mitigation_Industry!$G$315*U$13</f>
        <v>0</v>
      </c>
      <c r="V40" s="137">
        <f>Mitigation_Industry!$F$315*V$14+Mitigation_Industry!$G$315*V$13</f>
        <v>0</v>
      </c>
      <c r="W40" s="137">
        <f>Mitigation_Industry!$F$315*W$14+Mitigation_Industry!$G$315*W$13</f>
        <v>0</v>
      </c>
      <c r="X40" s="137">
        <f>Mitigation_Industry!$F$315*X$14+Mitigation_Industry!$G$315*X$13</f>
        <v>0</v>
      </c>
      <c r="Y40" s="137">
        <f>Mitigation_Industry!$F$315*Y$14+Mitigation_Industry!$G$315*Y$13</f>
        <v>0</v>
      </c>
      <c r="Z40" s="137">
        <f>Mitigation_Industry!$F$315*Z$14+Mitigation_Industry!$G$315*Z$13</f>
        <v>0</v>
      </c>
      <c r="AA40" s="137">
        <f>Mitigation_Industry!$F$315*AA$14+Mitigation_Industry!$G$315*AA$13</f>
        <v>0</v>
      </c>
      <c r="AB40" s="137">
        <f>Mitigation_Industry!$F$315*AB$14+Mitigation_Industry!$G$315*AB$13</f>
        <v>0</v>
      </c>
      <c r="AC40" s="137">
        <f>Mitigation_Industry!$F$315*AC$14+Mitigation_Industry!$G$315*AC$13</f>
        <v>0</v>
      </c>
      <c r="AD40" s="137">
        <f>Mitigation_Industry!$F$315*AD$14+Mitigation_Industry!$G$315*AD$13</f>
        <v>0</v>
      </c>
      <c r="AE40" s="137">
        <f>Mitigation_Industry!$F$315*AE$14+Mitigation_Industry!$G$315*AE$13</f>
        <v>0</v>
      </c>
      <c r="AF40" s="138"/>
      <c r="AG40" s="138"/>
      <c r="AH40" s="138"/>
      <c r="AI40" s="138"/>
    </row>
    <row r="41" spans="1:35" customFormat="1" ht="15" x14ac:dyDescent="0.25">
      <c r="B41" s="14" t="s">
        <v>2591</v>
      </c>
      <c r="C41" s="14" t="s">
        <v>117</v>
      </c>
      <c r="D41" s="15" t="s">
        <v>2592</v>
      </c>
      <c r="E41" s="16" t="s">
        <v>1398</v>
      </c>
      <c r="F41" s="14" t="s">
        <v>2561</v>
      </c>
      <c r="G41" s="17"/>
      <c r="H41" s="125" t="str">
        <f>Settings!$B$3&amp;".mit.pp.frt.nit.no.1"</f>
        <v>egy.mit.pp.frt.nit.no.1</v>
      </c>
      <c r="K41" s="136"/>
      <c r="L41" s="137">
        <f>Mitigation_Industry!$F$316*L$14+Mitigation_Industry!$G$316*L$13</f>
        <v>0</v>
      </c>
      <c r="M41" s="137">
        <f>Mitigation_Industry!$F$316*M$14+Mitigation_Industry!$G$316*M$13</f>
        <v>0</v>
      </c>
      <c r="N41" s="137">
        <f>Mitigation_Industry!$F$316*N$14+Mitigation_Industry!$G$316*N$13</f>
        <v>0</v>
      </c>
      <c r="O41" s="137">
        <f>Mitigation_Industry!$F$316*O$14+Mitigation_Industry!$G$316*O$13</f>
        <v>0</v>
      </c>
      <c r="P41" s="137">
        <f>Mitigation_Industry!$F$316*P$14+Mitigation_Industry!$G$316*P$13</f>
        <v>0</v>
      </c>
      <c r="Q41" s="137">
        <f>Mitigation_Industry!$F$316*Q$14+Mitigation_Industry!$G$316*Q$13</f>
        <v>0</v>
      </c>
      <c r="R41" s="137">
        <f>Mitigation_Industry!$F$316*R$14+Mitigation_Industry!$G$316*R$13</f>
        <v>0</v>
      </c>
      <c r="S41" s="137">
        <f>Mitigation_Industry!$F$316*S$14+Mitigation_Industry!$G$316*S$13</f>
        <v>0</v>
      </c>
      <c r="T41" s="137">
        <f>Mitigation_Industry!$F$316*T$14+Mitigation_Industry!$G$316*T$13</f>
        <v>0</v>
      </c>
      <c r="U41" s="137">
        <f>Mitigation_Industry!$F$316*U$14+Mitigation_Industry!$G$316*U$13</f>
        <v>0</v>
      </c>
      <c r="V41" s="137">
        <f>Mitigation_Industry!$F$316*V$14+Mitigation_Industry!$G$316*V$13</f>
        <v>0</v>
      </c>
      <c r="W41" s="137">
        <f>Mitigation_Industry!$F$316*W$14+Mitigation_Industry!$G$316*W$13</f>
        <v>0</v>
      </c>
      <c r="X41" s="137">
        <f>Mitigation_Industry!$F$316*X$14+Mitigation_Industry!$G$316*X$13</f>
        <v>0</v>
      </c>
      <c r="Y41" s="137">
        <f>Mitigation_Industry!$F$316*Y$14+Mitigation_Industry!$G$316*Y$13</f>
        <v>0</v>
      </c>
      <c r="Z41" s="137">
        <f>Mitigation_Industry!$F$316*Z$14+Mitigation_Industry!$G$316*Z$13</f>
        <v>0</v>
      </c>
      <c r="AA41" s="137">
        <f>Mitigation_Industry!$F$316*AA$14+Mitigation_Industry!$G$316*AA$13</f>
        <v>0</v>
      </c>
      <c r="AB41" s="137">
        <f>Mitigation_Industry!$F$316*AB$14+Mitigation_Industry!$G$316*AB$13</f>
        <v>0</v>
      </c>
      <c r="AC41" s="137">
        <f>Mitigation_Industry!$F$316*AC$14+Mitigation_Industry!$G$316*AC$13</f>
        <v>0</v>
      </c>
      <c r="AD41" s="137">
        <f>Mitigation_Industry!$F$316*AD$14+Mitigation_Industry!$G$316*AD$13</f>
        <v>0</v>
      </c>
      <c r="AE41" s="137">
        <f>Mitigation_Industry!$F$316*AE$14+Mitigation_Industry!$G$316*AE$13</f>
        <v>0</v>
      </c>
      <c r="AF41" s="138"/>
      <c r="AG41" s="138"/>
      <c r="AH41" s="138"/>
      <c r="AI41" s="138"/>
    </row>
    <row r="42" spans="1:35" customFormat="1" ht="15" x14ac:dyDescent="0.25">
      <c r="B42" s="14" t="s">
        <v>2593</v>
      </c>
      <c r="C42" s="14" t="s">
        <v>115</v>
      </c>
      <c r="D42" s="15" t="s">
        <v>2594</v>
      </c>
      <c r="E42" s="16" t="s">
        <v>1398</v>
      </c>
      <c r="F42" s="14" t="s">
        <v>2561</v>
      </c>
      <c r="G42" s="17"/>
      <c r="H42" s="125" t="str">
        <f>Settings!$B$3&amp;".mit.pp.alu.prp.no.1"</f>
        <v>egy.mit.pp.alu.prp.no.1</v>
      </c>
      <c r="K42" s="136"/>
      <c r="L42" s="137">
        <f>Mitigation_Industry!$F$317*L$14+Mitigation_Industry!$G$317*L$13</f>
        <v>0</v>
      </c>
      <c r="M42" s="137">
        <f>Mitigation_Industry!$F$317*M$14+Mitigation_Industry!$G$317*M$13</f>
        <v>0</v>
      </c>
      <c r="N42" s="137">
        <f>Mitigation_Industry!$F$317*N$14+Mitigation_Industry!$G$317*N$13</f>
        <v>0</v>
      </c>
      <c r="O42" s="137">
        <f>Mitigation_Industry!$F$317*O$14+Mitigation_Industry!$G$317*O$13</f>
        <v>0</v>
      </c>
      <c r="P42" s="137">
        <f>Mitigation_Industry!$F$317*P$14+Mitigation_Industry!$G$317*P$13</f>
        <v>0</v>
      </c>
      <c r="Q42" s="137">
        <f>Mitigation_Industry!$F$317*Q$14+Mitigation_Industry!$G$317*Q$13</f>
        <v>0</v>
      </c>
      <c r="R42" s="137">
        <f>Mitigation_Industry!$F$317*R$14+Mitigation_Industry!$G$317*R$13</f>
        <v>0</v>
      </c>
      <c r="S42" s="137">
        <f>Mitigation_Industry!$F$317*S$14+Mitigation_Industry!$G$317*S$13</f>
        <v>0</v>
      </c>
      <c r="T42" s="137">
        <f>Mitigation_Industry!$F$317*T$14+Mitigation_Industry!$G$317*T$13</f>
        <v>0</v>
      </c>
      <c r="U42" s="137">
        <f>Mitigation_Industry!$F$317*U$14+Mitigation_Industry!$G$317*U$13</f>
        <v>0</v>
      </c>
      <c r="V42" s="137">
        <f>Mitigation_Industry!$F$317*V$14+Mitigation_Industry!$G$317*V$13</f>
        <v>0</v>
      </c>
      <c r="W42" s="137">
        <f>Mitigation_Industry!$F$317*W$14+Mitigation_Industry!$G$317*W$13</f>
        <v>0</v>
      </c>
      <c r="X42" s="137">
        <f>Mitigation_Industry!$F$317*X$14+Mitigation_Industry!$G$317*X$13</f>
        <v>0</v>
      </c>
      <c r="Y42" s="137">
        <f>Mitigation_Industry!$F$317*Y$14+Mitigation_Industry!$G$317*Y$13</f>
        <v>0</v>
      </c>
      <c r="Z42" s="137">
        <f>Mitigation_Industry!$F$317*Z$14+Mitigation_Industry!$G$317*Z$13</f>
        <v>0</v>
      </c>
      <c r="AA42" s="137">
        <f>Mitigation_Industry!$F$317*AA$14+Mitigation_Industry!$G$317*AA$13</f>
        <v>0</v>
      </c>
      <c r="AB42" s="137">
        <f>Mitigation_Industry!$F$317*AB$14+Mitigation_Industry!$G$317*AB$13</f>
        <v>0</v>
      </c>
      <c r="AC42" s="137">
        <f>Mitigation_Industry!$F$317*AC$14+Mitigation_Industry!$G$317*AC$13</f>
        <v>0</v>
      </c>
      <c r="AD42" s="137">
        <f>Mitigation_Industry!$F$317*AD$14+Mitigation_Industry!$G$317*AD$13</f>
        <v>0</v>
      </c>
      <c r="AE42" s="137">
        <f>Mitigation_Industry!$F$317*AE$14+Mitigation_Industry!$G$317*AE$13</f>
        <v>0</v>
      </c>
      <c r="AF42" s="138"/>
      <c r="AG42" s="138"/>
      <c r="AH42" s="138"/>
      <c r="AI42" s="138"/>
    </row>
    <row r="43" spans="1:35" x14ac:dyDescent="0.2"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</row>
    <row r="44" spans="1:35" customFormat="1" ht="15" x14ac:dyDescent="0.25">
      <c r="A44" s="11"/>
      <c r="B44" s="6"/>
      <c r="C44" s="7" t="s">
        <v>2595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4">
        <v>2021</v>
      </c>
      <c r="L44" s="135">
        <v>2022</v>
      </c>
      <c r="M44" s="134">
        <v>2023</v>
      </c>
      <c r="N44" s="134">
        <v>2024</v>
      </c>
      <c r="O44" s="134">
        <v>2025</v>
      </c>
      <c r="P44" s="134">
        <v>2026</v>
      </c>
      <c r="Q44" s="134">
        <v>2027</v>
      </c>
      <c r="R44" s="134">
        <v>2028</v>
      </c>
      <c r="S44" s="134">
        <v>2029</v>
      </c>
      <c r="T44" s="134">
        <v>2030</v>
      </c>
      <c r="U44" s="134">
        <v>2031</v>
      </c>
      <c r="V44" s="134">
        <v>2032</v>
      </c>
      <c r="W44" s="134">
        <v>2033</v>
      </c>
      <c r="X44" s="134">
        <v>2034</v>
      </c>
      <c r="Y44" s="134">
        <v>2035</v>
      </c>
      <c r="Z44" s="134">
        <v>2036</v>
      </c>
      <c r="AA44" s="134">
        <v>2037</v>
      </c>
      <c r="AB44" s="134">
        <v>2038</v>
      </c>
      <c r="AC44" s="134">
        <v>2039</v>
      </c>
      <c r="AD44" s="134">
        <v>2040</v>
      </c>
      <c r="AE44" s="134">
        <v>2041</v>
      </c>
      <c r="AF44" s="134">
        <v>2042</v>
      </c>
      <c r="AG44" s="134">
        <v>2043</v>
      </c>
      <c r="AH44" s="134">
        <v>2044</v>
      </c>
      <c r="AI44" s="134">
        <v>2045</v>
      </c>
    </row>
    <row r="45" spans="1:35" customFormat="1" ht="15" x14ac:dyDescent="0.25">
      <c r="B45" s="14" t="s">
        <v>1435</v>
      </c>
      <c r="C45" s="14" t="s">
        <v>43</v>
      </c>
      <c r="D45" s="15" t="s">
        <v>2596</v>
      </c>
      <c r="E45" s="16" t="s">
        <v>2065</v>
      </c>
      <c r="F45" s="14" t="s">
        <v>2595</v>
      </c>
      <c r="G45" s="17"/>
      <c r="H45" s="125" t="str">
        <f>Settings!$B$3&amp;".mit.wf.stl.drg.1"</f>
        <v>egy.mit.wf.stl.drg.1</v>
      </c>
      <c r="I45" t="s">
        <v>2597</v>
      </c>
      <c r="K45" s="136"/>
      <c r="L45" s="137">
        <f>Mitigation_Industry!L$330</f>
        <v>2.6717650641872548</v>
      </c>
      <c r="M45" s="137">
        <f>Mitigation_Industry!M$330</f>
        <v>2.789322727011494</v>
      </c>
      <c r="N45" s="137">
        <f>Mitigation_Industry!N$330</f>
        <v>2.9120529269999995</v>
      </c>
      <c r="O45" s="137">
        <f>Mitigation_Industry!O$330</f>
        <v>3.0401832557880004</v>
      </c>
      <c r="P45" s="137">
        <f>Mitigation_Industry!P$330</f>
        <v>3.173951319042672</v>
      </c>
      <c r="Q45" s="137">
        <f>Mitigation_Industry!Q$330</f>
        <v>3.3136051770805501</v>
      </c>
      <c r="R45" s="137">
        <f>Mitigation_Industry!R$330</f>
        <v>3.4594038048720939</v>
      </c>
      <c r="S45" s="137">
        <f>Mitigation_Industry!S$330</f>
        <v>3.6116175722864661</v>
      </c>
      <c r="T45" s="137">
        <f>Mitigation_Industry!T$330</f>
        <v>3.7705287454670713</v>
      </c>
      <c r="U45" s="137">
        <f>Mitigation_Industry!U$330</f>
        <v>3.9364320102676222</v>
      </c>
      <c r="V45" s="137">
        <f>Mitigation_Industry!V$330</f>
        <v>4.1096350187193975</v>
      </c>
      <c r="W45" s="137">
        <f>Mitigation_Industry!W$330</f>
        <v>4.2904589595430505</v>
      </c>
      <c r="X45" s="137">
        <f>Mitigation_Industry!X$330</f>
        <v>4.4792391537629452</v>
      </c>
      <c r="Y45" s="137">
        <f>Mitigation_Industry!Y$330</f>
        <v>4.6763256765285162</v>
      </c>
      <c r="Z45" s="137">
        <f>Mitigation_Industry!Z$330</f>
        <v>4.8820840062957691</v>
      </c>
      <c r="AA45" s="137">
        <f>Mitigation_Industry!AA$330</f>
        <v>5.096895702572783</v>
      </c>
      <c r="AB45" s="137">
        <f>Mitigation_Industry!AB$330</f>
        <v>5.3211591134859875</v>
      </c>
      <c r="AC45" s="137">
        <f>Mitigation_Industry!AC$330</f>
        <v>5.5552901144793703</v>
      </c>
      <c r="AD45" s="137">
        <f>Mitigation_Industry!AD$330</f>
        <v>5.7997228795164624</v>
      </c>
      <c r="AE45" s="137">
        <f>Mitigation_Industry!AE$330</f>
        <v>6.0549106862151856</v>
      </c>
      <c r="AF45" s="138"/>
      <c r="AG45" s="138"/>
      <c r="AH45" s="138"/>
      <c r="AI45" s="138"/>
    </row>
    <row r="46" spans="1:35" customFormat="1" ht="15" x14ac:dyDescent="0.25">
      <c r="B46" s="14" t="s">
        <v>1438</v>
      </c>
      <c r="C46" s="14" t="s">
        <v>43</v>
      </c>
      <c r="D46" s="15" t="s">
        <v>2598</v>
      </c>
      <c r="E46" s="16" t="s">
        <v>2065</v>
      </c>
      <c r="F46" s="14" t="s">
        <v>2595</v>
      </c>
      <c r="G46" s="17"/>
      <c r="H46" s="125" t="str">
        <f>Settings!$B$3&amp;".mit.wf.stl.scr.1"</f>
        <v>egy.mit.wf.stl.scr.1</v>
      </c>
      <c r="K46" s="136"/>
      <c r="L46" s="137">
        <f>Mitigation_Industry!L$331</f>
        <v>0.19764830228563882</v>
      </c>
      <c r="M46" s="137">
        <f>Mitigation_Industry!M$331</f>
        <v>0.20634482758620692</v>
      </c>
      <c r="N46" s="137">
        <f>Mitigation_Industry!N$331</f>
        <v>0.215424</v>
      </c>
      <c r="O46" s="137">
        <f>Mitigation_Industry!O$331</f>
        <v>0.22490265600000001</v>
      </c>
      <c r="P46" s="137">
        <f>Mitigation_Industry!P$331</f>
        <v>0.23479837286400002</v>
      </c>
      <c r="Q46" s="137">
        <f>Mitigation_Industry!Q$331</f>
        <v>0.24512950127001604</v>
      </c>
      <c r="R46" s="137">
        <f>Mitigation_Industry!R$331</f>
        <v>0.25591519932589668</v>
      </c>
      <c r="S46" s="137">
        <f>Mitigation_Industry!S$331</f>
        <v>0.26717546809623621</v>
      </c>
      <c r="T46" s="137">
        <f>Mitigation_Industry!T$331</f>
        <v>0.27893118869247063</v>
      </c>
      <c r="U46" s="137">
        <f>Mitigation_Industry!U$331</f>
        <v>0.29120416099493934</v>
      </c>
      <c r="V46" s="137">
        <f>Mitigation_Industry!V$331</f>
        <v>0.30401714407871661</v>
      </c>
      <c r="W46" s="137">
        <f>Mitigation_Industry!W$331</f>
        <v>0.31739389841818022</v>
      </c>
      <c r="X46" s="137">
        <f>Mitigation_Industry!X$331</f>
        <v>0.33135922994858014</v>
      </c>
      <c r="Y46" s="137">
        <f>Mitigation_Industry!Y$331</f>
        <v>0.34593903606631771</v>
      </c>
      <c r="Z46" s="137">
        <f>Mitigation_Industry!Z$331</f>
        <v>0.36116035365323562</v>
      </c>
      <c r="AA46" s="137">
        <f>Mitigation_Industry!AA$331</f>
        <v>0.37705140921397801</v>
      </c>
      <c r="AB46" s="137">
        <f>Mitigation_Industry!AB$331</f>
        <v>0.39364167121939314</v>
      </c>
      <c r="AC46" s="137">
        <f>Mitigation_Industry!AC$331</f>
        <v>0.41096190475304639</v>
      </c>
      <c r="AD46" s="137">
        <f>Mitigation_Industry!AD$331</f>
        <v>0.42904422856218044</v>
      </c>
      <c r="AE46" s="137">
        <f>Mitigation_Industry!AE$331</f>
        <v>0.44792217461891631</v>
      </c>
      <c r="AF46" s="138"/>
      <c r="AG46" s="138"/>
      <c r="AH46" s="138"/>
      <c r="AI46" s="138"/>
    </row>
    <row r="47" spans="1:35" customFormat="1" ht="15" x14ac:dyDescent="0.25">
      <c r="B47" s="14" t="s">
        <v>1441</v>
      </c>
      <c r="C47" s="14" t="s">
        <v>43</v>
      </c>
      <c r="D47" s="15" t="s">
        <v>2599</v>
      </c>
      <c r="E47" s="16" t="s">
        <v>2065</v>
      </c>
      <c r="F47" s="14" t="s">
        <v>2595</v>
      </c>
      <c r="G47" s="17"/>
      <c r="H47" s="125" t="str">
        <f>Settings!$B$3&amp;".mit.wf.stl.bof.1"</f>
        <v>egy.mit.wf.stl.bof.1</v>
      </c>
      <c r="K47" s="136"/>
      <c r="L47" s="137">
        <f>Mitigation_Industry!L$332</f>
        <v>0</v>
      </c>
      <c r="M47" s="137">
        <f>Mitigation_Industry!M$332</f>
        <v>0</v>
      </c>
      <c r="N47" s="137">
        <f>Mitigation_Industry!N$332</f>
        <v>0</v>
      </c>
      <c r="O47" s="137">
        <f>Mitigation_Industry!O$332</f>
        <v>0</v>
      </c>
      <c r="P47" s="137">
        <f>Mitigation_Industry!P$332</f>
        <v>0</v>
      </c>
      <c r="Q47" s="137">
        <f>Mitigation_Industry!Q$332</f>
        <v>0</v>
      </c>
      <c r="R47" s="137">
        <f>Mitigation_Industry!R$332</f>
        <v>0</v>
      </c>
      <c r="S47" s="137">
        <f>Mitigation_Industry!S$332</f>
        <v>0</v>
      </c>
      <c r="T47" s="137">
        <f>Mitigation_Industry!T$332</f>
        <v>0</v>
      </c>
      <c r="U47" s="137">
        <f>Mitigation_Industry!U$332</f>
        <v>0</v>
      </c>
      <c r="V47" s="137">
        <f>Mitigation_Industry!V$332</f>
        <v>0</v>
      </c>
      <c r="W47" s="137">
        <f>Mitigation_Industry!W$332</f>
        <v>0</v>
      </c>
      <c r="X47" s="137">
        <f>Mitigation_Industry!X$332</f>
        <v>0</v>
      </c>
      <c r="Y47" s="137">
        <f>Mitigation_Industry!Y$332</f>
        <v>0</v>
      </c>
      <c r="Z47" s="137">
        <f>Mitigation_Industry!Z$332</f>
        <v>0</v>
      </c>
      <c r="AA47" s="137">
        <f>Mitigation_Industry!AA$332</f>
        <v>0</v>
      </c>
      <c r="AB47" s="137">
        <f>Mitigation_Industry!AB$332</f>
        <v>0</v>
      </c>
      <c r="AC47" s="137">
        <f>Mitigation_Industry!AC$332</f>
        <v>0</v>
      </c>
      <c r="AD47" s="137">
        <f>Mitigation_Industry!AD$332</f>
        <v>0</v>
      </c>
      <c r="AE47" s="137">
        <f>Mitigation_Industry!AE$332</f>
        <v>0</v>
      </c>
      <c r="AF47" s="138"/>
      <c r="AG47" s="138"/>
      <c r="AH47" s="138"/>
      <c r="AI47" s="138"/>
    </row>
    <row r="48" spans="1:35" customFormat="1" ht="15" x14ac:dyDescent="0.25">
      <c r="B48" s="14" t="s">
        <v>1444</v>
      </c>
      <c r="C48" s="14" t="s">
        <v>113</v>
      </c>
      <c r="D48" s="15" t="s">
        <v>2600</v>
      </c>
      <c r="E48" s="16" t="s">
        <v>2065</v>
      </c>
      <c r="F48" s="14" t="s">
        <v>2595</v>
      </c>
      <c r="G48" s="17"/>
      <c r="H48" s="125" t="str">
        <f>Settings!$B$3&amp;".mit.wf.cmt.dry.1"</f>
        <v>egy.mit.wf.cmt.dry.1</v>
      </c>
      <c r="K48" s="136"/>
      <c r="L48" s="137">
        <f>Mitigation_Industry!L$333</f>
        <v>14.692706044200628</v>
      </c>
      <c r="M48" s="137">
        <f>Mitigation_Industry!M$333</f>
        <v>15.177565343659246</v>
      </c>
      <c r="N48" s="137">
        <f>Mitigation_Industry!N$333</f>
        <v>15.678424999999999</v>
      </c>
      <c r="O48" s="137">
        <f>Mitigation_Industry!O$333</f>
        <v>16.195813024999996</v>
      </c>
      <c r="P48" s="137">
        <f>Mitigation_Industry!P$333</f>
        <v>16.730274854824994</v>
      </c>
      <c r="Q48" s="137">
        <f>Mitigation_Industry!Q$333</f>
        <v>17.282373925034218</v>
      </c>
      <c r="R48" s="137">
        <f>Mitigation_Industry!R$333</f>
        <v>17.852692264560343</v>
      </c>
      <c r="S48" s="137">
        <f>Mitigation_Industry!S$333</f>
        <v>18.441831109290838</v>
      </c>
      <c r="T48" s="137">
        <f>Mitigation_Industry!T$333</f>
        <v>19.050411535897432</v>
      </c>
      <c r="U48" s="137">
        <f>Mitigation_Industry!U$333</f>
        <v>19.679075116582045</v>
      </c>
      <c r="V48" s="137">
        <f>Mitigation_Industry!V$333</f>
        <v>20.328484595429249</v>
      </c>
      <c r="W48" s="137">
        <f>Mitigation_Industry!W$333</f>
        <v>20.999324587078412</v>
      </c>
      <c r="X48" s="137">
        <f>Mitigation_Industry!X$333</f>
        <v>21.692302298451992</v>
      </c>
      <c r="Y48" s="137">
        <f>Mitigation_Industry!Y$333</f>
        <v>22.40814827430091</v>
      </c>
      <c r="Z48" s="137">
        <f>Mitigation_Industry!Z$333</f>
        <v>23.147617167352838</v>
      </c>
      <c r="AA48" s="137">
        <f>Mitigation_Industry!AA$333</f>
        <v>23.911488533875481</v>
      </c>
      <c r="AB48" s="137">
        <f>Mitigation_Industry!AB$333</f>
        <v>24.700567655493362</v>
      </c>
      <c r="AC48" s="137">
        <f>Mitigation_Industry!AC$333</f>
        <v>25.515686388124642</v>
      </c>
      <c r="AD48" s="137">
        <f>Mitigation_Industry!AD$333</f>
        <v>26.357704038932756</v>
      </c>
      <c r="AE48" s="137">
        <f>Mitigation_Industry!AE$333</f>
        <v>27.227508272217527</v>
      </c>
      <c r="AF48" s="138"/>
      <c r="AG48" s="138"/>
      <c r="AH48" s="138"/>
      <c r="AI48" s="138"/>
    </row>
    <row r="49" spans="1:35" customFormat="1" ht="15" x14ac:dyDescent="0.25">
      <c r="B49" s="14" t="s">
        <v>1447</v>
      </c>
      <c r="C49" s="14" t="s">
        <v>117</v>
      </c>
      <c r="D49" s="15" t="s">
        <v>2601</v>
      </c>
      <c r="E49" s="16" t="s">
        <v>2065</v>
      </c>
      <c r="F49" s="14" t="s">
        <v>2595</v>
      </c>
      <c r="G49" s="17"/>
      <c r="H49" s="125" t="str">
        <f>Settings!$B$3&amp;".mit.wf.frt.amc.1"</f>
        <v>egy.mit.wf.frt.amc.1</v>
      </c>
      <c r="K49" s="136"/>
      <c r="L49" s="137">
        <f>Mitigation_Industry!L$334</f>
        <v>3.3747527008551588</v>
      </c>
      <c r="M49" s="137">
        <f>Mitigation_Industry!M$334</f>
        <v>3.4489972602739725</v>
      </c>
      <c r="N49" s="137">
        <f>Mitigation_Industry!N$334</f>
        <v>3.5248751999999999</v>
      </c>
      <c r="O49" s="137">
        <f>Mitigation_Industry!O$334</f>
        <v>3.6024224544000001</v>
      </c>
      <c r="P49" s="137">
        <f>Mitigation_Industry!P$334</f>
        <v>3.6816757483967999</v>
      </c>
      <c r="Q49" s="137">
        <f>Mitigation_Industry!Q$334</f>
        <v>3.7626726148615299</v>
      </c>
      <c r="R49" s="137">
        <f>Mitigation_Industry!R$334</f>
        <v>3.8454514123884831</v>
      </c>
      <c r="S49" s="137">
        <f>Mitigation_Industry!S$334</f>
        <v>3.9300513434610296</v>
      </c>
      <c r="T49" s="137">
        <f>Mitigation_Industry!T$334</f>
        <v>4.0165124730171726</v>
      </c>
      <c r="U49" s="137">
        <f>Mitigation_Industry!U$334</f>
        <v>4.1048757474235504</v>
      </c>
      <c r="V49" s="137">
        <f>Mitigation_Industry!V$334</f>
        <v>4.1951830138668695</v>
      </c>
      <c r="W49" s="137">
        <f>Mitigation_Industry!W$334</f>
        <v>4.2874770401719395</v>
      </c>
      <c r="X49" s="137">
        <f>Mitigation_Industry!X$334</f>
        <v>4.3818015350557227</v>
      </c>
      <c r="Y49" s="137">
        <f>Mitigation_Industry!Y$334</f>
        <v>4.4782011688269483</v>
      </c>
      <c r="Z49" s="137">
        <f>Mitigation_Industry!Z$334</f>
        <v>4.5767215945411417</v>
      </c>
      <c r="AA49" s="137">
        <f>Mitigation_Industry!AA$334</f>
        <v>4.6774094696210469</v>
      </c>
      <c r="AB49" s="137">
        <f>Mitigation_Industry!AB$334</f>
        <v>4.7803124779527089</v>
      </c>
      <c r="AC49" s="137">
        <f>Mitigation_Industry!AC$334</f>
        <v>4.8854793524676694</v>
      </c>
      <c r="AD49" s="137">
        <f>Mitigation_Industry!AD$334</f>
        <v>4.9929598982219581</v>
      </c>
      <c r="AE49" s="137">
        <f>Mitigation_Industry!AE$334</f>
        <v>5.1028050159828409</v>
      </c>
      <c r="AF49" s="138"/>
      <c r="AG49" s="138"/>
      <c r="AH49" s="138"/>
      <c r="AI49" s="138"/>
    </row>
    <row r="50" spans="1:35" customFormat="1" ht="15" x14ac:dyDescent="0.25">
      <c r="B50" s="14" t="s">
        <v>1450</v>
      </c>
      <c r="C50" s="14" t="s">
        <v>117</v>
      </c>
      <c r="D50" s="15" t="s">
        <v>2602</v>
      </c>
      <c r="E50" s="16" t="s">
        <v>2065</v>
      </c>
      <c r="F50" s="14" t="s">
        <v>2595</v>
      </c>
      <c r="G50" s="17"/>
      <c r="H50" s="125" t="str">
        <f>Settings!$B$3&amp;".mit.wf.frt.ure.1"</f>
        <v>egy.mit.wf.frt.ure.1</v>
      </c>
      <c r="K50" s="136"/>
      <c r="L50" s="137">
        <f>Mitigation_Industry!L$335</f>
        <v>0.30078009811543305</v>
      </c>
      <c r="M50" s="137">
        <f>Mitigation_Industry!M$335</f>
        <v>0.30739726027397257</v>
      </c>
      <c r="N50" s="137">
        <f>Mitigation_Industry!N$335</f>
        <v>0.31415999999999999</v>
      </c>
      <c r="O50" s="137">
        <f>Mitigation_Industry!O$335</f>
        <v>0.32107151999999994</v>
      </c>
      <c r="P50" s="137">
        <f>Mitigation_Industry!P$335</f>
        <v>0.32813509343999991</v>
      </c>
      <c r="Q50" s="137">
        <f>Mitigation_Industry!Q$335</f>
        <v>0.33535406549567992</v>
      </c>
      <c r="R50" s="137">
        <f>Mitigation_Industry!R$335</f>
        <v>0.34273185493658498</v>
      </c>
      <c r="S50" s="137">
        <f>Mitigation_Industry!S$335</f>
        <v>0.35027195574518982</v>
      </c>
      <c r="T50" s="137">
        <f>Mitigation_Industry!T$335</f>
        <v>0.3579779387715839</v>
      </c>
      <c r="U50" s="137">
        <f>Mitigation_Industry!U$335</f>
        <v>0.36585345342455883</v>
      </c>
      <c r="V50" s="137">
        <f>Mitigation_Industry!V$335</f>
        <v>0.37390222939989914</v>
      </c>
      <c r="W50" s="137">
        <f>Mitigation_Industry!W$335</f>
        <v>0.38212807844669694</v>
      </c>
      <c r="X50" s="137">
        <f>Mitigation_Industry!X$335</f>
        <v>0.39053489617252429</v>
      </c>
      <c r="Y50" s="137">
        <f>Mitigation_Industry!Y$335</f>
        <v>0.39912666388831985</v>
      </c>
      <c r="Z50" s="137">
        <f>Mitigation_Industry!Z$335</f>
        <v>0.4079074504938629</v>
      </c>
      <c r="AA50" s="137">
        <f>Mitigation_Industry!AA$335</f>
        <v>0.41688141440472787</v>
      </c>
      <c r="AB50" s="137">
        <f>Mitigation_Industry!AB$335</f>
        <v>0.42605280552163183</v>
      </c>
      <c r="AC50" s="137">
        <f>Mitigation_Industry!AC$335</f>
        <v>0.43542596724310778</v>
      </c>
      <c r="AD50" s="137">
        <f>Mitigation_Industry!AD$335</f>
        <v>0.44500533852245616</v>
      </c>
      <c r="AE50" s="137">
        <f>Mitigation_Industry!AE$335</f>
        <v>0.45479545596995019</v>
      </c>
      <c r="AF50" s="138"/>
      <c r="AG50" s="138"/>
      <c r="AH50" s="138"/>
      <c r="AI50" s="138"/>
    </row>
    <row r="51" spans="1:35" customFormat="1" ht="15" x14ac:dyDescent="0.25">
      <c r="B51" s="14" t="s">
        <v>1453</v>
      </c>
      <c r="C51" s="14" t="s">
        <v>117</v>
      </c>
      <c r="D51" s="15" t="s">
        <v>2603</v>
      </c>
      <c r="E51" s="16" t="s">
        <v>2065</v>
      </c>
      <c r="F51" s="14" t="s">
        <v>2595</v>
      </c>
      <c r="G51" s="17"/>
      <c r="H51" s="125" t="str">
        <f>Settings!$B$3&amp;".mit.wf.frt.nit.1"</f>
        <v>egy.mit.wf.frt.nit.1</v>
      </c>
      <c r="K51" s="136"/>
      <c r="L51" s="137">
        <f>Mitigation_Industry!L$336</f>
        <v>6.4452878167592806E-2</v>
      </c>
      <c r="M51" s="137">
        <f>Mitigation_Industry!M$336</f>
        <v>6.5870841487279841E-2</v>
      </c>
      <c r="N51" s="137">
        <f>Mitigation_Industry!N$336</f>
        <v>6.7319999999999991E-2</v>
      </c>
      <c r="O51" s="137">
        <f>Mitigation_Industry!O$336</f>
        <v>6.8801039999999994E-2</v>
      </c>
      <c r="P51" s="137">
        <f>Mitigation_Industry!P$336</f>
        <v>7.031466287999999E-2</v>
      </c>
      <c r="Q51" s="137">
        <f>Mitigation_Industry!Q$336</f>
        <v>7.1861585463359995E-2</v>
      </c>
      <c r="R51" s="137">
        <f>Mitigation_Industry!R$336</f>
        <v>7.3442540343553922E-2</v>
      </c>
      <c r="S51" s="137">
        <f>Mitigation_Industry!S$336</f>
        <v>7.5058276231112109E-2</v>
      </c>
      <c r="T51" s="137">
        <f>Mitigation_Industry!T$336</f>
        <v>7.6709558308196563E-2</v>
      </c>
      <c r="U51" s="137">
        <f>Mitigation_Industry!U$336</f>
        <v>7.8397168590976896E-2</v>
      </c>
      <c r="V51" s="137">
        <f>Mitigation_Industry!V$336</f>
        <v>8.012190629997841E-2</v>
      </c>
      <c r="W51" s="137">
        <f>Mitigation_Industry!W$336</f>
        <v>8.1884588238577902E-2</v>
      </c>
      <c r="X51" s="137">
        <f>Mitigation_Industry!X$336</f>
        <v>8.3686049179826624E-2</v>
      </c>
      <c r="Y51" s="137">
        <f>Mitigation_Industry!Y$336</f>
        <v>8.5527142261782832E-2</v>
      </c>
      <c r="Z51" s="137">
        <f>Mitigation_Industry!Z$336</f>
        <v>8.7408739391542062E-2</v>
      </c>
      <c r="AA51" s="137">
        <f>Mitigation_Industry!AA$336</f>
        <v>8.9331731658155972E-2</v>
      </c>
      <c r="AB51" s="137">
        <f>Mitigation_Industry!AB$336</f>
        <v>9.1297029754635384E-2</v>
      </c>
      <c r="AC51" s="137">
        <f>Mitigation_Industry!AC$336</f>
        <v>9.3305564409237374E-2</v>
      </c>
      <c r="AD51" s="137">
        <f>Mitigation_Industry!AD$336</f>
        <v>9.5358286826240604E-2</v>
      </c>
      <c r="AE51" s="137">
        <f>Mitigation_Industry!AE$336</f>
        <v>9.74561691364179E-2</v>
      </c>
      <c r="AF51" s="138"/>
      <c r="AG51" s="138"/>
      <c r="AH51" s="138"/>
      <c r="AI51" s="138"/>
    </row>
    <row r="52" spans="1:35" customFormat="1" ht="15" x14ac:dyDescent="0.25">
      <c r="B52" s="14" t="s">
        <v>1456</v>
      </c>
      <c r="C52" s="14" t="s">
        <v>115</v>
      </c>
      <c r="D52" s="15" t="s">
        <v>2604</v>
      </c>
      <c r="E52" s="16" t="s">
        <v>2065</v>
      </c>
      <c r="F52" s="14" t="s">
        <v>2595</v>
      </c>
      <c r="G52" s="17"/>
      <c r="H52" s="125" t="str">
        <f>Settings!$B$3&amp;".mit.wf.alu.prp.1"</f>
        <v>egy.mit.wf.alu.prp.1</v>
      </c>
      <c r="K52" s="136"/>
      <c r="L52" s="137">
        <f>Mitigation_Industry!L$337</f>
        <v>3.3266099144224071E-2</v>
      </c>
      <c r="M52" s="137">
        <f>Mitigation_Industry!M$337</f>
        <v>3.5095734597156404E-2</v>
      </c>
      <c r="N52" s="137">
        <f>Mitigation_Industry!N$337</f>
        <v>3.7026000000000003E-2</v>
      </c>
      <c r="O52" s="137">
        <f>Mitigation_Industry!O$337</f>
        <v>3.9062430000000002E-2</v>
      </c>
      <c r="P52" s="137">
        <f>Mitigation_Industry!P$337</f>
        <v>4.1210863649999999E-2</v>
      </c>
      <c r="Q52" s="137">
        <f>Mitigation_Industry!Q$337</f>
        <v>4.3477461150749991E-2</v>
      </c>
      <c r="R52" s="137">
        <f>Mitigation_Industry!R$337</f>
        <v>4.5868721514041248E-2</v>
      </c>
      <c r="S52" s="137">
        <f>Mitigation_Industry!S$337</f>
        <v>4.8391501197313509E-2</v>
      </c>
      <c r="T52" s="137">
        <f>Mitigation_Industry!T$337</f>
        <v>5.105303376316575E-2</v>
      </c>
      <c r="U52" s="137">
        <f>Mitigation_Industry!U$337</f>
        <v>5.3860950620139861E-2</v>
      </c>
      <c r="V52" s="137">
        <f>Mitigation_Industry!V$337</f>
        <v>5.6823302904247558E-2</v>
      </c>
      <c r="W52" s="137">
        <f>Mitigation_Industry!W$337</f>
        <v>5.9948584563981173E-2</v>
      </c>
      <c r="X52" s="137">
        <f>Mitigation_Industry!X$337</f>
        <v>6.3245756715000129E-2</v>
      </c>
      <c r="Y52" s="137">
        <f>Mitigation_Industry!Y$337</f>
        <v>6.6724273334325138E-2</v>
      </c>
      <c r="Z52" s="137">
        <f>Mitigation_Industry!Z$337</f>
        <v>7.039410836771301E-2</v>
      </c>
      <c r="AA52" s="137">
        <f>Mitigation_Industry!AA$337</f>
        <v>7.426578432793722E-2</v>
      </c>
      <c r="AB52" s="137">
        <f>Mitigation_Industry!AB$337</f>
        <v>7.8350402465973787E-2</v>
      </c>
      <c r="AC52" s="137">
        <f>Mitigation_Industry!AC$337</f>
        <v>8.2659674601602312E-2</v>
      </c>
      <c r="AD52" s="137">
        <f>Mitigation_Industry!AD$337</f>
        <v>8.7205956704690446E-2</v>
      </c>
      <c r="AE52" s="137">
        <f>Mitigation_Industry!AE$337</f>
        <v>9.2002284323448424E-2</v>
      </c>
      <c r="AF52" s="138"/>
      <c r="AG52" s="138"/>
      <c r="AH52" s="138"/>
      <c r="AI52" s="138"/>
    </row>
    <row r="53" spans="1:35" x14ac:dyDescent="0.2"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</row>
    <row r="54" spans="1:35" customFormat="1" ht="15" x14ac:dyDescent="0.25">
      <c r="A54" s="11"/>
      <c r="B54" s="6"/>
      <c r="C54" s="7" t="s">
        <v>2605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4">
        <v>2021</v>
      </c>
      <c r="L54" s="135">
        <v>2022</v>
      </c>
      <c r="M54" s="134">
        <v>2023</v>
      </c>
      <c r="N54" s="134">
        <v>2024</v>
      </c>
      <c r="O54" s="134">
        <v>2025</v>
      </c>
      <c r="P54" s="134">
        <v>2026</v>
      </c>
      <c r="Q54" s="134">
        <v>2027</v>
      </c>
      <c r="R54" s="134">
        <v>2028</v>
      </c>
      <c r="S54" s="134">
        <v>2029</v>
      </c>
      <c r="T54" s="134">
        <v>2030</v>
      </c>
      <c r="U54" s="134">
        <v>2031</v>
      </c>
      <c r="V54" s="134">
        <v>2032</v>
      </c>
      <c r="W54" s="134">
        <v>2033</v>
      </c>
      <c r="X54" s="134">
        <v>2034</v>
      </c>
      <c r="Y54" s="134">
        <v>2035</v>
      </c>
      <c r="Z54" s="134">
        <v>2036</v>
      </c>
      <c r="AA54" s="134">
        <v>2037</v>
      </c>
      <c r="AB54" s="134">
        <v>2038</v>
      </c>
      <c r="AC54" s="134">
        <v>2039</v>
      </c>
      <c r="AD54" s="134">
        <v>2040</v>
      </c>
      <c r="AE54" s="134">
        <v>2041</v>
      </c>
      <c r="AF54" s="134">
        <v>2042</v>
      </c>
      <c r="AG54" s="134">
        <v>2043</v>
      </c>
      <c r="AH54" s="134">
        <v>2044</v>
      </c>
      <c r="AI54" s="134">
        <v>2045</v>
      </c>
    </row>
    <row r="55" spans="1:35" customFormat="1" ht="15" x14ac:dyDescent="0.25">
      <c r="B55" s="14" t="s">
        <v>1435</v>
      </c>
      <c r="C55" s="14" t="s">
        <v>43</v>
      </c>
      <c r="D55" s="15" t="s">
        <v>2606</v>
      </c>
      <c r="E55" s="16" t="s">
        <v>2607</v>
      </c>
      <c r="F55" s="14" t="s">
        <v>2605</v>
      </c>
      <c r="G55" s="17"/>
      <c r="H55" s="125" t="str">
        <f>Settings!$B$3&amp;".mit.bf.stl.drg.1"</f>
        <v>egy.mit.bf.stl.drg.1</v>
      </c>
      <c r="I55" t="s">
        <v>2608</v>
      </c>
      <c r="K55" s="136"/>
      <c r="L55" s="139">
        <f>Mitigation_Industry!$E$352</f>
        <v>1.0536051565782599E-3</v>
      </c>
      <c r="M55" s="139">
        <f>Mitigation_Industry!$E$352</f>
        <v>1.0536051565782599E-3</v>
      </c>
      <c r="N55" s="139">
        <f>Mitigation_Industry!$E$352</f>
        <v>1.0536051565782599E-3</v>
      </c>
      <c r="O55" s="139">
        <f>Mitigation_Industry!$E$352</f>
        <v>1.0536051565782599E-3</v>
      </c>
      <c r="P55" s="139">
        <f>Mitigation_Industry!$E$352</f>
        <v>1.0536051565782599E-3</v>
      </c>
      <c r="Q55" s="139">
        <f>Mitigation_Industry!$E$352</f>
        <v>1.0536051565782599E-3</v>
      </c>
      <c r="R55" s="139">
        <f>Mitigation_Industry!$E$352</f>
        <v>1.0536051565782599E-3</v>
      </c>
      <c r="S55" s="139">
        <f>Mitigation_Industry!$E$352</f>
        <v>1.0536051565782599E-3</v>
      </c>
      <c r="T55" s="139">
        <f>Mitigation_Industry!$E$352</f>
        <v>1.0536051565782599E-3</v>
      </c>
      <c r="U55" s="139">
        <f>Mitigation_Industry!$E$352</f>
        <v>1.0536051565782599E-3</v>
      </c>
      <c r="V55" s="139">
        <f>Mitigation_Industry!$E$352</f>
        <v>1.0536051565782599E-3</v>
      </c>
      <c r="W55" s="139">
        <f>Mitigation_Industry!$E$352</f>
        <v>1.0536051565782599E-3</v>
      </c>
      <c r="X55" s="139">
        <f>Mitigation_Industry!$E$352</f>
        <v>1.0536051565782599E-3</v>
      </c>
      <c r="Y55" s="139">
        <f>Mitigation_Industry!$E$352</f>
        <v>1.0536051565782599E-3</v>
      </c>
      <c r="Z55" s="139">
        <f>Mitigation_Industry!$E$352</f>
        <v>1.0536051565782599E-3</v>
      </c>
      <c r="AA55" s="139">
        <f>Mitigation_Industry!$E$352</f>
        <v>1.0536051565782599E-3</v>
      </c>
      <c r="AB55" s="139">
        <f>Mitigation_Industry!$E$352</f>
        <v>1.0536051565782599E-3</v>
      </c>
      <c r="AC55" s="139">
        <f>Mitigation_Industry!$E$352</f>
        <v>1.0536051565782599E-3</v>
      </c>
      <c r="AD55" s="139">
        <f>Mitigation_Industry!$E$352</f>
        <v>1.0536051565782599E-3</v>
      </c>
      <c r="AE55" s="139">
        <f>Mitigation_Industry!$E$352</f>
        <v>1.0536051565782599E-3</v>
      </c>
      <c r="AF55" s="138"/>
      <c r="AG55" s="138"/>
      <c r="AH55" s="138"/>
      <c r="AI55" s="138"/>
    </row>
    <row r="56" spans="1:35" customFormat="1" ht="15" x14ac:dyDescent="0.25">
      <c r="B56" s="14" t="s">
        <v>1438</v>
      </c>
      <c r="C56" s="14" t="s">
        <v>43</v>
      </c>
      <c r="D56" s="15" t="s">
        <v>2609</v>
      </c>
      <c r="E56" s="16" t="s">
        <v>2607</v>
      </c>
      <c r="F56" s="14" t="s">
        <v>2605</v>
      </c>
      <c r="G56" s="17"/>
      <c r="H56" s="125" t="str">
        <f>Settings!$B$3&amp;".mit.bf.stl.scr.1"</f>
        <v>egy.mit.bf.stl.scr.1</v>
      </c>
      <c r="K56" s="136"/>
      <c r="L56" s="139">
        <f>Mitigation_Industry!$E$353</f>
        <v>2.0202707317519501E-4</v>
      </c>
      <c r="M56" s="139">
        <f>Mitigation_Industry!$E$353</f>
        <v>2.0202707317519501E-4</v>
      </c>
      <c r="N56" s="139">
        <f>Mitigation_Industry!$E$353</f>
        <v>2.0202707317519501E-4</v>
      </c>
      <c r="O56" s="139">
        <f>Mitigation_Industry!$E$353</f>
        <v>2.0202707317519501E-4</v>
      </c>
      <c r="P56" s="139">
        <f>Mitigation_Industry!$E$353</f>
        <v>2.0202707317519501E-4</v>
      </c>
      <c r="Q56" s="139">
        <f>Mitigation_Industry!$E$353</f>
        <v>2.0202707317519501E-4</v>
      </c>
      <c r="R56" s="139">
        <f>Mitigation_Industry!$E$353</f>
        <v>2.0202707317519501E-4</v>
      </c>
      <c r="S56" s="139">
        <f>Mitigation_Industry!$E$353</f>
        <v>2.0202707317519501E-4</v>
      </c>
      <c r="T56" s="139">
        <f>Mitigation_Industry!$E$353</f>
        <v>2.0202707317519501E-4</v>
      </c>
      <c r="U56" s="139">
        <f>Mitigation_Industry!$E$353</f>
        <v>2.0202707317519501E-4</v>
      </c>
      <c r="V56" s="139">
        <f>Mitigation_Industry!$E$353</f>
        <v>2.0202707317519501E-4</v>
      </c>
      <c r="W56" s="139">
        <f>Mitigation_Industry!$E$353</f>
        <v>2.0202707317519501E-4</v>
      </c>
      <c r="X56" s="139">
        <f>Mitigation_Industry!$E$353</f>
        <v>2.0202707317519501E-4</v>
      </c>
      <c r="Y56" s="139">
        <f>Mitigation_Industry!$E$353</f>
        <v>2.0202707317519501E-4</v>
      </c>
      <c r="Z56" s="139">
        <f>Mitigation_Industry!$E$353</f>
        <v>2.0202707317519501E-4</v>
      </c>
      <c r="AA56" s="139">
        <f>Mitigation_Industry!$E$353</f>
        <v>2.0202707317519501E-4</v>
      </c>
      <c r="AB56" s="139">
        <f>Mitigation_Industry!$E$353</f>
        <v>2.0202707317519501E-4</v>
      </c>
      <c r="AC56" s="139">
        <f>Mitigation_Industry!$E$353</f>
        <v>2.0202707317519501E-4</v>
      </c>
      <c r="AD56" s="139">
        <f>Mitigation_Industry!$E$353</f>
        <v>2.0202707317519501E-4</v>
      </c>
      <c r="AE56" s="139">
        <f>Mitigation_Industry!$E$353</f>
        <v>2.0202707317519501E-4</v>
      </c>
      <c r="AF56" s="138"/>
      <c r="AG56" s="138"/>
      <c r="AH56" s="138"/>
      <c r="AI56" s="138"/>
    </row>
    <row r="57" spans="1:35" customFormat="1" ht="15" x14ac:dyDescent="0.25">
      <c r="B57" s="14" t="s">
        <v>1441</v>
      </c>
      <c r="C57" s="14" t="s">
        <v>43</v>
      </c>
      <c r="D57" s="15" t="s">
        <v>2610</v>
      </c>
      <c r="E57" s="16" t="s">
        <v>2607</v>
      </c>
      <c r="F57" s="14" t="s">
        <v>2605</v>
      </c>
      <c r="G57" s="17"/>
      <c r="H57" s="125" t="str">
        <f>Settings!$B$3&amp;".mit.bf.stl.bof.1"</f>
        <v>egy.mit.bf.stl.bof.1</v>
      </c>
      <c r="K57" s="136"/>
      <c r="L57" s="139">
        <f>Mitigation_Industry!$E$354</f>
        <v>5.1293294387550598E-4</v>
      </c>
      <c r="M57" s="139">
        <f>Mitigation_Industry!$E$354</f>
        <v>5.1293294387550598E-4</v>
      </c>
      <c r="N57" s="139">
        <f>Mitigation_Industry!$E$354</f>
        <v>5.1293294387550598E-4</v>
      </c>
      <c r="O57" s="139">
        <f>Mitigation_Industry!$E$354</f>
        <v>5.1293294387550598E-4</v>
      </c>
      <c r="P57" s="139">
        <f>Mitigation_Industry!$E$354</f>
        <v>5.1293294387550598E-4</v>
      </c>
      <c r="Q57" s="139">
        <f>Mitigation_Industry!$E$354</f>
        <v>5.1293294387550598E-4</v>
      </c>
      <c r="R57" s="139">
        <f>Mitigation_Industry!$E$354</f>
        <v>5.1293294387550598E-4</v>
      </c>
      <c r="S57" s="139">
        <f>Mitigation_Industry!$E$354</f>
        <v>5.1293294387550598E-4</v>
      </c>
      <c r="T57" s="139">
        <f>Mitigation_Industry!$E$354</f>
        <v>5.1293294387550598E-4</v>
      </c>
      <c r="U57" s="139">
        <f>Mitigation_Industry!$E$354</f>
        <v>5.1293294387550598E-4</v>
      </c>
      <c r="V57" s="139">
        <f>Mitigation_Industry!$E$354</f>
        <v>5.1293294387550598E-4</v>
      </c>
      <c r="W57" s="139">
        <f>Mitigation_Industry!$E$354</f>
        <v>5.1293294387550598E-4</v>
      </c>
      <c r="X57" s="139">
        <f>Mitigation_Industry!$E$354</f>
        <v>5.1293294387550598E-4</v>
      </c>
      <c r="Y57" s="139">
        <f>Mitigation_Industry!$E$354</f>
        <v>5.1293294387550598E-4</v>
      </c>
      <c r="Z57" s="139">
        <f>Mitigation_Industry!$E$354</f>
        <v>5.1293294387550598E-4</v>
      </c>
      <c r="AA57" s="139">
        <f>Mitigation_Industry!$E$354</f>
        <v>5.1293294387550598E-4</v>
      </c>
      <c r="AB57" s="139">
        <f>Mitigation_Industry!$E$354</f>
        <v>5.1293294387550598E-4</v>
      </c>
      <c r="AC57" s="139">
        <f>Mitigation_Industry!$E$354</f>
        <v>5.1293294387550598E-4</v>
      </c>
      <c r="AD57" s="139">
        <f>Mitigation_Industry!$E$354</f>
        <v>5.1293294387550598E-4</v>
      </c>
      <c r="AE57" s="139">
        <f>Mitigation_Industry!$E$354</f>
        <v>5.1293294387550598E-4</v>
      </c>
      <c r="AF57" s="138"/>
      <c r="AG57" s="138"/>
      <c r="AH57" s="138"/>
      <c r="AI57" s="138"/>
    </row>
    <row r="58" spans="1:35" customFormat="1" ht="15" x14ac:dyDescent="0.25">
      <c r="B58" s="14" t="s">
        <v>1444</v>
      </c>
      <c r="C58" s="14" t="s">
        <v>113</v>
      </c>
      <c r="D58" s="15" t="s">
        <v>2611</v>
      </c>
      <c r="E58" s="16" t="s">
        <v>2607</v>
      </c>
      <c r="F58" s="14" t="s">
        <v>2605</v>
      </c>
      <c r="G58" s="17"/>
      <c r="H58" s="125" t="str">
        <f>Settings!$B$3&amp;".mit.bf.cmt.dry.1"</f>
        <v>egy.mit.bf.cmt.dry.1</v>
      </c>
      <c r="K58" s="136"/>
      <c r="L58" s="139">
        <f>Mitigation_Industry!$E$355</f>
        <v>8.3381608939051E-4</v>
      </c>
      <c r="M58" s="139">
        <f>Mitigation_Industry!$E$355</f>
        <v>8.3381608939051E-4</v>
      </c>
      <c r="N58" s="139">
        <f>Mitigation_Industry!$E$355</f>
        <v>8.3381608939051E-4</v>
      </c>
      <c r="O58" s="139">
        <f>Mitigation_Industry!$E$355</f>
        <v>8.3381608939051E-4</v>
      </c>
      <c r="P58" s="139">
        <f>Mitigation_Industry!$E$355</f>
        <v>8.3381608939051E-4</v>
      </c>
      <c r="Q58" s="139">
        <f>Mitigation_Industry!$E$355</f>
        <v>8.3381608939051E-4</v>
      </c>
      <c r="R58" s="139">
        <f>Mitigation_Industry!$E$355</f>
        <v>8.3381608939051E-4</v>
      </c>
      <c r="S58" s="139">
        <f>Mitigation_Industry!$E$355</f>
        <v>8.3381608939051E-4</v>
      </c>
      <c r="T58" s="139">
        <f>Mitigation_Industry!$E$355</f>
        <v>8.3381608939051E-4</v>
      </c>
      <c r="U58" s="139">
        <f>Mitigation_Industry!$E$355</f>
        <v>8.3381608939051E-4</v>
      </c>
      <c r="V58" s="139">
        <f>Mitigation_Industry!$E$355</f>
        <v>8.3381608939051E-4</v>
      </c>
      <c r="W58" s="139">
        <f>Mitigation_Industry!$E$355</f>
        <v>8.3381608939051E-4</v>
      </c>
      <c r="X58" s="139">
        <f>Mitigation_Industry!$E$355</f>
        <v>8.3381608939051E-4</v>
      </c>
      <c r="Y58" s="139">
        <f>Mitigation_Industry!$E$355</f>
        <v>8.3381608939051E-4</v>
      </c>
      <c r="Z58" s="139">
        <f>Mitigation_Industry!$E$355</f>
        <v>8.3381608939051E-4</v>
      </c>
      <c r="AA58" s="139">
        <f>Mitigation_Industry!$E$355</f>
        <v>8.3381608939051E-4</v>
      </c>
      <c r="AB58" s="139">
        <f>Mitigation_Industry!$E$355</f>
        <v>8.3381608939051E-4</v>
      </c>
      <c r="AC58" s="139">
        <f>Mitigation_Industry!$E$355</f>
        <v>8.3381608939051E-4</v>
      </c>
      <c r="AD58" s="139">
        <f>Mitigation_Industry!$E$355</f>
        <v>8.3381608939051E-4</v>
      </c>
      <c r="AE58" s="139">
        <f>Mitigation_Industry!$E$355</f>
        <v>8.3381608939051E-4</v>
      </c>
      <c r="AF58" s="138"/>
      <c r="AG58" s="138"/>
      <c r="AH58" s="138"/>
      <c r="AI58" s="138"/>
    </row>
    <row r="59" spans="1:35" customFormat="1" ht="15" x14ac:dyDescent="0.25">
      <c r="B59" s="14" t="s">
        <v>1447</v>
      </c>
      <c r="C59" s="14" t="s">
        <v>117</v>
      </c>
      <c r="D59" s="15" t="s">
        <v>2612</v>
      </c>
      <c r="E59" s="16" t="s">
        <v>2607</v>
      </c>
      <c r="F59" s="14" t="s">
        <v>2605</v>
      </c>
      <c r="G59" s="17"/>
      <c r="H59" s="125" t="str">
        <f>Settings!$B$3&amp;".mit.bf.frt.amc.1"</f>
        <v>egy.mit.bf.frt.amc.1</v>
      </c>
      <c r="K59" s="136"/>
      <c r="L59" s="139">
        <f>Mitigation_Industry!$E$356</f>
        <v>1.98450938723838E-3</v>
      </c>
      <c r="M59" s="139">
        <f>Mitigation_Industry!$E$356</f>
        <v>1.98450938723838E-3</v>
      </c>
      <c r="N59" s="139">
        <f>Mitigation_Industry!$E$356</f>
        <v>1.98450938723838E-3</v>
      </c>
      <c r="O59" s="139">
        <f>Mitigation_Industry!$E$356</f>
        <v>1.98450938723838E-3</v>
      </c>
      <c r="P59" s="139">
        <f>Mitigation_Industry!$E$356</f>
        <v>1.98450938723838E-3</v>
      </c>
      <c r="Q59" s="139">
        <f>Mitigation_Industry!$E$356</f>
        <v>1.98450938723838E-3</v>
      </c>
      <c r="R59" s="139">
        <f>Mitigation_Industry!$E$356</f>
        <v>1.98450938723838E-3</v>
      </c>
      <c r="S59" s="139">
        <f>Mitigation_Industry!$E$356</f>
        <v>1.98450938723838E-3</v>
      </c>
      <c r="T59" s="139">
        <f>Mitigation_Industry!$E$356</f>
        <v>1.98450938723838E-3</v>
      </c>
      <c r="U59" s="139">
        <f>Mitigation_Industry!$E$356</f>
        <v>1.98450938723838E-3</v>
      </c>
      <c r="V59" s="139">
        <f>Mitigation_Industry!$E$356</f>
        <v>1.98450938723838E-3</v>
      </c>
      <c r="W59" s="139">
        <f>Mitigation_Industry!$E$356</f>
        <v>1.98450938723838E-3</v>
      </c>
      <c r="X59" s="139">
        <f>Mitigation_Industry!$E$356</f>
        <v>1.98450938723838E-3</v>
      </c>
      <c r="Y59" s="139">
        <f>Mitigation_Industry!$E$356</f>
        <v>1.98450938723838E-3</v>
      </c>
      <c r="Z59" s="139">
        <f>Mitigation_Industry!$E$356</f>
        <v>1.98450938723838E-3</v>
      </c>
      <c r="AA59" s="139">
        <f>Mitigation_Industry!$E$356</f>
        <v>1.98450938723838E-3</v>
      </c>
      <c r="AB59" s="139">
        <f>Mitigation_Industry!$E$356</f>
        <v>1.98450938723838E-3</v>
      </c>
      <c r="AC59" s="139">
        <f>Mitigation_Industry!$E$356</f>
        <v>1.98450938723838E-3</v>
      </c>
      <c r="AD59" s="139">
        <f>Mitigation_Industry!$E$356</f>
        <v>1.98450938723838E-3</v>
      </c>
      <c r="AE59" s="139">
        <f>Mitigation_Industry!$E$356</f>
        <v>1.98450938723838E-3</v>
      </c>
      <c r="AF59" s="138"/>
      <c r="AG59" s="138"/>
      <c r="AH59" s="138"/>
      <c r="AI59" s="138"/>
    </row>
    <row r="60" spans="1:35" customFormat="1" ht="15" x14ac:dyDescent="0.25">
      <c r="B60" s="14" t="s">
        <v>1450</v>
      </c>
      <c r="C60" s="14" t="s">
        <v>117</v>
      </c>
      <c r="D60" s="15" t="s">
        <v>2613</v>
      </c>
      <c r="E60" s="16" t="s">
        <v>2607</v>
      </c>
      <c r="F60" s="14" t="s">
        <v>2605</v>
      </c>
      <c r="G60" s="17"/>
      <c r="H60" s="125" t="str">
        <f>Settings!$B$3&amp;".mit.bf.frt.ure.1"</f>
        <v>egy.mit.bf.frt.ure.1</v>
      </c>
      <c r="K60" s="136"/>
      <c r="L60" s="139">
        <f>Mitigation_Industry!$E$357</f>
        <v>0</v>
      </c>
      <c r="M60" s="139">
        <f>Mitigation_Industry!$E$357</f>
        <v>0</v>
      </c>
      <c r="N60" s="139">
        <f>Mitigation_Industry!$E$357</f>
        <v>0</v>
      </c>
      <c r="O60" s="139">
        <f>Mitigation_Industry!$E$357</f>
        <v>0</v>
      </c>
      <c r="P60" s="139">
        <f>Mitigation_Industry!$E$357</f>
        <v>0</v>
      </c>
      <c r="Q60" s="139">
        <f>Mitigation_Industry!$E$357</f>
        <v>0</v>
      </c>
      <c r="R60" s="139">
        <f>Mitigation_Industry!$E$357</f>
        <v>0</v>
      </c>
      <c r="S60" s="139">
        <f>Mitigation_Industry!$E$357</f>
        <v>0</v>
      </c>
      <c r="T60" s="139">
        <f>Mitigation_Industry!$E$357</f>
        <v>0</v>
      </c>
      <c r="U60" s="139">
        <f>Mitigation_Industry!$E$357</f>
        <v>0</v>
      </c>
      <c r="V60" s="139">
        <f>Mitigation_Industry!$E$357</f>
        <v>0</v>
      </c>
      <c r="W60" s="139">
        <f>Mitigation_Industry!$E$357</f>
        <v>0</v>
      </c>
      <c r="X60" s="139">
        <f>Mitigation_Industry!$E$357</f>
        <v>0</v>
      </c>
      <c r="Y60" s="139">
        <f>Mitigation_Industry!$E$357</f>
        <v>0</v>
      </c>
      <c r="Z60" s="139">
        <f>Mitigation_Industry!$E$357</f>
        <v>0</v>
      </c>
      <c r="AA60" s="139">
        <f>Mitigation_Industry!$E$357</f>
        <v>0</v>
      </c>
      <c r="AB60" s="139">
        <f>Mitigation_Industry!$E$357</f>
        <v>0</v>
      </c>
      <c r="AC60" s="139">
        <f>Mitigation_Industry!$E$357</f>
        <v>0</v>
      </c>
      <c r="AD60" s="139">
        <f>Mitigation_Industry!$E$357</f>
        <v>0</v>
      </c>
      <c r="AE60" s="139">
        <f>Mitigation_Industry!$E$357</f>
        <v>0</v>
      </c>
      <c r="AF60" s="138"/>
      <c r="AG60" s="138"/>
      <c r="AH60" s="138"/>
      <c r="AI60" s="138"/>
    </row>
    <row r="61" spans="1:35" customFormat="1" ht="15" x14ac:dyDescent="0.25">
      <c r="B61" s="14" t="s">
        <v>1453</v>
      </c>
      <c r="C61" s="14" t="s">
        <v>117</v>
      </c>
      <c r="D61" s="15" t="s">
        <v>2614</v>
      </c>
      <c r="E61" s="16" t="s">
        <v>2607</v>
      </c>
      <c r="F61" s="14" t="s">
        <v>2605</v>
      </c>
      <c r="G61" s="17"/>
      <c r="H61" s="125" t="str">
        <f>Settings!$B$3&amp;".mit.bf.frt.nit.1"</f>
        <v>egy.mit.bf.frt.nit.1</v>
      </c>
      <c r="K61" s="136"/>
      <c r="L61" s="139">
        <f>Mitigation_Industry!$E$358</f>
        <v>1.04982212449868E-2</v>
      </c>
      <c r="M61" s="139">
        <f>Mitigation_Industry!$E$358</f>
        <v>1.04982212449868E-2</v>
      </c>
      <c r="N61" s="139">
        <f>Mitigation_Industry!$E$358</f>
        <v>1.04982212449868E-2</v>
      </c>
      <c r="O61" s="139">
        <f>Mitigation_Industry!$E$358</f>
        <v>1.04982212449868E-2</v>
      </c>
      <c r="P61" s="139">
        <f>Mitigation_Industry!$E$358</f>
        <v>1.04982212449868E-2</v>
      </c>
      <c r="Q61" s="139">
        <f>Mitigation_Industry!$E$358</f>
        <v>1.04982212449868E-2</v>
      </c>
      <c r="R61" s="139">
        <f>Mitigation_Industry!$E$358</f>
        <v>1.04982212449868E-2</v>
      </c>
      <c r="S61" s="139">
        <f>Mitigation_Industry!$E$358</f>
        <v>1.04982212449868E-2</v>
      </c>
      <c r="T61" s="139">
        <f>Mitigation_Industry!$E$358</f>
        <v>1.04982212449868E-2</v>
      </c>
      <c r="U61" s="139">
        <f>Mitigation_Industry!$E$358</f>
        <v>1.04982212449868E-2</v>
      </c>
      <c r="V61" s="139">
        <f>Mitigation_Industry!$E$358</f>
        <v>1.04982212449868E-2</v>
      </c>
      <c r="W61" s="139">
        <f>Mitigation_Industry!$E$358</f>
        <v>1.04982212449868E-2</v>
      </c>
      <c r="X61" s="139">
        <f>Mitigation_Industry!$E$358</f>
        <v>1.04982212449868E-2</v>
      </c>
      <c r="Y61" s="139">
        <f>Mitigation_Industry!$E$358</f>
        <v>1.04982212449868E-2</v>
      </c>
      <c r="Z61" s="139">
        <f>Mitigation_Industry!$E$358</f>
        <v>1.04982212449868E-2</v>
      </c>
      <c r="AA61" s="139">
        <f>Mitigation_Industry!$E$358</f>
        <v>1.04982212449868E-2</v>
      </c>
      <c r="AB61" s="139">
        <f>Mitigation_Industry!$E$358</f>
        <v>1.04982212449868E-2</v>
      </c>
      <c r="AC61" s="139">
        <f>Mitigation_Industry!$E$358</f>
        <v>1.04982212449868E-2</v>
      </c>
      <c r="AD61" s="139">
        <f>Mitigation_Industry!$E$358</f>
        <v>1.04982212449868E-2</v>
      </c>
      <c r="AE61" s="139">
        <f>Mitigation_Industry!$E$358</f>
        <v>1.04982212449868E-2</v>
      </c>
      <c r="AF61" s="138"/>
      <c r="AG61" s="138"/>
      <c r="AH61" s="138"/>
      <c r="AI61" s="138"/>
    </row>
    <row r="62" spans="1:35" customFormat="1" ht="15" x14ac:dyDescent="0.25">
      <c r="B62" s="14" t="s">
        <v>1456</v>
      </c>
      <c r="C62" s="14" t="s">
        <v>115</v>
      </c>
      <c r="D62" s="15" t="s">
        <v>2615</v>
      </c>
      <c r="E62" s="16" t="s">
        <v>2607</v>
      </c>
      <c r="F62" s="14" t="s">
        <v>2605</v>
      </c>
      <c r="G62" s="17"/>
      <c r="H62" s="125" t="str">
        <f>Settings!$B$3&amp;".mit.bf.alu.prp.1"</f>
        <v>egy.mit.bf.alu.prp.1</v>
      </c>
      <c r="K62" s="136"/>
      <c r="L62" s="139">
        <f>Mitigation_Industry!$E$359</f>
        <v>8.3381608939051E-4</v>
      </c>
      <c r="M62" s="139">
        <f>Mitigation_Industry!$E$359</f>
        <v>8.3381608939051E-4</v>
      </c>
      <c r="N62" s="139">
        <f>Mitigation_Industry!$E$359</f>
        <v>8.3381608939051E-4</v>
      </c>
      <c r="O62" s="139">
        <f>Mitigation_Industry!$E$359</f>
        <v>8.3381608939051E-4</v>
      </c>
      <c r="P62" s="139">
        <f>Mitigation_Industry!$E$359</f>
        <v>8.3381608939051E-4</v>
      </c>
      <c r="Q62" s="139">
        <f>Mitigation_Industry!$E$359</f>
        <v>8.3381608939051E-4</v>
      </c>
      <c r="R62" s="139">
        <f>Mitigation_Industry!$E$359</f>
        <v>8.3381608939051E-4</v>
      </c>
      <c r="S62" s="139">
        <f>Mitigation_Industry!$E$359</f>
        <v>8.3381608939051E-4</v>
      </c>
      <c r="T62" s="139">
        <f>Mitigation_Industry!$E$359</f>
        <v>8.3381608939051E-4</v>
      </c>
      <c r="U62" s="139">
        <f>Mitigation_Industry!$E$359</f>
        <v>8.3381608939051E-4</v>
      </c>
      <c r="V62" s="139">
        <f>Mitigation_Industry!$E$359</f>
        <v>8.3381608939051E-4</v>
      </c>
      <c r="W62" s="139">
        <f>Mitigation_Industry!$E$359</f>
        <v>8.3381608939051E-4</v>
      </c>
      <c r="X62" s="139">
        <f>Mitigation_Industry!$E$359</f>
        <v>8.3381608939051E-4</v>
      </c>
      <c r="Y62" s="139">
        <f>Mitigation_Industry!$E$359</f>
        <v>8.3381608939051E-4</v>
      </c>
      <c r="Z62" s="139">
        <f>Mitigation_Industry!$E$359</f>
        <v>8.3381608939051E-4</v>
      </c>
      <c r="AA62" s="139">
        <f>Mitigation_Industry!$E$359</f>
        <v>8.3381608939051E-4</v>
      </c>
      <c r="AB62" s="139">
        <f>Mitigation_Industry!$E$359</f>
        <v>8.3381608939051E-4</v>
      </c>
      <c r="AC62" s="139">
        <f>Mitigation_Industry!$E$359</f>
        <v>8.3381608939051E-4</v>
      </c>
      <c r="AD62" s="139">
        <f>Mitigation_Industry!$E$359</f>
        <v>8.3381608939051E-4</v>
      </c>
      <c r="AE62" s="139">
        <f>Mitigation_Industry!$E$359</f>
        <v>8.3381608939051E-4</v>
      </c>
      <c r="AF62" s="138"/>
      <c r="AG62" s="138"/>
      <c r="AH62" s="138"/>
      <c r="AI62" s="138"/>
    </row>
    <row r="63" spans="1:35" x14ac:dyDescent="0.2"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</row>
    <row r="64" spans="1:35" customFormat="1" ht="15" x14ac:dyDescent="0.25">
      <c r="A64" s="11"/>
      <c r="B64" s="6"/>
      <c r="C64" s="7" t="s">
        <v>2616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4">
        <v>2021</v>
      </c>
      <c r="L64" s="135">
        <v>2022</v>
      </c>
      <c r="M64" s="134">
        <v>2023</v>
      </c>
      <c r="N64" s="134">
        <v>2024</v>
      </c>
      <c r="O64" s="134">
        <v>2025</v>
      </c>
      <c r="P64" s="134">
        <v>2026</v>
      </c>
      <c r="Q64" s="134">
        <v>2027</v>
      </c>
      <c r="R64" s="134">
        <v>2028</v>
      </c>
      <c r="S64" s="134">
        <v>2029</v>
      </c>
      <c r="T64" s="134">
        <v>2030</v>
      </c>
      <c r="U64" s="134">
        <v>2031</v>
      </c>
      <c r="V64" s="134">
        <v>2032</v>
      </c>
      <c r="W64" s="134">
        <v>2033</v>
      </c>
      <c r="X64" s="134">
        <v>2034</v>
      </c>
      <c r="Y64" s="134">
        <v>2035</v>
      </c>
      <c r="Z64" s="134">
        <v>2036</v>
      </c>
      <c r="AA64" s="134">
        <v>2037</v>
      </c>
      <c r="AB64" s="134">
        <v>2038</v>
      </c>
      <c r="AC64" s="134">
        <v>2039</v>
      </c>
      <c r="AD64" s="134">
        <v>2040</v>
      </c>
      <c r="AE64" s="134">
        <v>2041</v>
      </c>
      <c r="AF64" s="134">
        <v>2042</v>
      </c>
      <c r="AG64" s="134">
        <v>2043</v>
      </c>
      <c r="AH64" s="134">
        <v>2044</v>
      </c>
      <c r="AI64" s="134">
        <v>2045</v>
      </c>
    </row>
    <row r="65" spans="2:35" customFormat="1" ht="15" x14ac:dyDescent="0.25">
      <c r="B65" s="14" t="s">
        <v>2562</v>
      </c>
      <c r="C65" s="14" t="s">
        <v>43</v>
      </c>
      <c r="D65" s="15" t="s">
        <v>2617</v>
      </c>
      <c r="E65" s="16" t="s">
        <v>2607</v>
      </c>
      <c r="F65" s="14" t="s">
        <v>2616</v>
      </c>
      <c r="G65" s="17"/>
      <c r="H65" s="125" t="str">
        <f>Settings!$B$3&amp;".mit.bp.stl.drg.np.1"</f>
        <v>egy.mit.bp.stl.drg.np.1</v>
      </c>
      <c r="I65" t="s">
        <v>2618</v>
      </c>
      <c r="K65" s="136"/>
      <c r="L65" s="139">
        <f>Mitigation_Industry!$E$363</f>
        <v>3.4469507031574592E-3</v>
      </c>
      <c r="M65" s="139">
        <f>Mitigation_Industry!$E$363</f>
        <v>3.4469507031574592E-3</v>
      </c>
      <c r="N65" s="139">
        <f>Mitigation_Industry!$E$363</f>
        <v>3.4469507031574592E-3</v>
      </c>
      <c r="O65" s="139">
        <f>Mitigation_Industry!$E$363</f>
        <v>3.4469507031574592E-3</v>
      </c>
      <c r="P65" s="139">
        <f>Mitigation_Industry!$E$363</f>
        <v>3.4469507031574592E-3</v>
      </c>
      <c r="Q65" s="139">
        <f>Mitigation_Industry!$E$363</f>
        <v>3.4469507031574592E-3</v>
      </c>
      <c r="R65" s="139">
        <f>Mitigation_Industry!$E$363</f>
        <v>3.4469507031574592E-3</v>
      </c>
      <c r="S65" s="139">
        <f>Mitigation_Industry!$E$363</f>
        <v>3.4469507031574592E-3</v>
      </c>
      <c r="T65" s="139">
        <f>Mitigation_Industry!$E$363</f>
        <v>3.4469507031574592E-3</v>
      </c>
      <c r="U65" s="139">
        <f>Mitigation_Industry!$E$363</f>
        <v>3.4469507031574592E-3</v>
      </c>
      <c r="V65" s="139">
        <f>Mitigation_Industry!$E$363</f>
        <v>3.4469507031574592E-3</v>
      </c>
      <c r="W65" s="139">
        <f>Mitigation_Industry!$E$363</f>
        <v>3.4469507031574592E-3</v>
      </c>
      <c r="X65" s="139">
        <f>Mitigation_Industry!$E$363</f>
        <v>3.4469507031574592E-3</v>
      </c>
      <c r="Y65" s="139">
        <f>Mitigation_Industry!$E$363</f>
        <v>3.4469507031574592E-3</v>
      </c>
      <c r="Z65" s="139">
        <f>Mitigation_Industry!$E$363</f>
        <v>3.4469507031574592E-3</v>
      </c>
      <c r="AA65" s="139">
        <f>Mitigation_Industry!$E$363</f>
        <v>3.4469507031574592E-3</v>
      </c>
      <c r="AB65" s="139">
        <f>Mitigation_Industry!$E$363</f>
        <v>3.4469507031574592E-3</v>
      </c>
      <c r="AC65" s="139">
        <f>Mitigation_Industry!$E$363</f>
        <v>3.4469507031574592E-3</v>
      </c>
      <c r="AD65" s="139">
        <f>Mitigation_Industry!$E$363</f>
        <v>3.4469507031574592E-3</v>
      </c>
      <c r="AE65" s="139">
        <f>Mitigation_Industry!$E$363</f>
        <v>3.4469507031574592E-3</v>
      </c>
      <c r="AF65" s="138"/>
      <c r="AG65" s="138"/>
      <c r="AH65" s="138"/>
      <c r="AI65" s="138"/>
    </row>
    <row r="66" spans="2:35" customFormat="1" ht="15" x14ac:dyDescent="0.25">
      <c r="B66" s="14" t="s">
        <v>2565</v>
      </c>
      <c r="C66" s="14" t="s">
        <v>43</v>
      </c>
      <c r="D66" s="15" t="s">
        <v>2619</v>
      </c>
      <c r="E66" s="16" t="s">
        <v>2607</v>
      </c>
      <c r="F66" s="14" t="s">
        <v>2616</v>
      </c>
      <c r="G66" s="17"/>
      <c r="H66" s="125" t="str">
        <f>Settings!$B$3&amp;".mit.bp.stl.scr.np.1"</f>
        <v>egy.mit.bp.stl.scr.np.1</v>
      </c>
      <c r="K66" s="136"/>
      <c r="L66" s="139">
        <f>Mitigation_Industry!$E$364</f>
        <v>1.6366491404021942E-3</v>
      </c>
      <c r="M66" s="139">
        <f>Mitigation_Industry!$E$364</f>
        <v>1.6366491404021942E-3</v>
      </c>
      <c r="N66" s="139">
        <f>Mitigation_Industry!$E$364</f>
        <v>1.6366491404021942E-3</v>
      </c>
      <c r="O66" s="139">
        <f>Mitigation_Industry!$E$364</f>
        <v>1.6366491404021942E-3</v>
      </c>
      <c r="P66" s="139">
        <f>Mitigation_Industry!$E$364</f>
        <v>1.6366491404021942E-3</v>
      </c>
      <c r="Q66" s="139">
        <f>Mitigation_Industry!$E$364</f>
        <v>1.6366491404021942E-3</v>
      </c>
      <c r="R66" s="139">
        <f>Mitigation_Industry!$E$364</f>
        <v>1.6366491404021942E-3</v>
      </c>
      <c r="S66" s="139">
        <f>Mitigation_Industry!$E$364</f>
        <v>1.6366491404021942E-3</v>
      </c>
      <c r="T66" s="139">
        <f>Mitigation_Industry!$E$364</f>
        <v>1.6366491404021942E-3</v>
      </c>
      <c r="U66" s="139">
        <f>Mitigation_Industry!$E$364</f>
        <v>1.6366491404021942E-3</v>
      </c>
      <c r="V66" s="139">
        <f>Mitigation_Industry!$E$364</f>
        <v>1.6366491404021942E-3</v>
      </c>
      <c r="W66" s="139">
        <f>Mitigation_Industry!$E$364</f>
        <v>1.6366491404021942E-3</v>
      </c>
      <c r="X66" s="139">
        <f>Mitigation_Industry!$E$364</f>
        <v>1.6366491404021942E-3</v>
      </c>
      <c r="Y66" s="139">
        <f>Mitigation_Industry!$E$364</f>
        <v>1.6366491404021942E-3</v>
      </c>
      <c r="Z66" s="139">
        <f>Mitigation_Industry!$E$364</f>
        <v>1.6366491404021942E-3</v>
      </c>
      <c r="AA66" s="139">
        <f>Mitigation_Industry!$E$364</f>
        <v>1.6366491404021942E-3</v>
      </c>
      <c r="AB66" s="139">
        <f>Mitigation_Industry!$E$364</f>
        <v>1.6366491404021942E-3</v>
      </c>
      <c r="AC66" s="139">
        <f>Mitigation_Industry!$E$364</f>
        <v>1.6366491404021942E-3</v>
      </c>
      <c r="AD66" s="139">
        <f>Mitigation_Industry!$E$364</f>
        <v>1.6366491404021942E-3</v>
      </c>
      <c r="AE66" s="139">
        <f>Mitigation_Industry!$E$364</f>
        <v>1.6366491404021942E-3</v>
      </c>
      <c r="AF66" s="138"/>
      <c r="AG66" s="138"/>
      <c r="AH66" s="138"/>
      <c r="AI66" s="138"/>
    </row>
    <row r="67" spans="2:35" customFormat="1" ht="15" x14ac:dyDescent="0.25">
      <c r="B67" s="14" t="s">
        <v>2567</v>
      </c>
      <c r="C67" s="14" t="s">
        <v>43</v>
      </c>
      <c r="D67" s="15" t="s">
        <v>2620</v>
      </c>
      <c r="E67" s="16" t="s">
        <v>2607</v>
      </c>
      <c r="F67" s="14" t="s">
        <v>2616</v>
      </c>
      <c r="G67" s="17"/>
      <c r="H67" s="125" t="str">
        <f>Settings!$B$3&amp;".mit.bp.stl.bof.np.1"</f>
        <v>egy.mit.bp.stl.bof.np.1</v>
      </c>
      <c r="K67" s="136"/>
      <c r="L67" s="139">
        <f>Mitigation_Industry!$E$365</f>
        <v>2.6960722989211347E-3</v>
      </c>
      <c r="M67" s="139">
        <f>Mitigation_Industry!$E$365</f>
        <v>2.6960722989211347E-3</v>
      </c>
      <c r="N67" s="139">
        <f>Mitigation_Industry!$E$365</f>
        <v>2.6960722989211347E-3</v>
      </c>
      <c r="O67" s="139">
        <f>Mitigation_Industry!$E$365</f>
        <v>2.6960722989211347E-3</v>
      </c>
      <c r="P67" s="139">
        <f>Mitigation_Industry!$E$365</f>
        <v>2.6960722989211347E-3</v>
      </c>
      <c r="Q67" s="139">
        <f>Mitigation_Industry!$E$365</f>
        <v>2.6960722989211347E-3</v>
      </c>
      <c r="R67" s="139">
        <f>Mitigation_Industry!$E$365</f>
        <v>2.6960722989211347E-3</v>
      </c>
      <c r="S67" s="139">
        <f>Mitigation_Industry!$E$365</f>
        <v>2.6960722989211347E-3</v>
      </c>
      <c r="T67" s="139">
        <f>Mitigation_Industry!$E$365</f>
        <v>2.6960722989211347E-3</v>
      </c>
      <c r="U67" s="139">
        <f>Mitigation_Industry!$E$365</f>
        <v>2.6960722989211347E-3</v>
      </c>
      <c r="V67" s="139">
        <f>Mitigation_Industry!$E$365</f>
        <v>2.6960722989211347E-3</v>
      </c>
      <c r="W67" s="139">
        <f>Mitigation_Industry!$E$365</f>
        <v>2.6960722989211347E-3</v>
      </c>
      <c r="X67" s="139">
        <f>Mitigation_Industry!$E$365</f>
        <v>2.6960722989211347E-3</v>
      </c>
      <c r="Y67" s="139">
        <f>Mitigation_Industry!$E$365</f>
        <v>2.6960722989211347E-3</v>
      </c>
      <c r="Z67" s="139">
        <f>Mitigation_Industry!$E$365</f>
        <v>2.6960722989211347E-3</v>
      </c>
      <c r="AA67" s="139">
        <f>Mitigation_Industry!$E$365</f>
        <v>2.6960722989211347E-3</v>
      </c>
      <c r="AB67" s="139">
        <f>Mitigation_Industry!$E$365</f>
        <v>2.6960722989211347E-3</v>
      </c>
      <c r="AC67" s="139">
        <f>Mitigation_Industry!$E$365</f>
        <v>2.6960722989211347E-3</v>
      </c>
      <c r="AD67" s="139">
        <f>Mitigation_Industry!$E$365</f>
        <v>2.6960722989211347E-3</v>
      </c>
      <c r="AE67" s="139">
        <f>Mitigation_Industry!$E$365</f>
        <v>2.6960722989211347E-3</v>
      </c>
      <c r="AF67" s="138"/>
      <c r="AG67" s="138"/>
      <c r="AH67" s="138"/>
      <c r="AI67" s="138"/>
    </row>
    <row r="68" spans="2:35" customFormat="1" ht="15" x14ac:dyDescent="0.25">
      <c r="B68" s="14" t="s">
        <v>2569</v>
      </c>
      <c r="C68" s="14" t="s">
        <v>113</v>
      </c>
      <c r="D68" s="15" t="s">
        <v>2621</v>
      </c>
      <c r="E68" s="16" t="s">
        <v>2607</v>
      </c>
      <c r="F68" s="14" t="s">
        <v>2616</v>
      </c>
      <c r="G68" s="17"/>
      <c r="H68" s="125" t="str">
        <f>Settings!$B$3&amp;".mit.bp.cmt.dry.np.1"</f>
        <v>egy.mit.bp.cmt.dry.np.1</v>
      </c>
      <c r="K68" s="136"/>
      <c r="L68" s="139">
        <f>Mitigation_Industry!$E$366</f>
        <v>3.3464675036139224E-3</v>
      </c>
      <c r="M68" s="139">
        <f>Mitigation_Industry!$E$366</f>
        <v>3.3464675036139224E-3</v>
      </c>
      <c r="N68" s="139">
        <f>Mitigation_Industry!$E$366</f>
        <v>3.3464675036139224E-3</v>
      </c>
      <c r="O68" s="139">
        <f>Mitigation_Industry!$E$366</f>
        <v>3.3464675036139224E-3</v>
      </c>
      <c r="P68" s="139">
        <f>Mitigation_Industry!$E$366</f>
        <v>3.3464675036139224E-3</v>
      </c>
      <c r="Q68" s="139">
        <f>Mitigation_Industry!$E$366</f>
        <v>3.3464675036139224E-3</v>
      </c>
      <c r="R68" s="139">
        <f>Mitigation_Industry!$E$366</f>
        <v>3.3464675036139224E-3</v>
      </c>
      <c r="S68" s="139">
        <f>Mitigation_Industry!$E$366</f>
        <v>3.3464675036139224E-3</v>
      </c>
      <c r="T68" s="139">
        <f>Mitigation_Industry!$E$366</f>
        <v>3.3464675036139224E-3</v>
      </c>
      <c r="U68" s="139">
        <f>Mitigation_Industry!$E$366</f>
        <v>3.3464675036139224E-3</v>
      </c>
      <c r="V68" s="139">
        <f>Mitigation_Industry!$E$366</f>
        <v>3.3464675036139224E-3</v>
      </c>
      <c r="W68" s="139">
        <f>Mitigation_Industry!$E$366</f>
        <v>3.3464675036139224E-3</v>
      </c>
      <c r="X68" s="139">
        <f>Mitigation_Industry!$E$366</f>
        <v>3.3464675036139224E-3</v>
      </c>
      <c r="Y68" s="139">
        <f>Mitigation_Industry!$E$366</f>
        <v>3.3464675036139224E-3</v>
      </c>
      <c r="Z68" s="139">
        <f>Mitigation_Industry!$E$366</f>
        <v>3.3464675036139224E-3</v>
      </c>
      <c r="AA68" s="139">
        <f>Mitigation_Industry!$E$366</f>
        <v>3.3464675036139224E-3</v>
      </c>
      <c r="AB68" s="139">
        <f>Mitigation_Industry!$E$366</f>
        <v>3.3464675036139224E-3</v>
      </c>
      <c r="AC68" s="139">
        <f>Mitigation_Industry!$E$366</f>
        <v>3.3464675036139224E-3</v>
      </c>
      <c r="AD68" s="139">
        <f>Mitigation_Industry!$E$366</f>
        <v>3.3464675036139224E-3</v>
      </c>
      <c r="AE68" s="139">
        <f>Mitigation_Industry!$E$366</f>
        <v>3.3464675036139224E-3</v>
      </c>
      <c r="AF68" s="138"/>
      <c r="AG68" s="138"/>
      <c r="AH68" s="138"/>
      <c r="AI68" s="138"/>
    </row>
    <row r="69" spans="2:35" customFormat="1" ht="15" x14ac:dyDescent="0.25">
      <c r="B69" s="14" t="s">
        <v>2571</v>
      </c>
      <c r="C69" s="14" t="s">
        <v>117</v>
      </c>
      <c r="D69" s="15" t="s">
        <v>2622</v>
      </c>
      <c r="E69" s="16" t="s">
        <v>2607</v>
      </c>
      <c r="F69" s="14" t="s">
        <v>2616</v>
      </c>
      <c r="G69" s="17"/>
      <c r="H69" s="125" t="str">
        <f>Settings!$B$3&amp;".mit.bp.frt.amc.np.1"</f>
        <v>egy.mit.bp.frt.amc.np.1</v>
      </c>
      <c r="K69" s="136"/>
      <c r="L69" s="139">
        <f>Mitigation_Industry!$E$367</f>
        <v>0</v>
      </c>
      <c r="M69" s="139">
        <f>Mitigation_Industry!$E$367</f>
        <v>0</v>
      </c>
      <c r="N69" s="139">
        <f>Mitigation_Industry!$E$367</f>
        <v>0</v>
      </c>
      <c r="O69" s="139">
        <f>Mitigation_Industry!$E$367</f>
        <v>0</v>
      </c>
      <c r="P69" s="139">
        <f>Mitigation_Industry!$E$367</f>
        <v>0</v>
      </c>
      <c r="Q69" s="139">
        <f>Mitigation_Industry!$E$367</f>
        <v>0</v>
      </c>
      <c r="R69" s="139">
        <f>Mitigation_Industry!$E$367</f>
        <v>0</v>
      </c>
      <c r="S69" s="139">
        <f>Mitigation_Industry!$E$367</f>
        <v>0</v>
      </c>
      <c r="T69" s="139">
        <f>Mitigation_Industry!$E$367</f>
        <v>0</v>
      </c>
      <c r="U69" s="139">
        <f>Mitigation_Industry!$E$367</f>
        <v>0</v>
      </c>
      <c r="V69" s="139">
        <f>Mitigation_Industry!$E$367</f>
        <v>0</v>
      </c>
      <c r="W69" s="139">
        <f>Mitigation_Industry!$E$367</f>
        <v>0</v>
      </c>
      <c r="X69" s="139">
        <f>Mitigation_Industry!$E$367</f>
        <v>0</v>
      </c>
      <c r="Y69" s="139">
        <f>Mitigation_Industry!$E$367</f>
        <v>0</v>
      </c>
      <c r="Z69" s="139">
        <f>Mitigation_Industry!$E$367</f>
        <v>0</v>
      </c>
      <c r="AA69" s="139">
        <f>Mitigation_Industry!$E$367</f>
        <v>0</v>
      </c>
      <c r="AB69" s="139">
        <f>Mitigation_Industry!$E$367</f>
        <v>0</v>
      </c>
      <c r="AC69" s="139">
        <f>Mitigation_Industry!$E$367</f>
        <v>0</v>
      </c>
      <c r="AD69" s="139">
        <f>Mitigation_Industry!$E$367</f>
        <v>0</v>
      </c>
      <c r="AE69" s="139">
        <f>Mitigation_Industry!$E$367</f>
        <v>0</v>
      </c>
      <c r="AF69" s="138"/>
      <c r="AG69" s="138"/>
      <c r="AH69" s="138"/>
      <c r="AI69" s="138"/>
    </row>
    <row r="70" spans="2:35" customFormat="1" ht="15" x14ac:dyDescent="0.25">
      <c r="B70" s="14" t="s">
        <v>2573</v>
      </c>
      <c r="C70" s="14" t="s">
        <v>117</v>
      </c>
      <c r="D70" s="15" t="s">
        <v>2623</v>
      </c>
      <c r="E70" s="16" t="s">
        <v>2607</v>
      </c>
      <c r="F70" s="14" t="s">
        <v>2616</v>
      </c>
      <c r="G70" s="17"/>
      <c r="H70" s="125" t="str">
        <f>Settings!$B$3&amp;".mit.bp.frt.ure.np.1"</f>
        <v>egy.mit.bp.frt.ure.np.1</v>
      </c>
      <c r="K70" s="136"/>
      <c r="L70" s="139">
        <f>Mitigation_Industry!$E$368</f>
        <v>0</v>
      </c>
      <c r="M70" s="139">
        <f>Mitigation_Industry!$E$368</f>
        <v>0</v>
      </c>
      <c r="N70" s="139">
        <f>Mitigation_Industry!$E$368</f>
        <v>0</v>
      </c>
      <c r="O70" s="139">
        <f>Mitigation_Industry!$E$368</f>
        <v>0</v>
      </c>
      <c r="P70" s="139">
        <f>Mitigation_Industry!$E$368</f>
        <v>0</v>
      </c>
      <c r="Q70" s="139">
        <f>Mitigation_Industry!$E$368</f>
        <v>0</v>
      </c>
      <c r="R70" s="139">
        <f>Mitigation_Industry!$E$368</f>
        <v>0</v>
      </c>
      <c r="S70" s="139">
        <f>Mitigation_Industry!$E$368</f>
        <v>0</v>
      </c>
      <c r="T70" s="139">
        <f>Mitigation_Industry!$E$368</f>
        <v>0</v>
      </c>
      <c r="U70" s="139">
        <f>Mitigation_Industry!$E$368</f>
        <v>0</v>
      </c>
      <c r="V70" s="139">
        <f>Mitigation_Industry!$E$368</f>
        <v>0</v>
      </c>
      <c r="W70" s="139">
        <f>Mitigation_Industry!$E$368</f>
        <v>0</v>
      </c>
      <c r="X70" s="139">
        <f>Mitigation_Industry!$E$368</f>
        <v>0</v>
      </c>
      <c r="Y70" s="139">
        <f>Mitigation_Industry!$E$368</f>
        <v>0</v>
      </c>
      <c r="Z70" s="139">
        <f>Mitigation_Industry!$E$368</f>
        <v>0</v>
      </c>
      <c r="AA70" s="139">
        <f>Mitigation_Industry!$E$368</f>
        <v>0</v>
      </c>
      <c r="AB70" s="139">
        <f>Mitigation_Industry!$E$368</f>
        <v>0</v>
      </c>
      <c r="AC70" s="139">
        <f>Mitigation_Industry!$E$368</f>
        <v>0</v>
      </c>
      <c r="AD70" s="139">
        <f>Mitigation_Industry!$E$368</f>
        <v>0</v>
      </c>
      <c r="AE70" s="139">
        <f>Mitigation_Industry!$E$368</f>
        <v>0</v>
      </c>
      <c r="AF70" s="138"/>
      <c r="AG70" s="138"/>
      <c r="AH70" s="138"/>
      <c r="AI70" s="138"/>
    </row>
    <row r="71" spans="2:35" customFormat="1" ht="15" x14ac:dyDescent="0.25">
      <c r="B71" s="14" t="s">
        <v>2575</v>
      </c>
      <c r="C71" s="14" t="s">
        <v>117</v>
      </c>
      <c r="D71" s="15" t="s">
        <v>2624</v>
      </c>
      <c r="E71" s="16" t="s">
        <v>2607</v>
      </c>
      <c r="F71" s="14" t="s">
        <v>2616</v>
      </c>
      <c r="G71" s="17"/>
      <c r="H71" s="125" t="str">
        <f>Settings!$B$3&amp;".mit.bp.frt.nit.np.1"</f>
        <v>egy.mit.bp.frt.nit.np.1</v>
      </c>
      <c r="K71" s="136"/>
      <c r="L71" s="139">
        <f>Mitigation_Industry!$E$369</f>
        <v>0</v>
      </c>
      <c r="M71" s="139">
        <f>Mitigation_Industry!$E$369</f>
        <v>0</v>
      </c>
      <c r="N71" s="139">
        <f>Mitigation_Industry!$E$369</f>
        <v>0</v>
      </c>
      <c r="O71" s="139">
        <f>Mitigation_Industry!$E$369</f>
        <v>0</v>
      </c>
      <c r="P71" s="139">
        <f>Mitigation_Industry!$E$369</f>
        <v>0</v>
      </c>
      <c r="Q71" s="139">
        <f>Mitigation_Industry!$E$369</f>
        <v>0</v>
      </c>
      <c r="R71" s="139">
        <f>Mitigation_Industry!$E$369</f>
        <v>0</v>
      </c>
      <c r="S71" s="139">
        <f>Mitigation_Industry!$E$369</f>
        <v>0</v>
      </c>
      <c r="T71" s="139">
        <f>Mitigation_Industry!$E$369</f>
        <v>0</v>
      </c>
      <c r="U71" s="139">
        <f>Mitigation_Industry!$E$369</f>
        <v>0</v>
      </c>
      <c r="V71" s="139">
        <f>Mitigation_Industry!$E$369</f>
        <v>0</v>
      </c>
      <c r="W71" s="139">
        <f>Mitigation_Industry!$E$369</f>
        <v>0</v>
      </c>
      <c r="X71" s="139">
        <f>Mitigation_Industry!$E$369</f>
        <v>0</v>
      </c>
      <c r="Y71" s="139">
        <f>Mitigation_Industry!$E$369</f>
        <v>0</v>
      </c>
      <c r="Z71" s="139">
        <f>Mitigation_Industry!$E$369</f>
        <v>0</v>
      </c>
      <c r="AA71" s="139">
        <f>Mitigation_Industry!$E$369</f>
        <v>0</v>
      </c>
      <c r="AB71" s="139">
        <f>Mitigation_Industry!$E$369</f>
        <v>0</v>
      </c>
      <c r="AC71" s="139">
        <f>Mitigation_Industry!$E$369</f>
        <v>0</v>
      </c>
      <c r="AD71" s="139">
        <f>Mitigation_Industry!$E$369</f>
        <v>0</v>
      </c>
      <c r="AE71" s="139">
        <f>Mitigation_Industry!$E$369</f>
        <v>0</v>
      </c>
      <c r="AF71" s="138"/>
      <c r="AG71" s="138"/>
      <c r="AH71" s="138"/>
      <c r="AI71" s="138"/>
    </row>
    <row r="72" spans="2:35" customFormat="1" ht="15" x14ac:dyDescent="0.25">
      <c r="B72" s="14" t="s">
        <v>2577</v>
      </c>
      <c r="C72" s="14" t="s">
        <v>115</v>
      </c>
      <c r="D72" s="15" t="s">
        <v>2625</v>
      </c>
      <c r="E72" s="16" t="s">
        <v>2607</v>
      </c>
      <c r="F72" s="14" t="s">
        <v>2616</v>
      </c>
      <c r="G72" s="17"/>
      <c r="H72" s="125" t="str">
        <f>Settings!$B$3&amp;".mit.bp.alu.prp.np.1"</f>
        <v>egy.mit.bp.alu.prp.np.1</v>
      </c>
      <c r="K72" s="136"/>
      <c r="L72" s="139">
        <f>Mitigation_Industry!$E$370</f>
        <v>1.9988245320635362E-3</v>
      </c>
      <c r="M72" s="139">
        <f>Mitigation_Industry!$E$370</f>
        <v>1.9988245320635362E-3</v>
      </c>
      <c r="N72" s="139">
        <f>Mitigation_Industry!$E$370</f>
        <v>1.9988245320635362E-3</v>
      </c>
      <c r="O72" s="139">
        <f>Mitigation_Industry!$E$370</f>
        <v>1.9988245320635362E-3</v>
      </c>
      <c r="P72" s="139">
        <f>Mitigation_Industry!$E$370</f>
        <v>1.9988245320635362E-3</v>
      </c>
      <c r="Q72" s="139">
        <f>Mitigation_Industry!$E$370</f>
        <v>1.9988245320635362E-3</v>
      </c>
      <c r="R72" s="139">
        <f>Mitigation_Industry!$E$370</f>
        <v>1.9988245320635362E-3</v>
      </c>
      <c r="S72" s="139">
        <f>Mitigation_Industry!$E$370</f>
        <v>1.9988245320635362E-3</v>
      </c>
      <c r="T72" s="139">
        <f>Mitigation_Industry!$E$370</f>
        <v>1.9988245320635362E-3</v>
      </c>
      <c r="U72" s="139">
        <f>Mitigation_Industry!$E$370</f>
        <v>1.9988245320635362E-3</v>
      </c>
      <c r="V72" s="139">
        <f>Mitigation_Industry!$E$370</f>
        <v>1.9988245320635362E-3</v>
      </c>
      <c r="W72" s="139">
        <f>Mitigation_Industry!$E$370</f>
        <v>1.9988245320635362E-3</v>
      </c>
      <c r="X72" s="139">
        <f>Mitigation_Industry!$E$370</f>
        <v>1.9988245320635362E-3</v>
      </c>
      <c r="Y72" s="139">
        <f>Mitigation_Industry!$E$370</f>
        <v>1.9988245320635362E-3</v>
      </c>
      <c r="Z72" s="139">
        <f>Mitigation_Industry!$E$370</f>
        <v>1.9988245320635362E-3</v>
      </c>
      <c r="AA72" s="139">
        <f>Mitigation_Industry!$E$370</f>
        <v>1.9988245320635362E-3</v>
      </c>
      <c r="AB72" s="139">
        <f>Mitigation_Industry!$E$370</f>
        <v>1.9988245320635362E-3</v>
      </c>
      <c r="AC72" s="139">
        <f>Mitigation_Industry!$E$370</f>
        <v>1.9988245320635362E-3</v>
      </c>
      <c r="AD72" s="139">
        <f>Mitigation_Industry!$E$370</f>
        <v>1.9988245320635362E-3</v>
      </c>
      <c r="AE72" s="139">
        <f>Mitigation_Industry!$E$370</f>
        <v>1.9988245320635362E-3</v>
      </c>
      <c r="AF72" s="138"/>
      <c r="AG72" s="138"/>
      <c r="AH72" s="138"/>
      <c r="AI72" s="138"/>
    </row>
    <row r="73" spans="2:35" customFormat="1" ht="15" x14ac:dyDescent="0.25">
      <c r="B73" s="14" t="s">
        <v>2579</v>
      </c>
      <c r="C73" s="14" t="s">
        <v>43</v>
      </c>
      <c r="D73" s="15" t="s">
        <v>2626</v>
      </c>
      <c r="E73" s="16" t="s">
        <v>2607</v>
      </c>
      <c r="F73" s="14" t="s">
        <v>2616</v>
      </c>
      <c r="G73" s="17"/>
      <c r="H73" s="125" t="str">
        <f>Settings!$B$3&amp;".mit.bp.stl.drg.no.1"</f>
        <v>egy.mit.bp.stl.drg.no.1</v>
      </c>
      <c r="K73" s="136"/>
      <c r="L73" s="139">
        <f>Mitigation_Industry!$G$363</f>
        <v>0</v>
      </c>
      <c r="M73" s="139">
        <f>Mitigation_Industry!$G$363</f>
        <v>0</v>
      </c>
      <c r="N73" s="139">
        <f>Mitigation_Industry!$G$363</f>
        <v>0</v>
      </c>
      <c r="O73" s="139">
        <f>Mitigation_Industry!$G$363</f>
        <v>0</v>
      </c>
      <c r="P73" s="139">
        <f>Mitigation_Industry!$G$363</f>
        <v>0</v>
      </c>
      <c r="Q73" s="139">
        <f>Mitigation_Industry!$G$363</f>
        <v>0</v>
      </c>
      <c r="R73" s="139">
        <f>Mitigation_Industry!$G$363</f>
        <v>0</v>
      </c>
      <c r="S73" s="139">
        <f>Mitigation_Industry!$G$363</f>
        <v>0</v>
      </c>
      <c r="T73" s="139">
        <f>Mitigation_Industry!$G$363</f>
        <v>0</v>
      </c>
      <c r="U73" s="139">
        <f>Mitigation_Industry!$G$363</f>
        <v>0</v>
      </c>
      <c r="V73" s="139">
        <f>Mitigation_Industry!$G$363</f>
        <v>0</v>
      </c>
      <c r="W73" s="139">
        <f>Mitigation_Industry!$G$363</f>
        <v>0</v>
      </c>
      <c r="X73" s="139">
        <f>Mitigation_Industry!$G$363</f>
        <v>0</v>
      </c>
      <c r="Y73" s="139">
        <f>Mitigation_Industry!$G$363</f>
        <v>0</v>
      </c>
      <c r="Z73" s="139">
        <f>Mitigation_Industry!$G$363</f>
        <v>0</v>
      </c>
      <c r="AA73" s="139">
        <f>Mitigation_Industry!$G$363</f>
        <v>0</v>
      </c>
      <c r="AB73" s="139">
        <f>Mitigation_Industry!$G$363</f>
        <v>0</v>
      </c>
      <c r="AC73" s="139">
        <f>Mitigation_Industry!$G$363</f>
        <v>0</v>
      </c>
      <c r="AD73" s="139">
        <f>Mitigation_Industry!$G$363</f>
        <v>0</v>
      </c>
      <c r="AE73" s="139">
        <f>Mitigation_Industry!$G$363</f>
        <v>0</v>
      </c>
      <c r="AF73" s="138"/>
      <c r="AG73" s="138"/>
      <c r="AH73" s="138"/>
      <c r="AI73" s="138"/>
    </row>
    <row r="74" spans="2:35" customFormat="1" ht="15" x14ac:dyDescent="0.25">
      <c r="B74" s="14" t="s">
        <v>2581</v>
      </c>
      <c r="C74" s="14" t="s">
        <v>43</v>
      </c>
      <c r="D74" s="15" t="s">
        <v>2627</v>
      </c>
      <c r="E74" s="16" t="s">
        <v>2607</v>
      </c>
      <c r="F74" s="14" t="s">
        <v>2616</v>
      </c>
      <c r="G74" s="17"/>
      <c r="H74" s="125" t="str">
        <f>Settings!$B$3&amp;".mit.bp.stl.scr.no.1"</f>
        <v>egy.mit.bp.stl.scr.no.1</v>
      </c>
      <c r="K74" s="136"/>
      <c r="L74" s="139">
        <f>Mitigation_Industry!$G$364</f>
        <v>0</v>
      </c>
      <c r="M74" s="139">
        <f>Mitigation_Industry!$G$364</f>
        <v>0</v>
      </c>
      <c r="N74" s="139">
        <f>Mitigation_Industry!$G$364</f>
        <v>0</v>
      </c>
      <c r="O74" s="139">
        <f>Mitigation_Industry!$G$364</f>
        <v>0</v>
      </c>
      <c r="P74" s="139">
        <f>Mitigation_Industry!$G$364</f>
        <v>0</v>
      </c>
      <c r="Q74" s="139">
        <f>Mitigation_Industry!$G$364</f>
        <v>0</v>
      </c>
      <c r="R74" s="139">
        <f>Mitigation_Industry!$G$364</f>
        <v>0</v>
      </c>
      <c r="S74" s="139">
        <f>Mitigation_Industry!$G$364</f>
        <v>0</v>
      </c>
      <c r="T74" s="139">
        <f>Mitigation_Industry!$G$364</f>
        <v>0</v>
      </c>
      <c r="U74" s="139">
        <f>Mitigation_Industry!$G$364</f>
        <v>0</v>
      </c>
      <c r="V74" s="139">
        <f>Mitigation_Industry!$G$364</f>
        <v>0</v>
      </c>
      <c r="W74" s="139">
        <f>Mitigation_Industry!$G$364</f>
        <v>0</v>
      </c>
      <c r="X74" s="139">
        <f>Mitigation_Industry!$G$364</f>
        <v>0</v>
      </c>
      <c r="Y74" s="139">
        <f>Mitigation_Industry!$G$364</f>
        <v>0</v>
      </c>
      <c r="Z74" s="139">
        <f>Mitigation_Industry!$G$364</f>
        <v>0</v>
      </c>
      <c r="AA74" s="139">
        <f>Mitigation_Industry!$G$364</f>
        <v>0</v>
      </c>
      <c r="AB74" s="139">
        <f>Mitigation_Industry!$G$364</f>
        <v>0</v>
      </c>
      <c r="AC74" s="139">
        <f>Mitigation_Industry!$G$364</f>
        <v>0</v>
      </c>
      <c r="AD74" s="139">
        <f>Mitigation_Industry!$G$364</f>
        <v>0</v>
      </c>
      <c r="AE74" s="139">
        <f>Mitigation_Industry!$G$364</f>
        <v>0</v>
      </c>
      <c r="AF74" s="138"/>
      <c r="AG74" s="138"/>
      <c r="AH74" s="138"/>
      <c r="AI74" s="138"/>
    </row>
    <row r="75" spans="2:35" customFormat="1" ht="15" x14ac:dyDescent="0.25">
      <c r="B75" s="14" t="s">
        <v>2583</v>
      </c>
      <c r="C75" s="14" t="s">
        <v>43</v>
      </c>
      <c r="D75" s="15" t="s">
        <v>2628</v>
      </c>
      <c r="E75" s="16" t="s">
        <v>2607</v>
      </c>
      <c r="F75" s="14" t="s">
        <v>2616</v>
      </c>
      <c r="G75" s="17"/>
      <c r="H75" s="125" t="str">
        <f>Settings!$B$3&amp;".mit.bp.stl.bof.no.1"</f>
        <v>egy.mit.bp.stl.bof.no.1</v>
      </c>
      <c r="K75" s="136"/>
      <c r="L75" s="139">
        <f>Mitigation_Industry!$G$365</f>
        <v>0</v>
      </c>
      <c r="M75" s="139">
        <f>Mitigation_Industry!$G$365</f>
        <v>0</v>
      </c>
      <c r="N75" s="139">
        <f>Mitigation_Industry!$G$365</f>
        <v>0</v>
      </c>
      <c r="O75" s="139">
        <f>Mitigation_Industry!$G$365</f>
        <v>0</v>
      </c>
      <c r="P75" s="139">
        <f>Mitigation_Industry!$G$365</f>
        <v>0</v>
      </c>
      <c r="Q75" s="139">
        <f>Mitigation_Industry!$G$365</f>
        <v>0</v>
      </c>
      <c r="R75" s="139">
        <f>Mitigation_Industry!$G$365</f>
        <v>0</v>
      </c>
      <c r="S75" s="139">
        <f>Mitigation_Industry!$G$365</f>
        <v>0</v>
      </c>
      <c r="T75" s="139">
        <f>Mitigation_Industry!$G$365</f>
        <v>0</v>
      </c>
      <c r="U75" s="139">
        <f>Mitigation_Industry!$G$365</f>
        <v>0</v>
      </c>
      <c r="V75" s="139">
        <f>Mitigation_Industry!$G$365</f>
        <v>0</v>
      </c>
      <c r="W75" s="139">
        <f>Mitigation_Industry!$G$365</f>
        <v>0</v>
      </c>
      <c r="X75" s="139">
        <f>Mitigation_Industry!$G$365</f>
        <v>0</v>
      </c>
      <c r="Y75" s="139">
        <f>Mitigation_Industry!$G$365</f>
        <v>0</v>
      </c>
      <c r="Z75" s="139">
        <f>Mitigation_Industry!$G$365</f>
        <v>0</v>
      </c>
      <c r="AA75" s="139">
        <f>Mitigation_Industry!$G$365</f>
        <v>0</v>
      </c>
      <c r="AB75" s="139">
        <f>Mitigation_Industry!$G$365</f>
        <v>0</v>
      </c>
      <c r="AC75" s="139">
        <f>Mitigation_Industry!$G$365</f>
        <v>0</v>
      </c>
      <c r="AD75" s="139">
        <f>Mitigation_Industry!$G$365</f>
        <v>0</v>
      </c>
      <c r="AE75" s="139">
        <f>Mitigation_Industry!$G$365</f>
        <v>0</v>
      </c>
      <c r="AF75" s="138"/>
      <c r="AG75" s="138"/>
      <c r="AH75" s="138"/>
      <c r="AI75" s="138"/>
    </row>
    <row r="76" spans="2:35" customFormat="1" ht="15" x14ac:dyDescent="0.25">
      <c r="B76" s="14" t="s">
        <v>2585</v>
      </c>
      <c r="C76" s="14" t="s">
        <v>113</v>
      </c>
      <c r="D76" s="15" t="s">
        <v>2629</v>
      </c>
      <c r="E76" s="16" t="s">
        <v>2607</v>
      </c>
      <c r="F76" s="14" t="s">
        <v>2616</v>
      </c>
      <c r="G76" s="17"/>
      <c r="H76" s="125" t="str">
        <f>Settings!$B$3&amp;".mit.bp.cmt.dry.no.1"</f>
        <v>egy.mit.bp.cmt.dry.no.1</v>
      </c>
      <c r="K76" s="136"/>
      <c r="L76" s="139">
        <f>Mitigation_Industry!$G$366</f>
        <v>0</v>
      </c>
      <c r="M76" s="139">
        <f>Mitigation_Industry!$G$366</f>
        <v>0</v>
      </c>
      <c r="N76" s="139">
        <f>Mitigation_Industry!$G$366</f>
        <v>0</v>
      </c>
      <c r="O76" s="139">
        <f>Mitigation_Industry!$G$366</f>
        <v>0</v>
      </c>
      <c r="P76" s="139">
        <f>Mitigation_Industry!$G$366</f>
        <v>0</v>
      </c>
      <c r="Q76" s="139">
        <f>Mitigation_Industry!$G$366</f>
        <v>0</v>
      </c>
      <c r="R76" s="139">
        <f>Mitigation_Industry!$G$366</f>
        <v>0</v>
      </c>
      <c r="S76" s="139">
        <f>Mitigation_Industry!$G$366</f>
        <v>0</v>
      </c>
      <c r="T76" s="139">
        <f>Mitigation_Industry!$G$366</f>
        <v>0</v>
      </c>
      <c r="U76" s="139">
        <f>Mitigation_Industry!$G$366</f>
        <v>0</v>
      </c>
      <c r="V76" s="139">
        <f>Mitigation_Industry!$G$366</f>
        <v>0</v>
      </c>
      <c r="W76" s="139">
        <f>Mitigation_Industry!$G$366</f>
        <v>0</v>
      </c>
      <c r="X76" s="139">
        <f>Mitigation_Industry!$G$366</f>
        <v>0</v>
      </c>
      <c r="Y76" s="139">
        <f>Mitigation_Industry!$G$366</f>
        <v>0</v>
      </c>
      <c r="Z76" s="139">
        <f>Mitigation_Industry!$G$366</f>
        <v>0</v>
      </c>
      <c r="AA76" s="139">
        <f>Mitigation_Industry!$G$366</f>
        <v>0</v>
      </c>
      <c r="AB76" s="139">
        <f>Mitigation_Industry!$G$366</f>
        <v>0</v>
      </c>
      <c r="AC76" s="139">
        <f>Mitigation_Industry!$G$366</f>
        <v>0</v>
      </c>
      <c r="AD76" s="139">
        <f>Mitigation_Industry!$G$366</f>
        <v>0</v>
      </c>
      <c r="AE76" s="139">
        <f>Mitigation_Industry!$G$366</f>
        <v>0</v>
      </c>
      <c r="AF76" s="138"/>
      <c r="AG76" s="138"/>
      <c r="AH76" s="138"/>
      <c r="AI76" s="138"/>
    </row>
    <row r="77" spans="2:35" customFormat="1" ht="15" x14ac:dyDescent="0.25">
      <c r="B77" s="14" t="s">
        <v>2587</v>
      </c>
      <c r="C77" s="14" t="s">
        <v>117</v>
      </c>
      <c r="D77" s="15" t="s">
        <v>2630</v>
      </c>
      <c r="E77" s="16" t="s">
        <v>2607</v>
      </c>
      <c r="F77" s="14" t="s">
        <v>2616</v>
      </c>
      <c r="G77" s="17"/>
      <c r="H77" s="125" t="str">
        <f>Settings!$B$3&amp;".mit.bp.frt.amc.no.1"</f>
        <v>egy.mit.bp.frt.amc.no.1</v>
      </c>
      <c r="K77" s="136"/>
      <c r="L77" s="139">
        <f>Mitigation_Industry!$G$367</f>
        <v>0</v>
      </c>
      <c r="M77" s="139">
        <f>Mitigation_Industry!$G$367</f>
        <v>0</v>
      </c>
      <c r="N77" s="139">
        <f>Mitigation_Industry!$G$367</f>
        <v>0</v>
      </c>
      <c r="O77" s="139">
        <f>Mitigation_Industry!$G$367</f>
        <v>0</v>
      </c>
      <c r="P77" s="139">
        <f>Mitigation_Industry!$G$367</f>
        <v>0</v>
      </c>
      <c r="Q77" s="139">
        <f>Mitigation_Industry!$G$367</f>
        <v>0</v>
      </c>
      <c r="R77" s="139">
        <f>Mitigation_Industry!$G$367</f>
        <v>0</v>
      </c>
      <c r="S77" s="139">
        <f>Mitigation_Industry!$G$367</f>
        <v>0</v>
      </c>
      <c r="T77" s="139">
        <f>Mitigation_Industry!$G$367</f>
        <v>0</v>
      </c>
      <c r="U77" s="139">
        <f>Mitigation_Industry!$G$367</f>
        <v>0</v>
      </c>
      <c r="V77" s="139">
        <f>Mitigation_Industry!$G$367</f>
        <v>0</v>
      </c>
      <c r="W77" s="139">
        <f>Mitigation_Industry!$G$367</f>
        <v>0</v>
      </c>
      <c r="X77" s="139">
        <f>Mitigation_Industry!$G$367</f>
        <v>0</v>
      </c>
      <c r="Y77" s="139">
        <f>Mitigation_Industry!$G$367</f>
        <v>0</v>
      </c>
      <c r="Z77" s="139">
        <f>Mitigation_Industry!$G$367</f>
        <v>0</v>
      </c>
      <c r="AA77" s="139">
        <f>Mitigation_Industry!$G$367</f>
        <v>0</v>
      </c>
      <c r="AB77" s="139">
        <f>Mitigation_Industry!$G$367</f>
        <v>0</v>
      </c>
      <c r="AC77" s="139">
        <f>Mitigation_Industry!$G$367</f>
        <v>0</v>
      </c>
      <c r="AD77" s="139">
        <f>Mitigation_Industry!$G$367</f>
        <v>0</v>
      </c>
      <c r="AE77" s="139">
        <f>Mitigation_Industry!$G$367</f>
        <v>0</v>
      </c>
      <c r="AF77" s="138"/>
      <c r="AG77" s="138"/>
      <c r="AH77" s="138"/>
      <c r="AI77" s="138"/>
    </row>
    <row r="78" spans="2:35" customFormat="1" ht="15" x14ac:dyDescent="0.25">
      <c r="B78" s="14" t="s">
        <v>2589</v>
      </c>
      <c r="C78" s="14" t="s">
        <v>117</v>
      </c>
      <c r="D78" s="15" t="s">
        <v>2631</v>
      </c>
      <c r="E78" s="16" t="s">
        <v>2607</v>
      </c>
      <c r="F78" s="14" t="s">
        <v>2616</v>
      </c>
      <c r="G78" s="17"/>
      <c r="H78" s="125" t="str">
        <f>Settings!$B$3&amp;".mit.bp.frt.ure.no.1"</f>
        <v>egy.mit.bp.frt.ure.no.1</v>
      </c>
      <c r="K78" s="136"/>
      <c r="L78" s="139">
        <f>Mitigation_Industry!$G$368</f>
        <v>0</v>
      </c>
      <c r="M78" s="139">
        <f>Mitigation_Industry!$G$368</f>
        <v>0</v>
      </c>
      <c r="N78" s="139">
        <f>Mitigation_Industry!$G$368</f>
        <v>0</v>
      </c>
      <c r="O78" s="139">
        <f>Mitigation_Industry!$G$368</f>
        <v>0</v>
      </c>
      <c r="P78" s="139">
        <f>Mitigation_Industry!$G$368</f>
        <v>0</v>
      </c>
      <c r="Q78" s="139">
        <f>Mitigation_Industry!$G$368</f>
        <v>0</v>
      </c>
      <c r="R78" s="139">
        <f>Mitigation_Industry!$G$368</f>
        <v>0</v>
      </c>
      <c r="S78" s="139">
        <f>Mitigation_Industry!$G$368</f>
        <v>0</v>
      </c>
      <c r="T78" s="139">
        <f>Mitigation_Industry!$G$368</f>
        <v>0</v>
      </c>
      <c r="U78" s="139">
        <f>Mitigation_Industry!$G$368</f>
        <v>0</v>
      </c>
      <c r="V78" s="139">
        <f>Mitigation_Industry!$G$368</f>
        <v>0</v>
      </c>
      <c r="W78" s="139">
        <f>Mitigation_Industry!$G$368</f>
        <v>0</v>
      </c>
      <c r="X78" s="139">
        <f>Mitigation_Industry!$G$368</f>
        <v>0</v>
      </c>
      <c r="Y78" s="139">
        <f>Mitigation_Industry!$G$368</f>
        <v>0</v>
      </c>
      <c r="Z78" s="139">
        <f>Mitigation_Industry!$G$368</f>
        <v>0</v>
      </c>
      <c r="AA78" s="139">
        <f>Mitigation_Industry!$G$368</f>
        <v>0</v>
      </c>
      <c r="AB78" s="139">
        <f>Mitigation_Industry!$G$368</f>
        <v>0</v>
      </c>
      <c r="AC78" s="139">
        <f>Mitigation_Industry!$G$368</f>
        <v>0</v>
      </c>
      <c r="AD78" s="139">
        <f>Mitigation_Industry!$G$368</f>
        <v>0</v>
      </c>
      <c r="AE78" s="139">
        <f>Mitigation_Industry!$G$368</f>
        <v>0</v>
      </c>
      <c r="AF78" s="138"/>
      <c r="AG78" s="138"/>
      <c r="AH78" s="138"/>
      <c r="AI78" s="138"/>
    </row>
    <row r="79" spans="2:35" customFormat="1" ht="15" x14ac:dyDescent="0.25">
      <c r="B79" s="14" t="s">
        <v>2591</v>
      </c>
      <c r="C79" s="14" t="s">
        <v>117</v>
      </c>
      <c r="D79" s="15" t="s">
        <v>2632</v>
      </c>
      <c r="E79" s="16" t="s">
        <v>2607</v>
      </c>
      <c r="F79" s="14" t="s">
        <v>2616</v>
      </c>
      <c r="G79" s="17"/>
      <c r="H79" s="125" t="str">
        <f>Settings!$B$3&amp;".mit.bp.frt.nit.no.1"</f>
        <v>egy.mit.bp.frt.nit.no.1</v>
      </c>
      <c r="K79" s="136"/>
      <c r="L79" s="139">
        <f>Mitigation_Industry!$G$369</f>
        <v>7.8858436436826454E-3</v>
      </c>
      <c r="M79" s="139">
        <f>Mitigation_Industry!$G$369</f>
        <v>7.8858436436826454E-3</v>
      </c>
      <c r="N79" s="139">
        <f>Mitigation_Industry!$G$369</f>
        <v>7.8858436436826454E-3</v>
      </c>
      <c r="O79" s="139">
        <f>Mitigation_Industry!$G$369</f>
        <v>7.8858436436826454E-3</v>
      </c>
      <c r="P79" s="139">
        <f>Mitigation_Industry!$G$369</f>
        <v>7.8858436436826454E-3</v>
      </c>
      <c r="Q79" s="139">
        <f>Mitigation_Industry!$G$369</f>
        <v>7.8858436436826454E-3</v>
      </c>
      <c r="R79" s="139">
        <f>Mitigation_Industry!$G$369</f>
        <v>7.8858436436826454E-3</v>
      </c>
      <c r="S79" s="139">
        <f>Mitigation_Industry!$G$369</f>
        <v>7.8858436436826454E-3</v>
      </c>
      <c r="T79" s="139">
        <f>Mitigation_Industry!$G$369</f>
        <v>7.8858436436826454E-3</v>
      </c>
      <c r="U79" s="139">
        <f>Mitigation_Industry!$G$369</f>
        <v>7.8858436436826454E-3</v>
      </c>
      <c r="V79" s="139">
        <f>Mitigation_Industry!$G$369</f>
        <v>7.8858436436826454E-3</v>
      </c>
      <c r="W79" s="139">
        <f>Mitigation_Industry!$G$369</f>
        <v>7.8858436436826454E-3</v>
      </c>
      <c r="X79" s="139">
        <f>Mitigation_Industry!$G$369</f>
        <v>7.8858436436826454E-3</v>
      </c>
      <c r="Y79" s="139">
        <f>Mitigation_Industry!$G$369</f>
        <v>7.8858436436826454E-3</v>
      </c>
      <c r="Z79" s="139">
        <f>Mitigation_Industry!$G$369</f>
        <v>7.8858436436826454E-3</v>
      </c>
      <c r="AA79" s="139">
        <f>Mitigation_Industry!$G$369</f>
        <v>7.8858436436826454E-3</v>
      </c>
      <c r="AB79" s="139">
        <f>Mitigation_Industry!$G$369</f>
        <v>7.8858436436826454E-3</v>
      </c>
      <c r="AC79" s="139">
        <f>Mitigation_Industry!$G$369</f>
        <v>7.8858436436826454E-3</v>
      </c>
      <c r="AD79" s="139">
        <f>Mitigation_Industry!$G$369</f>
        <v>7.8858436436826454E-3</v>
      </c>
      <c r="AE79" s="139">
        <f>Mitigation_Industry!$G$369</f>
        <v>7.8858436436826454E-3</v>
      </c>
      <c r="AF79" s="138"/>
      <c r="AG79" s="138"/>
      <c r="AH79" s="138"/>
      <c r="AI79" s="138"/>
    </row>
    <row r="80" spans="2:35" customFormat="1" ht="15" x14ac:dyDescent="0.25">
      <c r="B80" s="14" t="s">
        <v>2593</v>
      </c>
      <c r="C80" s="14" t="s">
        <v>115</v>
      </c>
      <c r="D80" s="15" t="s">
        <v>2633</v>
      </c>
      <c r="E80" s="16" t="s">
        <v>2607</v>
      </c>
      <c r="F80" s="14" t="s">
        <v>2616</v>
      </c>
      <c r="G80" s="17"/>
      <c r="H80" s="125" t="str">
        <f>Settings!$B$3&amp;".mit.bp.alu.prp.no.1"</f>
        <v>egy.mit.bp.alu.prp.no.1</v>
      </c>
      <c r="K80" s="136"/>
      <c r="L80" s="139">
        <f>Mitigation_Industry!$G$370</f>
        <v>1.9988245320635362E-3</v>
      </c>
      <c r="M80" s="139">
        <f>Mitigation_Industry!$G$370</f>
        <v>1.9988245320635362E-3</v>
      </c>
      <c r="N80" s="139">
        <f>Mitigation_Industry!$G$370</f>
        <v>1.9988245320635362E-3</v>
      </c>
      <c r="O80" s="139">
        <f>Mitigation_Industry!$G$370</f>
        <v>1.9988245320635362E-3</v>
      </c>
      <c r="P80" s="139">
        <f>Mitigation_Industry!$G$370</f>
        <v>1.9988245320635362E-3</v>
      </c>
      <c r="Q80" s="139">
        <f>Mitigation_Industry!$G$370</f>
        <v>1.9988245320635362E-3</v>
      </c>
      <c r="R80" s="139">
        <f>Mitigation_Industry!$G$370</f>
        <v>1.9988245320635362E-3</v>
      </c>
      <c r="S80" s="139">
        <f>Mitigation_Industry!$G$370</f>
        <v>1.9988245320635362E-3</v>
      </c>
      <c r="T80" s="139">
        <f>Mitigation_Industry!$G$370</f>
        <v>1.9988245320635362E-3</v>
      </c>
      <c r="U80" s="139">
        <f>Mitigation_Industry!$G$370</f>
        <v>1.9988245320635362E-3</v>
      </c>
      <c r="V80" s="139">
        <f>Mitigation_Industry!$G$370</f>
        <v>1.9988245320635362E-3</v>
      </c>
      <c r="W80" s="139">
        <f>Mitigation_Industry!$G$370</f>
        <v>1.9988245320635362E-3</v>
      </c>
      <c r="X80" s="139">
        <f>Mitigation_Industry!$G$370</f>
        <v>1.9988245320635362E-3</v>
      </c>
      <c r="Y80" s="139">
        <f>Mitigation_Industry!$G$370</f>
        <v>1.9988245320635362E-3</v>
      </c>
      <c r="Z80" s="139">
        <f>Mitigation_Industry!$G$370</f>
        <v>1.9988245320635362E-3</v>
      </c>
      <c r="AA80" s="139">
        <f>Mitigation_Industry!$G$370</f>
        <v>1.9988245320635362E-3</v>
      </c>
      <c r="AB80" s="139">
        <f>Mitigation_Industry!$G$370</f>
        <v>1.9988245320635362E-3</v>
      </c>
      <c r="AC80" s="139">
        <f>Mitigation_Industry!$G$370</f>
        <v>1.9988245320635362E-3</v>
      </c>
      <c r="AD80" s="139">
        <f>Mitigation_Industry!$G$370</f>
        <v>1.9988245320635362E-3</v>
      </c>
      <c r="AE80" s="139">
        <f>Mitigation_Industry!$G$370</f>
        <v>1.9988245320635362E-3</v>
      </c>
      <c r="AF80" s="138"/>
      <c r="AG80" s="138"/>
      <c r="AH80" s="138"/>
      <c r="AI80" s="138"/>
    </row>
    <row r="81" spans="1:35" x14ac:dyDescent="0.2"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</row>
    <row r="82" spans="1:35" customFormat="1" ht="15" x14ac:dyDescent="0.25">
      <c r="A82" s="11"/>
      <c r="B82" s="6"/>
      <c r="C82" s="7" t="s">
        <v>2634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4">
        <v>2021</v>
      </c>
      <c r="L82" s="135">
        <v>2022</v>
      </c>
      <c r="M82" s="134">
        <v>2023</v>
      </c>
      <c r="N82" s="134">
        <v>2024</v>
      </c>
      <c r="O82" s="134">
        <v>2025</v>
      </c>
      <c r="P82" s="134">
        <v>2026</v>
      </c>
      <c r="Q82" s="134">
        <v>2027</v>
      </c>
      <c r="R82" s="134">
        <v>2028</v>
      </c>
      <c r="S82" s="134">
        <v>2029</v>
      </c>
      <c r="T82" s="134">
        <v>2030</v>
      </c>
      <c r="U82" s="134">
        <v>2031</v>
      </c>
      <c r="V82" s="134">
        <v>2032</v>
      </c>
      <c r="W82" s="134">
        <v>2033</v>
      </c>
      <c r="X82" s="134">
        <v>2034</v>
      </c>
      <c r="Y82" s="134">
        <v>2035</v>
      </c>
      <c r="Z82" s="134">
        <v>2036</v>
      </c>
      <c r="AA82" s="134">
        <v>2037</v>
      </c>
      <c r="AB82" s="134">
        <v>2038</v>
      </c>
      <c r="AC82" s="134">
        <v>2039</v>
      </c>
      <c r="AD82" s="134">
        <v>2040</v>
      </c>
      <c r="AE82" s="134">
        <v>2041</v>
      </c>
      <c r="AF82" s="134">
        <v>2042</v>
      </c>
      <c r="AG82" s="134">
        <v>2043</v>
      </c>
      <c r="AH82" s="134">
        <v>2044</v>
      </c>
      <c r="AI82" s="134">
        <v>2045</v>
      </c>
    </row>
    <row r="83" spans="1:35" customFormat="1" ht="15" x14ac:dyDescent="0.25">
      <c r="B83" s="14" t="s">
        <v>2562</v>
      </c>
      <c r="C83" s="14" t="s">
        <v>43</v>
      </c>
      <c r="D83" s="15" t="s">
        <v>2635</v>
      </c>
      <c r="E83" s="16" t="s">
        <v>2065</v>
      </c>
      <c r="F83" s="14" t="s">
        <v>2634</v>
      </c>
      <c r="G83" s="17"/>
      <c r="H83" s="125" t="str">
        <f>Settings!$B$3&amp;".mit.wm.stl.drg.np.1"</f>
        <v>egy.mit.wm.stl.drg.np.1</v>
      </c>
      <c r="I83" t="s">
        <v>2636</v>
      </c>
      <c r="K83" s="136"/>
      <c r="L83" s="137">
        <f>Mitigation_Industry!L$276*Mitigation_Industry!$J$273*MAX(Mitigation_Industry!$J$264,0)*Mitigation_Industry!$F$363/1000</f>
        <v>0.17734546065090059</v>
      </c>
      <c r="M83" s="137">
        <f>Mitigation_Industry!M$276*Mitigation_Industry!$J$273*MAX(Mitigation_Industry!$J$264,0)*Mitigation_Industry!$F$363/1000</f>
        <v>0.18514866091954021</v>
      </c>
      <c r="N83" s="137">
        <f>Mitigation_Industry!N$276*Mitigation_Industry!$J$273*MAX(Mitigation_Industry!$J$264,0)*Mitigation_Industry!$F$363/1000</f>
        <v>0.193295202</v>
      </c>
      <c r="O83" s="137">
        <f>Mitigation_Industry!O$276*Mitigation_Industry!$J$273*MAX(Mitigation_Industry!$J$264,0)*Mitigation_Industry!$F$363/1000</f>
        <v>0.20180019088800003</v>
      </c>
      <c r="P83" s="137">
        <f>Mitigation_Industry!P$276*Mitigation_Industry!$J$273*MAX(Mitigation_Industry!$J$264,0)*Mitigation_Industry!$F$363/1000</f>
        <v>0.21067939928707202</v>
      </c>
      <c r="Q83" s="137">
        <f>Mitigation_Industry!Q$276*Mitigation_Industry!$J$273*MAX(Mitigation_Industry!$J$264,0)*Mitigation_Industry!$F$363/1000</f>
        <v>0.21994929285570322</v>
      </c>
      <c r="R83" s="137">
        <f>Mitigation_Industry!R$276*Mitigation_Industry!$J$273*MAX(Mitigation_Industry!$J$264,0)*Mitigation_Industry!$F$363/1000</f>
        <v>0.22962706174135414</v>
      </c>
      <c r="S83" s="137">
        <f>Mitigation_Industry!S$276*Mitigation_Industry!$J$273*MAX(Mitigation_Industry!$J$264,0)*Mitigation_Industry!$F$363/1000</f>
        <v>0.2397306524579737</v>
      </c>
      <c r="T83" s="137">
        <f>Mitigation_Industry!T$276*Mitigation_Industry!$J$273*MAX(Mitigation_Industry!$J$264,0)*Mitigation_Industry!$F$363/1000</f>
        <v>0.25027880116612461</v>
      </c>
      <c r="U83" s="137">
        <f>Mitigation_Industry!U$276*Mitigation_Industry!$J$273*MAX(Mitigation_Industry!$J$264,0)*Mitigation_Industry!$F$363/1000</f>
        <v>0.2612910684174341</v>
      </c>
      <c r="V83" s="137">
        <f>Mitigation_Industry!V$276*Mitigation_Industry!$J$273*MAX(Mitigation_Industry!$J$264,0)*Mitigation_Industry!$F$363/1000</f>
        <v>0.27278787542780114</v>
      </c>
      <c r="W83" s="137">
        <f>Mitigation_Industry!W$276*Mitigation_Industry!$J$273*MAX(Mitigation_Industry!$J$264,0)*Mitigation_Industry!$F$363/1000</f>
        <v>0.28479054194662445</v>
      </c>
      <c r="X83" s="137">
        <f>Mitigation_Industry!X$276*Mitigation_Industry!$J$273*MAX(Mitigation_Industry!$J$264,0)*Mitigation_Industry!$F$363/1000</f>
        <v>0.29732132579227588</v>
      </c>
      <c r="Y83" s="137">
        <f>Mitigation_Industry!Y$276*Mitigation_Industry!$J$273*MAX(Mitigation_Industry!$J$264,0)*Mitigation_Industry!$F$363/1000</f>
        <v>0.3104034641271361</v>
      </c>
      <c r="Z83" s="137">
        <f>Mitigation_Industry!Z$276*Mitigation_Industry!$J$273*MAX(Mitigation_Industry!$J$264,0)*Mitigation_Industry!$F$363/1000</f>
        <v>0.32406121654872999</v>
      </c>
      <c r="AA83" s="137">
        <f>Mitigation_Industry!AA$276*Mitigation_Industry!$J$273*MAX(Mitigation_Industry!$J$264,0)*Mitigation_Industry!$F$363/1000</f>
        <v>0.33831991007687412</v>
      </c>
      <c r="AB83" s="137">
        <f>Mitigation_Industry!AB$276*Mitigation_Industry!$J$273*MAX(Mitigation_Industry!$J$264,0)*Mitigation_Industry!$F$363/1000</f>
        <v>0.35320598612025667</v>
      </c>
      <c r="AC83" s="137">
        <f>Mitigation_Industry!AC$276*Mitigation_Industry!$J$273*MAX(Mitigation_Industry!$J$264,0)*Mitigation_Industry!$F$363/1000</f>
        <v>0.36874704950954795</v>
      </c>
      <c r="AD83" s="137">
        <f>Mitigation_Industry!AD$276*Mitigation_Industry!$J$273*MAX(Mitigation_Industry!$J$264,0)*Mitigation_Industry!$F$363/1000</f>
        <v>0.38497191968796801</v>
      </c>
      <c r="AE83" s="137">
        <f>Mitigation_Industry!AE$276*Mitigation_Industry!$J$273*MAX(Mitigation_Industry!$J$264,0)*Mitigation_Industry!$F$363/1000</f>
        <v>0.40191068415423858</v>
      </c>
      <c r="AF83" s="138"/>
      <c r="AG83" s="138"/>
      <c r="AH83" s="138"/>
      <c r="AI83" s="138"/>
    </row>
    <row r="84" spans="1:35" customFormat="1" ht="15" x14ac:dyDescent="0.25">
      <c r="B84" s="14" t="s">
        <v>2565</v>
      </c>
      <c r="C84" s="14" t="s">
        <v>43</v>
      </c>
      <c r="D84" s="15" t="s">
        <v>2637</v>
      </c>
      <c r="E84" s="16" t="s">
        <v>2065</v>
      </c>
      <c r="F84" s="14" t="s">
        <v>2634</v>
      </c>
      <c r="G84" s="17"/>
      <c r="H84" s="125" t="str">
        <f>Settings!$B$3&amp;".mit.wm.stl.scr.np.1"</f>
        <v>egy.mit.wm.stl.scr.np.1</v>
      </c>
      <c r="K84" s="136"/>
      <c r="L84" s="137">
        <f>Mitigation_Industry!L$277*Mitigation_Industry!$J$273*MAX(Mitigation_Industry!$J$265,0)*Mitigation_Industry!$F$364/1000</f>
        <v>0.19368983132954593</v>
      </c>
      <c r="M84" s="137">
        <f>Mitigation_Industry!M$277*Mitigation_Industry!$J$273*MAX(Mitigation_Industry!$J$265,0)*Mitigation_Industry!$F$364/1000</f>
        <v>0.20221218390804596</v>
      </c>
      <c r="N84" s="137">
        <f>Mitigation_Industry!N$277*Mitigation_Industry!$J$273*MAX(Mitigation_Industry!$J$265,0)*Mitigation_Industry!$F$364/1000</f>
        <v>0.21110951999999997</v>
      </c>
      <c r="O84" s="137">
        <f>Mitigation_Industry!O$277*Mitigation_Industry!$J$273*MAX(Mitigation_Industry!$J$265,0)*Mitigation_Industry!$F$364/1000</f>
        <v>0.22039833887999999</v>
      </c>
      <c r="P84" s="137">
        <f>Mitigation_Industry!P$277*Mitigation_Industry!$J$273*MAX(Mitigation_Industry!$J$265,0)*Mitigation_Industry!$F$364/1000</f>
        <v>0.23009586579071997</v>
      </c>
      <c r="Q84" s="137">
        <f>Mitigation_Industry!Q$277*Mitigation_Industry!$J$273*MAX(Mitigation_Industry!$J$265,0)*Mitigation_Industry!$F$364/1000</f>
        <v>0.24022008388551169</v>
      </c>
      <c r="R84" s="137">
        <f>Mitigation_Industry!R$277*Mitigation_Industry!$J$273*MAX(Mitigation_Industry!$J$265,0)*Mitigation_Industry!$F$364/1000</f>
        <v>0.25078976757647414</v>
      </c>
      <c r="S84" s="137">
        <f>Mitigation_Industry!S$277*Mitigation_Industry!$J$273*MAX(Mitigation_Industry!$J$265,0)*Mitigation_Industry!$F$364/1000</f>
        <v>0.26182451734983908</v>
      </c>
      <c r="T84" s="137">
        <f>Mitigation_Industry!T$277*Mitigation_Industry!$J$273*MAX(Mitigation_Industry!$J$265,0)*Mitigation_Industry!$F$364/1000</f>
        <v>0.27334479611323198</v>
      </c>
      <c r="U84" s="137">
        <f>Mitigation_Industry!U$277*Mitigation_Industry!$J$273*MAX(Mitigation_Industry!$J$265,0)*Mitigation_Industry!$F$364/1000</f>
        <v>0.28537196714221424</v>
      </c>
      <c r="V84" s="137">
        <f>Mitigation_Industry!V$277*Mitigation_Industry!$J$273*MAX(Mitigation_Industry!$J$265,0)*Mitigation_Industry!$F$364/1000</f>
        <v>0.29792833369647159</v>
      </c>
      <c r="W84" s="137">
        <f>Mitigation_Industry!W$277*Mitigation_Industry!$J$273*MAX(Mitigation_Industry!$J$265,0)*Mitigation_Industry!$F$364/1000</f>
        <v>0.31103718037911643</v>
      </c>
      <c r="X84" s="137">
        <f>Mitigation_Industry!X$277*Mitigation_Industry!$J$273*MAX(Mitigation_Industry!$J$265,0)*Mitigation_Industry!$F$364/1000</f>
        <v>0.32472281631579752</v>
      </c>
      <c r="Y84" s="137">
        <f>Mitigation_Industry!Y$277*Mitigation_Industry!$J$273*MAX(Mitigation_Industry!$J$265,0)*Mitigation_Industry!$F$364/1000</f>
        <v>0.33901062023369266</v>
      </c>
      <c r="Z84" s="137">
        <f>Mitigation_Industry!Z$277*Mitigation_Industry!$J$273*MAX(Mitigation_Industry!$J$265,0)*Mitigation_Industry!$F$364/1000</f>
        <v>0.35392708752397511</v>
      </c>
      <c r="AA84" s="137">
        <f>Mitigation_Industry!AA$277*Mitigation_Industry!$J$273*MAX(Mitigation_Industry!$J$265,0)*Mitigation_Industry!$F$364/1000</f>
        <v>0.36949987937502998</v>
      </c>
      <c r="AB84" s="137">
        <f>Mitigation_Industry!AB$277*Mitigation_Industry!$J$273*MAX(Mitigation_Industry!$J$265,0)*Mitigation_Industry!$F$364/1000</f>
        <v>0.38575787406753137</v>
      </c>
      <c r="AC84" s="137">
        <f>Mitigation_Industry!AC$277*Mitigation_Industry!$J$273*MAX(Mitigation_Industry!$J$265,0)*Mitigation_Industry!$F$364/1000</f>
        <v>0.40273122052650273</v>
      </c>
      <c r="AD84" s="137">
        <f>Mitigation_Industry!AD$277*Mitigation_Industry!$J$273*MAX(Mitigation_Industry!$J$265,0)*Mitigation_Industry!$F$364/1000</f>
        <v>0.42045139422966882</v>
      </c>
      <c r="AE84" s="137">
        <f>Mitigation_Industry!AE$277*Mitigation_Industry!$J$273*MAX(Mitigation_Industry!$J$265,0)*Mitigation_Industry!$F$364/1000</f>
        <v>0.43895125557577425</v>
      </c>
      <c r="AF84" s="138"/>
      <c r="AG84" s="138"/>
      <c r="AH84" s="138"/>
      <c r="AI84" s="138"/>
    </row>
    <row r="85" spans="1:35" customFormat="1" ht="15" x14ac:dyDescent="0.25">
      <c r="B85" s="14" t="s">
        <v>2567</v>
      </c>
      <c r="C85" s="14" t="s">
        <v>43</v>
      </c>
      <c r="D85" s="15" t="s">
        <v>2638</v>
      </c>
      <c r="E85" s="16" t="s">
        <v>2065</v>
      </c>
      <c r="F85" s="14" t="s">
        <v>2634</v>
      </c>
      <c r="G85" s="17"/>
      <c r="H85" s="125" t="str">
        <f>Settings!$B$3&amp;".mit.wm.stl.bof.np.1"</f>
        <v>egy.mit.wm.stl.bof.np.1</v>
      </c>
      <c r="K85" s="136"/>
      <c r="L85" s="137">
        <f>Mitigation_Industry!L$278*Mitigation_Industry!$J$273*MAX(Mitigation_Industry!$J$266,0)*Mitigation_Industry!$F$365/1000</f>
        <v>0</v>
      </c>
      <c r="M85" s="137">
        <f>Mitigation_Industry!M$278*Mitigation_Industry!$J$273*MAX(Mitigation_Industry!$J$266,0)*Mitigation_Industry!$F$365/1000</f>
        <v>0</v>
      </c>
      <c r="N85" s="137">
        <f>Mitigation_Industry!N$278*Mitigation_Industry!$J$273*MAX(Mitigation_Industry!$J$266,0)*Mitigation_Industry!$F$365/1000</f>
        <v>0</v>
      </c>
      <c r="O85" s="137">
        <f>Mitigation_Industry!O$278*Mitigation_Industry!$J$273*MAX(Mitigation_Industry!$J$266,0)*Mitigation_Industry!$F$365/1000</f>
        <v>0</v>
      </c>
      <c r="P85" s="137">
        <f>Mitigation_Industry!P$278*Mitigation_Industry!$J$273*MAX(Mitigation_Industry!$J$266,0)*Mitigation_Industry!$F$365/1000</f>
        <v>0</v>
      </c>
      <c r="Q85" s="137">
        <f>Mitigation_Industry!Q$278*Mitigation_Industry!$J$273*MAX(Mitigation_Industry!$J$266,0)*Mitigation_Industry!$F$365/1000</f>
        <v>0</v>
      </c>
      <c r="R85" s="137">
        <f>Mitigation_Industry!R$278*Mitigation_Industry!$J$273*MAX(Mitigation_Industry!$J$266,0)*Mitigation_Industry!$F$365/1000</f>
        <v>0</v>
      </c>
      <c r="S85" s="137">
        <f>Mitigation_Industry!S$278*Mitigation_Industry!$J$273*MAX(Mitigation_Industry!$J$266,0)*Mitigation_Industry!$F$365/1000</f>
        <v>0</v>
      </c>
      <c r="T85" s="137">
        <f>Mitigation_Industry!T$278*Mitigation_Industry!$J$273*MAX(Mitigation_Industry!$J$266,0)*Mitigation_Industry!$F$365/1000</f>
        <v>0</v>
      </c>
      <c r="U85" s="137">
        <f>Mitigation_Industry!U$278*Mitigation_Industry!$J$273*MAX(Mitigation_Industry!$J$266,0)*Mitigation_Industry!$F$365/1000</f>
        <v>0</v>
      </c>
      <c r="V85" s="137">
        <f>Mitigation_Industry!V$278*Mitigation_Industry!$J$273*MAX(Mitigation_Industry!$J$266,0)*Mitigation_Industry!$F$365/1000</f>
        <v>0</v>
      </c>
      <c r="W85" s="137">
        <f>Mitigation_Industry!W$278*Mitigation_Industry!$J$273*MAX(Mitigation_Industry!$J$266,0)*Mitigation_Industry!$F$365/1000</f>
        <v>0</v>
      </c>
      <c r="X85" s="137">
        <f>Mitigation_Industry!X$278*Mitigation_Industry!$J$273*MAX(Mitigation_Industry!$J$266,0)*Mitigation_Industry!$F$365/1000</f>
        <v>0</v>
      </c>
      <c r="Y85" s="137">
        <f>Mitigation_Industry!Y$278*Mitigation_Industry!$J$273*MAX(Mitigation_Industry!$J$266,0)*Mitigation_Industry!$F$365/1000</f>
        <v>0</v>
      </c>
      <c r="Z85" s="137">
        <f>Mitigation_Industry!Z$278*Mitigation_Industry!$J$273*MAX(Mitigation_Industry!$J$266,0)*Mitigation_Industry!$F$365/1000</f>
        <v>0</v>
      </c>
      <c r="AA85" s="137">
        <f>Mitigation_Industry!AA$278*Mitigation_Industry!$J$273*MAX(Mitigation_Industry!$J$266,0)*Mitigation_Industry!$F$365/1000</f>
        <v>0</v>
      </c>
      <c r="AB85" s="137">
        <f>Mitigation_Industry!AB$278*Mitigation_Industry!$J$273*MAX(Mitigation_Industry!$J$266,0)*Mitigation_Industry!$F$365/1000</f>
        <v>0</v>
      </c>
      <c r="AC85" s="137">
        <f>Mitigation_Industry!AC$278*Mitigation_Industry!$J$273*MAX(Mitigation_Industry!$J$266,0)*Mitigation_Industry!$F$365/1000</f>
        <v>0</v>
      </c>
      <c r="AD85" s="137">
        <f>Mitigation_Industry!AD$278*Mitigation_Industry!$J$273*MAX(Mitigation_Industry!$J$266,0)*Mitigation_Industry!$F$365/1000</f>
        <v>0</v>
      </c>
      <c r="AE85" s="137">
        <f>Mitigation_Industry!AE$278*Mitigation_Industry!$J$273*MAX(Mitigation_Industry!$J$266,0)*Mitigation_Industry!$F$365/1000</f>
        <v>0</v>
      </c>
      <c r="AF85" s="138"/>
      <c r="AG85" s="138"/>
      <c r="AH85" s="138"/>
      <c r="AI85" s="138"/>
    </row>
    <row r="86" spans="1:35" customFormat="1" ht="15" x14ac:dyDescent="0.25">
      <c r="B86" s="14" t="s">
        <v>2569</v>
      </c>
      <c r="C86" s="14" t="s">
        <v>113</v>
      </c>
      <c r="D86" s="15" t="s">
        <v>2639</v>
      </c>
      <c r="E86" s="16" t="s">
        <v>2065</v>
      </c>
      <c r="F86" s="14" t="s">
        <v>2634</v>
      </c>
      <c r="G86" s="17"/>
      <c r="H86" s="125" t="str">
        <f>Settings!$B$3&amp;".mit.wm.cmt.dry.np.1"</f>
        <v>egy.mit.wm.cmt.dry.np.1</v>
      </c>
      <c r="K86" s="136"/>
      <c r="L86" s="137">
        <f>Mitigation_Industry!L$279*Mitigation_Industry!$J$273*MAX(Mitigation_Industry!$J$267,0)*Mitigation_Industry!$F$366/1000</f>
        <v>25.163138219961041</v>
      </c>
      <c r="M86" s="137">
        <f>Mitigation_Industry!M$279*Mitigation_Industry!$J$273*MAX(Mitigation_Industry!$J$267,0)*Mitigation_Industry!$F$366/1000</f>
        <v>25.993521781219755</v>
      </c>
      <c r="N86" s="137">
        <f>Mitigation_Industry!N$279*Mitigation_Industry!$J$273*MAX(Mitigation_Industry!$J$267,0)*Mitigation_Industry!$F$366/1000</f>
        <v>26.851308</v>
      </c>
      <c r="O86" s="137">
        <f>Mitigation_Industry!O$279*Mitigation_Industry!$J$273*MAX(Mitigation_Industry!$J$267,0)*Mitigation_Industry!$F$366/1000</f>
        <v>27.737401163999998</v>
      </c>
      <c r="P86" s="137">
        <f>Mitigation_Industry!P$279*Mitigation_Industry!$J$273*MAX(Mitigation_Industry!$J$267,0)*Mitigation_Industry!$F$366/1000</f>
        <v>28.652735402411995</v>
      </c>
      <c r="Q86" s="137">
        <f>Mitigation_Industry!Q$279*Mitigation_Industry!$J$273*MAX(Mitigation_Industry!$J$267,0)*Mitigation_Industry!$F$366/1000</f>
        <v>29.598275670691589</v>
      </c>
      <c r="R86" s="137">
        <f>Mitigation_Industry!R$279*Mitigation_Industry!$J$273*MAX(Mitigation_Industry!$J$267,0)*Mitigation_Industry!$F$366/1000</f>
        <v>30.575018767824407</v>
      </c>
      <c r="S86" s="137">
        <f>Mitigation_Industry!S$279*Mitigation_Industry!$J$273*MAX(Mitigation_Industry!$J$267,0)*Mitigation_Industry!$F$366/1000</f>
        <v>31.583994387162612</v>
      </c>
      <c r="T86" s="137">
        <f>Mitigation_Industry!T$279*Mitigation_Industry!$J$273*MAX(Mitigation_Industry!$J$267,0)*Mitigation_Industry!$F$366/1000</f>
        <v>32.626266201938975</v>
      </c>
      <c r="U86" s="137">
        <f>Mitigation_Industry!U$279*Mitigation_Industry!$J$273*MAX(Mitigation_Industry!$J$267,0)*Mitigation_Industry!$F$366/1000</f>
        <v>33.70293298660296</v>
      </c>
      <c r="V86" s="137">
        <f>Mitigation_Industry!V$279*Mitigation_Industry!$J$273*MAX(Mitigation_Industry!$J$267,0)*Mitigation_Industry!$F$366/1000</f>
        <v>34.815129775160841</v>
      </c>
      <c r="W86" s="137">
        <f>Mitigation_Industry!W$279*Mitigation_Industry!$J$273*MAX(Mitigation_Industry!$J$267,0)*Mitigation_Industry!$F$366/1000</f>
        <v>35.964029057741151</v>
      </c>
      <c r="X86" s="137">
        <f>Mitigation_Industry!X$279*Mitigation_Industry!$J$273*MAX(Mitigation_Industry!$J$267,0)*Mitigation_Industry!$F$366/1000</f>
        <v>37.150842016646592</v>
      </c>
      <c r="Y86" s="137">
        <f>Mitigation_Industry!Y$279*Mitigation_Industry!$J$273*MAX(Mitigation_Industry!$J$267,0)*Mitigation_Industry!$F$366/1000</f>
        <v>38.376819803195943</v>
      </c>
      <c r="Z86" s="137">
        <f>Mitigation_Industry!Z$279*Mitigation_Industry!$J$273*MAX(Mitigation_Industry!$J$267,0)*Mitigation_Industry!$F$366/1000</f>
        <v>39.643254856701404</v>
      </c>
      <c r="AA86" s="137">
        <f>Mitigation_Industry!AA$279*Mitigation_Industry!$J$273*MAX(Mitigation_Industry!$J$267,0)*Mitigation_Industry!$F$366/1000</f>
        <v>40.951482266972548</v>
      </c>
      <c r="AB86" s="137">
        <f>Mitigation_Industry!AB$279*Mitigation_Industry!$J$273*MAX(Mitigation_Industry!$J$267,0)*Mitigation_Industry!$F$366/1000</f>
        <v>42.302881181782631</v>
      </c>
      <c r="AC86" s="137">
        <f>Mitigation_Industry!AC$279*Mitigation_Industry!$J$273*MAX(Mitigation_Industry!$J$267,0)*Mitigation_Industry!$F$366/1000</f>
        <v>43.698876260781446</v>
      </c>
      <c r="AD86" s="137">
        <f>Mitigation_Industry!AD$279*Mitigation_Industry!$J$273*MAX(Mitigation_Industry!$J$267,0)*Mitigation_Industry!$F$366/1000</f>
        <v>45.140939177387231</v>
      </c>
      <c r="AE86" s="137">
        <f>Mitigation_Industry!AE$279*Mitigation_Industry!$J$273*MAX(Mitigation_Industry!$J$267,0)*Mitigation_Industry!$F$366/1000</f>
        <v>46.630590170241007</v>
      </c>
      <c r="AF86" s="138"/>
      <c r="AG86" s="138"/>
      <c r="AH86" s="138"/>
      <c r="AI86" s="138"/>
    </row>
    <row r="87" spans="1:35" customFormat="1" ht="15" x14ac:dyDescent="0.25">
      <c r="B87" s="14" t="s">
        <v>2571</v>
      </c>
      <c r="C87" s="14" t="s">
        <v>117</v>
      </c>
      <c r="D87" s="15" t="s">
        <v>2640</v>
      </c>
      <c r="E87" s="16" t="s">
        <v>2065</v>
      </c>
      <c r="F87" s="14" t="s">
        <v>2634</v>
      </c>
      <c r="G87" s="17"/>
      <c r="H87" s="125" t="str">
        <f>Settings!$B$3&amp;".mit.wm.frt.amc.np.1"</f>
        <v>egy.mit.wm.frt.amc.np.1</v>
      </c>
      <c r="K87" s="136"/>
      <c r="L87" s="137">
        <f>Mitigation_Industry!L$280*Mitigation_Industry!$J$273*MAX(Mitigation_Industry!$J$268,0)*Mitigation_Industry!$F$367/1000</f>
        <v>0</v>
      </c>
      <c r="M87" s="137">
        <f>Mitigation_Industry!M$280*Mitigation_Industry!$J$273*MAX(Mitigation_Industry!$J$268,0)*Mitigation_Industry!$F$367/1000</f>
        <v>0</v>
      </c>
      <c r="N87" s="137">
        <f>Mitigation_Industry!N$280*Mitigation_Industry!$J$273*MAX(Mitigation_Industry!$J$268,0)*Mitigation_Industry!$F$367/1000</f>
        <v>0</v>
      </c>
      <c r="O87" s="137">
        <f>Mitigation_Industry!O$280*Mitigation_Industry!$J$273*MAX(Mitigation_Industry!$J$268,0)*Mitigation_Industry!$F$367/1000</f>
        <v>0</v>
      </c>
      <c r="P87" s="137">
        <f>Mitigation_Industry!P$280*Mitigation_Industry!$J$273*MAX(Mitigation_Industry!$J$268,0)*Mitigation_Industry!$F$367/1000</f>
        <v>0</v>
      </c>
      <c r="Q87" s="137">
        <f>Mitigation_Industry!Q$280*Mitigation_Industry!$J$273*MAX(Mitigation_Industry!$J$268,0)*Mitigation_Industry!$F$367/1000</f>
        <v>0</v>
      </c>
      <c r="R87" s="137">
        <f>Mitigation_Industry!R$280*Mitigation_Industry!$J$273*MAX(Mitigation_Industry!$J$268,0)*Mitigation_Industry!$F$367/1000</f>
        <v>0</v>
      </c>
      <c r="S87" s="137">
        <f>Mitigation_Industry!S$280*Mitigation_Industry!$J$273*MAX(Mitigation_Industry!$J$268,0)*Mitigation_Industry!$F$367/1000</f>
        <v>0</v>
      </c>
      <c r="T87" s="137">
        <f>Mitigation_Industry!T$280*Mitigation_Industry!$J$273*MAX(Mitigation_Industry!$J$268,0)*Mitigation_Industry!$F$367/1000</f>
        <v>0</v>
      </c>
      <c r="U87" s="137">
        <f>Mitigation_Industry!U$280*Mitigation_Industry!$J$273*MAX(Mitigation_Industry!$J$268,0)*Mitigation_Industry!$F$367/1000</f>
        <v>0</v>
      </c>
      <c r="V87" s="137">
        <f>Mitigation_Industry!V$280*Mitigation_Industry!$J$273*MAX(Mitigation_Industry!$J$268,0)*Mitigation_Industry!$F$367/1000</f>
        <v>0</v>
      </c>
      <c r="W87" s="137">
        <f>Mitigation_Industry!W$280*Mitigation_Industry!$J$273*MAX(Mitigation_Industry!$J$268,0)*Mitigation_Industry!$F$367/1000</f>
        <v>0</v>
      </c>
      <c r="X87" s="137">
        <f>Mitigation_Industry!X$280*Mitigation_Industry!$J$273*MAX(Mitigation_Industry!$J$268,0)*Mitigation_Industry!$F$367/1000</f>
        <v>0</v>
      </c>
      <c r="Y87" s="137">
        <f>Mitigation_Industry!Y$280*Mitigation_Industry!$J$273*MAX(Mitigation_Industry!$J$268,0)*Mitigation_Industry!$F$367/1000</f>
        <v>0</v>
      </c>
      <c r="Z87" s="137">
        <f>Mitigation_Industry!Z$280*Mitigation_Industry!$J$273*MAX(Mitigation_Industry!$J$268,0)*Mitigation_Industry!$F$367/1000</f>
        <v>0</v>
      </c>
      <c r="AA87" s="137">
        <f>Mitigation_Industry!AA$280*Mitigation_Industry!$J$273*MAX(Mitigation_Industry!$J$268,0)*Mitigation_Industry!$F$367/1000</f>
        <v>0</v>
      </c>
      <c r="AB87" s="137">
        <f>Mitigation_Industry!AB$280*Mitigation_Industry!$J$273*MAX(Mitigation_Industry!$J$268,0)*Mitigation_Industry!$F$367/1000</f>
        <v>0</v>
      </c>
      <c r="AC87" s="137">
        <f>Mitigation_Industry!AC$280*Mitigation_Industry!$J$273*MAX(Mitigation_Industry!$J$268,0)*Mitigation_Industry!$F$367/1000</f>
        <v>0</v>
      </c>
      <c r="AD87" s="137">
        <f>Mitigation_Industry!AD$280*Mitigation_Industry!$J$273*MAX(Mitigation_Industry!$J$268,0)*Mitigation_Industry!$F$367/1000</f>
        <v>0</v>
      </c>
      <c r="AE87" s="137">
        <f>Mitigation_Industry!AE$280*Mitigation_Industry!$J$273*MAX(Mitigation_Industry!$J$268,0)*Mitigation_Industry!$F$367/1000</f>
        <v>0</v>
      </c>
      <c r="AF87" s="138"/>
      <c r="AG87" s="138"/>
      <c r="AH87" s="138"/>
      <c r="AI87" s="138"/>
    </row>
    <row r="88" spans="1:35" customFormat="1" ht="15" x14ac:dyDescent="0.25">
      <c r="B88" s="14" t="s">
        <v>2573</v>
      </c>
      <c r="C88" s="14" t="s">
        <v>117</v>
      </c>
      <c r="D88" s="15" t="s">
        <v>2641</v>
      </c>
      <c r="E88" s="16" t="s">
        <v>2065</v>
      </c>
      <c r="F88" s="14" t="s">
        <v>2634</v>
      </c>
      <c r="G88" s="17"/>
      <c r="H88" s="125" t="str">
        <f>Settings!$B$3&amp;".mit.wm.frt.ure.np.1"</f>
        <v>egy.mit.wm.frt.ure.np.1</v>
      </c>
      <c r="K88" s="136"/>
      <c r="L88" s="137">
        <f>Mitigation_Industry!L$281*Mitigation_Industry!$J$273*MAX(Mitigation_Industry!$J$269,0)*Mitigation_Industry!$F$368/1000</f>
        <v>0</v>
      </c>
      <c r="M88" s="137">
        <f>Mitigation_Industry!M$281*Mitigation_Industry!$J$273*MAX(Mitigation_Industry!$J$269,0)*Mitigation_Industry!$F$368/1000</f>
        <v>0</v>
      </c>
      <c r="N88" s="137">
        <f>Mitigation_Industry!N$281*Mitigation_Industry!$J$273*MAX(Mitigation_Industry!$J$269,0)*Mitigation_Industry!$F$368/1000</f>
        <v>0</v>
      </c>
      <c r="O88" s="137">
        <f>Mitigation_Industry!O$281*Mitigation_Industry!$J$273*MAX(Mitigation_Industry!$J$269,0)*Mitigation_Industry!$F$368/1000</f>
        <v>0</v>
      </c>
      <c r="P88" s="137">
        <f>Mitigation_Industry!P$281*Mitigation_Industry!$J$273*MAX(Mitigation_Industry!$J$269,0)*Mitigation_Industry!$F$368/1000</f>
        <v>0</v>
      </c>
      <c r="Q88" s="137">
        <f>Mitigation_Industry!Q$281*Mitigation_Industry!$J$273*MAX(Mitigation_Industry!$J$269,0)*Mitigation_Industry!$F$368/1000</f>
        <v>0</v>
      </c>
      <c r="R88" s="137">
        <f>Mitigation_Industry!R$281*Mitigation_Industry!$J$273*MAX(Mitigation_Industry!$J$269,0)*Mitigation_Industry!$F$368/1000</f>
        <v>0</v>
      </c>
      <c r="S88" s="137">
        <f>Mitigation_Industry!S$281*Mitigation_Industry!$J$273*MAX(Mitigation_Industry!$J$269,0)*Mitigation_Industry!$F$368/1000</f>
        <v>0</v>
      </c>
      <c r="T88" s="137">
        <f>Mitigation_Industry!T$281*Mitigation_Industry!$J$273*MAX(Mitigation_Industry!$J$269,0)*Mitigation_Industry!$F$368/1000</f>
        <v>0</v>
      </c>
      <c r="U88" s="137">
        <f>Mitigation_Industry!U$281*Mitigation_Industry!$J$273*MAX(Mitigation_Industry!$J$269,0)*Mitigation_Industry!$F$368/1000</f>
        <v>0</v>
      </c>
      <c r="V88" s="137">
        <f>Mitigation_Industry!V$281*Mitigation_Industry!$J$273*MAX(Mitigation_Industry!$J$269,0)*Mitigation_Industry!$F$368/1000</f>
        <v>0</v>
      </c>
      <c r="W88" s="137">
        <f>Mitigation_Industry!W$281*Mitigation_Industry!$J$273*MAX(Mitigation_Industry!$J$269,0)*Mitigation_Industry!$F$368/1000</f>
        <v>0</v>
      </c>
      <c r="X88" s="137">
        <f>Mitigation_Industry!X$281*Mitigation_Industry!$J$273*MAX(Mitigation_Industry!$J$269,0)*Mitigation_Industry!$F$368/1000</f>
        <v>0</v>
      </c>
      <c r="Y88" s="137">
        <f>Mitigation_Industry!Y$281*Mitigation_Industry!$J$273*MAX(Mitigation_Industry!$J$269,0)*Mitigation_Industry!$F$368/1000</f>
        <v>0</v>
      </c>
      <c r="Z88" s="137">
        <f>Mitigation_Industry!Z$281*Mitigation_Industry!$J$273*MAX(Mitigation_Industry!$J$269,0)*Mitigation_Industry!$F$368/1000</f>
        <v>0</v>
      </c>
      <c r="AA88" s="137">
        <f>Mitigation_Industry!AA$281*Mitigation_Industry!$J$273*MAX(Mitigation_Industry!$J$269,0)*Mitigation_Industry!$F$368/1000</f>
        <v>0</v>
      </c>
      <c r="AB88" s="137">
        <f>Mitigation_Industry!AB$281*Mitigation_Industry!$J$273*MAX(Mitigation_Industry!$J$269,0)*Mitigation_Industry!$F$368/1000</f>
        <v>0</v>
      </c>
      <c r="AC88" s="137">
        <f>Mitigation_Industry!AC$281*Mitigation_Industry!$J$273*MAX(Mitigation_Industry!$J$269,0)*Mitigation_Industry!$F$368/1000</f>
        <v>0</v>
      </c>
      <c r="AD88" s="137">
        <f>Mitigation_Industry!AD$281*Mitigation_Industry!$J$273*MAX(Mitigation_Industry!$J$269,0)*Mitigation_Industry!$F$368/1000</f>
        <v>0</v>
      </c>
      <c r="AE88" s="137">
        <f>Mitigation_Industry!AE$281*Mitigation_Industry!$J$273*MAX(Mitigation_Industry!$J$269,0)*Mitigation_Industry!$F$368/1000</f>
        <v>0</v>
      </c>
      <c r="AF88" s="138"/>
      <c r="AG88" s="138"/>
      <c r="AH88" s="138"/>
      <c r="AI88" s="138"/>
    </row>
    <row r="89" spans="1:35" customFormat="1" ht="15" x14ac:dyDescent="0.25">
      <c r="B89" s="14" t="s">
        <v>2575</v>
      </c>
      <c r="C89" s="14" t="s">
        <v>117</v>
      </c>
      <c r="D89" s="15" t="s">
        <v>2642</v>
      </c>
      <c r="E89" s="16" t="s">
        <v>2065</v>
      </c>
      <c r="F89" s="14" t="s">
        <v>2634</v>
      </c>
      <c r="G89" s="17"/>
      <c r="H89" s="125" t="str">
        <f>Settings!$B$3&amp;".mit.wm.frt.nit.np.1"</f>
        <v>egy.mit.wm.frt.nit.np.1</v>
      </c>
      <c r="K89" s="136"/>
      <c r="L89" s="137">
        <f>Mitigation_Industry!L$282*Mitigation_Industry!$J$273*MAX(Mitigation_Industry!$J$270,0)*Mitigation_Industry!$F$369/1000</f>
        <v>0</v>
      </c>
      <c r="M89" s="137">
        <f>Mitigation_Industry!M$282*Mitigation_Industry!$J$273*MAX(Mitigation_Industry!$J$270,0)*Mitigation_Industry!$F$369/1000</f>
        <v>0</v>
      </c>
      <c r="N89" s="137">
        <f>Mitigation_Industry!N$282*Mitigation_Industry!$J$273*MAX(Mitigation_Industry!$J$270,0)*Mitigation_Industry!$F$369/1000</f>
        <v>0</v>
      </c>
      <c r="O89" s="137">
        <f>Mitigation_Industry!O$282*Mitigation_Industry!$J$273*MAX(Mitigation_Industry!$J$270,0)*Mitigation_Industry!$F$369/1000</f>
        <v>0</v>
      </c>
      <c r="P89" s="137">
        <f>Mitigation_Industry!P$282*Mitigation_Industry!$J$273*MAX(Mitigation_Industry!$J$270,0)*Mitigation_Industry!$F$369/1000</f>
        <v>0</v>
      </c>
      <c r="Q89" s="137">
        <f>Mitigation_Industry!Q$282*Mitigation_Industry!$J$273*MAX(Mitigation_Industry!$J$270,0)*Mitigation_Industry!$F$369/1000</f>
        <v>0</v>
      </c>
      <c r="R89" s="137">
        <f>Mitigation_Industry!R$282*Mitigation_Industry!$J$273*MAX(Mitigation_Industry!$J$270,0)*Mitigation_Industry!$F$369/1000</f>
        <v>0</v>
      </c>
      <c r="S89" s="137">
        <f>Mitigation_Industry!S$282*Mitigation_Industry!$J$273*MAX(Mitigation_Industry!$J$270,0)*Mitigation_Industry!$F$369/1000</f>
        <v>0</v>
      </c>
      <c r="T89" s="137">
        <f>Mitigation_Industry!T$282*Mitigation_Industry!$J$273*MAX(Mitigation_Industry!$J$270,0)*Mitigation_Industry!$F$369/1000</f>
        <v>0</v>
      </c>
      <c r="U89" s="137">
        <f>Mitigation_Industry!U$282*Mitigation_Industry!$J$273*MAX(Mitigation_Industry!$J$270,0)*Mitigation_Industry!$F$369/1000</f>
        <v>0</v>
      </c>
      <c r="V89" s="137">
        <f>Mitigation_Industry!V$282*Mitigation_Industry!$J$273*MAX(Mitigation_Industry!$J$270,0)*Mitigation_Industry!$F$369/1000</f>
        <v>0</v>
      </c>
      <c r="W89" s="137">
        <f>Mitigation_Industry!W$282*Mitigation_Industry!$J$273*MAX(Mitigation_Industry!$J$270,0)*Mitigation_Industry!$F$369/1000</f>
        <v>0</v>
      </c>
      <c r="X89" s="137">
        <f>Mitigation_Industry!X$282*Mitigation_Industry!$J$273*MAX(Mitigation_Industry!$J$270,0)*Mitigation_Industry!$F$369/1000</f>
        <v>0</v>
      </c>
      <c r="Y89" s="137">
        <f>Mitigation_Industry!Y$282*Mitigation_Industry!$J$273*MAX(Mitigation_Industry!$J$270,0)*Mitigation_Industry!$F$369/1000</f>
        <v>0</v>
      </c>
      <c r="Z89" s="137">
        <f>Mitigation_Industry!Z$282*Mitigation_Industry!$J$273*MAX(Mitigation_Industry!$J$270,0)*Mitigation_Industry!$F$369/1000</f>
        <v>0</v>
      </c>
      <c r="AA89" s="137">
        <f>Mitigation_Industry!AA$282*Mitigation_Industry!$J$273*MAX(Mitigation_Industry!$J$270,0)*Mitigation_Industry!$F$369/1000</f>
        <v>0</v>
      </c>
      <c r="AB89" s="137">
        <f>Mitigation_Industry!AB$282*Mitigation_Industry!$J$273*MAX(Mitigation_Industry!$J$270,0)*Mitigation_Industry!$F$369/1000</f>
        <v>0</v>
      </c>
      <c r="AC89" s="137">
        <f>Mitigation_Industry!AC$282*Mitigation_Industry!$J$273*MAX(Mitigation_Industry!$J$270,0)*Mitigation_Industry!$F$369/1000</f>
        <v>0</v>
      </c>
      <c r="AD89" s="137">
        <f>Mitigation_Industry!AD$282*Mitigation_Industry!$J$273*MAX(Mitigation_Industry!$J$270,0)*Mitigation_Industry!$F$369/1000</f>
        <v>0</v>
      </c>
      <c r="AE89" s="137">
        <f>Mitigation_Industry!AE$282*Mitigation_Industry!$J$273*MAX(Mitigation_Industry!$J$270,0)*Mitigation_Industry!$F$369/1000</f>
        <v>0</v>
      </c>
      <c r="AF89" s="138"/>
      <c r="AG89" s="138"/>
      <c r="AH89" s="138"/>
      <c r="AI89" s="138"/>
    </row>
    <row r="90" spans="1:35" customFormat="1" ht="15" x14ac:dyDescent="0.25">
      <c r="B90" s="14" t="s">
        <v>2577</v>
      </c>
      <c r="C90" s="14" t="s">
        <v>115</v>
      </c>
      <c r="D90" s="15" t="s">
        <v>2643</v>
      </c>
      <c r="E90" s="16" t="s">
        <v>2065</v>
      </c>
      <c r="F90" s="14" t="s">
        <v>2634</v>
      </c>
      <c r="G90" s="17"/>
      <c r="H90" s="125" t="str">
        <f>Settings!$B$3&amp;".mit.wm.alu.prp.np.1"</f>
        <v>egy.mit.wm.alu.prp.np.1</v>
      </c>
      <c r="K90" s="136"/>
      <c r="L90" s="137">
        <f>Mitigation_Industry!L$283*Mitigation_Industry!$J$273*MAX(Mitigation_Industry!$J$271,0)*Mitigation_Industry!$F$370/1000</f>
        <v>0.43758937310482698</v>
      </c>
      <c r="M90" s="137">
        <f>Mitigation_Industry!M$283*Mitigation_Industry!$J$273*MAX(Mitigation_Industry!$J$271,0)*Mitigation_Industry!$F$370/1000</f>
        <v>0.4616567886255924</v>
      </c>
      <c r="N90" s="137">
        <f>Mitigation_Industry!N$283*Mitigation_Industry!$J$273*MAX(Mitigation_Industry!$J$271,0)*Mitigation_Industry!$F$370/1000</f>
        <v>0.48704791199999997</v>
      </c>
      <c r="O90" s="137">
        <f>Mitigation_Industry!O$283*Mitigation_Industry!$J$273*MAX(Mitigation_Industry!$J$271,0)*Mitigation_Industry!$F$370/1000</f>
        <v>0.51383554716000002</v>
      </c>
      <c r="P90" s="137">
        <f>Mitigation_Industry!P$283*Mitigation_Industry!$J$273*MAX(Mitigation_Industry!$J$271,0)*Mitigation_Industry!$F$370/1000</f>
        <v>0.54209650225379991</v>
      </c>
      <c r="Q90" s="137">
        <f>Mitigation_Industry!Q$283*Mitigation_Industry!$J$273*MAX(Mitigation_Industry!$J$271,0)*Mitigation_Industry!$F$370/1000</f>
        <v>0.5719118098777588</v>
      </c>
      <c r="R90" s="137">
        <f>Mitigation_Industry!R$283*Mitigation_Industry!$J$273*MAX(Mitigation_Industry!$J$271,0)*Mitigation_Industry!$F$370/1000</f>
        <v>0.6033669594210358</v>
      </c>
      <c r="S90" s="137">
        <f>Mitigation_Industry!S$283*Mitigation_Industry!$J$273*MAX(Mitigation_Industry!$J$271,0)*Mitigation_Industry!$F$370/1000</f>
        <v>0.63655214218919254</v>
      </c>
      <c r="T90" s="137">
        <f>Mitigation_Industry!T$283*Mitigation_Industry!$J$273*MAX(Mitigation_Industry!$J$271,0)*Mitigation_Industry!$F$370/1000</f>
        <v>0.6715625100095981</v>
      </c>
      <c r="U90" s="137">
        <f>Mitigation_Industry!U$283*Mitigation_Industry!$J$273*MAX(Mitigation_Industry!$J$271,0)*Mitigation_Industry!$F$370/1000</f>
        <v>0.70849844806012596</v>
      </c>
      <c r="V90" s="137">
        <f>Mitigation_Industry!V$283*Mitigation_Industry!$J$273*MAX(Mitigation_Industry!$J$271,0)*Mitigation_Industry!$F$370/1000</f>
        <v>0.74746586270343296</v>
      </c>
      <c r="W90" s="137">
        <f>Mitigation_Industry!W$283*Mitigation_Industry!$J$273*MAX(Mitigation_Industry!$J$271,0)*Mitigation_Industry!$F$370/1000</f>
        <v>0.78857648515212175</v>
      </c>
      <c r="X90" s="137">
        <f>Mitigation_Industry!X$283*Mitigation_Industry!$J$273*MAX(Mitigation_Industry!$J$271,0)*Mitigation_Industry!$F$370/1000</f>
        <v>0.83194819183548852</v>
      </c>
      <c r="Y90" s="137">
        <f>Mitigation_Industry!Y$283*Mitigation_Industry!$J$273*MAX(Mitigation_Industry!$J$271,0)*Mitigation_Industry!$F$370/1000</f>
        <v>0.87770534238644027</v>
      </c>
      <c r="Z90" s="137">
        <f>Mitigation_Industry!Z$283*Mitigation_Industry!$J$273*MAX(Mitigation_Industry!$J$271,0)*Mitigation_Industry!$F$370/1000</f>
        <v>0.92597913621769457</v>
      </c>
      <c r="AA90" s="137">
        <f>Mitigation_Industry!AA$283*Mitigation_Industry!$J$273*MAX(Mitigation_Industry!$J$271,0)*Mitigation_Industry!$F$370/1000</f>
        <v>0.97690798870966755</v>
      </c>
      <c r="AB90" s="137">
        <f>Mitigation_Industry!AB$283*Mitigation_Industry!$J$273*MAX(Mitigation_Industry!$J$271,0)*Mitigation_Industry!$F$370/1000</f>
        <v>1.0306379280886993</v>
      </c>
      <c r="AC90" s="137">
        <f>Mitigation_Industry!AC$283*Mitigation_Industry!$J$273*MAX(Mitigation_Industry!$J$271,0)*Mitigation_Industry!$F$370/1000</f>
        <v>1.0873230141335775</v>
      </c>
      <c r="AD90" s="137">
        <f>Mitigation_Industry!AD$283*Mitigation_Industry!$J$273*MAX(Mitigation_Industry!$J$271,0)*Mitigation_Industry!$F$370/1000</f>
        <v>1.1471257799109245</v>
      </c>
      <c r="AE90" s="137">
        <f>Mitigation_Industry!AE$283*Mitigation_Industry!$J$273*MAX(Mitigation_Industry!$J$271,0)*Mitigation_Industry!$F$370/1000</f>
        <v>1.2102176978060251</v>
      </c>
      <c r="AF90" s="138"/>
      <c r="AG90" s="138"/>
      <c r="AH90" s="138"/>
      <c r="AI90" s="138"/>
    </row>
    <row r="91" spans="1:35" customFormat="1" ht="15" x14ac:dyDescent="0.25">
      <c r="B91" s="14" t="s">
        <v>2579</v>
      </c>
      <c r="C91" s="14" t="s">
        <v>43</v>
      </c>
      <c r="D91" s="15" t="s">
        <v>2644</v>
      </c>
      <c r="E91" s="16" t="s">
        <v>2065</v>
      </c>
      <c r="F91" s="14" t="s">
        <v>2634</v>
      </c>
      <c r="G91" s="17"/>
      <c r="H91" s="125" t="str">
        <f>Settings!$B$3&amp;".mit.wm.stl.drg.no.1"</f>
        <v>egy.mit.wm.stl.drg.no.1</v>
      </c>
      <c r="K91" s="136"/>
      <c r="L91" s="137">
        <f>Mitigation_Industry!L$276*Mitigation_Industry!$K$273*MAX(Mitigation_Industry!$K$264,0)*Mitigation_Industry!$H$363/1000</f>
        <v>0</v>
      </c>
      <c r="M91" s="137">
        <f>Mitigation_Industry!M$276*Mitigation_Industry!$K$273*MAX(Mitigation_Industry!$K$264,0)*Mitigation_Industry!$H$363/1000</f>
        <v>0</v>
      </c>
      <c r="N91" s="137">
        <f>Mitigation_Industry!N$276*Mitigation_Industry!$K$273*MAX(Mitigation_Industry!$K$264,0)*Mitigation_Industry!$H$363/1000</f>
        <v>0</v>
      </c>
      <c r="O91" s="137">
        <f>Mitigation_Industry!O$276*Mitigation_Industry!$K$273*MAX(Mitigation_Industry!$K$264,0)*Mitigation_Industry!$H$363/1000</f>
        <v>0</v>
      </c>
      <c r="P91" s="137">
        <f>Mitigation_Industry!P$276*Mitigation_Industry!$K$273*MAX(Mitigation_Industry!$K$264,0)*Mitigation_Industry!$H$363/1000</f>
        <v>0</v>
      </c>
      <c r="Q91" s="137">
        <f>Mitigation_Industry!Q$276*Mitigation_Industry!$K$273*MAX(Mitigation_Industry!$K$264,0)*Mitigation_Industry!$H$363/1000</f>
        <v>0</v>
      </c>
      <c r="R91" s="137">
        <f>Mitigation_Industry!R$276*Mitigation_Industry!$K$273*MAX(Mitigation_Industry!$K$264,0)*Mitigation_Industry!$H$363/1000</f>
        <v>0</v>
      </c>
      <c r="S91" s="137">
        <f>Mitigation_Industry!S$276*Mitigation_Industry!$K$273*MAX(Mitigation_Industry!$K$264,0)*Mitigation_Industry!$H$363/1000</f>
        <v>0</v>
      </c>
      <c r="T91" s="137">
        <f>Mitigation_Industry!T$276*Mitigation_Industry!$K$273*MAX(Mitigation_Industry!$K$264,0)*Mitigation_Industry!$H$363/1000</f>
        <v>0</v>
      </c>
      <c r="U91" s="137">
        <f>Mitigation_Industry!U$276*Mitigation_Industry!$K$273*MAX(Mitigation_Industry!$K$264,0)*Mitigation_Industry!$H$363/1000</f>
        <v>0</v>
      </c>
      <c r="V91" s="137">
        <f>Mitigation_Industry!V$276*Mitigation_Industry!$K$273*MAX(Mitigation_Industry!$K$264,0)*Mitigation_Industry!$H$363/1000</f>
        <v>0</v>
      </c>
      <c r="W91" s="137">
        <f>Mitigation_Industry!W$276*Mitigation_Industry!$K$273*MAX(Mitigation_Industry!$K$264,0)*Mitigation_Industry!$H$363/1000</f>
        <v>0</v>
      </c>
      <c r="X91" s="137">
        <f>Mitigation_Industry!X$276*Mitigation_Industry!$K$273*MAX(Mitigation_Industry!$K$264,0)*Mitigation_Industry!$H$363/1000</f>
        <v>0</v>
      </c>
      <c r="Y91" s="137">
        <f>Mitigation_Industry!Y$276*Mitigation_Industry!$K$273*MAX(Mitigation_Industry!$K$264,0)*Mitigation_Industry!$H$363/1000</f>
        <v>0</v>
      </c>
      <c r="Z91" s="137">
        <f>Mitigation_Industry!Z$276*Mitigation_Industry!$K$273*MAX(Mitigation_Industry!$K$264,0)*Mitigation_Industry!$H$363/1000</f>
        <v>0</v>
      </c>
      <c r="AA91" s="137">
        <f>Mitigation_Industry!AA$276*Mitigation_Industry!$K$273*MAX(Mitigation_Industry!$K$264,0)*Mitigation_Industry!$H$363/1000</f>
        <v>0</v>
      </c>
      <c r="AB91" s="137">
        <f>Mitigation_Industry!AB$276*Mitigation_Industry!$K$273*MAX(Mitigation_Industry!$K$264,0)*Mitigation_Industry!$H$363/1000</f>
        <v>0</v>
      </c>
      <c r="AC91" s="137">
        <f>Mitigation_Industry!AC$276*Mitigation_Industry!$K$273*MAX(Mitigation_Industry!$K$264,0)*Mitigation_Industry!$H$363/1000</f>
        <v>0</v>
      </c>
      <c r="AD91" s="137">
        <f>Mitigation_Industry!AD$276*Mitigation_Industry!$K$273*MAX(Mitigation_Industry!$K$264,0)*Mitigation_Industry!$H$363/1000</f>
        <v>0</v>
      </c>
      <c r="AE91" s="137">
        <f>Mitigation_Industry!AE$276*Mitigation_Industry!$K$273*MAX(Mitigation_Industry!$K$264,0)*Mitigation_Industry!$H$363/1000</f>
        <v>0</v>
      </c>
      <c r="AF91" s="138"/>
      <c r="AG91" s="138"/>
      <c r="AH91" s="138"/>
      <c r="AI91" s="138"/>
    </row>
    <row r="92" spans="1:35" customFormat="1" ht="15" x14ac:dyDescent="0.25">
      <c r="B92" s="14" t="s">
        <v>2581</v>
      </c>
      <c r="C92" s="14" t="s">
        <v>43</v>
      </c>
      <c r="D92" s="15" t="s">
        <v>2645</v>
      </c>
      <c r="E92" s="16" t="s">
        <v>2065</v>
      </c>
      <c r="F92" s="14" t="s">
        <v>2634</v>
      </c>
      <c r="G92" s="17"/>
      <c r="H92" s="125" t="str">
        <f>Settings!$B$3&amp;".mit.wm.stl.scr.no.1"</f>
        <v>egy.mit.wm.stl.scr.no.1</v>
      </c>
      <c r="K92" s="136"/>
      <c r="L92" s="137">
        <f>Mitigation_Industry!L$277*Mitigation_Industry!$K$273*MAX(Mitigation_Industry!$K$265,0)*Mitigation_Industry!$H$364/1000</f>
        <v>0</v>
      </c>
      <c r="M92" s="137">
        <f>Mitigation_Industry!M$277*Mitigation_Industry!$K$273*MAX(Mitigation_Industry!$K$265,0)*Mitigation_Industry!$H$364/1000</f>
        <v>0</v>
      </c>
      <c r="N92" s="137">
        <f>Mitigation_Industry!N$277*Mitigation_Industry!$K$273*MAX(Mitigation_Industry!$K$265,0)*Mitigation_Industry!$H$364/1000</f>
        <v>0</v>
      </c>
      <c r="O92" s="137">
        <f>Mitigation_Industry!O$277*Mitigation_Industry!$K$273*MAX(Mitigation_Industry!$K$265,0)*Mitigation_Industry!$H$364/1000</f>
        <v>0</v>
      </c>
      <c r="P92" s="137">
        <f>Mitigation_Industry!P$277*Mitigation_Industry!$K$273*MAX(Mitigation_Industry!$K$265,0)*Mitigation_Industry!$H$364/1000</f>
        <v>0</v>
      </c>
      <c r="Q92" s="137">
        <f>Mitigation_Industry!Q$277*Mitigation_Industry!$K$273*MAX(Mitigation_Industry!$K$265,0)*Mitigation_Industry!$H$364/1000</f>
        <v>0</v>
      </c>
      <c r="R92" s="137">
        <f>Mitigation_Industry!R$277*Mitigation_Industry!$K$273*MAX(Mitigation_Industry!$K$265,0)*Mitigation_Industry!$H$364/1000</f>
        <v>0</v>
      </c>
      <c r="S92" s="137">
        <f>Mitigation_Industry!S$277*Mitigation_Industry!$K$273*MAX(Mitigation_Industry!$K$265,0)*Mitigation_Industry!$H$364/1000</f>
        <v>0</v>
      </c>
      <c r="T92" s="137">
        <f>Mitigation_Industry!T$277*Mitigation_Industry!$K$273*MAX(Mitigation_Industry!$K$265,0)*Mitigation_Industry!$H$364/1000</f>
        <v>0</v>
      </c>
      <c r="U92" s="137">
        <f>Mitigation_Industry!U$277*Mitigation_Industry!$K$273*MAX(Mitigation_Industry!$K$265,0)*Mitigation_Industry!$H$364/1000</f>
        <v>0</v>
      </c>
      <c r="V92" s="137">
        <f>Mitigation_Industry!V$277*Mitigation_Industry!$K$273*MAX(Mitigation_Industry!$K$265,0)*Mitigation_Industry!$H$364/1000</f>
        <v>0</v>
      </c>
      <c r="W92" s="137">
        <f>Mitigation_Industry!W$277*Mitigation_Industry!$K$273*MAX(Mitigation_Industry!$K$265,0)*Mitigation_Industry!$H$364/1000</f>
        <v>0</v>
      </c>
      <c r="X92" s="137">
        <f>Mitigation_Industry!X$277*Mitigation_Industry!$K$273*MAX(Mitigation_Industry!$K$265,0)*Mitigation_Industry!$H$364/1000</f>
        <v>0</v>
      </c>
      <c r="Y92" s="137">
        <f>Mitigation_Industry!Y$277*Mitigation_Industry!$K$273*MAX(Mitigation_Industry!$K$265,0)*Mitigation_Industry!$H$364/1000</f>
        <v>0</v>
      </c>
      <c r="Z92" s="137">
        <f>Mitigation_Industry!Z$277*Mitigation_Industry!$K$273*MAX(Mitigation_Industry!$K$265,0)*Mitigation_Industry!$H$364/1000</f>
        <v>0</v>
      </c>
      <c r="AA92" s="137">
        <f>Mitigation_Industry!AA$277*Mitigation_Industry!$K$273*MAX(Mitigation_Industry!$K$265,0)*Mitigation_Industry!$H$364/1000</f>
        <v>0</v>
      </c>
      <c r="AB92" s="137">
        <f>Mitigation_Industry!AB$277*Mitigation_Industry!$K$273*MAX(Mitigation_Industry!$K$265,0)*Mitigation_Industry!$H$364/1000</f>
        <v>0</v>
      </c>
      <c r="AC92" s="137">
        <f>Mitigation_Industry!AC$277*Mitigation_Industry!$K$273*MAX(Mitigation_Industry!$K$265,0)*Mitigation_Industry!$H$364/1000</f>
        <v>0</v>
      </c>
      <c r="AD92" s="137">
        <f>Mitigation_Industry!AD$277*Mitigation_Industry!$K$273*MAX(Mitigation_Industry!$K$265,0)*Mitigation_Industry!$H$364/1000</f>
        <v>0</v>
      </c>
      <c r="AE92" s="137">
        <f>Mitigation_Industry!AE$277*Mitigation_Industry!$K$273*MAX(Mitigation_Industry!$K$265,0)*Mitigation_Industry!$H$364/1000</f>
        <v>0</v>
      </c>
      <c r="AF92" s="138"/>
      <c r="AG92" s="138"/>
      <c r="AH92" s="138"/>
      <c r="AI92" s="138"/>
    </row>
    <row r="93" spans="1:35" customFormat="1" ht="15" x14ac:dyDescent="0.25">
      <c r="B93" s="14" t="s">
        <v>2583</v>
      </c>
      <c r="C93" s="14" t="s">
        <v>43</v>
      </c>
      <c r="D93" s="15" t="s">
        <v>2646</v>
      </c>
      <c r="E93" s="16" t="s">
        <v>2065</v>
      </c>
      <c r="F93" s="14" t="s">
        <v>2634</v>
      </c>
      <c r="G93" s="17"/>
      <c r="H93" s="125" t="str">
        <f>Settings!$B$3&amp;".mit.wm.stl.bof.no.1"</f>
        <v>egy.mit.wm.stl.bof.no.1</v>
      </c>
      <c r="K93" s="136"/>
      <c r="L93" s="137">
        <f>Mitigation_Industry!L$278*Mitigation_Industry!$K$273*MAX(Mitigation_Industry!$K$266,0)*Mitigation_Industry!$H$365/1000</f>
        <v>0</v>
      </c>
      <c r="M93" s="137">
        <f>Mitigation_Industry!M$278*Mitigation_Industry!$K$273*MAX(Mitigation_Industry!$K$266,0)*Mitigation_Industry!$H$365/1000</f>
        <v>0</v>
      </c>
      <c r="N93" s="137">
        <f>Mitigation_Industry!N$278*Mitigation_Industry!$K$273*MAX(Mitigation_Industry!$K$266,0)*Mitigation_Industry!$H$365/1000</f>
        <v>0</v>
      </c>
      <c r="O93" s="137">
        <f>Mitigation_Industry!O$278*Mitigation_Industry!$K$273*MAX(Mitigation_Industry!$K$266,0)*Mitigation_Industry!$H$365/1000</f>
        <v>0</v>
      </c>
      <c r="P93" s="137">
        <f>Mitigation_Industry!P$278*Mitigation_Industry!$K$273*MAX(Mitigation_Industry!$K$266,0)*Mitigation_Industry!$H$365/1000</f>
        <v>0</v>
      </c>
      <c r="Q93" s="137">
        <f>Mitigation_Industry!Q$278*Mitigation_Industry!$K$273*MAX(Mitigation_Industry!$K$266,0)*Mitigation_Industry!$H$365/1000</f>
        <v>0</v>
      </c>
      <c r="R93" s="137">
        <f>Mitigation_Industry!R$278*Mitigation_Industry!$K$273*MAX(Mitigation_Industry!$K$266,0)*Mitigation_Industry!$H$365/1000</f>
        <v>0</v>
      </c>
      <c r="S93" s="137">
        <f>Mitigation_Industry!S$278*Mitigation_Industry!$K$273*MAX(Mitigation_Industry!$K$266,0)*Mitigation_Industry!$H$365/1000</f>
        <v>0</v>
      </c>
      <c r="T93" s="137">
        <f>Mitigation_Industry!T$278*Mitigation_Industry!$K$273*MAX(Mitigation_Industry!$K$266,0)*Mitigation_Industry!$H$365/1000</f>
        <v>0</v>
      </c>
      <c r="U93" s="137">
        <f>Mitigation_Industry!U$278*Mitigation_Industry!$K$273*MAX(Mitigation_Industry!$K$266,0)*Mitigation_Industry!$H$365/1000</f>
        <v>0</v>
      </c>
      <c r="V93" s="137">
        <f>Mitigation_Industry!V$278*Mitigation_Industry!$K$273*MAX(Mitigation_Industry!$K$266,0)*Mitigation_Industry!$H$365/1000</f>
        <v>0</v>
      </c>
      <c r="W93" s="137">
        <f>Mitigation_Industry!W$278*Mitigation_Industry!$K$273*MAX(Mitigation_Industry!$K$266,0)*Mitigation_Industry!$H$365/1000</f>
        <v>0</v>
      </c>
      <c r="X93" s="137">
        <f>Mitigation_Industry!X$278*Mitigation_Industry!$K$273*MAX(Mitigation_Industry!$K$266,0)*Mitigation_Industry!$H$365/1000</f>
        <v>0</v>
      </c>
      <c r="Y93" s="137">
        <f>Mitigation_Industry!Y$278*Mitigation_Industry!$K$273*MAX(Mitigation_Industry!$K$266,0)*Mitigation_Industry!$H$365/1000</f>
        <v>0</v>
      </c>
      <c r="Z93" s="137">
        <f>Mitigation_Industry!Z$278*Mitigation_Industry!$K$273*MAX(Mitigation_Industry!$K$266,0)*Mitigation_Industry!$H$365/1000</f>
        <v>0</v>
      </c>
      <c r="AA93" s="137">
        <f>Mitigation_Industry!AA$278*Mitigation_Industry!$K$273*MAX(Mitigation_Industry!$K$266,0)*Mitigation_Industry!$H$365/1000</f>
        <v>0</v>
      </c>
      <c r="AB93" s="137">
        <f>Mitigation_Industry!AB$278*Mitigation_Industry!$K$273*MAX(Mitigation_Industry!$K$266,0)*Mitigation_Industry!$H$365/1000</f>
        <v>0</v>
      </c>
      <c r="AC93" s="137">
        <f>Mitigation_Industry!AC$278*Mitigation_Industry!$K$273*MAX(Mitigation_Industry!$K$266,0)*Mitigation_Industry!$H$365/1000</f>
        <v>0</v>
      </c>
      <c r="AD93" s="137">
        <f>Mitigation_Industry!AD$278*Mitigation_Industry!$K$273*MAX(Mitigation_Industry!$K$266,0)*Mitigation_Industry!$H$365/1000</f>
        <v>0</v>
      </c>
      <c r="AE93" s="137">
        <f>Mitigation_Industry!AE$278*Mitigation_Industry!$K$273*MAX(Mitigation_Industry!$K$266,0)*Mitigation_Industry!$H$365/1000</f>
        <v>0</v>
      </c>
      <c r="AF93" s="138"/>
      <c r="AG93" s="138"/>
      <c r="AH93" s="138"/>
      <c r="AI93" s="138"/>
    </row>
    <row r="94" spans="1:35" customFormat="1" ht="15" x14ac:dyDescent="0.25">
      <c r="B94" s="14" t="s">
        <v>2585</v>
      </c>
      <c r="C94" s="14" t="s">
        <v>113</v>
      </c>
      <c r="D94" s="15" t="s">
        <v>2647</v>
      </c>
      <c r="E94" s="16" t="s">
        <v>2065</v>
      </c>
      <c r="F94" s="14" t="s">
        <v>2634</v>
      </c>
      <c r="G94" s="17"/>
      <c r="H94" s="125" t="str">
        <f>Settings!$B$3&amp;".mit.wm.cmt.dry.no.1"</f>
        <v>egy.mit.wm.cmt.dry.no.1</v>
      </c>
      <c r="K94" s="136"/>
      <c r="L94" s="137">
        <f>Mitigation_Industry!L$279*Mitigation_Industry!$K$273*MAX(Mitigation_Industry!$K$267,0)*Mitigation_Industry!$H$366/1000</f>
        <v>0</v>
      </c>
      <c r="M94" s="137">
        <f>Mitigation_Industry!M$279*Mitigation_Industry!$K$273*MAX(Mitigation_Industry!$K$267,0)*Mitigation_Industry!$H$366/1000</f>
        <v>0</v>
      </c>
      <c r="N94" s="137">
        <f>Mitigation_Industry!N$279*Mitigation_Industry!$K$273*MAX(Mitigation_Industry!$K$267,0)*Mitigation_Industry!$H$366/1000</f>
        <v>0</v>
      </c>
      <c r="O94" s="137">
        <f>Mitigation_Industry!O$279*Mitigation_Industry!$K$273*MAX(Mitigation_Industry!$K$267,0)*Mitigation_Industry!$H$366/1000</f>
        <v>0</v>
      </c>
      <c r="P94" s="137">
        <f>Mitigation_Industry!P$279*Mitigation_Industry!$K$273*MAX(Mitigation_Industry!$K$267,0)*Mitigation_Industry!$H$366/1000</f>
        <v>0</v>
      </c>
      <c r="Q94" s="137">
        <f>Mitigation_Industry!Q$279*Mitigation_Industry!$K$273*MAX(Mitigation_Industry!$K$267,0)*Mitigation_Industry!$H$366/1000</f>
        <v>0</v>
      </c>
      <c r="R94" s="137">
        <f>Mitigation_Industry!R$279*Mitigation_Industry!$K$273*MAX(Mitigation_Industry!$K$267,0)*Mitigation_Industry!$H$366/1000</f>
        <v>0</v>
      </c>
      <c r="S94" s="137">
        <f>Mitigation_Industry!S$279*Mitigation_Industry!$K$273*MAX(Mitigation_Industry!$K$267,0)*Mitigation_Industry!$H$366/1000</f>
        <v>0</v>
      </c>
      <c r="T94" s="137">
        <f>Mitigation_Industry!T$279*Mitigation_Industry!$K$273*MAX(Mitigation_Industry!$K$267,0)*Mitigation_Industry!$H$366/1000</f>
        <v>0</v>
      </c>
      <c r="U94" s="137">
        <f>Mitigation_Industry!U$279*Mitigation_Industry!$K$273*MAX(Mitigation_Industry!$K$267,0)*Mitigation_Industry!$H$366/1000</f>
        <v>0</v>
      </c>
      <c r="V94" s="137">
        <f>Mitigation_Industry!V$279*Mitigation_Industry!$K$273*MAX(Mitigation_Industry!$K$267,0)*Mitigation_Industry!$H$366/1000</f>
        <v>0</v>
      </c>
      <c r="W94" s="137">
        <f>Mitigation_Industry!W$279*Mitigation_Industry!$K$273*MAX(Mitigation_Industry!$K$267,0)*Mitigation_Industry!$H$366/1000</f>
        <v>0</v>
      </c>
      <c r="X94" s="137">
        <f>Mitigation_Industry!X$279*Mitigation_Industry!$K$273*MAX(Mitigation_Industry!$K$267,0)*Mitigation_Industry!$H$366/1000</f>
        <v>0</v>
      </c>
      <c r="Y94" s="137">
        <f>Mitigation_Industry!Y$279*Mitigation_Industry!$K$273*MAX(Mitigation_Industry!$K$267,0)*Mitigation_Industry!$H$366/1000</f>
        <v>0</v>
      </c>
      <c r="Z94" s="137">
        <f>Mitigation_Industry!Z$279*Mitigation_Industry!$K$273*MAX(Mitigation_Industry!$K$267,0)*Mitigation_Industry!$H$366/1000</f>
        <v>0</v>
      </c>
      <c r="AA94" s="137">
        <f>Mitigation_Industry!AA$279*Mitigation_Industry!$K$273*MAX(Mitigation_Industry!$K$267,0)*Mitigation_Industry!$H$366/1000</f>
        <v>0</v>
      </c>
      <c r="AB94" s="137">
        <f>Mitigation_Industry!AB$279*Mitigation_Industry!$K$273*MAX(Mitigation_Industry!$K$267,0)*Mitigation_Industry!$H$366/1000</f>
        <v>0</v>
      </c>
      <c r="AC94" s="137">
        <f>Mitigation_Industry!AC$279*Mitigation_Industry!$K$273*MAX(Mitigation_Industry!$K$267,0)*Mitigation_Industry!$H$366/1000</f>
        <v>0</v>
      </c>
      <c r="AD94" s="137">
        <f>Mitigation_Industry!AD$279*Mitigation_Industry!$K$273*MAX(Mitigation_Industry!$K$267,0)*Mitigation_Industry!$H$366/1000</f>
        <v>0</v>
      </c>
      <c r="AE94" s="137">
        <f>Mitigation_Industry!AE$279*Mitigation_Industry!$K$273*MAX(Mitigation_Industry!$K$267,0)*Mitigation_Industry!$H$366/1000</f>
        <v>0</v>
      </c>
      <c r="AF94" s="138"/>
      <c r="AG94" s="138"/>
      <c r="AH94" s="138"/>
      <c r="AI94" s="138"/>
    </row>
    <row r="95" spans="1:35" customFormat="1" ht="15" x14ac:dyDescent="0.25">
      <c r="B95" s="14" t="s">
        <v>2587</v>
      </c>
      <c r="C95" s="14" t="s">
        <v>117</v>
      </c>
      <c r="D95" s="15" t="s">
        <v>2648</v>
      </c>
      <c r="E95" s="16" t="s">
        <v>2065</v>
      </c>
      <c r="F95" s="14" t="s">
        <v>2634</v>
      </c>
      <c r="G95" s="17"/>
      <c r="H95" s="125" t="str">
        <f>Settings!$B$3&amp;".mit.wm.frt.amc.no.1"</f>
        <v>egy.mit.wm.frt.amc.no.1</v>
      </c>
      <c r="K95" s="136"/>
      <c r="L95" s="137">
        <f>Mitigation_Industry!L$280*Mitigation_Industry!$K$273*MAX(Mitigation_Industry!$K$268,0)*Mitigation_Industry!$H$367/1000</f>
        <v>0</v>
      </c>
      <c r="M95" s="137">
        <f>Mitigation_Industry!M$280*Mitigation_Industry!$K$273*MAX(Mitigation_Industry!$K$268,0)*Mitigation_Industry!$H$367/1000</f>
        <v>0</v>
      </c>
      <c r="N95" s="137">
        <f>Mitigation_Industry!N$280*Mitigation_Industry!$K$273*MAX(Mitigation_Industry!$K$268,0)*Mitigation_Industry!$H$367/1000</f>
        <v>0</v>
      </c>
      <c r="O95" s="137">
        <f>Mitigation_Industry!O$280*Mitigation_Industry!$K$273*MAX(Mitigation_Industry!$K$268,0)*Mitigation_Industry!$H$367/1000</f>
        <v>0</v>
      </c>
      <c r="P95" s="137">
        <f>Mitigation_Industry!P$280*Mitigation_Industry!$K$273*MAX(Mitigation_Industry!$K$268,0)*Mitigation_Industry!$H$367/1000</f>
        <v>0</v>
      </c>
      <c r="Q95" s="137">
        <f>Mitigation_Industry!Q$280*Mitigation_Industry!$K$273*MAX(Mitigation_Industry!$K$268,0)*Mitigation_Industry!$H$367/1000</f>
        <v>0</v>
      </c>
      <c r="R95" s="137">
        <f>Mitigation_Industry!R$280*Mitigation_Industry!$K$273*MAX(Mitigation_Industry!$K$268,0)*Mitigation_Industry!$H$367/1000</f>
        <v>0</v>
      </c>
      <c r="S95" s="137">
        <f>Mitigation_Industry!S$280*Mitigation_Industry!$K$273*MAX(Mitigation_Industry!$K$268,0)*Mitigation_Industry!$H$367/1000</f>
        <v>0</v>
      </c>
      <c r="T95" s="137">
        <f>Mitigation_Industry!T$280*Mitigation_Industry!$K$273*MAX(Mitigation_Industry!$K$268,0)*Mitigation_Industry!$H$367/1000</f>
        <v>0</v>
      </c>
      <c r="U95" s="137">
        <f>Mitigation_Industry!U$280*Mitigation_Industry!$K$273*MAX(Mitigation_Industry!$K$268,0)*Mitigation_Industry!$H$367/1000</f>
        <v>0</v>
      </c>
      <c r="V95" s="137">
        <f>Mitigation_Industry!V$280*Mitigation_Industry!$K$273*MAX(Mitigation_Industry!$K$268,0)*Mitigation_Industry!$H$367/1000</f>
        <v>0</v>
      </c>
      <c r="W95" s="137">
        <f>Mitigation_Industry!W$280*Mitigation_Industry!$K$273*MAX(Mitigation_Industry!$K$268,0)*Mitigation_Industry!$H$367/1000</f>
        <v>0</v>
      </c>
      <c r="X95" s="137">
        <f>Mitigation_Industry!X$280*Mitigation_Industry!$K$273*MAX(Mitigation_Industry!$K$268,0)*Mitigation_Industry!$H$367/1000</f>
        <v>0</v>
      </c>
      <c r="Y95" s="137">
        <f>Mitigation_Industry!Y$280*Mitigation_Industry!$K$273*MAX(Mitigation_Industry!$K$268,0)*Mitigation_Industry!$H$367/1000</f>
        <v>0</v>
      </c>
      <c r="Z95" s="137">
        <f>Mitigation_Industry!Z$280*Mitigation_Industry!$K$273*MAX(Mitigation_Industry!$K$268,0)*Mitigation_Industry!$H$367/1000</f>
        <v>0</v>
      </c>
      <c r="AA95" s="137">
        <f>Mitigation_Industry!AA$280*Mitigation_Industry!$K$273*MAX(Mitigation_Industry!$K$268,0)*Mitigation_Industry!$H$367/1000</f>
        <v>0</v>
      </c>
      <c r="AB95" s="137">
        <f>Mitigation_Industry!AB$280*Mitigation_Industry!$K$273*MAX(Mitigation_Industry!$K$268,0)*Mitigation_Industry!$H$367/1000</f>
        <v>0</v>
      </c>
      <c r="AC95" s="137">
        <f>Mitigation_Industry!AC$280*Mitigation_Industry!$K$273*MAX(Mitigation_Industry!$K$268,0)*Mitigation_Industry!$H$367/1000</f>
        <v>0</v>
      </c>
      <c r="AD95" s="137">
        <f>Mitigation_Industry!AD$280*Mitigation_Industry!$K$273*MAX(Mitigation_Industry!$K$268,0)*Mitigation_Industry!$H$367/1000</f>
        <v>0</v>
      </c>
      <c r="AE95" s="137">
        <f>Mitigation_Industry!AE$280*Mitigation_Industry!$K$273*MAX(Mitigation_Industry!$K$268,0)*Mitigation_Industry!$H$367/1000</f>
        <v>0</v>
      </c>
      <c r="AF95" s="138"/>
      <c r="AG95" s="138"/>
      <c r="AH95" s="138"/>
      <c r="AI95" s="138"/>
    </row>
    <row r="96" spans="1:35" customFormat="1" ht="15" x14ac:dyDescent="0.25">
      <c r="B96" s="14" t="s">
        <v>2589</v>
      </c>
      <c r="C96" s="14" t="s">
        <v>117</v>
      </c>
      <c r="D96" s="15" t="s">
        <v>2649</v>
      </c>
      <c r="E96" s="16" t="s">
        <v>2065</v>
      </c>
      <c r="F96" s="14" t="s">
        <v>2634</v>
      </c>
      <c r="G96" s="17"/>
      <c r="H96" s="125" t="str">
        <f>Settings!$B$3&amp;".mit.wm.frt.ure.no.1"</f>
        <v>egy.mit.wm.frt.ure.no.1</v>
      </c>
      <c r="K96" s="136"/>
      <c r="L96" s="137">
        <f>Mitigation_Industry!L$281*Mitigation_Industry!$K$273*MAX(Mitigation_Industry!$K$269,0)*Mitigation_Industry!$H$368/1000</f>
        <v>0</v>
      </c>
      <c r="M96" s="137">
        <f>Mitigation_Industry!M$281*Mitigation_Industry!$K$273*MAX(Mitigation_Industry!$K$269,0)*Mitigation_Industry!$H$368/1000</f>
        <v>0</v>
      </c>
      <c r="N96" s="137">
        <f>Mitigation_Industry!N$281*Mitigation_Industry!$K$273*MAX(Mitigation_Industry!$K$269,0)*Mitigation_Industry!$H$368/1000</f>
        <v>0</v>
      </c>
      <c r="O96" s="137">
        <f>Mitigation_Industry!O$281*Mitigation_Industry!$K$273*MAX(Mitigation_Industry!$K$269,0)*Mitigation_Industry!$H$368/1000</f>
        <v>0</v>
      </c>
      <c r="P96" s="137">
        <f>Mitigation_Industry!P$281*Mitigation_Industry!$K$273*MAX(Mitigation_Industry!$K$269,0)*Mitigation_Industry!$H$368/1000</f>
        <v>0</v>
      </c>
      <c r="Q96" s="137">
        <f>Mitigation_Industry!Q$281*Mitigation_Industry!$K$273*MAX(Mitigation_Industry!$K$269,0)*Mitigation_Industry!$H$368/1000</f>
        <v>0</v>
      </c>
      <c r="R96" s="137">
        <f>Mitigation_Industry!R$281*Mitigation_Industry!$K$273*MAX(Mitigation_Industry!$K$269,0)*Mitigation_Industry!$H$368/1000</f>
        <v>0</v>
      </c>
      <c r="S96" s="137">
        <f>Mitigation_Industry!S$281*Mitigation_Industry!$K$273*MAX(Mitigation_Industry!$K$269,0)*Mitigation_Industry!$H$368/1000</f>
        <v>0</v>
      </c>
      <c r="T96" s="137">
        <f>Mitigation_Industry!T$281*Mitigation_Industry!$K$273*MAX(Mitigation_Industry!$K$269,0)*Mitigation_Industry!$H$368/1000</f>
        <v>0</v>
      </c>
      <c r="U96" s="137">
        <f>Mitigation_Industry!U$281*Mitigation_Industry!$K$273*MAX(Mitigation_Industry!$K$269,0)*Mitigation_Industry!$H$368/1000</f>
        <v>0</v>
      </c>
      <c r="V96" s="137">
        <f>Mitigation_Industry!V$281*Mitigation_Industry!$K$273*MAX(Mitigation_Industry!$K$269,0)*Mitigation_Industry!$H$368/1000</f>
        <v>0</v>
      </c>
      <c r="W96" s="137">
        <f>Mitigation_Industry!W$281*Mitigation_Industry!$K$273*MAX(Mitigation_Industry!$K$269,0)*Mitigation_Industry!$H$368/1000</f>
        <v>0</v>
      </c>
      <c r="X96" s="137">
        <f>Mitigation_Industry!X$281*Mitigation_Industry!$K$273*MAX(Mitigation_Industry!$K$269,0)*Mitigation_Industry!$H$368/1000</f>
        <v>0</v>
      </c>
      <c r="Y96" s="137">
        <f>Mitigation_Industry!Y$281*Mitigation_Industry!$K$273*MAX(Mitigation_Industry!$K$269,0)*Mitigation_Industry!$H$368/1000</f>
        <v>0</v>
      </c>
      <c r="Z96" s="137">
        <f>Mitigation_Industry!Z$281*Mitigation_Industry!$K$273*MAX(Mitigation_Industry!$K$269,0)*Mitigation_Industry!$H$368/1000</f>
        <v>0</v>
      </c>
      <c r="AA96" s="137">
        <f>Mitigation_Industry!AA$281*Mitigation_Industry!$K$273*MAX(Mitigation_Industry!$K$269,0)*Mitigation_Industry!$H$368/1000</f>
        <v>0</v>
      </c>
      <c r="AB96" s="137">
        <f>Mitigation_Industry!AB$281*Mitigation_Industry!$K$273*MAX(Mitigation_Industry!$K$269,0)*Mitigation_Industry!$H$368/1000</f>
        <v>0</v>
      </c>
      <c r="AC96" s="137">
        <f>Mitigation_Industry!AC$281*Mitigation_Industry!$K$273*MAX(Mitigation_Industry!$K$269,0)*Mitigation_Industry!$H$368/1000</f>
        <v>0</v>
      </c>
      <c r="AD96" s="137">
        <f>Mitigation_Industry!AD$281*Mitigation_Industry!$K$273*MAX(Mitigation_Industry!$K$269,0)*Mitigation_Industry!$H$368/1000</f>
        <v>0</v>
      </c>
      <c r="AE96" s="137">
        <f>Mitigation_Industry!AE$281*Mitigation_Industry!$K$273*MAX(Mitigation_Industry!$K$269,0)*Mitigation_Industry!$H$368/1000</f>
        <v>0</v>
      </c>
      <c r="AF96" s="138"/>
      <c r="AG96" s="138"/>
      <c r="AH96" s="138"/>
      <c r="AI96" s="138"/>
    </row>
    <row r="97" spans="1:35" customFormat="1" ht="15" x14ac:dyDescent="0.25">
      <c r="B97" s="14" t="s">
        <v>2591</v>
      </c>
      <c r="C97" s="14" t="s">
        <v>117</v>
      </c>
      <c r="D97" s="15" t="s">
        <v>2650</v>
      </c>
      <c r="E97" s="16" t="s">
        <v>2065</v>
      </c>
      <c r="F97" s="14" t="s">
        <v>2634</v>
      </c>
      <c r="G97" s="17"/>
      <c r="H97" s="125" t="str">
        <f>Settings!$B$3&amp;".mit.wm.frt.nit.no.1"</f>
        <v>egy.mit.wm.frt.nit.no.1</v>
      </c>
      <c r="K97" s="136"/>
      <c r="L97" s="137">
        <f>Mitigation_Industry!L$282*Mitigation_Industry!$K$273*MAX(Mitigation_Industry!$K$270,0)*Mitigation_Industry!$H$369/1000</f>
        <v>0.57123661061347031</v>
      </c>
      <c r="M97" s="137">
        <f>Mitigation_Industry!M$282*Mitigation_Industry!$K$273*MAX(Mitigation_Industry!$K$270,0)*Mitigation_Industry!$H$369/1000</f>
        <v>0.58380381604696674</v>
      </c>
      <c r="N97" s="137">
        <f>Mitigation_Industry!N$282*Mitigation_Industry!$K$273*MAX(Mitigation_Industry!$K$270,0)*Mitigation_Industry!$H$369/1000</f>
        <v>0.5966475</v>
      </c>
      <c r="O97" s="137">
        <f>Mitigation_Industry!O$282*Mitigation_Industry!$K$273*MAX(Mitigation_Industry!$K$270,0)*Mitigation_Industry!$H$369/1000</f>
        <v>0.60977374500000003</v>
      </c>
      <c r="P97" s="137">
        <f>Mitigation_Industry!P$282*Mitigation_Industry!$K$273*MAX(Mitigation_Industry!$K$270,0)*Mitigation_Industry!$H$369/1000</f>
        <v>0.62318876738999995</v>
      </c>
      <c r="Q97" s="137">
        <f>Mitigation_Industry!Q$282*Mitigation_Industry!$K$273*MAX(Mitigation_Industry!$K$270,0)*Mitigation_Industry!$H$369/1000</f>
        <v>0.6368989202725801</v>
      </c>
      <c r="R97" s="137">
        <f>Mitigation_Industry!R$282*Mitigation_Industry!$K$273*MAX(Mitigation_Industry!$K$270,0)*Mitigation_Industry!$H$369/1000</f>
        <v>0.65091069651857669</v>
      </c>
      <c r="S97" s="137">
        <f>Mitigation_Industry!S$282*Mitigation_Industry!$K$273*MAX(Mitigation_Industry!$K$270,0)*Mitigation_Industry!$H$369/1000</f>
        <v>0.66523073184198556</v>
      </c>
      <c r="T97" s="137">
        <f>Mitigation_Industry!T$282*Mitigation_Industry!$K$273*MAX(Mitigation_Industry!$K$270,0)*Mitigation_Industry!$H$369/1000</f>
        <v>0.67986580794250906</v>
      </c>
      <c r="U97" s="137">
        <f>Mitigation_Industry!U$282*Mitigation_Industry!$K$273*MAX(Mitigation_Industry!$K$270,0)*Mitigation_Industry!$H$369/1000</f>
        <v>0.69482285571724434</v>
      </c>
      <c r="V97" s="137">
        <f>Mitigation_Industry!V$282*Mitigation_Industry!$K$273*MAX(Mitigation_Industry!$K$270,0)*Mitigation_Industry!$H$369/1000</f>
        <v>0.7101089585430238</v>
      </c>
      <c r="W97" s="137">
        <f>Mitigation_Industry!W$282*Mitigation_Industry!$K$273*MAX(Mitigation_Industry!$K$270,0)*Mitigation_Industry!$H$369/1000</f>
        <v>0.72573135563097024</v>
      </c>
      <c r="X97" s="137">
        <f>Mitigation_Industry!X$282*Mitigation_Industry!$K$273*MAX(Mitigation_Industry!$K$270,0)*Mitigation_Industry!$H$369/1000</f>
        <v>0.74169744545485172</v>
      </c>
      <c r="Y97" s="137">
        <f>Mitigation_Industry!Y$282*Mitigation_Industry!$K$273*MAX(Mitigation_Industry!$K$270,0)*Mitigation_Industry!$H$369/1000</f>
        <v>0.75801478925485843</v>
      </c>
      <c r="Z97" s="137">
        <f>Mitigation_Industry!Z$282*Mitigation_Industry!$K$273*MAX(Mitigation_Industry!$K$270,0)*Mitigation_Industry!$H$369/1000</f>
        <v>0.7746911146184654</v>
      </c>
      <c r="AA97" s="137">
        <f>Mitigation_Industry!AA$282*Mitigation_Industry!$K$273*MAX(Mitigation_Industry!$K$270,0)*Mitigation_Industry!$H$369/1000</f>
        <v>0.79173431914007153</v>
      </c>
      <c r="AB97" s="137">
        <f>Mitigation_Industry!AB$282*Mitigation_Industry!$K$273*MAX(Mitigation_Industry!$K$270,0)*Mitigation_Industry!$H$369/1000</f>
        <v>0.8091524741611531</v>
      </c>
      <c r="AC97" s="137">
        <f>Mitigation_Industry!AC$282*Mitigation_Industry!$K$273*MAX(Mitigation_Industry!$K$270,0)*Mitigation_Industry!$H$369/1000</f>
        <v>0.8269538285926985</v>
      </c>
      <c r="AD97" s="137">
        <f>Mitigation_Industry!AD$282*Mitigation_Industry!$K$273*MAX(Mitigation_Industry!$K$270,0)*Mitigation_Industry!$H$369/1000</f>
        <v>0.84514681282173787</v>
      </c>
      <c r="AE97" s="137">
        <f>Mitigation_Industry!AE$282*Mitigation_Industry!$K$273*MAX(Mitigation_Industry!$K$270,0)*Mitigation_Industry!$H$369/1000</f>
        <v>0.8637400427038161</v>
      </c>
      <c r="AF97" s="138"/>
      <c r="AG97" s="138"/>
      <c r="AH97" s="138"/>
      <c r="AI97" s="138"/>
    </row>
    <row r="98" spans="1:35" customFormat="1" ht="15" x14ac:dyDescent="0.25">
      <c r="B98" s="14" t="s">
        <v>2593</v>
      </c>
      <c r="C98" s="14" t="s">
        <v>115</v>
      </c>
      <c r="D98" s="15" t="s">
        <v>2651</v>
      </c>
      <c r="E98" s="16" t="s">
        <v>2065</v>
      </c>
      <c r="F98" s="14" t="s">
        <v>2634</v>
      </c>
      <c r="G98" s="17"/>
      <c r="H98" s="125" t="str">
        <f>Settings!$B$3&amp;".mit.wm.alu.prp.no.1"</f>
        <v>egy.mit.wm.alu.prp.no.1</v>
      </c>
      <c r="K98" s="136"/>
      <c r="L98" s="137">
        <f>Mitigation_Industry!L$283*Mitigation_Industry!$K$273*MAX(Mitigation_Industry!$K$271,0)*Mitigation_Industry!$H$370/1000</f>
        <v>0.20862065092877519</v>
      </c>
      <c r="M98" s="137">
        <f>Mitigation_Industry!M$283*Mitigation_Industry!$K$273*MAX(Mitigation_Industry!$K$271,0)*Mitigation_Industry!$H$370/1000</f>
        <v>0.22009478672985783</v>
      </c>
      <c r="N98" s="137">
        <f>Mitigation_Industry!N$283*Mitigation_Industry!$K$273*MAX(Mitigation_Industry!$K$271,0)*Mitigation_Industry!$H$370/1000</f>
        <v>0.23220000000000002</v>
      </c>
      <c r="O98" s="137">
        <f>Mitigation_Industry!O$283*Mitigation_Industry!$K$273*MAX(Mitigation_Industry!$K$271,0)*Mitigation_Industry!$H$370/1000</f>
        <v>0.24497099999999999</v>
      </c>
      <c r="P98" s="137">
        <f>Mitigation_Industry!P$283*Mitigation_Industry!$K$273*MAX(Mitigation_Industry!$K$271,0)*Mitigation_Industry!$H$370/1000</f>
        <v>0.25844440499999999</v>
      </c>
      <c r="Q98" s="137">
        <f>Mitigation_Industry!Q$283*Mitigation_Industry!$K$273*MAX(Mitigation_Industry!$K$271,0)*Mitigation_Industry!$H$370/1000</f>
        <v>0.27265884727499995</v>
      </c>
      <c r="R98" s="137">
        <f>Mitigation_Industry!R$283*Mitigation_Industry!$K$273*MAX(Mitigation_Industry!$K$271,0)*Mitigation_Industry!$H$370/1000</f>
        <v>0.28765508387512501</v>
      </c>
      <c r="S98" s="137">
        <f>Mitigation_Industry!S$283*Mitigation_Industry!$K$273*MAX(Mitigation_Industry!$K$271,0)*Mitigation_Industry!$H$370/1000</f>
        <v>0.30347611348825682</v>
      </c>
      <c r="T98" s="137">
        <f>Mitigation_Industry!T$283*Mitigation_Industry!$K$273*MAX(Mitigation_Industry!$K$271,0)*Mitigation_Industry!$H$370/1000</f>
        <v>0.32016729973011093</v>
      </c>
      <c r="U98" s="137">
        <f>Mitigation_Industry!U$283*Mitigation_Industry!$K$273*MAX(Mitigation_Industry!$K$271,0)*Mitigation_Industry!$H$370/1000</f>
        <v>0.33777650121526698</v>
      </c>
      <c r="V98" s="137">
        <f>Mitigation_Industry!V$283*Mitigation_Industry!$K$273*MAX(Mitigation_Industry!$K$271,0)*Mitigation_Industry!$H$370/1000</f>
        <v>0.35635420878210672</v>
      </c>
      <c r="W98" s="137">
        <f>Mitigation_Industry!W$283*Mitigation_Industry!$K$273*MAX(Mitigation_Industry!$K$271,0)*Mitigation_Industry!$H$370/1000</f>
        <v>0.37595369026512254</v>
      </c>
      <c r="X98" s="137">
        <f>Mitigation_Industry!X$283*Mitigation_Industry!$K$273*MAX(Mitigation_Industry!$K$271,0)*Mitigation_Industry!$H$370/1000</f>
        <v>0.39663114322970433</v>
      </c>
      <c r="Y98" s="137">
        <f>Mitigation_Industry!Y$283*Mitigation_Industry!$K$273*MAX(Mitigation_Industry!$K$271,0)*Mitigation_Industry!$H$370/1000</f>
        <v>0.41844585610733798</v>
      </c>
      <c r="Z98" s="137">
        <f>Mitigation_Industry!Z$283*Mitigation_Industry!$K$273*MAX(Mitigation_Industry!$K$271,0)*Mitigation_Industry!$H$370/1000</f>
        <v>0.44146037819324158</v>
      </c>
      <c r="AA98" s="137">
        <f>Mitigation_Industry!AA$283*Mitigation_Industry!$K$273*MAX(Mitigation_Industry!$K$271,0)*Mitigation_Industry!$H$370/1000</f>
        <v>0.46574069899386977</v>
      </c>
      <c r="AB98" s="137">
        <f>Mitigation_Industry!AB$283*Mitigation_Industry!$K$273*MAX(Mitigation_Industry!$K$271,0)*Mitigation_Industry!$H$370/1000</f>
        <v>0.49135643743853269</v>
      </c>
      <c r="AC98" s="137">
        <f>Mitigation_Industry!AC$283*Mitigation_Industry!$K$273*MAX(Mitigation_Industry!$K$271,0)*Mitigation_Industry!$H$370/1000</f>
        <v>0.51838104149765185</v>
      </c>
      <c r="AD98" s="137">
        <f>Mitigation_Industry!AD$283*Mitigation_Industry!$K$273*MAX(Mitigation_Industry!$K$271,0)*Mitigation_Industry!$H$370/1000</f>
        <v>0.5468919987800227</v>
      </c>
      <c r="AE98" s="137">
        <f>Mitigation_Industry!AE$283*Mitigation_Industry!$K$273*MAX(Mitigation_Industry!$K$271,0)*Mitigation_Industry!$H$370/1000</f>
        <v>0.57697105871292398</v>
      </c>
      <c r="AF98" s="138"/>
      <c r="AG98" s="138"/>
      <c r="AH98" s="138"/>
      <c r="AI98" s="138"/>
    </row>
    <row r="99" spans="1:35" x14ac:dyDescent="0.2"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</row>
    <row r="100" spans="1:35" customFormat="1" ht="15" x14ac:dyDescent="0.25">
      <c r="A100" s="11"/>
      <c r="B100" s="6"/>
      <c r="C100" s="7" t="s">
        <v>2652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4">
        <v>2021</v>
      </c>
      <c r="L100" s="135">
        <v>2022</v>
      </c>
      <c r="M100" s="134">
        <v>2023</v>
      </c>
      <c r="N100" s="134">
        <v>2024</v>
      </c>
      <c r="O100" s="134">
        <v>2025</v>
      </c>
      <c r="P100" s="134">
        <v>2026</v>
      </c>
      <c r="Q100" s="134">
        <v>2027</v>
      </c>
      <c r="R100" s="134">
        <v>2028</v>
      </c>
      <c r="S100" s="134">
        <v>2029</v>
      </c>
      <c r="T100" s="134">
        <v>2030</v>
      </c>
      <c r="U100" s="134">
        <v>2031</v>
      </c>
      <c r="V100" s="134">
        <v>2032</v>
      </c>
      <c r="W100" s="134">
        <v>2033</v>
      </c>
      <c r="X100" s="134">
        <v>2034</v>
      </c>
      <c r="Y100" s="134">
        <v>2035</v>
      </c>
      <c r="Z100" s="134">
        <v>2036</v>
      </c>
      <c r="AA100" s="134">
        <v>2037</v>
      </c>
      <c r="AB100" s="134">
        <v>2038</v>
      </c>
      <c r="AC100" s="134">
        <v>2039</v>
      </c>
      <c r="AD100" s="134">
        <v>2040</v>
      </c>
      <c r="AE100" s="134">
        <v>2041</v>
      </c>
      <c r="AF100" s="134">
        <v>2042</v>
      </c>
      <c r="AG100" s="134">
        <v>2043</v>
      </c>
      <c r="AH100" s="134">
        <v>2044</v>
      </c>
      <c r="AI100" s="134">
        <v>2045</v>
      </c>
    </row>
    <row r="101" spans="1:35" customFormat="1" ht="15" x14ac:dyDescent="0.25">
      <c r="B101" s="14" t="s">
        <v>2562</v>
      </c>
      <c r="C101" s="14" t="s">
        <v>43</v>
      </c>
      <c r="D101" s="15" t="s">
        <v>2653</v>
      </c>
      <c r="E101" s="16" t="s">
        <v>2065</v>
      </c>
      <c r="F101" s="14" t="s">
        <v>2652</v>
      </c>
      <c r="G101" s="17"/>
      <c r="H101" s="125" t="str">
        <f>Settings!$B$3&amp;".mit.wp.stl.drg.np.1"</f>
        <v>egy.mit.wp.stl.drg.np.1</v>
      </c>
      <c r="I101" t="s">
        <v>2654</v>
      </c>
      <c r="K101" s="136"/>
      <c r="L101" s="137">
        <f t="shared" ref="L101:AE101" si="0">L$83*EXP(-L$65*L$27)</f>
        <v>0.17734546065090059</v>
      </c>
      <c r="M101" s="137">
        <f t="shared" si="0"/>
        <v>0.18514866091954021</v>
      </c>
      <c r="N101" s="137">
        <f t="shared" si="0"/>
        <v>0.193295202</v>
      </c>
      <c r="O101" s="137">
        <f t="shared" si="0"/>
        <v>0.20180019088800003</v>
      </c>
      <c r="P101" s="137">
        <f t="shared" si="0"/>
        <v>0.21067939928707202</v>
      </c>
      <c r="Q101" s="137">
        <f t="shared" si="0"/>
        <v>0.21994929285570322</v>
      </c>
      <c r="R101" s="137">
        <f t="shared" si="0"/>
        <v>0.22962706174135414</v>
      </c>
      <c r="S101" s="137">
        <f t="shared" si="0"/>
        <v>0.2397306524579737</v>
      </c>
      <c r="T101" s="137">
        <f t="shared" si="0"/>
        <v>0.25027880116612461</v>
      </c>
      <c r="U101" s="137">
        <f t="shared" si="0"/>
        <v>0.2612910684174341</v>
      </c>
      <c r="V101" s="137">
        <f t="shared" si="0"/>
        <v>0.27278787542780114</v>
      </c>
      <c r="W101" s="137">
        <f t="shared" si="0"/>
        <v>0.28479054194662445</v>
      </c>
      <c r="X101" s="137">
        <f t="shared" si="0"/>
        <v>0.29732132579227588</v>
      </c>
      <c r="Y101" s="137">
        <f t="shared" si="0"/>
        <v>0.3104034641271361</v>
      </c>
      <c r="Z101" s="137">
        <f t="shared" si="0"/>
        <v>0.32406121654872999</v>
      </c>
      <c r="AA101" s="137">
        <f t="shared" si="0"/>
        <v>0.33831991007687412</v>
      </c>
      <c r="AB101" s="137">
        <f t="shared" si="0"/>
        <v>0.35320598612025667</v>
      </c>
      <c r="AC101" s="137">
        <f t="shared" si="0"/>
        <v>0.36874704950954795</v>
      </c>
      <c r="AD101" s="137">
        <f t="shared" si="0"/>
        <v>0.38497191968796801</v>
      </c>
      <c r="AE101" s="137">
        <f t="shared" si="0"/>
        <v>0.40191068415423858</v>
      </c>
      <c r="AF101" s="138"/>
      <c r="AG101" s="138"/>
      <c r="AH101" s="138"/>
      <c r="AI101" s="138"/>
    </row>
    <row r="102" spans="1:35" customFormat="1" ht="15" x14ac:dyDescent="0.25">
      <c r="B102" s="14" t="s">
        <v>2565</v>
      </c>
      <c r="C102" s="14" t="s">
        <v>43</v>
      </c>
      <c r="D102" s="15" t="s">
        <v>2655</v>
      </c>
      <c r="E102" s="16" t="s">
        <v>2065</v>
      </c>
      <c r="F102" s="14" t="s">
        <v>2652</v>
      </c>
      <c r="G102" s="17"/>
      <c r="H102" s="125" t="str">
        <f>Settings!$B$3&amp;".mit.wp.stl.scr.np.1"</f>
        <v>egy.mit.wp.stl.scr.np.1</v>
      </c>
      <c r="K102" s="136"/>
      <c r="L102" s="137">
        <f t="shared" ref="L102:AE102" si="1">L$84*EXP(-L$66*L$28)</f>
        <v>0.19368983132954593</v>
      </c>
      <c r="M102" s="137">
        <f t="shared" si="1"/>
        <v>0.20221218390804596</v>
      </c>
      <c r="N102" s="137">
        <f t="shared" si="1"/>
        <v>0.21110951999999997</v>
      </c>
      <c r="O102" s="137">
        <f t="shared" si="1"/>
        <v>0.22039833887999999</v>
      </c>
      <c r="P102" s="137">
        <f t="shared" si="1"/>
        <v>0.23009586579071997</v>
      </c>
      <c r="Q102" s="137">
        <f t="shared" si="1"/>
        <v>0.24022008388551169</v>
      </c>
      <c r="R102" s="137">
        <f t="shared" si="1"/>
        <v>0.25078976757647414</v>
      </c>
      <c r="S102" s="137">
        <f t="shared" si="1"/>
        <v>0.26182451734983908</v>
      </c>
      <c r="T102" s="137">
        <f t="shared" si="1"/>
        <v>0.27334479611323198</v>
      </c>
      <c r="U102" s="137">
        <f t="shared" si="1"/>
        <v>0.28537196714221424</v>
      </c>
      <c r="V102" s="137">
        <f t="shared" si="1"/>
        <v>0.29792833369647159</v>
      </c>
      <c r="W102" s="137">
        <f t="shared" si="1"/>
        <v>0.31103718037911643</v>
      </c>
      <c r="X102" s="137">
        <f t="shared" si="1"/>
        <v>0.32472281631579752</v>
      </c>
      <c r="Y102" s="137">
        <f t="shared" si="1"/>
        <v>0.33901062023369266</v>
      </c>
      <c r="Z102" s="137">
        <f t="shared" si="1"/>
        <v>0.35392708752397511</v>
      </c>
      <c r="AA102" s="137">
        <f t="shared" si="1"/>
        <v>0.36949987937502998</v>
      </c>
      <c r="AB102" s="137">
        <f t="shared" si="1"/>
        <v>0.38575787406753137</v>
      </c>
      <c r="AC102" s="137">
        <f t="shared" si="1"/>
        <v>0.40273122052650273</v>
      </c>
      <c r="AD102" s="137">
        <f t="shared" si="1"/>
        <v>0.42045139422966882</v>
      </c>
      <c r="AE102" s="137">
        <f t="shared" si="1"/>
        <v>0.43895125557577425</v>
      </c>
      <c r="AF102" s="138"/>
      <c r="AG102" s="138"/>
      <c r="AH102" s="138"/>
      <c r="AI102" s="138"/>
    </row>
    <row r="103" spans="1:35" customFormat="1" ht="15" x14ac:dyDescent="0.25">
      <c r="B103" s="14" t="s">
        <v>2567</v>
      </c>
      <c r="C103" s="14" t="s">
        <v>43</v>
      </c>
      <c r="D103" s="15" t="s">
        <v>2656</v>
      </c>
      <c r="E103" s="16" t="s">
        <v>2065</v>
      </c>
      <c r="F103" s="14" t="s">
        <v>2652</v>
      </c>
      <c r="G103" s="17"/>
      <c r="H103" s="125" t="str">
        <f>Settings!$B$3&amp;".mit.wp.stl.bof.np.1"</f>
        <v>egy.mit.wp.stl.bof.np.1</v>
      </c>
      <c r="K103" s="136"/>
      <c r="L103" s="137">
        <f t="shared" ref="L103:AE103" si="2">L$85*EXP(-L$67*L$29)</f>
        <v>0</v>
      </c>
      <c r="M103" s="137">
        <f t="shared" si="2"/>
        <v>0</v>
      </c>
      <c r="N103" s="137">
        <f t="shared" si="2"/>
        <v>0</v>
      </c>
      <c r="O103" s="137">
        <f t="shared" si="2"/>
        <v>0</v>
      </c>
      <c r="P103" s="137">
        <f t="shared" si="2"/>
        <v>0</v>
      </c>
      <c r="Q103" s="137">
        <f t="shared" si="2"/>
        <v>0</v>
      </c>
      <c r="R103" s="137">
        <f t="shared" si="2"/>
        <v>0</v>
      </c>
      <c r="S103" s="137">
        <f t="shared" si="2"/>
        <v>0</v>
      </c>
      <c r="T103" s="137">
        <f t="shared" si="2"/>
        <v>0</v>
      </c>
      <c r="U103" s="137">
        <f t="shared" si="2"/>
        <v>0</v>
      </c>
      <c r="V103" s="137">
        <f t="shared" si="2"/>
        <v>0</v>
      </c>
      <c r="W103" s="137">
        <f t="shared" si="2"/>
        <v>0</v>
      </c>
      <c r="X103" s="137">
        <f t="shared" si="2"/>
        <v>0</v>
      </c>
      <c r="Y103" s="137">
        <f t="shared" si="2"/>
        <v>0</v>
      </c>
      <c r="Z103" s="137">
        <f t="shared" si="2"/>
        <v>0</v>
      </c>
      <c r="AA103" s="137">
        <f t="shared" si="2"/>
        <v>0</v>
      </c>
      <c r="AB103" s="137">
        <f t="shared" si="2"/>
        <v>0</v>
      </c>
      <c r="AC103" s="137">
        <f t="shared" si="2"/>
        <v>0</v>
      </c>
      <c r="AD103" s="137">
        <f t="shared" si="2"/>
        <v>0</v>
      </c>
      <c r="AE103" s="137">
        <f t="shared" si="2"/>
        <v>0</v>
      </c>
      <c r="AF103" s="138"/>
      <c r="AG103" s="138"/>
      <c r="AH103" s="138"/>
      <c r="AI103" s="138"/>
    </row>
    <row r="104" spans="1:35" customFormat="1" ht="15" x14ac:dyDescent="0.25">
      <c r="B104" s="14" t="s">
        <v>2569</v>
      </c>
      <c r="C104" s="14" t="s">
        <v>113</v>
      </c>
      <c r="D104" s="15" t="s">
        <v>2657</v>
      </c>
      <c r="E104" s="16" t="s">
        <v>2065</v>
      </c>
      <c r="F104" s="14" t="s">
        <v>2652</v>
      </c>
      <c r="G104" s="17"/>
      <c r="H104" s="125" t="str">
        <f>Settings!$B$3&amp;".mit.wp.cmt.dry.np.1"</f>
        <v>egy.mit.wp.cmt.dry.np.1</v>
      </c>
      <c r="K104" s="136"/>
      <c r="L104" s="137">
        <f t="shared" ref="L104:AE104" si="3">L$86*EXP(-L$68*L$30)</f>
        <v>25.163138219961041</v>
      </c>
      <c r="M104" s="137">
        <f t="shared" si="3"/>
        <v>25.993521781219755</v>
      </c>
      <c r="N104" s="137">
        <f t="shared" si="3"/>
        <v>26.851308</v>
      </c>
      <c r="O104" s="137">
        <f t="shared" si="3"/>
        <v>27.737401163999998</v>
      </c>
      <c r="P104" s="137">
        <f t="shared" si="3"/>
        <v>28.652735402411995</v>
      </c>
      <c r="Q104" s="137">
        <f t="shared" si="3"/>
        <v>29.598275670691589</v>
      </c>
      <c r="R104" s="137">
        <f t="shared" si="3"/>
        <v>30.575018767824407</v>
      </c>
      <c r="S104" s="137">
        <f t="shared" si="3"/>
        <v>31.583994387162612</v>
      </c>
      <c r="T104" s="137">
        <f t="shared" si="3"/>
        <v>32.626266201938975</v>
      </c>
      <c r="U104" s="137">
        <f t="shared" si="3"/>
        <v>33.70293298660296</v>
      </c>
      <c r="V104" s="137">
        <f t="shared" si="3"/>
        <v>34.815129775160841</v>
      </c>
      <c r="W104" s="137">
        <f t="shared" si="3"/>
        <v>35.964029057741151</v>
      </c>
      <c r="X104" s="137">
        <f t="shared" si="3"/>
        <v>37.150842016646592</v>
      </c>
      <c r="Y104" s="137">
        <f t="shared" si="3"/>
        <v>38.376819803195943</v>
      </c>
      <c r="Z104" s="137">
        <f t="shared" si="3"/>
        <v>39.643254856701404</v>
      </c>
      <c r="AA104" s="137">
        <f t="shared" si="3"/>
        <v>40.951482266972548</v>
      </c>
      <c r="AB104" s="137">
        <f t="shared" si="3"/>
        <v>42.302881181782631</v>
      </c>
      <c r="AC104" s="137">
        <f t="shared" si="3"/>
        <v>43.698876260781446</v>
      </c>
      <c r="AD104" s="137">
        <f t="shared" si="3"/>
        <v>45.140939177387231</v>
      </c>
      <c r="AE104" s="137">
        <f t="shared" si="3"/>
        <v>46.630590170241007</v>
      </c>
      <c r="AF104" s="138"/>
      <c r="AG104" s="138"/>
      <c r="AH104" s="138"/>
      <c r="AI104" s="138"/>
    </row>
    <row r="105" spans="1:35" customFormat="1" ht="15" x14ac:dyDescent="0.25">
      <c r="B105" s="14" t="s">
        <v>2571</v>
      </c>
      <c r="C105" s="14" t="s">
        <v>117</v>
      </c>
      <c r="D105" s="15" t="s">
        <v>2658</v>
      </c>
      <c r="E105" s="16" t="s">
        <v>2065</v>
      </c>
      <c r="F105" s="14" t="s">
        <v>2652</v>
      </c>
      <c r="G105" s="17"/>
      <c r="H105" s="125" t="str">
        <f>Settings!$B$3&amp;".mit.wp.frt.amc.np.1"</f>
        <v>egy.mit.wp.frt.amc.np.1</v>
      </c>
      <c r="K105" s="136"/>
      <c r="L105" s="137">
        <f t="shared" ref="L105:AE105" si="4">L$87*EXP(-L$69*L$31)</f>
        <v>0</v>
      </c>
      <c r="M105" s="137">
        <f t="shared" si="4"/>
        <v>0</v>
      </c>
      <c r="N105" s="137">
        <f t="shared" si="4"/>
        <v>0</v>
      </c>
      <c r="O105" s="137">
        <f t="shared" si="4"/>
        <v>0</v>
      </c>
      <c r="P105" s="137">
        <f t="shared" si="4"/>
        <v>0</v>
      </c>
      <c r="Q105" s="137">
        <f t="shared" si="4"/>
        <v>0</v>
      </c>
      <c r="R105" s="137">
        <f t="shared" si="4"/>
        <v>0</v>
      </c>
      <c r="S105" s="137">
        <f t="shared" si="4"/>
        <v>0</v>
      </c>
      <c r="T105" s="137">
        <f t="shared" si="4"/>
        <v>0</v>
      </c>
      <c r="U105" s="137">
        <f t="shared" si="4"/>
        <v>0</v>
      </c>
      <c r="V105" s="137">
        <f t="shared" si="4"/>
        <v>0</v>
      </c>
      <c r="W105" s="137">
        <f t="shared" si="4"/>
        <v>0</v>
      </c>
      <c r="X105" s="137">
        <f t="shared" si="4"/>
        <v>0</v>
      </c>
      <c r="Y105" s="137">
        <f t="shared" si="4"/>
        <v>0</v>
      </c>
      <c r="Z105" s="137">
        <f t="shared" si="4"/>
        <v>0</v>
      </c>
      <c r="AA105" s="137">
        <f t="shared" si="4"/>
        <v>0</v>
      </c>
      <c r="AB105" s="137">
        <f t="shared" si="4"/>
        <v>0</v>
      </c>
      <c r="AC105" s="137">
        <f t="shared" si="4"/>
        <v>0</v>
      </c>
      <c r="AD105" s="137">
        <f t="shared" si="4"/>
        <v>0</v>
      </c>
      <c r="AE105" s="137">
        <f t="shared" si="4"/>
        <v>0</v>
      </c>
      <c r="AF105" s="138"/>
      <c r="AG105" s="138"/>
      <c r="AH105" s="138"/>
      <c r="AI105" s="138"/>
    </row>
    <row r="106" spans="1:35" customFormat="1" ht="15" x14ac:dyDescent="0.25">
      <c r="B106" s="14" t="s">
        <v>2573</v>
      </c>
      <c r="C106" s="14" t="s">
        <v>117</v>
      </c>
      <c r="D106" s="15" t="s">
        <v>2659</v>
      </c>
      <c r="E106" s="16" t="s">
        <v>2065</v>
      </c>
      <c r="F106" s="14" t="s">
        <v>2652</v>
      </c>
      <c r="G106" s="17"/>
      <c r="H106" s="125" t="str">
        <f>Settings!$B$3&amp;".mit.wp.frt.ure.np.1"</f>
        <v>egy.mit.wp.frt.ure.np.1</v>
      </c>
      <c r="K106" s="136"/>
      <c r="L106" s="137">
        <f t="shared" ref="L106:AE106" si="5">L$88*EXP(-L$70*L$32)</f>
        <v>0</v>
      </c>
      <c r="M106" s="137">
        <f t="shared" si="5"/>
        <v>0</v>
      </c>
      <c r="N106" s="137">
        <f t="shared" si="5"/>
        <v>0</v>
      </c>
      <c r="O106" s="137">
        <f t="shared" si="5"/>
        <v>0</v>
      </c>
      <c r="P106" s="137">
        <f t="shared" si="5"/>
        <v>0</v>
      </c>
      <c r="Q106" s="137">
        <f t="shared" si="5"/>
        <v>0</v>
      </c>
      <c r="R106" s="137">
        <f t="shared" si="5"/>
        <v>0</v>
      </c>
      <c r="S106" s="137">
        <f t="shared" si="5"/>
        <v>0</v>
      </c>
      <c r="T106" s="137">
        <f t="shared" si="5"/>
        <v>0</v>
      </c>
      <c r="U106" s="137">
        <f t="shared" si="5"/>
        <v>0</v>
      </c>
      <c r="V106" s="137">
        <f t="shared" si="5"/>
        <v>0</v>
      </c>
      <c r="W106" s="137">
        <f t="shared" si="5"/>
        <v>0</v>
      </c>
      <c r="X106" s="137">
        <f t="shared" si="5"/>
        <v>0</v>
      </c>
      <c r="Y106" s="137">
        <f t="shared" si="5"/>
        <v>0</v>
      </c>
      <c r="Z106" s="137">
        <f t="shared" si="5"/>
        <v>0</v>
      </c>
      <c r="AA106" s="137">
        <f t="shared" si="5"/>
        <v>0</v>
      </c>
      <c r="AB106" s="137">
        <f t="shared" si="5"/>
        <v>0</v>
      </c>
      <c r="AC106" s="137">
        <f t="shared" si="5"/>
        <v>0</v>
      </c>
      <c r="AD106" s="137">
        <f t="shared" si="5"/>
        <v>0</v>
      </c>
      <c r="AE106" s="137">
        <f t="shared" si="5"/>
        <v>0</v>
      </c>
      <c r="AF106" s="138"/>
      <c r="AG106" s="138"/>
      <c r="AH106" s="138"/>
      <c r="AI106" s="138"/>
    </row>
    <row r="107" spans="1:35" customFormat="1" ht="15" x14ac:dyDescent="0.25">
      <c r="B107" s="14" t="s">
        <v>2575</v>
      </c>
      <c r="C107" s="14" t="s">
        <v>117</v>
      </c>
      <c r="D107" s="15" t="s">
        <v>2660</v>
      </c>
      <c r="E107" s="16" t="s">
        <v>2065</v>
      </c>
      <c r="F107" s="14" t="s">
        <v>2652</v>
      </c>
      <c r="G107" s="17"/>
      <c r="H107" s="125" t="str">
        <f>Settings!$B$3&amp;".mit.wp.frt.nit.np.1"</f>
        <v>egy.mit.wp.frt.nit.np.1</v>
      </c>
      <c r="K107" s="136"/>
      <c r="L107" s="137">
        <f t="shared" ref="L107:AE107" si="6">L$89*EXP(-L$71*L$33)</f>
        <v>0</v>
      </c>
      <c r="M107" s="137">
        <f t="shared" si="6"/>
        <v>0</v>
      </c>
      <c r="N107" s="137">
        <f t="shared" si="6"/>
        <v>0</v>
      </c>
      <c r="O107" s="137">
        <f t="shared" si="6"/>
        <v>0</v>
      </c>
      <c r="P107" s="137">
        <f t="shared" si="6"/>
        <v>0</v>
      </c>
      <c r="Q107" s="137">
        <f t="shared" si="6"/>
        <v>0</v>
      </c>
      <c r="R107" s="137">
        <f t="shared" si="6"/>
        <v>0</v>
      </c>
      <c r="S107" s="137">
        <f t="shared" si="6"/>
        <v>0</v>
      </c>
      <c r="T107" s="137">
        <f t="shared" si="6"/>
        <v>0</v>
      </c>
      <c r="U107" s="137">
        <f t="shared" si="6"/>
        <v>0</v>
      </c>
      <c r="V107" s="137">
        <f t="shared" si="6"/>
        <v>0</v>
      </c>
      <c r="W107" s="137">
        <f t="shared" si="6"/>
        <v>0</v>
      </c>
      <c r="X107" s="137">
        <f t="shared" si="6"/>
        <v>0</v>
      </c>
      <c r="Y107" s="137">
        <f t="shared" si="6"/>
        <v>0</v>
      </c>
      <c r="Z107" s="137">
        <f t="shared" si="6"/>
        <v>0</v>
      </c>
      <c r="AA107" s="137">
        <f t="shared" si="6"/>
        <v>0</v>
      </c>
      <c r="AB107" s="137">
        <f t="shared" si="6"/>
        <v>0</v>
      </c>
      <c r="AC107" s="137">
        <f t="shared" si="6"/>
        <v>0</v>
      </c>
      <c r="AD107" s="137">
        <f t="shared" si="6"/>
        <v>0</v>
      </c>
      <c r="AE107" s="137">
        <f t="shared" si="6"/>
        <v>0</v>
      </c>
      <c r="AF107" s="138"/>
      <c r="AG107" s="138"/>
      <c r="AH107" s="138"/>
      <c r="AI107" s="138"/>
    </row>
    <row r="108" spans="1:35" customFormat="1" ht="15" x14ac:dyDescent="0.25">
      <c r="B108" s="14" t="s">
        <v>2577</v>
      </c>
      <c r="C108" s="14" t="s">
        <v>115</v>
      </c>
      <c r="D108" s="15" t="s">
        <v>2661</v>
      </c>
      <c r="E108" s="16" t="s">
        <v>2065</v>
      </c>
      <c r="F108" s="14" t="s">
        <v>2652</v>
      </c>
      <c r="G108" s="17"/>
      <c r="H108" s="125" t="str">
        <f>Settings!$B$3&amp;".mit.wp.alu.prp.np.1"</f>
        <v>egy.mit.wp.alu.prp.np.1</v>
      </c>
      <c r="K108" s="136"/>
      <c r="L108" s="137">
        <f t="shared" ref="L108:AE108" si="7">L$90*EXP(-L$72*L$34)</f>
        <v>0.43758937310482698</v>
      </c>
      <c r="M108" s="137">
        <f t="shared" si="7"/>
        <v>0.4616567886255924</v>
      </c>
      <c r="N108" s="137">
        <f t="shared" si="7"/>
        <v>0.48704791199999997</v>
      </c>
      <c r="O108" s="137">
        <f t="shared" si="7"/>
        <v>0.51383554716000002</v>
      </c>
      <c r="P108" s="137">
        <f t="shared" si="7"/>
        <v>0.54209650225379991</v>
      </c>
      <c r="Q108" s="137">
        <f t="shared" si="7"/>
        <v>0.5719118098777588</v>
      </c>
      <c r="R108" s="137">
        <f t="shared" si="7"/>
        <v>0.6033669594210358</v>
      </c>
      <c r="S108" s="137">
        <f t="shared" si="7"/>
        <v>0.63655214218919254</v>
      </c>
      <c r="T108" s="137">
        <f t="shared" si="7"/>
        <v>0.6715625100095981</v>
      </c>
      <c r="U108" s="137">
        <f t="shared" si="7"/>
        <v>0.70849844806012596</v>
      </c>
      <c r="V108" s="137">
        <f t="shared" si="7"/>
        <v>0.74746586270343296</v>
      </c>
      <c r="W108" s="137">
        <f t="shared" si="7"/>
        <v>0.78857648515212175</v>
      </c>
      <c r="X108" s="137">
        <f t="shared" si="7"/>
        <v>0.83194819183548852</v>
      </c>
      <c r="Y108" s="137">
        <f t="shared" si="7"/>
        <v>0.87770534238644027</v>
      </c>
      <c r="Z108" s="137">
        <f t="shared" si="7"/>
        <v>0.92597913621769457</v>
      </c>
      <c r="AA108" s="137">
        <f t="shared" si="7"/>
        <v>0.97690798870966755</v>
      </c>
      <c r="AB108" s="137">
        <f t="shared" si="7"/>
        <v>1.0306379280886993</v>
      </c>
      <c r="AC108" s="137">
        <f t="shared" si="7"/>
        <v>1.0873230141335775</v>
      </c>
      <c r="AD108" s="137">
        <f t="shared" si="7"/>
        <v>1.1471257799109245</v>
      </c>
      <c r="AE108" s="137">
        <f t="shared" si="7"/>
        <v>1.2102176978060251</v>
      </c>
      <c r="AF108" s="138"/>
      <c r="AG108" s="138"/>
      <c r="AH108" s="138"/>
      <c r="AI108" s="138"/>
    </row>
    <row r="109" spans="1:35" customFormat="1" ht="15" x14ac:dyDescent="0.25">
      <c r="B109" s="14" t="s">
        <v>2579</v>
      </c>
      <c r="C109" s="14" t="s">
        <v>43</v>
      </c>
      <c r="D109" s="15" t="s">
        <v>2662</v>
      </c>
      <c r="E109" s="16" t="s">
        <v>2065</v>
      </c>
      <c r="F109" s="14" t="s">
        <v>2652</v>
      </c>
      <c r="G109" s="17"/>
      <c r="H109" s="125" t="str">
        <f>Settings!$B$3&amp;".mit.wp.stl.drg.no.1"</f>
        <v>egy.mit.wp.stl.drg.no.1</v>
      </c>
      <c r="K109" s="136"/>
      <c r="L109" s="137">
        <f t="shared" ref="L109:AE109" si="8">L$91*EXP(-L$73*L$35)</f>
        <v>0</v>
      </c>
      <c r="M109" s="137">
        <f t="shared" si="8"/>
        <v>0</v>
      </c>
      <c r="N109" s="137">
        <f t="shared" si="8"/>
        <v>0</v>
      </c>
      <c r="O109" s="137">
        <f t="shared" si="8"/>
        <v>0</v>
      </c>
      <c r="P109" s="137">
        <f t="shared" si="8"/>
        <v>0</v>
      </c>
      <c r="Q109" s="137">
        <f t="shared" si="8"/>
        <v>0</v>
      </c>
      <c r="R109" s="137">
        <f t="shared" si="8"/>
        <v>0</v>
      </c>
      <c r="S109" s="137">
        <f t="shared" si="8"/>
        <v>0</v>
      </c>
      <c r="T109" s="137">
        <f t="shared" si="8"/>
        <v>0</v>
      </c>
      <c r="U109" s="137">
        <f t="shared" si="8"/>
        <v>0</v>
      </c>
      <c r="V109" s="137">
        <f t="shared" si="8"/>
        <v>0</v>
      </c>
      <c r="W109" s="137">
        <f t="shared" si="8"/>
        <v>0</v>
      </c>
      <c r="X109" s="137">
        <f t="shared" si="8"/>
        <v>0</v>
      </c>
      <c r="Y109" s="137">
        <f t="shared" si="8"/>
        <v>0</v>
      </c>
      <c r="Z109" s="137">
        <f t="shared" si="8"/>
        <v>0</v>
      </c>
      <c r="AA109" s="137">
        <f t="shared" si="8"/>
        <v>0</v>
      </c>
      <c r="AB109" s="137">
        <f t="shared" si="8"/>
        <v>0</v>
      </c>
      <c r="AC109" s="137">
        <f t="shared" si="8"/>
        <v>0</v>
      </c>
      <c r="AD109" s="137">
        <f t="shared" si="8"/>
        <v>0</v>
      </c>
      <c r="AE109" s="137">
        <f t="shared" si="8"/>
        <v>0</v>
      </c>
      <c r="AF109" s="138"/>
      <c r="AG109" s="138"/>
      <c r="AH109" s="138"/>
      <c r="AI109" s="138"/>
    </row>
    <row r="110" spans="1:35" customFormat="1" ht="15" x14ac:dyDescent="0.25">
      <c r="B110" s="14" t="s">
        <v>2581</v>
      </c>
      <c r="C110" s="14" t="s">
        <v>43</v>
      </c>
      <c r="D110" s="15" t="s">
        <v>2663</v>
      </c>
      <c r="E110" s="16" t="s">
        <v>2065</v>
      </c>
      <c r="F110" s="14" t="s">
        <v>2652</v>
      </c>
      <c r="G110" s="17"/>
      <c r="H110" s="125" t="str">
        <f>Settings!$B$3&amp;".mit.wp.stl.scr.no.1"</f>
        <v>egy.mit.wp.stl.scr.no.1</v>
      </c>
      <c r="K110" s="136"/>
      <c r="L110" s="137">
        <f t="shared" ref="L110:AE110" si="9">L$92*EXP(-L$74*L$36)</f>
        <v>0</v>
      </c>
      <c r="M110" s="137">
        <f t="shared" si="9"/>
        <v>0</v>
      </c>
      <c r="N110" s="137">
        <f t="shared" si="9"/>
        <v>0</v>
      </c>
      <c r="O110" s="137">
        <f t="shared" si="9"/>
        <v>0</v>
      </c>
      <c r="P110" s="137">
        <f t="shared" si="9"/>
        <v>0</v>
      </c>
      <c r="Q110" s="137">
        <f t="shared" si="9"/>
        <v>0</v>
      </c>
      <c r="R110" s="137">
        <f t="shared" si="9"/>
        <v>0</v>
      </c>
      <c r="S110" s="137">
        <f t="shared" si="9"/>
        <v>0</v>
      </c>
      <c r="T110" s="137">
        <f t="shared" si="9"/>
        <v>0</v>
      </c>
      <c r="U110" s="137">
        <f t="shared" si="9"/>
        <v>0</v>
      </c>
      <c r="V110" s="137">
        <f t="shared" si="9"/>
        <v>0</v>
      </c>
      <c r="W110" s="137">
        <f t="shared" si="9"/>
        <v>0</v>
      </c>
      <c r="X110" s="137">
        <f t="shared" si="9"/>
        <v>0</v>
      </c>
      <c r="Y110" s="137">
        <f t="shared" si="9"/>
        <v>0</v>
      </c>
      <c r="Z110" s="137">
        <f t="shared" si="9"/>
        <v>0</v>
      </c>
      <c r="AA110" s="137">
        <f t="shared" si="9"/>
        <v>0</v>
      </c>
      <c r="AB110" s="137">
        <f t="shared" si="9"/>
        <v>0</v>
      </c>
      <c r="AC110" s="137">
        <f t="shared" si="9"/>
        <v>0</v>
      </c>
      <c r="AD110" s="137">
        <f t="shared" si="9"/>
        <v>0</v>
      </c>
      <c r="AE110" s="137">
        <f t="shared" si="9"/>
        <v>0</v>
      </c>
      <c r="AF110" s="138"/>
      <c r="AG110" s="138"/>
      <c r="AH110" s="138"/>
      <c r="AI110" s="138"/>
    </row>
    <row r="111" spans="1:35" customFormat="1" ht="15" x14ac:dyDescent="0.25">
      <c r="B111" s="14" t="s">
        <v>2583</v>
      </c>
      <c r="C111" s="14" t="s">
        <v>43</v>
      </c>
      <c r="D111" s="15" t="s">
        <v>2664</v>
      </c>
      <c r="E111" s="16" t="s">
        <v>2065</v>
      </c>
      <c r="F111" s="14" t="s">
        <v>2652</v>
      </c>
      <c r="G111" s="17"/>
      <c r="H111" s="125" t="str">
        <f>Settings!$B$3&amp;".mit.wp.stl.bof.no.1"</f>
        <v>egy.mit.wp.stl.bof.no.1</v>
      </c>
      <c r="K111" s="136"/>
      <c r="L111" s="137">
        <f t="shared" ref="L111:AE111" si="10">L$93*EXP(-L$75*L$37)</f>
        <v>0</v>
      </c>
      <c r="M111" s="137">
        <f t="shared" si="10"/>
        <v>0</v>
      </c>
      <c r="N111" s="137">
        <f t="shared" si="10"/>
        <v>0</v>
      </c>
      <c r="O111" s="137">
        <f t="shared" si="10"/>
        <v>0</v>
      </c>
      <c r="P111" s="137">
        <f t="shared" si="10"/>
        <v>0</v>
      </c>
      <c r="Q111" s="137">
        <f t="shared" si="10"/>
        <v>0</v>
      </c>
      <c r="R111" s="137">
        <f t="shared" si="10"/>
        <v>0</v>
      </c>
      <c r="S111" s="137">
        <f t="shared" si="10"/>
        <v>0</v>
      </c>
      <c r="T111" s="137">
        <f t="shared" si="10"/>
        <v>0</v>
      </c>
      <c r="U111" s="137">
        <f t="shared" si="10"/>
        <v>0</v>
      </c>
      <c r="V111" s="137">
        <f t="shared" si="10"/>
        <v>0</v>
      </c>
      <c r="W111" s="137">
        <f t="shared" si="10"/>
        <v>0</v>
      </c>
      <c r="X111" s="137">
        <f t="shared" si="10"/>
        <v>0</v>
      </c>
      <c r="Y111" s="137">
        <f t="shared" si="10"/>
        <v>0</v>
      </c>
      <c r="Z111" s="137">
        <f t="shared" si="10"/>
        <v>0</v>
      </c>
      <c r="AA111" s="137">
        <f t="shared" si="10"/>
        <v>0</v>
      </c>
      <c r="AB111" s="137">
        <f t="shared" si="10"/>
        <v>0</v>
      </c>
      <c r="AC111" s="137">
        <f t="shared" si="10"/>
        <v>0</v>
      </c>
      <c r="AD111" s="137">
        <f t="shared" si="10"/>
        <v>0</v>
      </c>
      <c r="AE111" s="137">
        <f t="shared" si="10"/>
        <v>0</v>
      </c>
      <c r="AF111" s="138"/>
      <c r="AG111" s="138"/>
      <c r="AH111" s="138"/>
      <c r="AI111" s="138"/>
    </row>
    <row r="112" spans="1:35" customFormat="1" ht="15" x14ac:dyDescent="0.25">
      <c r="B112" s="14" t="s">
        <v>2585</v>
      </c>
      <c r="C112" s="14" t="s">
        <v>113</v>
      </c>
      <c r="D112" s="15" t="s">
        <v>2665</v>
      </c>
      <c r="E112" s="16" t="s">
        <v>2065</v>
      </c>
      <c r="F112" s="14" t="s">
        <v>2652</v>
      </c>
      <c r="G112" s="17"/>
      <c r="H112" s="125" t="str">
        <f>Settings!$B$3&amp;".mit.wp.cmt.dry.no.1"</f>
        <v>egy.mit.wp.cmt.dry.no.1</v>
      </c>
      <c r="K112" s="136"/>
      <c r="L112" s="137">
        <f t="shared" ref="L112:AE112" si="11">L$94*EXP(-L$76*L$38)</f>
        <v>0</v>
      </c>
      <c r="M112" s="137">
        <f t="shared" si="11"/>
        <v>0</v>
      </c>
      <c r="N112" s="137">
        <f t="shared" si="11"/>
        <v>0</v>
      </c>
      <c r="O112" s="137">
        <f t="shared" si="11"/>
        <v>0</v>
      </c>
      <c r="P112" s="137">
        <f t="shared" si="11"/>
        <v>0</v>
      </c>
      <c r="Q112" s="137">
        <f t="shared" si="11"/>
        <v>0</v>
      </c>
      <c r="R112" s="137">
        <f t="shared" si="11"/>
        <v>0</v>
      </c>
      <c r="S112" s="137">
        <f t="shared" si="11"/>
        <v>0</v>
      </c>
      <c r="T112" s="137">
        <f t="shared" si="11"/>
        <v>0</v>
      </c>
      <c r="U112" s="137">
        <f t="shared" si="11"/>
        <v>0</v>
      </c>
      <c r="V112" s="137">
        <f t="shared" si="11"/>
        <v>0</v>
      </c>
      <c r="W112" s="137">
        <f t="shared" si="11"/>
        <v>0</v>
      </c>
      <c r="X112" s="137">
        <f t="shared" si="11"/>
        <v>0</v>
      </c>
      <c r="Y112" s="137">
        <f t="shared" si="11"/>
        <v>0</v>
      </c>
      <c r="Z112" s="137">
        <f t="shared" si="11"/>
        <v>0</v>
      </c>
      <c r="AA112" s="137">
        <f t="shared" si="11"/>
        <v>0</v>
      </c>
      <c r="AB112" s="137">
        <f t="shared" si="11"/>
        <v>0</v>
      </c>
      <c r="AC112" s="137">
        <f t="shared" si="11"/>
        <v>0</v>
      </c>
      <c r="AD112" s="137">
        <f t="shared" si="11"/>
        <v>0</v>
      </c>
      <c r="AE112" s="137">
        <f t="shared" si="11"/>
        <v>0</v>
      </c>
      <c r="AF112" s="138"/>
      <c r="AG112" s="138"/>
      <c r="AH112" s="138"/>
      <c r="AI112" s="138"/>
    </row>
    <row r="113" spans="1:35" customFormat="1" ht="15" x14ac:dyDescent="0.25">
      <c r="B113" s="14" t="s">
        <v>2587</v>
      </c>
      <c r="C113" s="14" t="s">
        <v>117</v>
      </c>
      <c r="D113" s="15" t="s">
        <v>2666</v>
      </c>
      <c r="E113" s="16" t="s">
        <v>2065</v>
      </c>
      <c r="F113" s="14" t="s">
        <v>2652</v>
      </c>
      <c r="G113" s="17"/>
      <c r="H113" s="125" t="str">
        <f>Settings!$B$3&amp;".mit.wp.frt.amc.no.1"</f>
        <v>egy.mit.wp.frt.amc.no.1</v>
      </c>
      <c r="K113" s="136"/>
      <c r="L113" s="137">
        <f t="shared" ref="L113:AE113" si="12">L$95*EXP(-L$77*L$39)</f>
        <v>0</v>
      </c>
      <c r="M113" s="137">
        <f t="shared" si="12"/>
        <v>0</v>
      </c>
      <c r="N113" s="137">
        <f t="shared" si="12"/>
        <v>0</v>
      </c>
      <c r="O113" s="137">
        <f t="shared" si="12"/>
        <v>0</v>
      </c>
      <c r="P113" s="137">
        <f t="shared" si="12"/>
        <v>0</v>
      </c>
      <c r="Q113" s="137">
        <f t="shared" si="12"/>
        <v>0</v>
      </c>
      <c r="R113" s="137">
        <f t="shared" si="12"/>
        <v>0</v>
      </c>
      <c r="S113" s="137">
        <f t="shared" si="12"/>
        <v>0</v>
      </c>
      <c r="T113" s="137">
        <f t="shared" si="12"/>
        <v>0</v>
      </c>
      <c r="U113" s="137">
        <f t="shared" si="12"/>
        <v>0</v>
      </c>
      <c r="V113" s="137">
        <f t="shared" si="12"/>
        <v>0</v>
      </c>
      <c r="W113" s="137">
        <f t="shared" si="12"/>
        <v>0</v>
      </c>
      <c r="X113" s="137">
        <f t="shared" si="12"/>
        <v>0</v>
      </c>
      <c r="Y113" s="137">
        <f t="shared" si="12"/>
        <v>0</v>
      </c>
      <c r="Z113" s="137">
        <f t="shared" si="12"/>
        <v>0</v>
      </c>
      <c r="AA113" s="137">
        <f t="shared" si="12"/>
        <v>0</v>
      </c>
      <c r="AB113" s="137">
        <f t="shared" si="12"/>
        <v>0</v>
      </c>
      <c r="AC113" s="137">
        <f t="shared" si="12"/>
        <v>0</v>
      </c>
      <c r="AD113" s="137">
        <f t="shared" si="12"/>
        <v>0</v>
      </c>
      <c r="AE113" s="137">
        <f t="shared" si="12"/>
        <v>0</v>
      </c>
      <c r="AF113" s="138"/>
      <c r="AG113" s="138"/>
      <c r="AH113" s="138"/>
      <c r="AI113" s="138"/>
    </row>
    <row r="114" spans="1:35" customFormat="1" ht="15" x14ac:dyDescent="0.25">
      <c r="B114" s="14" t="s">
        <v>2589</v>
      </c>
      <c r="C114" s="14" t="s">
        <v>117</v>
      </c>
      <c r="D114" s="15" t="s">
        <v>2667</v>
      </c>
      <c r="E114" s="16" t="s">
        <v>2065</v>
      </c>
      <c r="F114" s="14" t="s">
        <v>2652</v>
      </c>
      <c r="G114" s="17"/>
      <c r="H114" s="125" t="str">
        <f>Settings!$B$3&amp;".mit.wp.frt.ure.no.1"</f>
        <v>egy.mit.wp.frt.ure.no.1</v>
      </c>
      <c r="K114" s="136"/>
      <c r="L114" s="137">
        <f t="shared" ref="L114:AE114" si="13">L$96*EXP(-L$78*L$40)</f>
        <v>0</v>
      </c>
      <c r="M114" s="137">
        <f t="shared" si="13"/>
        <v>0</v>
      </c>
      <c r="N114" s="137">
        <f t="shared" si="13"/>
        <v>0</v>
      </c>
      <c r="O114" s="137">
        <f t="shared" si="13"/>
        <v>0</v>
      </c>
      <c r="P114" s="137">
        <f t="shared" si="13"/>
        <v>0</v>
      </c>
      <c r="Q114" s="137">
        <f t="shared" si="13"/>
        <v>0</v>
      </c>
      <c r="R114" s="137">
        <f t="shared" si="13"/>
        <v>0</v>
      </c>
      <c r="S114" s="137">
        <f t="shared" si="13"/>
        <v>0</v>
      </c>
      <c r="T114" s="137">
        <f t="shared" si="13"/>
        <v>0</v>
      </c>
      <c r="U114" s="137">
        <f t="shared" si="13"/>
        <v>0</v>
      </c>
      <c r="V114" s="137">
        <f t="shared" si="13"/>
        <v>0</v>
      </c>
      <c r="W114" s="137">
        <f t="shared" si="13"/>
        <v>0</v>
      </c>
      <c r="X114" s="137">
        <f t="shared" si="13"/>
        <v>0</v>
      </c>
      <c r="Y114" s="137">
        <f t="shared" si="13"/>
        <v>0</v>
      </c>
      <c r="Z114" s="137">
        <f t="shared" si="13"/>
        <v>0</v>
      </c>
      <c r="AA114" s="137">
        <f t="shared" si="13"/>
        <v>0</v>
      </c>
      <c r="AB114" s="137">
        <f t="shared" si="13"/>
        <v>0</v>
      </c>
      <c r="AC114" s="137">
        <f t="shared" si="13"/>
        <v>0</v>
      </c>
      <c r="AD114" s="137">
        <f t="shared" si="13"/>
        <v>0</v>
      </c>
      <c r="AE114" s="137">
        <f t="shared" si="13"/>
        <v>0</v>
      </c>
      <c r="AF114" s="138"/>
      <c r="AG114" s="138"/>
      <c r="AH114" s="138"/>
      <c r="AI114" s="138"/>
    </row>
    <row r="115" spans="1:35" customFormat="1" ht="15" x14ac:dyDescent="0.25">
      <c r="B115" s="14" t="s">
        <v>2591</v>
      </c>
      <c r="C115" s="14" t="s">
        <v>117</v>
      </c>
      <c r="D115" s="15" t="s">
        <v>2668</v>
      </c>
      <c r="E115" s="16" t="s">
        <v>2065</v>
      </c>
      <c r="F115" s="14" t="s">
        <v>2652</v>
      </c>
      <c r="G115" s="17"/>
      <c r="H115" s="125" t="str">
        <f>Settings!$B$3&amp;".mit.wp.frt.nit.no.1"</f>
        <v>egy.mit.wp.frt.nit.no.1</v>
      </c>
      <c r="K115" s="136"/>
      <c r="L115" s="137">
        <f t="shared" ref="L115:AE115" si="14">L$97*EXP(-L$79*L$41)</f>
        <v>0.57123661061347031</v>
      </c>
      <c r="M115" s="137">
        <f t="shared" si="14"/>
        <v>0.58380381604696674</v>
      </c>
      <c r="N115" s="137">
        <f t="shared" si="14"/>
        <v>0.5966475</v>
      </c>
      <c r="O115" s="137">
        <f t="shared" si="14"/>
        <v>0.60977374500000003</v>
      </c>
      <c r="P115" s="137">
        <f t="shared" si="14"/>
        <v>0.62318876738999995</v>
      </c>
      <c r="Q115" s="137">
        <f t="shared" si="14"/>
        <v>0.6368989202725801</v>
      </c>
      <c r="R115" s="137">
        <f t="shared" si="14"/>
        <v>0.65091069651857669</v>
      </c>
      <c r="S115" s="137">
        <f t="shared" si="14"/>
        <v>0.66523073184198556</v>
      </c>
      <c r="T115" s="137">
        <f t="shared" si="14"/>
        <v>0.67986580794250906</v>
      </c>
      <c r="U115" s="137">
        <f t="shared" si="14"/>
        <v>0.69482285571724434</v>
      </c>
      <c r="V115" s="137">
        <f t="shared" si="14"/>
        <v>0.7101089585430238</v>
      </c>
      <c r="W115" s="137">
        <f t="shared" si="14"/>
        <v>0.72573135563097024</v>
      </c>
      <c r="X115" s="137">
        <f t="shared" si="14"/>
        <v>0.74169744545485172</v>
      </c>
      <c r="Y115" s="137">
        <f t="shared" si="14"/>
        <v>0.75801478925485843</v>
      </c>
      <c r="Z115" s="137">
        <f t="shared" si="14"/>
        <v>0.7746911146184654</v>
      </c>
      <c r="AA115" s="137">
        <f t="shared" si="14"/>
        <v>0.79173431914007153</v>
      </c>
      <c r="AB115" s="137">
        <f t="shared" si="14"/>
        <v>0.8091524741611531</v>
      </c>
      <c r="AC115" s="137">
        <f t="shared" si="14"/>
        <v>0.8269538285926985</v>
      </c>
      <c r="AD115" s="137">
        <f t="shared" si="14"/>
        <v>0.84514681282173787</v>
      </c>
      <c r="AE115" s="137">
        <f t="shared" si="14"/>
        <v>0.8637400427038161</v>
      </c>
      <c r="AF115" s="138"/>
      <c r="AG115" s="138"/>
      <c r="AH115" s="138"/>
      <c r="AI115" s="138"/>
    </row>
    <row r="116" spans="1:35" customFormat="1" ht="15" x14ac:dyDescent="0.25">
      <c r="B116" s="14" t="s">
        <v>2593</v>
      </c>
      <c r="C116" s="14" t="s">
        <v>115</v>
      </c>
      <c r="D116" s="15" t="s">
        <v>2669</v>
      </c>
      <c r="E116" s="16" t="s">
        <v>2065</v>
      </c>
      <c r="F116" s="14" t="s">
        <v>2652</v>
      </c>
      <c r="G116" s="17"/>
      <c r="H116" s="125" t="str">
        <f>Settings!$B$3&amp;".mit.wp.alu.prp.no.1"</f>
        <v>egy.mit.wp.alu.prp.no.1</v>
      </c>
      <c r="K116" s="136"/>
      <c r="L116" s="137">
        <f t="shared" ref="L116:AE116" si="15">L$98*EXP(-L$80*L$42)</f>
        <v>0.20862065092877519</v>
      </c>
      <c r="M116" s="137">
        <f t="shared" si="15"/>
        <v>0.22009478672985783</v>
      </c>
      <c r="N116" s="137">
        <f t="shared" si="15"/>
        <v>0.23220000000000002</v>
      </c>
      <c r="O116" s="137">
        <f t="shared" si="15"/>
        <v>0.24497099999999999</v>
      </c>
      <c r="P116" s="137">
        <f t="shared" si="15"/>
        <v>0.25844440499999999</v>
      </c>
      <c r="Q116" s="137">
        <f t="shared" si="15"/>
        <v>0.27265884727499995</v>
      </c>
      <c r="R116" s="137">
        <f t="shared" si="15"/>
        <v>0.28765508387512501</v>
      </c>
      <c r="S116" s="137">
        <f t="shared" si="15"/>
        <v>0.30347611348825682</v>
      </c>
      <c r="T116" s="137">
        <f t="shared" si="15"/>
        <v>0.32016729973011093</v>
      </c>
      <c r="U116" s="137">
        <f t="shared" si="15"/>
        <v>0.33777650121526698</v>
      </c>
      <c r="V116" s="137">
        <f t="shared" si="15"/>
        <v>0.35635420878210672</v>
      </c>
      <c r="W116" s="137">
        <f t="shared" si="15"/>
        <v>0.37595369026512254</v>
      </c>
      <c r="X116" s="137">
        <f t="shared" si="15"/>
        <v>0.39663114322970433</v>
      </c>
      <c r="Y116" s="137">
        <f t="shared" si="15"/>
        <v>0.41844585610733798</v>
      </c>
      <c r="Z116" s="137">
        <f t="shared" si="15"/>
        <v>0.44146037819324158</v>
      </c>
      <c r="AA116" s="137">
        <f t="shared" si="15"/>
        <v>0.46574069899386977</v>
      </c>
      <c r="AB116" s="137">
        <f t="shared" si="15"/>
        <v>0.49135643743853269</v>
      </c>
      <c r="AC116" s="137">
        <f t="shared" si="15"/>
        <v>0.51838104149765185</v>
      </c>
      <c r="AD116" s="137">
        <f t="shared" si="15"/>
        <v>0.5468919987800227</v>
      </c>
      <c r="AE116" s="137">
        <f t="shared" si="15"/>
        <v>0.57697105871292398</v>
      </c>
      <c r="AF116" s="138"/>
      <c r="AG116" s="138"/>
      <c r="AH116" s="138"/>
      <c r="AI116" s="138"/>
    </row>
    <row r="117" spans="1:35" x14ac:dyDescent="0.2"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</row>
    <row r="118" spans="1:35" customFormat="1" ht="15" x14ac:dyDescent="0.25">
      <c r="A118" s="11"/>
      <c r="B118" s="6"/>
      <c r="C118" s="7" t="s">
        <v>2670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4">
        <v>2021</v>
      </c>
      <c r="L118" s="135">
        <v>2022</v>
      </c>
      <c r="M118" s="134">
        <v>2023</v>
      </c>
      <c r="N118" s="134">
        <v>2024</v>
      </c>
      <c r="O118" s="134">
        <v>2025</v>
      </c>
      <c r="P118" s="134">
        <v>2026</v>
      </c>
      <c r="Q118" s="134">
        <v>2027</v>
      </c>
      <c r="R118" s="134">
        <v>2028</v>
      </c>
      <c r="S118" s="134">
        <v>2029</v>
      </c>
      <c r="T118" s="134">
        <v>2030</v>
      </c>
      <c r="U118" s="134">
        <v>2031</v>
      </c>
      <c r="V118" s="134">
        <v>2032</v>
      </c>
      <c r="W118" s="134">
        <v>2033</v>
      </c>
      <c r="X118" s="134">
        <v>2034</v>
      </c>
      <c r="Y118" s="134">
        <v>2035</v>
      </c>
      <c r="Z118" s="134">
        <v>2036</v>
      </c>
      <c r="AA118" s="134">
        <v>2037</v>
      </c>
      <c r="AB118" s="134">
        <v>2038</v>
      </c>
      <c r="AC118" s="134">
        <v>2039</v>
      </c>
      <c r="AD118" s="134">
        <v>2040</v>
      </c>
      <c r="AE118" s="134">
        <v>2041</v>
      </c>
      <c r="AF118" s="134">
        <v>2042</v>
      </c>
      <c r="AG118" s="134">
        <v>2043</v>
      </c>
      <c r="AH118" s="134">
        <v>2044</v>
      </c>
      <c r="AI118" s="134">
        <v>2045</v>
      </c>
    </row>
    <row r="119" spans="1:35" customFormat="1" ht="15" x14ac:dyDescent="0.25">
      <c r="B119" s="14" t="s">
        <v>2671</v>
      </c>
      <c r="C119" s="14" t="s">
        <v>2672</v>
      </c>
      <c r="D119" s="15" t="s">
        <v>2673</v>
      </c>
      <c r="E119" s="16" t="s">
        <v>1854</v>
      </c>
      <c r="F119" s="14" t="s">
        <v>2671</v>
      </c>
      <c r="G119" s="17"/>
      <c r="H119" s="125" t="str">
        <f>Settings!$B$3&amp;".mit.revf0.cbam.tot.1"</f>
        <v>egy.mit.revf0.cbam.tot.1</v>
      </c>
      <c r="I119" t="s">
        <v>2674</v>
      </c>
      <c r="K119" s="136"/>
      <c r="L119" s="140">
        <f>SUMPRODUCT(L$45:L$52*Mitigation_Industry!$I$330:$I$337*L$17:L$24)</f>
        <v>0</v>
      </c>
      <c r="M119" s="140">
        <f>SUMPRODUCT(M$45:M$52*Mitigation_Industry!$I$330:$I$337*M$17:M$24)</f>
        <v>0</v>
      </c>
      <c r="N119" s="140">
        <f>SUMPRODUCT(N$45:N$52*Mitigation_Industry!$I$330:$I$337*N$17:N$24)</f>
        <v>0</v>
      </c>
      <c r="O119" s="140">
        <f>SUMPRODUCT(O$45:O$52*Mitigation_Industry!$I$330:$I$337*O$17:O$24)</f>
        <v>0</v>
      </c>
      <c r="P119" s="140">
        <f>SUMPRODUCT(P$45:P$52*Mitigation_Industry!$I$330:$I$337*P$17:P$24)</f>
        <v>0</v>
      </c>
      <c r="Q119" s="140">
        <f>SUMPRODUCT(Q$45:Q$52*Mitigation_Industry!$I$330:$I$337*Q$17:Q$24)</f>
        <v>0</v>
      </c>
      <c r="R119" s="140">
        <f>SUMPRODUCT(R$45:R$52*Mitigation_Industry!$I$330:$I$337*R$17:R$24)</f>
        <v>0</v>
      </c>
      <c r="S119" s="140">
        <f>SUMPRODUCT(S$45:S$52*Mitigation_Industry!$I$330:$I$337*S$17:S$24)</f>
        <v>0</v>
      </c>
      <c r="T119" s="140">
        <f>SUMPRODUCT(T$45:T$52*Mitigation_Industry!$I$330:$I$337*T$17:T$24)</f>
        <v>0</v>
      </c>
      <c r="U119" s="140">
        <f>SUMPRODUCT(U$45:U$52*Mitigation_Industry!$I$330:$I$337*U$17:U$24)</f>
        <v>0</v>
      </c>
      <c r="V119" s="140">
        <f>SUMPRODUCT(V$45:V$52*Mitigation_Industry!$I$330:$I$337*V$17:V$24)</f>
        <v>0</v>
      </c>
      <c r="W119" s="140">
        <f>SUMPRODUCT(W$45:W$52*Mitigation_Industry!$I$330:$I$337*W$17:W$24)</f>
        <v>0</v>
      </c>
      <c r="X119" s="140">
        <f>SUMPRODUCT(X$45:X$52*Mitigation_Industry!$I$330:$I$337*X$17:X$24)</f>
        <v>0</v>
      </c>
      <c r="Y119" s="140">
        <f>SUMPRODUCT(Y$45:Y$52*Mitigation_Industry!$I$330:$I$337*Y$17:Y$24)</f>
        <v>0</v>
      </c>
      <c r="Z119" s="140">
        <f>SUMPRODUCT(Z$45:Z$52*Mitigation_Industry!$I$330:$I$337*Z$17:Z$24)</f>
        <v>0</v>
      </c>
      <c r="AA119" s="140">
        <f>SUMPRODUCT(AA$45:AA$52*Mitigation_Industry!$I$330:$I$337*AA$17:AA$24)</f>
        <v>0</v>
      </c>
      <c r="AB119" s="140">
        <f>SUMPRODUCT(AB$45:AB$52*Mitigation_Industry!$I$330:$I$337*AB$17:AB$24)</f>
        <v>0</v>
      </c>
      <c r="AC119" s="140">
        <f>SUMPRODUCT(AC$45:AC$52*Mitigation_Industry!$I$330:$I$337*AC$17:AC$24)</f>
        <v>0</v>
      </c>
      <c r="AD119" s="140">
        <f>SUMPRODUCT(AD$45:AD$52*Mitigation_Industry!$I$330:$I$337*AD$17:AD$24)</f>
        <v>0</v>
      </c>
      <c r="AE119" s="140">
        <f>SUMPRODUCT(AE$45:AE$52*Mitigation_Industry!$I$330:$I$337*AE$17:AE$24)</f>
        <v>0</v>
      </c>
      <c r="AF119" s="138"/>
      <c r="AG119" s="138"/>
      <c r="AH119" s="138"/>
      <c r="AI119" s="138"/>
    </row>
    <row r="120" spans="1:35" customFormat="1" ht="15" x14ac:dyDescent="0.25">
      <c r="B120" s="14" t="s">
        <v>2675</v>
      </c>
      <c r="C120" s="14" t="s">
        <v>2672</v>
      </c>
      <c r="D120" s="15" t="s">
        <v>2676</v>
      </c>
      <c r="E120" s="16" t="s">
        <v>1854</v>
      </c>
      <c r="F120" s="14" t="s">
        <v>2675</v>
      </c>
      <c r="G120" s="17"/>
      <c r="H120" s="125" t="str">
        <f>Settings!$B$3&amp;".mit.revp0.cbam.tot.1"</f>
        <v>egy.mit.revp0.cbam.tot.1</v>
      </c>
      <c r="I120" t="s">
        <v>2677</v>
      </c>
      <c r="K120" s="136"/>
      <c r="L120" s="140">
        <f>SUMPRODUCT(Mitigation_Industry!L$341:L$348*Mitigation_Industry!$J$330:$J$337*L$27:L$34)-SUMPRODUCT((L$83:L$98-L$101:L$116)*L$27:L$42)</f>
        <v>0</v>
      </c>
      <c r="M120" s="140">
        <f>SUMPRODUCT(Mitigation_Industry!M$341:M$348*Mitigation_Industry!$J$330:$J$337*M$27:M$34)-SUMPRODUCT((M$83:M$98-M$101:M$116)*M$27:M$42)</f>
        <v>0</v>
      </c>
      <c r="N120" s="140">
        <f>SUMPRODUCT(Mitigation_Industry!N$341:N$348*Mitigation_Industry!$J$330:$J$337*N$27:N$34)-SUMPRODUCT((N$83:N$98-N$101:N$116)*N$27:N$42)</f>
        <v>0</v>
      </c>
      <c r="O120" s="140">
        <f>SUMPRODUCT(Mitigation_Industry!O$341:O$348*Mitigation_Industry!$J$330:$J$337*O$27:O$34)-SUMPRODUCT((O$83:O$98-O$101:O$116)*O$27:O$42)</f>
        <v>0</v>
      </c>
      <c r="P120" s="140">
        <f>SUMPRODUCT(Mitigation_Industry!P$341:P$348*Mitigation_Industry!$J$330:$J$337*P$27:P$34)-SUMPRODUCT((P$83:P$98-P$101:P$116)*P$27:P$42)</f>
        <v>0</v>
      </c>
      <c r="Q120" s="140">
        <f>SUMPRODUCT(Mitigation_Industry!Q$341:Q$348*Mitigation_Industry!$J$330:$J$337*Q$27:Q$34)-SUMPRODUCT((Q$83:Q$98-Q$101:Q$116)*Q$27:Q$42)</f>
        <v>0</v>
      </c>
      <c r="R120" s="140">
        <f>SUMPRODUCT(Mitigation_Industry!R$341:R$348*Mitigation_Industry!$J$330:$J$337*R$27:R$34)-SUMPRODUCT((R$83:R$98-R$101:R$116)*R$27:R$42)</f>
        <v>0</v>
      </c>
      <c r="S120" s="140">
        <f>SUMPRODUCT(Mitigation_Industry!S$341:S$348*Mitigation_Industry!$J$330:$J$337*S$27:S$34)-SUMPRODUCT((S$83:S$98-S$101:S$116)*S$27:S$42)</f>
        <v>0</v>
      </c>
      <c r="T120" s="140">
        <f>SUMPRODUCT(Mitigation_Industry!T$341:T$348*Mitigation_Industry!$J$330:$J$337*T$27:T$34)-SUMPRODUCT((T$83:T$98-T$101:T$116)*T$27:T$42)</f>
        <v>0</v>
      </c>
      <c r="U120" s="140">
        <f>SUMPRODUCT(Mitigation_Industry!U$341:U$348*Mitigation_Industry!$J$330:$J$337*U$27:U$34)-SUMPRODUCT((U$83:U$98-U$101:U$116)*U$27:U$42)</f>
        <v>0</v>
      </c>
      <c r="V120" s="140">
        <f>SUMPRODUCT(Mitigation_Industry!V$341:V$348*Mitigation_Industry!$J$330:$J$337*V$27:V$34)-SUMPRODUCT((V$83:V$98-V$101:V$116)*V$27:V$42)</f>
        <v>0</v>
      </c>
      <c r="W120" s="140">
        <f>SUMPRODUCT(Mitigation_Industry!W$341:W$348*Mitigation_Industry!$J$330:$J$337*W$27:W$34)-SUMPRODUCT((W$83:W$98-W$101:W$116)*W$27:W$42)</f>
        <v>0</v>
      </c>
      <c r="X120" s="140">
        <f>SUMPRODUCT(Mitigation_Industry!X$341:X$348*Mitigation_Industry!$J$330:$J$337*X$27:X$34)-SUMPRODUCT((X$83:X$98-X$101:X$116)*X$27:X$42)</f>
        <v>0</v>
      </c>
      <c r="Y120" s="140">
        <f>SUMPRODUCT(Mitigation_Industry!Y$341:Y$348*Mitigation_Industry!$J$330:$J$337*Y$27:Y$34)-SUMPRODUCT((Y$83:Y$98-Y$101:Y$116)*Y$27:Y$42)</f>
        <v>0</v>
      </c>
      <c r="Z120" s="140">
        <f>SUMPRODUCT(Mitigation_Industry!Z$341:Z$348*Mitigation_Industry!$J$330:$J$337*Z$27:Z$34)-SUMPRODUCT((Z$83:Z$98-Z$101:Z$116)*Z$27:Z$42)</f>
        <v>0</v>
      </c>
      <c r="AA120" s="140">
        <f>SUMPRODUCT(Mitigation_Industry!AA$341:AA$348*Mitigation_Industry!$J$330:$J$337*AA$27:AA$34)-SUMPRODUCT((AA$83:AA$98-AA$101:AA$116)*AA$27:AA$42)</f>
        <v>0</v>
      </c>
      <c r="AB120" s="140">
        <f>SUMPRODUCT(Mitigation_Industry!AB$341:AB$348*Mitigation_Industry!$J$330:$J$337*AB$27:AB$34)-SUMPRODUCT((AB$83:AB$98-AB$101:AB$116)*AB$27:AB$42)</f>
        <v>0</v>
      </c>
      <c r="AC120" s="140">
        <f>SUMPRODUCT(Mitigation_Industry!AC$341:AC$348*Mitigation_Industry!$J$330:$J$337*AC$27:AC$34)-SUMPRODUCT((AC$83:AC$98-AC$101:AC$116)*AC$27:AC$42)</f>
        <v>0</v>
      </c>
      <c r="AD120" s="140">
        <f>SUMPRODUCT(Mitigation_Industry!AD$341:AD$348*Mitigation_Industry!$J$330:$J$337*AD$27:AD$34)-SUMPRODUCT((AD$83:AD$98-AD$101:AD$116)*AD$27:AD$42)</f>
        <v>0</v>
      </c>
      <c r="AE120" s="140">
        <f>SUMPRODUCT(Mitigation_Industry!AE$341:AE$348*Mitigation_Industry!$J$330:$J$337*AE$27:AE$34)-SUMPRODUCT((AE$83:AE$98-AE$101:AE$116)*AE$27:AE$42)</f>
        <v>0</v>
      </c>
      <c r="AF120" s="138"/>
      <c r="AG120" s="138"/>
      <c r="AH120" s="138"/>
      <c r="AI120" s="138"/>
    </row>
    <row r="121" spans="1:35" customFormat="1" ht="15" x14ac:dyDescent="0.25">
      <c r="B121" s="14" t="s">
        <v>2678</v>
      </c>
      <c r="C121" s="14" t="s">
        <v>2672</v>
      </c>
      <c r="D121" s="15" t="s">
        <v>2679</v>
      </c>
      <c r="E121" s="16" t="s">
        <v>1854</v>
      </c>
      <c r="F121" s="14" t="s">
        <v>2678</v>
      </c>
      <c r="G121" s="17"/>
      <c r="H121" s="125" t="str">
        <f>Settings!$B$3&amp;".mit.rev0.cbam.tot.1"</f>
        <v>egy.mit.rev0.cbam.tot.1</v>
      </c>
      <c r="I121" t="s">
        <v>2680</v>
      </c>
      <c r="K121" s="136"/>
      <c r="L121" s="140">
        <f t="shared" ref="L121:AE121" si="16">L119+L120</f>
        <v>0</v>
      </c>
      <c r="M121" s="140">
        <f t="shared" si="16"/>
        <v>0</v>
      </c>
      <c r="N121" s="140">
        <f t="shared" si="16"/>
        <v>0</v>
      </c>
      <c r="O121" s="140">
        <f t="shared" si="16"/>
        <v>0</v>
      </c>
      <c r="P121" s="140">
        <f t="shared" si="16"/>
        <v>0</v>
      </c>
      <c r="Q121" s="140">
        <f t="shared" si="16"/>
        <v>0</v>
      </c>
      <c r="R121" s="140">
        <f t="shared" si="16"/>
        <v>0</v>
      </c>
      <c r="S121" s="140">
        <f t="shared" si="16"/>
        <v>0</v>
      </c>
      <c r="T121" s="140">
        <f t="shared" si="16"/>
        <v>0</v>
      </c>
      <c r="U121" s="140">
        <f t="shared" si="16"/>
        <v>0</v>
      </c>
      <c r="V121" s="140">
        <f t="shared" si="16"/>
        <v>0</v>
      </c>
      <c r="W121" s="140">
        <f t="shared" si="16"/>
        <v>0</v>
      </c>
      <c r="X121" s="140">
        <f t="shared" si="16"/>
        <v>0</v>
      </c>
      <c r="Y121" s="140">
        <f t="shared" si="16"/>
        <v>0</v>
      </c>
      <c r="Z121" s="140">
        <f t="shared" si="16"/>
        <v>0</v>
      </c>
      <c r="AA121" s="140">
        <f t="shared" si="16"/>
        <v>0</v>
      </c>
      <c r="AB121" s="140">
        <f t="shared" si="16"/>
        <v>0</v>
      </c>
      <c r="AC121" s="140">
        <f t="shared" si="16"/>
        <v>0</v>
      </c>
      <c r="AD121" s="140">
        <f t="shared" si="16"/>
        <v>0</v>
      </c>
      <c r="AE121" s="140">
        <f t="shared" si="16"/>
        <v>0</v>
      </c>
      <c r="AF121" s="138"/>
      <c r="AG121" s="138"/>
      <c r="AH121" s="138"/>
      <c r="AI121" s="138"/>
    </row>
    <row r="122" spans="1:35" customFormat="1" ht="15" x14ac:dyDescent="0.25">
      <c r="B122" s="14" t="s">
        <v>2670</v>
      </c>
      <c r="C122" s="14" t="s">
        <v>2672</v>
      </c>
      <c r="D122" s="15" t="s">
        <v>2681</v>
      </c>
      <c r="E122" s="16" t="s">
        <v>1854</v>
      </c>
      <c r="F122" s="14" t="s">
        <v>2670</v>
      </c>
      <c r="G122" s="17"/>
      <c r="H122" s="125" t="str">
        <f>Settings!$B$3&amp;".mit.fund.cbam.tot.1"</f>
        <v>egy.mit.fund.cbam.tot.1</v>
      </c>
      <c r="I122" t="s">
        <v>2682</v>
      </c>
      <c r="K122" s="136"/>
      <c r="L122" s="140">
        <f t="shared" ref="L122:AE122" si="17">L$11*L121</f>
        <v>0</v>
      </c>
      <c r="M122" s="140">
        <f t="shared" si="17"/>
        <v>0</v>
      </c>
      <c r="N122" s="140">
        <f t="shared" si="17"/>
        <v>0</v>
      </c>
      <c r="O122" s="140">
        <f t="shared" si="17"/>
        <v>0</v>
      </c>
      <c r="P122" s="140">
        <f t="shared" si="17"/>
        <v>0</v>
      </c>
      <c r="Q122" s="140">
        <f t="shared" si="17"/>
        <v>0</v>
      </c>
      <c r="R122" s="140">
        <f t="shared" si="17"/>
        <v>0</v>
      </c>
      <c r="S122" s="140">
        <f t="shared" si="17"/>
        <v>0</v>
      </c>
      <c r="T122" s="140">
        <f t="shared" si="17"/>
        <v>0</v>
      </c>
      <c r="U122" s="140">
        <f t="shared" si="17"/>
        <v>0</v>
      </c>
      <c r="V122" s="140">
        <f t="shared" si="17"/>
        <v>0</v>
      </c>
      <c r="W122" s="140">
        <f t="shared" si="17"/>
        <v>0</v>
      </c>
      <c r="X122" s="140">
        <f t="shared" si="17"/>
        <v>0</v>
      </c>
      <c r="Y122" s="140">
        <f t="shared" si="17"/>
        <v>0</v>
      </c>
      <c r="Z122" s="140">
        <f t="shared" si="17"/>
        <v>0</v>
      </c>
      <c r="AA122" s="140">
        <f t="shared" si="17"/>
        <v>0</v>
      </c>
      <c r="AB122" s="140">
        <f t="shared" si="17"/>
        <v>0</v>
      </c>
      <c r="AC122" s="140">
        <f t="shared" si="17"/>
        <v>0</v>
      </c>
      <c r="AD122" s="140">
        <f t="shared" si="17"/>
        <v>0</v>
      </c>
      <c r="AE122" s="140">
        <f t="shared" si="17"/>
        <v>0</v>
      </c>
      <c r="AF122" s="138"/>
      <c r="AG122" s="138"/>
      <c r="AH122" s="138"/>
      <c r="AI122" s="138"/>
    </row>
    <row r="123" spans="1:35" customFormat="1" ht="15" x14ac:dyDescent="0.25">
      <c r="B123" s="14" t="s">
        <v>2683</v>
      </c>
      <c r="C123" s="14" t="s">
        <v>2672</v>
      </c>
      <c r="D123" s="15" t="s">
        <v>2684</v>
      </c>
      <c r="E123" s="16" t="s">
        <v>2065</v>
      </c>
      <c r="F123" s="14" t="s">
        <v>2683</v>
      </c>
      <c r="G123" s="17"/>
      <c r="H123" s="125" t="str">
        <f>Settings!$B$3&amp;".mit.emrp0.cbam.tot.1"</f>
        <v>egy.mit.emrp0.cbam.tot.1</v>
      </c>
      <c r="I123" t="s">
        <v>2685</v>
      </c>
      <c r="K123" s="136"/>
      <c r="L123" s="137">
        <f t="shared" ref="L123:AE123" si="18">SUM(L$101:L$116)-SUM(L$83:L$98)</f>
        <v>0</v>
      </c>
      <c r="M123" s="137">
        <f t="shared" si="18"/>
        <v>0</v>
      </c>
      <c r="N123" s="137">
        <f t="shared" si="18"/>
        <v>0</v>
      </c>
      <c r="O123" s="137">
        <f t="shared" si="18"/>
        <v>0</v>
      </c>
      <c r="P123" s="137">
        <f t="shared" si="18"/>
        <v>0</v>
      </c>
      <c r="Q123" s="137">
        <f t="shared" si="18"/>
        <v>0</v>
      </c>
      <c r="R123" s="137">
        <f t="shared" si="18"/>
        <v>0</v>
      </c>
      <c r="S123" s="137">
        <f t="shared" si="18"/>
        <v>0</v>
      </c>
      <c r="T123" s="137">
        <f t="shared" si="18"/>
        <v>0</v>
      </c>
      <c r="U123" s="137">
        <f t="shared" si="18"/>
        <v>0</v>
      </c>
      <c r="V123" s="137">
        <f t="shared" si="18"/>
        <v>0</v>
      </c>
      <c r="W123" s="137">
        <f t="shared" si="18"/>
        <v>0</v>
      </c>
      <c r="X123" s="137">
        <f t="shared" si="18"/>
        <v>0</v>
      </c>
      <c r="Y123" s="137">
        <f t="shared" si="18"/>
        <v>0</v>
      </c>
      <c r="Z123" s="137">
        <f t="shared" si="18"/>
        <v>0</v>
      </c>
      <c r="AA123" s="137">
        <f t="shared" si="18"/>
        <v>0</v>
      </c>
      <c r="AB123" s="137">
        <f t="shared" si="18"/>
        <v>0</v>
      </c>
      <c r="AC123" s="137">
        <f t="shared" si="18"/>
        <v>0</v>
      </c>
      <c r="AD123" s="137">
        <f t="shared" si="18"/>
        <v>0</v>
      </c>
      <c r="AE123" s="137">
        <f t="shared" si="18"/>
        <v>0</v>
      </c>
      <c r="AF123" s="138"/>
      <c r="AG123" s="138"/>
      <c r="AH123" s="138"/>
      <c r="AI123" s="138"/>
    </row>
    <row r="124" spans="1:35" customFormat="1" ht="15" x14ac:dyDescent="0.25">
      <c r="B124" s="14" t="s">
        <v>2686</v>
      </c>
      <c r="C124" s="14" t="s">
        <v>2672</v>
      </c>
      <c r="D124" s="15" t="s">
        <v>2687</v>
      </c>
      <c r="E124" s="16" t="s">
        <v>2688</v>
      </c>
      <c r="F124" s="14" t="s">
        <v>2686</v>
      </c>
      <c r="G124" s="17"/>
      <c r="H124" s="17"/>
      <c r="I124" t="s">
        <v>2689</v>
      </c>
      <c r="K124" s="136"/>
      <c r="L124" s="139">
        <f t="shared" ref="L124:AE124" si="19">SUMPRODUCT(L$45:L$52*L$55:L$62)+SUMPRODUCT(L$101:L$116*L$65:L$80)</f>
        <v>0.11343980799323071</v>
      </c>
      <c r="M124" s="139">
        <f t="shared" si="19"/>
        <v>0.11712329976149224</v>
      </c>
      <c r="N124" s="139">
        <f t="shared" si="19"/>
        <v>0.12092889969856549</v>
      </c>
      <c r="O124" s="139">
        <f t="shared" si="19"/>
        <v>0.12486074250600086</v>
      </c>
      <c r="P124" s="139">
        <f t="shared" si="19"/>
        <v>0.1289231063134835</v>
      </c>
      <c r="Q124" s="139">
        <f t="shared" si="19"/>
        <v>0.13312041780294456</v>
      </c>
      <c r="R124" s="139">
        <f t="shared" si="19"/>
        <v>0.13745725752256618</v>
      </c>
      <c r="S124" s="139">
        <f t="shared" si="19"/>
        <v>0.14193836539803825</v>
      </c>
      <c r="T124" s="139">
        <f t="shared" si="19"/>
        <v>0.14656864644872269</v>
      </c>
      <c r="U124" s="139">
        <f t="shared" si="19"/>
        <v>0.15135317671669662</v>
      </c>
      <c r="V124" s="139">
        <f t="shared" si="19"/>
        <v>0.1562972094169694</v>
      </c>
      <c r="W124" s="139">
        <f t="shared" si="19"/>
        <v>0.1614061813175115</v>
      </c>
      <c r="X124" s="139">
        <f t="shared" si="19"/>
        <v>0.16668571935808552</v>
      </c>
      <c r="Y124" s="139">
        <f t="shared" si="19"/>
        <v>0.17214164751724373</v>
      </c>
      <c r="Z124" s="139">
        <f t="shared" si="19"/>
        <v>0.17777999393723931</v>
      </c>
      <c r="AA124" s="139">
        <f t="shared" si="19"/>
        <v>0.18360699831700622</v>
      </c>
      <c r="AB124" s="139">
        <f t="shared" si="19"/>
        <v>0.18962911958377954</v>
      </c>
      <c r="AC124" s="139">
        <f t="shared" si="19"/>
        <v>0.19585304385437208</v>
      </c>
      <c r="AD124" s="139">
        <f t="shared" si="19"/>
        <v>0.20228569269757843</v>
      </c>
      <c r="AE124" s="139">
        <f t="shared" si="19"/>
        <v>0.20893423170965852</v>
      </c>
      <c r="AF124" s="138"/>
      <c r="AG124" s="138"/>
      <c r="AH124" s="138"/>
      <c r="AI124" s="138"/>
    </row>
    <row r="125" spans="1:35" customFormat="1" ht="15" x14ac:dyDescent="0.25">
      <c r="B125" s="14" t="s">
        <v>2690</v>
      </c>
      <c r="C125" s="14" t="s">
        <v>2672</v>
      </c>
      <c r="D125" s="15" t="s">
        <v>2691</v>
      </c>
      <c r="E125" s="16" t="s">
        <v>1398</v>
      </c>
      <c r="F125" s="14" t="s">
        <v>2690</v>
      </c>
      <c r="G125" s="17"/>
      <c r="H125" s="17"/>
      <c r="K125" s="136"/>
      <c r="L125" s="137">
        <f t="shared" ref="L125:AE125" si="20">IF(OR(L$122&lt;=0,L$124&lt;=0),0,MIN($F$5,SQRT(L$122/L$124*IF($F$4="COST",2,1))))</f>
        <v>0</v>
      </c>
      <c r="M125" s="137">
        <f t="shared" si="20"/>
        <v>0</v>
      </c>
      <c r="N125" s="137">
        <f t="shared" si="20"/>
        <v>0</v>
      </c>
      <c r="O125" s="137">
        <f t="shared" si="20"/>
        <v>0</v>
      </c>
      <c r="P125" s="137">
        <f t="shared" si="20"/>
        <v>0</v>
      </c>
      <c r="Q125" s="137">
        <f t="shared" si="20"/>
        <v>0</v>
      </c>
      <c r="R125" s="137">
        <f t="shared" si="20"/>
        <v>0</v>
      </c>
      <c r="S125" s="137">
        <f t="shared" si="20"/>
        <v>0</v>
      </c>
      <c r="T125" s="137">
        <f t="shared" si="20"/>
        <v>0</v>
      </c>
      <c r="U125" s="137">
        <f t="shared" si="20"/>
        <v>0</v>
      </c>
      <c r="V125" s="137">
        <f t="shared" si="20"/>
        <v>0</v>
      </c>
      <c r="W125" s="137">
        <f t="shared" si="20"/>
        <v>0</v>
      </c>
      <c r="X125" s="137">
        <f t="shared" si="20"/>
        <v>0</v>
      </c>
      <c r="Y125" s="137">
        <f t="shared" si="20"/>
        <v>0</v>
      </c>
      <c r="Z125" s="137">
        <f t="shared" si="20"/>
        <v>0</v>
      </c>
      <c r="AA125" s="137">
        <f t="shared" si="20"/>
        <v>0</v>
      </c>
      <c r="AB125" s="137">
        <f t="shared" si="20"/>
        <v>0</v>
      </c>
      <c r="AC125" s="137">
        <f t="shared" si="20"/>
        <v>0</v>
      </c>
      <c r="AD125" s="137">
        <f t="shared" si="20"/>
        <v>0</v>
      </c>
      <c r="AE125" s="137">
        <f t="shared" si="20"/>
        <v>0</v>
      </c>
      <c r="AF125" s="138"/>
      <c r="AG125" s="138"/>
      <c r="AH125" s="138"/>
      <c r="AI125" s="138"/>
    </row>
    <row r="126" spans="1:35" x14ac:dyDescent="0.2"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</row>
    <row r="127" spans="1:35" customFormat="1" ht="15" x14ac:dyDescent="0.25">
      <c r="A127" s="11"/>
      <c r="B127" s="6"/>
      <c r="C127" s="7" t="s">
        <v>2692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2693</v>
      </c>
      <c r="J127" s="48">
        <v>1</v>
      </c>
      <c r="K127" s="134">
        <v>2021</v>
      </c>
      <c r="L127" s="135">
        <v>2022</v>
      </c>
      <c r="M127" s="134">
        <v>2023</v>
      </c>
      <c r="N127" s="134">
        <v>2024</v>
      </c>
      <c r="O127" s="134">
        <v>2025</v>
      </c>
      <c r="P127" s="134">
        <v>2026</v>
      </c>
      <c r="Q127" s="134">
        <v>2027</v>
      </c>
      <c r="R127" s="134">
        <v>2028</v>
      </c>
      <c r="S127" s="134">
        <v>2029</v>
      </c>
      <c r="T127" s="134">
        <v>2030</v>
      </c>
      <c r="U127" s="134">
        <v>2031</v>
      </c>
      <c r="V127" s="134">
        <v>2032</v>
      </c>
      <c r="W127" s="134">
        <v>2033</v>
      </c>
      <c r="X127" s="134">
        <v>2034</v>
      </c>
      <c r="Y127" s="134">
        <v>2035</v>
      </c>
      <c r="Z127" s="134">
        <v>2036</v>
      </c>
      <c r="AA127" s="134">
        <v>2037</v>
      </c>
      <c r="AB127" s="134">
        <v>2038</v>
      </c>
      <c r="AC127" s="134">
        <v>2039</v>
      </c>
      <c r="AD127" s="134">
        <v>2040</v>
      </c>
      <c r="AE127" s="134">
        <v>2041</v>
      </c>
      <c r="AF127" s="134">
        <v>2042</v>
      </c>
      <c r="AG127" s="134">
        <v>2043</v>
      </c>
      <c r="AH127" s="134">
        <v>2044</v>
      </c>
      <c r="AI127" s="134">
        <v>2045</v>
      </c>
    </row>
    <row r="128" spans="1:35" customFormat="1" ht="15" x14ac:dyDescent="0.25">
      <c r="B128" s="14" t="s">
        <v>2694</v>
      </c>
      <c r="C128" s="14" t="s">
        <v>2672</v>
      </c>
      <c r="D128" s="15" t="s">
        <v>2695</v>
      </c>
      <c r="E128" s="16" t="s">
        <v>2065</v>
      </c>
      <c r="F128" s="14" t="s">
        <v>2696</v>
      </c>
      <c r="G128" s="17"/>
      <c r="H128" s="17"/>
      <c r="K128" s="136"/>
      <c r="L128" s="139">
        <f t="shared" ref="L128:AE128" si="21">SUMPRODUCT(L$45:L$52*(1-EXP(-L$55:L$62*L$125)))+SUMPRODUCT(L$101:L$116*(1-EXP(-L$65:L$80*L$125)))</f>
        <v>0</v>
      </c>
      <c r="M128" s="139">
        <f t="shared" si="21"/>
        <v>0</v>
      </c>
      <c r="N128" s="139">
        <f t="shared" si="21"/>
        <v>0</v>
      </c>
      <c r="O128" s="139">
        <f t="shared" si="21"/>
        <v>0</v>
      </c>
      <c r="P128" s="139">
        <f t="shared" si="21"/>
        <v>0</v>
      </c>
      <c r="Q128" s="139">
        <f t="shared" si="21"/>
        <v>0</v>
      </c>
      <c r="R128" s="139">
        <f t="shared" si="21"/>
        <v>0</v>
      </c>
      <c r="S128" s="139">
        <f t="shared" si="21"/>
        <v>0</v>
      </c>
      <c r="T128" s="139">
        <f t="shared" si="21"/>
        <v>0</v>
      </c>
      <c r="U128" s="139">
        <f t="shared" si="21"/>
        <v>0</v>
      </c>
      <c r="V128" s="139">
        <f t="shared" si="21"/>
        <v>0</v>
      </c>
      <c r="W128" s="139">
        <f t="shared" si="21"/>
        <v>0</v>
      </c>
      <c r="X128" s="139">
        <f t="shared" si="21"/>
        <v>0</v>
      </c>
      <c r="Y128" s="139">
        <f t="shared" si="21"/>
        <v>0</v>
      </c>
      <c r="Z128" s="139">
        <f t="shared" si="21"/>
        <v>0</v>
      </c>
      <c r="AA128" s="139">
        <f t="shared" si="21"/>
        <v>0</v>
      </c>
      <c r="AB128" s="139">
        <f t="shared" si="21"/>
        <v>0</v>
      </c>
      <c r="AC128" s="139">
        <f t="shared" si="21"/>
        <v>0</v>
      </c>
      <c r="AD128" s="139">
        <f t="shared" si="21"/>
        <v>0</v>
      </c>
      <c r="AE128" s="139">
        <f t="shared" si="21"/>
        <v>0</v>
      </c>
      <c r="AF128" s="138"/>
      <c r="AG128" s="138"/>
      <c r="AH128" s="138"/>
      <c r="AI128" s="138"/>
    </row>
    <row r="129" spans="2:35" customFormat="1" ht="15" x14ac:dyDescent="0.25">
      <c r="B129" s="14" t="s">
        <v>2697</v>
      </c>
      <c r="C129" s="14" t="s">
        <v>2672</v>
      </c>
      <c r="D129" s="15" t="s">
        <v>2698</v>
      </c>
      <c r="E129" s="16" t="s">
        <v>1854</v>
      </c>
      <c r="F129" s="14" t="s">
        <v>2699</v>
      </c>
      <c r="G129" s="17"/>
      <c r="H129" s="17"/>
      <c r="K129" s="136"/>
      <c r="L129" s="137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37">
        <f t="shared" si="22"/>
        <v>0</v>
      </c>
      <c r="N129" s="137">
        <f t="shared" si="22"/>
        <v>0</v>
      </c>
      <c r="O129" s="137">
        <f t="shared" si="22"/>
        <v>0</v>
      </c>
      <c r="P129" s="137">
        <f t="shared" si="22"/>
        <v>0</v>
      </c>
      <c r="Q129" s="137">
        <f t="shared" si="22"/>
        <v>0</v>
      </c>
      <c r="R129" s="137">
        <f t="shared" si="22"/>
        <v>0</v>
      </c>
      <c r="S129" s="137">
        <f t="shared" si="22"/>
        <v>0</v>
      </c>
      <c r="T129" s="137">
        <f t="shared" si="22"/>
        <v>0</v>
      </c>
      <c r="U129" s="137">
        <f t="shared" si="22"/>
        <v>0</v>
      </c>
      <c r="V129" s="137">
        <f t="shared" si="22"/>
        <v>0</v>
      </c>
      <c r="W129" s="137">
        <f t="shared" si="22"/>
        <v>0</v>
      </c>
      <c r="X129" s="137">
        <f t="shared" si="22"/>
        <v>0</v>
      </c>
      <c r="Y129" s="137">
        <f t="shared" si="22"/>
        <v>0</v>
      </c>
      <c r="Z129" s="137">
        <f t="shared" si="22"/>
        <v>0</v>
      </c>
      <c r="AA129" s="137">
        <f t="shared" si="22"/>
        <v>0</v>
      </c>
      <c r="AB129" s="137">
        <f t="shared" si="22"/>
        <v>0</v>
      </c>
      <c r="AC129" s="137">
        <f t="shared" si="22"/>
        <v>0</v>
      </c>
      <c r="AD129" s="137">
        <f t="shared" si="22"/>
        <v>0</v>
      </c>
      <c r="AE129" s="137">
        <f t="shared" si="22"/>
        <v>0</v>
      </c>
      <c r="AF129" s="138"/>
      <c r="AG129" s="138"/>
      <c r="AH129" s="138"/>
      <c r="AI129" s="138"/>
    </row>
    <row r="130" spans="2:35" customFormat="1" ht="15" x14ac:dyDescent="0.25">
      <c r="B130" s="14" t="s">
        <v>2700</v>
      </c>
      <c r="C130" s="14" t="s">
        <v>2672</v>
      </c>
      <c r="D130" s="15" t="s">
        <v>2701</v>
      </c>
      <c r="E130" s="16" t="s">
        <v>2702</v>
      </c>
      <c r="F130" s="14" t="s">
        <v>2703</v>
      </c>
      <c r="G130" s="17"/>
      <c r="H130" s="17"/>
      <c r="K130" s="136"/>
      <c r="L130" s="139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39">
        <f t="shared" si="23"/>
        <v>0</v>
      </c>
      <c r="N130" s="139">
        <f t="shared" si="23"/>
        <v>0</v>
      </c>
      <c r="O130" s="139">
        <f t="shared" si="23"/>
        <v>0</v>
      </c>
      <c r="P130" s="139">
        <f t="shared" si="23"/>
        <v>0</v>
      </c>
      <c r="Q130" s="139">
        <f t="shared" si="23"/>
        <v>0</v>
      </c>
      <c r="R130" s="139">
        <f t="shared" si="23"/>
        <v>0</v>
      </c>
      <c r="S130" s="139">
        <f t="shared" si="23"/>
        <v>0</v>
      </c>
      <c r="T130" s="139">
        <f t="shared" si="23"/>
        <v>0</v>
      </c>
      <c r="U130" s="139">
        <f t="shared" si="23"/>
        <v>0</v>
      </c>
      <c r="V130" s="139">
        <f t="shared" si="23"/>
        <v>0</v>
      </c>
      <c r="W130" s="139">
        <f t="shared" si="23"/>
        <v>0</v>
      </c>
      <c r="X130" s="139">
        <f t="shared" si="23"/>
        <v>0</v>
      </c>
      <c r="Y130" s="139">
        <f t="shared" si="23"/>
        <v>0</v>
      </c>
      <c r="Z130" s="139">
        <f t="shared" si="23"/>
        <v>0</v>
      </c>
      <c r="AA130" s="139">
        <f t="shared" si="23"/>
        <v>0</v>
      </c>
      <c r="AB130" s="139">
        <f t="shared" si="23"/>
        <v>0</v>
      </c>
      <c r="AC130" s="139">
        <f t="shared" si="23"/>
        <v>0</v>
      </c>
      <c r="AD130" s="139">
        <f t="shared" si="23"/>
        <v>0</v>
      </c>
      <c r="AE130" s="139">
        <f t="shared" si="23"/>
        <v>0</v>
      </c>
      <c r="AF130" s="138"/>
      <c r="AG130" s="138"/>
      <c r="AH130" s="138"/>
      <c r="AI130" s="138"/>
    </row>
    <row r="131" spans="2:35" customFormat="1" ht="15" x14ac:dyDescent="0.25">
      <c r="B131" s="14" t="s">
        <v>2704</v>
      </c>
      <c r="C131" s="14" t="s">
        <v>2672</v>
      </c>
      <c r="D131" s="15" t="s">
        <v>2705</v>
      </c>
      <c r="E131" s="16" t="s">
        <v>1398</v>
      </c>
      <c r="F131" s="14" t="s">
        <v>2706</v>
      </c>
      <c r="G131" s="17"/>
      <c r="H131" s="17"/>
      <c r="K131" s="136"/>
      <c r="L131" s="137">
        <f t="shared" ref="L131:AE131" si="24">IF(L$122&lt;=0,0,IF(L$130&lt;=0,L$125,MIN($F$5,IF(L$125-(L$129-L$122)/L$130&lt;=0,L$125/2,L$125-(L$129-L$122)/L$130))))</f>
        <v>0</v>
      </c>
      <c r="M131" s="137">
        <f t="shared" si="24"/>
        <v>0</v>
      </c>
      <c r="N131" s="137">
        <f t="shared" si="24"/>
        <v>0</v>
      </c>
      <c r="O131" s="137">
        <f t="shared" si="24"/>
        <v>0</v>
      </c>
      <c r="P131" s="137">
        <f t="shared" si="24"/>
        <v>0</v>
      </c>
      <c r="Q131" s="137">
        <f t="shared" si="24"/>
        <v>0</v>
      </c>
      <c r="R131" s="137">
        <f t="shared" si="24"/>
        <v>0</v>
      </c>
      <c r="S131" s="137">
        <f t="shared" si="24"/>
        <v>0</v>
      </c>
      <c r="T131" s="137">
        <f t="shared" si="24"/>
        <v>0</v>
      </c>
      <c r="U131" s="137">
        <f t="shared" si="24"/>
        <v>0</v>
      </c>
      <c r="V131" s="137">
        <f t="shared" si="24"/>
        <v>0</v>
      </c>
      <c r="W131" s="137">
        <f t="shared" si="24"/>
        <v>0</v>
      </c>
      <c r="X131" s="137">
        <f t="shared" si="24"/>
        <v>0</v>
      </c>
      <c r="Y131" s="137">
        <f t="shared" si="24"/>
        <v>0</v>
      </c>
      <c r="Z131" s="137">
        <f t="shared" si="24"/>
        <v>0</v>
      </c>
      <c r="AA131" s="137">
        <f t="shared" si="24"/>
        <v>0</v>
      </c>
      <c r="AB131" s="137">
        <f t="shared" si="24"/>
        <v>0</v>
      </c>
      <c r="AC131" s="137">
        <f t="shared" si="24"/>
        <v>0</v>
      </c>
      <c r="AD131" s="137">
        <f t="shared" si="24"/>
        <v>0</v>
      </c>
      <c r="AE131" s="137">
        <f t="shared" si="24"/>
        <v>0</v>
      </c>
      <c r="AF131" s="138"/>
      <c r="AG131" s="138"/>
      <c r="AH131" s="138"/>
      <c r="AI131" s="138"/>
    </row>
    <row r="132" spans="2:35" customFormat="1" ht="15" x14ac:dyDescent="0.25">
      <c r="B132" s="14" t="s">
        <v>2707</v>
      </c>
      <c r="C132" s="14" t="s">
        <v>2672</v>
      </c>
      <c r="D132" s="15" t="s">
        <v>2708</v>
      </c>
      <c r="E132" s="16" t="s">
        <v>2065</v>
      </c>
      <c r="F132" s="14" t="s">
        <v>2696</v>
      </c>
      <c r="G132" s="17"/>
      <c r="H132" s="17"/>
      <c r="K132" s="136"/>
      <c r="L132" s="139">
        <f t="shared" ref="L132:AE132" si="25">SUMPRODUCT(L$45:L$52*(1-EXP(-L$55:L$62*L$131)))+SUMPRODUCT(L$101:L$116*(1-EXP(-L$65:L$80*L$131)))</f>
        <v>0</v>
      </c>
      <c r="M132" s="139">
        <f t="shared" si="25"/>
        <v>0</v>
      </c>
      <c r="N132" s="139">
        <f t="shared" si="25"/>
        <v>0</v>
      </c>
      <c r="O132" s="139">
        <f t="shared" si="25"/>
        <v>0</v>
      </c>
      <c r="P132" s="139">
        <f t="shared" si="25"/>
        <v>0</v>
      </c>
      <c r="Q132" s="139">
        <f t="shared" si="25"/>
        <v>0</v>
      </c>
      <c r="R132" s="139">
        <f t="shared" si="25"/>
        <v>0</v>
      </c>
      <c r="S132" s="139">
        <f t="shared" si="25"/>
        <v>0</v>
      </c>
      <c r="T132" s="139">
        <f t="shared" si="25"/>
        <v>0</v>
      </c>
      <c r="U132" s="139">
        <f t="shared" si="25"/>
        <v>0</v>
      </c>
      <c r="V132" s="139">
        <f t="shared" si="25"/>
        <v>0</v>
      </c>
      <c r="W132" s="139">
        <f t="shared" si="25"/>
        <v>0</v>
      </c>
      <c r="X132" s="139">
        <f t="shared" si="25"/>
        <v>0</v>
      </c>
      <c r="Y132" s="139">
        <f t="shared" si="25"/>
        <v>0</v>
      </c>
      <c r="Z132" s="139">
        <f t="shared" si="25"/>
        <v>0</v>
      </c>
      <c r="AA132" s="139">
        <f t="shared" si="25"/>
        <v>0</v>
      </c>
      <c r="AB132" s="139">
        <f t="shared" si="25"/>
        <v>0</v>
      </c>
      <c r="AC132" s="139">
        <f t="shared" si="25"/>
        <v>0</v>
      </c>
      <c r="AD132" s="139">
        <f t="shared" si="25"/>
        <v>0</v>
      </c>
      <c r="AE132" s="139">
        <f t="shared" si="25"/>
        <v>0</v>
      </c>
      <c r="AF132" s="138"/>
      <c r="AG132" s="138"/>
      <c r="AH132" s="138"/>
      <c r="AI132" s="138"/>
    </row>
    <row r="133" spans="2:35" customFormat="1" ht="15" x14ac:dyDescent="0.25">
      <c r="B133" s="14" t="s">
        <v>2709</v>
      </c>
      <c r="C133" s="14" t="s">
        <v>2672</v>
      </c>
      <c r="D133" s="15" t="s">
        <v>2710</v>
      </c>
      <c r="E133" s="16" t="s">
        <v>1854</v>
      </c>
      <c r="F133" s="14" t="s">
        <v>2699</v>
      </c>
      <c r="G133" s="17"/>
      <c r="H133" s="17"/>
      <c r="K133" s="136"/>
      <c r="L133" s="137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37">
        <f t="shared" si="26"/>
        <v>0</v>
      </c>
      <c r="N133" s="137">
        <f t="shared" si="26"/>
        <v>0</v>
      </c>
      <c r="O133" s="137">
        <f t="shared" si="26"/>
        <v>0</v>
      </c>
      <c r="P133" s="137">
        <f t="shared" si="26"/>
        <v>0</v>
      </c>
      <c r="Q133" s="137">
        <f t="shared" si="26"/>
        <v>0</v>
      </c>
      <c r="R133" s="137">
        <f t="shared" si="26"/>
        <v>0</v>
      </c>
      <c r="S133" s="137">
        <f t="shared" si="26"/>
        <v>0</v>
      </c>
      <c r="T133" s="137">
        <f t="shared" si="26"/>
        <v>0</v>
      </c>
      <c r="U133" s="137">
        <f t="shared" si="26"/>
        <v>0</v>
      </c>
      <c r="V133" s="137">
        <f t="shared" si="26"/>
        <v>0</v>
      </c>
      <c r="W133" s="137">
        <f t="shared" si="26"/>
        <v>0</v>
      </c>
      <c r="X133" s="137">
        <f t="shared" si="26"/>
        <v>0</v>
      </c>
      <c r="Y133" s="137">
        <f t="shared" si="26"/>
        <v>0</v>
      </c>
      <c r="Z133" s="137">
        <f t="shared" si="26"/>
        <v>0</v>
      </c>
      <c r="AA133" s="137">
        <f t="shared" si="26"/>
        <v>0</v>
      </c>
      <c r="AB133" s="137">
        <f t="shared" si="26"/>
        <v>0</v>
      </c>
      <c r="AC133" s="137">
        <f t="shared" si="26"/>
        <v>0</v>
      </c>
      <c r="AD133" s="137">
        <f t="shared" si="26"/>
        <v>0</v>
      </c>
      <c r="AE133" s="137">
        <f t="shared" si="26"/>
        <v>0</v>
      </c>
      <c r="AF133" s="138"/>
      <c r="AG133" s="138"/>
      <c r="AH133" s="138"/>
      <c r="AI133" s="138"/>
    </row>
    <row r="134" spans="2:35" customFormat="1" ht="15" x14ac:dyDescent="0.25">
      <c r="B134" s="14" t="s">
        <v>2711</v>
      </c>
      <c r="C134" s="14" t="s">
        <v>2672</v>
      </c>
      <c r="D134" s="15" t="s">
        <v>2712</v>
      </c>
      <c r="E134" s="16" t="s">
        <v>2702</v>
      </c>
      <c r="F134" s="14" t="s">
        <v>2703</v>
      </c>
      <c r="G134" s="17"/>
      <c r="H134" s="17"/>
      <c r="K134" s="136"/>
      <c r="L134" s="139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39">
        <f t="shared" si="27"/>
        <v>0</v>
      </c>
      <c r="N134" s="139">
        <f t="shared" si="27"/>
        <v>0</v>
      </c>
      <c r="O134" s="139">
        <f t="shared" si="27"/>
        <v>0</v>
      </c>
      <c r="P134" s="139">
        <f t="shared" si="27"/>
        <v>0</v>
      </c>
      <c r="Q134" s="139">
        <f t="shared" si="27"/>
        <v>0</v>
      </c>
      <c r="R134" s="139">
        <f t="shared" si="27"/>
        <v>0</v>
      </c>
      <c r="S134" s="139">
        <f t="shared" si="27"/>
        <v>0</v>
      </c>
      <c r="T134" s="139">
        <f t="shared" si="27"/>
        <v>0</v>
      </c>
      <c r="U134" s="139">
        <f t="shared" si="27"/>
        <v>0</v>
      </c>
      <c r="V134" s="139">
        <f t="shared" si="27"/>
        <v>0</v>
      </c>
      <c r="W134" s="139">
        <f t="shared" si="27"/>
        <v>0</v>
      </c>
      <c r="X134" s="139">
        <f t="shared" si="27"/>
        <v>0</v>
      </c>
      <c r="Y134" s="139">
        <f t="shared" si="27"/>
        <v>0</v>
      </c>
      <c r="Z134" s="139">
        <f t="shared" si="27"/>
        <v>0</v>
      </c>
      <c r="AA134" s="139">
        <f t="shared" si="27"/>
        <v>0</v>
      </c>
      <c r="AB134" s="139">
        <f t="shared" si="27"/>
        <v>0</v>
      </c>
      <c r="AC134" s="139">
        <f t="shared" si="27"/>
        <v>0</v>
      </c>
      <c r="AD134" s="139">
        <f t="shared" si="27"/>
        <v>0</v>
      </c>
      <c r="AE134" s="139">
        <f t="shared" si="27"/>
        <v>0</v>
      </c>
      <c r="AF134" s="138"/>
      <c r="AG134" s="138"/>
      <c r="AH134" s="138"/>
      <c r="AI134" s="138"/>
    </row>
    <row r="135" spans="2:35" customFormat="1" ht="15" x14ac:dyDescent="0.25">
      <c r="B135" s="14" t="s">
        <v>2713</v>
      </c>
      <c r="C135" s="14" t="s">
        <v>2672</v>
      </c>
      <c r="D135" s="15" t="s">
        <v>2714</v>
      </c>
      <c r="E135" s="16" t="s">
        <v>1398</v>
      </c>
      <c r="F135" s="14" t="s">
        <v>2706</v>
      </c>
      <c r="G135" s="17"/>
      <c r="H135" s="17"/>
      <c r="K135" s="136"/>
      <c r="L135" s="137">
        <f t="shared" ref="L135:AE135" si="28">IF(L$122&lt;=0,0,IF(L$134&lt;=0,L$131,MIN($F$5,IF(L$131-(L$133-L$122)/L$134&lt;=0,L$131/2,L$131-(L$133-L$122)/L$134))))</f>
        <v>0</v>
      </c>
      <c r="M135" s="137">
        <f t="shared" si="28"/>
        <v>0</v>
      </c>
      <c r="N135" s="137">
        <f t="shared" si="28"/>
        <v>0</v>
      </c>
      <c r="O135" s="137">
        <f t="shared" si="28"/>
        <v>0</v>
      </c>
      <c r="P135" s="137">
        <f t="shared" si="28"/>
        <v>0</v>
      </c>
      <c r="Q135" s="137">
        <f t="shared" si="28"/>
        <v>0</v>
      </c>
      <c r="R135" s="137">
        <f t="shared" si="28"/>
        <v>0</v>
      </c>
      <c r="S135" s="137">
        <f t="shared" si="28"/>
        <v>0</v>
      </c>
      <c r="T135" s="137">
        <f t="shared" si="28"/>
        <v>0</v>
      </c>
      <c r="U135" s="137">
        <f t="shared" si="28"/>
        <v>0</v>
      </c>
      <c r="V135" s="137">
        <f t="shared" si="28"/>
        <v>0</v>
      </c>
      <c r="W135" s="137">
        <f t="shared" si="28"/>
        <v>0</v>
      </c>
      <c r="X135" s="137">
        <f t="shared" si="28"/>
        <v>0</v>
      </c>
      <c r="Y135" s="137">
        <f t="shared" si="28"/>
        <v>0</v>
      </c>
      <c r="Z135" s="137">
        <f t="shared" si="28"/>
        <v>0</v>
      </c>
      <c r="AA135" s="137">
        <f t="shared" si="28"/>
        <v>0</v>
      </c>
      <c r="AB135" s="137">
        <f t="shared" si="28"/>
        <v>0</v>
      </c>
      <c r="AC135" s="137">
        <f t="shared" si="28"/>
        <v>0</v>
      </c>
      <c r="AD135" s="137">
        <f t="shared" si="28"/>
        <v>0</v>
      </c>
      <c r="AE135" s="137">
        <f t="shared" si="28"/>
        <v>0</v>
      </c>
      <c r="AF135" s="138"/>
      <c r="AG135" s="138"/>
      <c r="AH135" s="138"/>
      <c r="AI135" s="138"/>
    </row>
    <row r="136" spans="2:35" customFormat="1" ht="15" x14ac:dyDescent="0.25">
      <c r="B136" s="14" t="s">
        <v>2715</v>
      </c>
      <c r="C136" s="14" t="s">
        <v>2672</v>
      </c>
      <c r="D136" s="15" t="s">
        <v>2716</v>
      </c>
      <c r="E136" s="16" t="s">
        <v>2065</v>
      </c>
      <c r="F136" s="14" t="s">
        <v>2696</v>
      </c>
      <c r="G136" s="17"/>
      <c r="H136" s="17"/>
      <c r="K136" s="136"/>
      <c r="L136" s="139">
        <f t="shared" ref="L136:AE136" si="29">SUMPRODUCT(L$45:L$52*(1-EXP(-L$55:L$62*L$135)))+SUMPRODUCT(L$101:L$116*(1-EXP(-L$65:L$80*L$135)))</f>
        <v>0</v>
      </c>
      <c r="M136" s="139">
        <f t="shared" si="29"/>
        <v>0</v>
      </c>
      <c r="N136" s="139">
        <f t="shared" si="29"/>
        <v>0</v>
      </c>
      <c r="O136" s="139">
        <f t="shared" si="29"/>
        <v>0</v>
      </c>
      <c r="P136" s="139">
        <f t="shared" si="29"/>
        <v>0</v>
      </c>
      <c r="Q136" s="139">
        <f t="shared" si="29"/>
        <v>0</v>
      </c>
      <c r="R136" s="139">
        <f t="shared" si="29"/>
        <v>0</v>
      </c>
      <c r="S136" s="139">
        <f t="shared" si="29"/>
        <v>0</v>
      </c>
      <c r="T136" s="139">
        <f t="shared" si="29"/>
        <v>0</v>
      </c>
      <c r="U136" s="139">
        <f t="shared" si="29"/>
        <v>0</v>
      </c>
      <c r="V136" s="139">
        <f t="shared" si="29"/>
        <v>0</v>
      </c>
      <c r="W136" s="139">
        <f t="shared" si="29"/>
        <v>0</v>
      </c>
      <c r="X136" s="139">
        <f t="shared" si="29"/>
        <v>0</v>
      </c>
      <c r="Y136" s="139">
        <f t="shared" si="29"/>
        <v>0</v>
      </c>
      <c r="Z136" s="139">
        <f t="shared" si="29"/>
        <v>0</v>
      </c>
      <c r="AA136" s="139">
        <f t="shared" si="29"/>
        <v>0</v>
      </c>
      <c r="AB136" s="139">
        <f t="shared" si="29"/>
        <v>0</v>
      </c>
      <c r="AC136" s="139">
        <f t="shared" si="29"/>
        <v>0</v>
      </c>
      <c r="AD136" s="139">
        <f t="shared" si="29"/>
        <v>0</v>
      </c>
      <c r="AE136" s="139">
        <f t="shared" si="29"/>
        <v>0</v>
      </c>
      <c r="AF136" s="138"/>
      <c r="AG136" s="138"/>
      <c r="AH136" s="138"/>
      <c r="AI136" s="138"/>
    </row>
    <row r="137" spans="2:35" customFormat="1" ht="15" x14ac:dyDescent="0.25">
      <c r="B137" s="14" t="s">
        <v>2717</v>
      </c>
      <c r="C137" s="14" t="s">
        <v>2672</v>
      </c>
      <c r="D137" s="15" t="s">
        <v>2718</v>
      </c>
      <c r="E137" s="16" t="s">
        <v>1854</v>
      </c>
      <c r="F137" s="14" t="s">
        <v>2699</v>
      </c>
      <c r="G137" s="17"/>
      <c r="H137" s="17"/>
      <c r="K137" s="136"/>
      <c r="L137" s="137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37">
        <f t="shared" si="30"/>
        <v>0</v>
      </c>
      <c r="N137" s="137">
        <f t="shared" si="30"/>
        <v>0</v>
      </c>
      <c r="O137" s="137">
        <f t="shared" si="30"/>
        <v>0</v>
      </c>
      <c r="P137" s="137">
        <f t="shared" si="30"/>
        <v>0</v>
      </c>
      <c r="Q137" s="137">
        <f t="shared" si="30"/>
        <v>0</v>
      </c>
      <c r="R137" s="137">
        <f t="shared" si="30"/>
        <v>0</v>
      </c>
      <c r="S137" s="137">
        <f t="shared" si="30"/>
        <v>0</v>
      </c>
      <c r="T137" s="137">
        <f t="shared" si="30"/>
        <v>0</v>
      </c>
      <c r="U137" s="137">
        <f t="shared" si="30"/>
        <v>0</v>
      </c>
      <c r="V137" s="137">
        <f t="shared" si="30"/>
        <v>0</v>
      </c>
      <c r="W137" s="137">
        <f t="shared" si="30"/>
        <v>0</v>
      </c>
      <c r="X137" s="137">
        <f t="shared" si="30"/>
        <v>0</v>
      </c>
      <c r="Y137" s="137">
        <f t="shared" si="30"/>
        <v>0</v>
      </c>
      <c r="Z137" s="137">
        <f t="shared" si="30"/>
        <v>0</v>
      </c>
      <c r="AA137" s="137">
        <f t="shared" si="30"/>
        <v>0</v>
      </c>
      <c r="AB137" s="137">
        <f t="shared" si="30"/>
        <v>0</v>
      </c>
      <c r="AC137" s="137">
        <f t="shared" si="30"/>
        <v>0</v>
      </c>
      <c r="AD137" s="137">
        <f t="shared" si="30"/>
        <v>0</v>
      </c>
      <c r="AE137" s="137">
        <f t="shared" si="30"/>
        <v>0</v>
      </c>
      <c r="AF137" s="138"/>
      <c r="AG137" s="138"/>
      <c r="AH137" s="138"/>
      <c r="AI137" s="138"/>
    </row>
    <row r="138" spans="2:35" customFormat="1" ht="15" x14ac:dyDescent="0.25">
      <c r="B138" s="14" t="s">
        <v>2719</v>
      </c>
      <c r="C138" s="14" t="s">
        <v>2672</v>
      </c>
      <c r="D138" s="15" t="s">
        <v>2720</v>
      </c>
      <c r="E138" s="16" t="s">
        <v>2702</v>
      </c>
      <c r="F138" s="14" t="s">
        <v>2703</v>
      </c>
      <c r="G138" s="17"/>
      <c r="H138" s="17"/>
      <c r="K138" s="136"/>
      <c r="L138" s="139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39">
        <f t="shared" si="31"/>
        <v>0</v>
      </c>
      <c r="N138" s="139">
        <f t="shared" si="31"/>
        <v>0</v>
      </c>
      <c r="O138" s="139">
        <f t="shared" si="31"/>
        <v>0</v>
      </c>
      <c r="P138" s="139">
        <f t="shared" si="31"/>
        <v>0</v>
      </c>
      <c r="Q138" s="139">
        <f t="shared" si="31"/>
        <v>0</v>
      </c>
      <c r="R138" s="139">
        <f t="shared" si="31"/>
        <v>0</v>
      </c>
      <c r="S138" s="139">
        <f t="shared" si="31"/>
        <v>0</v>
      </c>
      <c r="T138" s="139">
        <f t="shared" si="31"/>
        <v>0</v>
      </c>
      <c r="U138" s="139">
        <f t="shared" si="31"/>
        <v>0</v>
      </c>
      <c r="V138" s="139">
        <f t="shared" si="31"/>
        <v>0</v>
      </c>
      <c r="W138" s="139">
        <f t="shared" si="31"/>
        <v>0</v>
      </c>
      <c r="X138" s="139">
        <f t="shared" si="31"/>
        <v>0</v>
      </c>
      <c r="Y138" s="139">
        <f t="shared" si="31"/>
        <v>0</v>
      </c>
      <c r="Z138" s="139">
        <f t="shared" si="31"/>
        <v>0</v>
      </c>
      <c r="AA138" s="139">
        <f t="shared" si="31"/>
        <v>0</v>
      </c>
      <c r="AB138" s="139">
        <f t="shared" si="31"/>
        <v>0</v>
      </c>
      <c r="AC138" s="139">
        <f t="shared" si="31"/>
        <v>0</v>
      </c>
      <c r="AD138" s="139">
        <f t="shared" si="31"/>
        <v>0</v>
      </c>
      <c r="AE138" s="139">
        <f t="shared" si="31"/>
        <v>0</v>
      </c>
      <c r="AF138" s="138"/>
      <c r="AG138" s="138"/>
      <c r="AH138" s="138"/>
      <c r="AI138" s="138"/>
    </row>
    <row r="139" spans="2:35" customFormat="1" ht="15" x14ac:dyDescent="0.25">
      <c r="B139" s="14" t="s">
        <v>2721</v>
      </c>
      <c r="C139" s="14" t="s">
        <v>2672</v>
      </c>
      <c r="D139" s="15" t="s">
        <v>2722</v>
      </c>
      <c r="E139" s="16" t="s">
        <v>1398</v>
      </c>
      <c r="F139" s="14" t="s">
        <v>2706</v>
      </c>
      <c r="G139" s="17"/>
      <c r="H139" s="17"/>
      <c r="K139" s="136"/>
      <c r="L139" s="137">
        <f t="shared" ref="L139:AE139" si="32">IF(L$122&lt;=0,0,IF(L$138&lt;=0,L$135,MIN($F$5,IF(L$135-(L$137-L$122)/L$138&lt;=0,L$135/2,L$135-(L$137-L$122)/L$138))))</f>
        <v>0</v>
      </c>
      <c r="M139" s="137">
        <f t="shared" si="32"/>
        <v>0</v>
      </c>
      <c r="N139" s="137">
        <f t="shared" si="32"/>
        <v>0</v>
      </c>
      <c r="O139" s="137">
        <f t="shared" si="32"/>
        <v>0</v>
      </c>
      <c r="P139" s="137">
        <f t="shared" si="32"/>
        <v>0</v>
      </c>
      <c r="Q139" s="137">
        <f t="shared" si="32"/>
        <v>0</v>
      </c>
      <c r="R139" s="137">
        <f t="shared" si="32"/>
        <v>0</v>
      </c>
      <c r="S139" s="137">
        <f t="shared" si="32"/>
        <v>0</v>
      </c>
      <c r="T139" s="137">
        <f t="shared" si="32"/>
        <v>0</v>
      </c>
      <c r="U139" s="137">
        <f t="shared" si="32"/>
        <v>0</v>
      </c>
      <c r="V139" s="137">
        <f t="shared" si="32"/>
        <v>0</v>
      </c>
      <c r="W139" s="137">
        <f t="shared" si="32"/>
        <v>0</v>
      </c>
      <c r="X139" s="137">
        <f t="shared" si="32"/>
        <v>0</v>
      </c>
      <c r="Y139" s="137">
        <f t="shared" si="32"/>
        <v>0</v>
      </c>
      <c r="Z139" s="137">
        <f t="shared" si="32"/>
        <v>0</v>
      </c>
      <c r="AA139" s="137">
        <f t="shared" si="32"/>
        <v>0</v>
      </c>
      <c r="AB139" s="137">
        <f t="shared" si="32"/>
        <v>0</v>
      </c>
      <c r="AC139" s="137">
        <f t="shared" si="32"/>
        <v>0</v>
      </c>
      <c r="AD139" s="137">
        <f t="shared" si="32"/>
        <v>0</v>
      </c>
      <c r="AE139" s="137">
        <f t="shared" si="32"/>
        <v>0</v>
      </c>
      <c r="AF139" s="138"/>
      <c r="AG139" s="138"/>
      <c r="AH139" s="138"/>
      <c r="AI139" s="138"/>
    </row>
    <row r="140" spans="2:35" customFormat="1" ht="15" x14ac:dyDescent="0.25">
      <c r="B140" s="14" t="s">
        <v>2723</v>
      </c>
      <c r="C140" s="14" t="s">
        <v>2672</v>
      </c>
      <c r="D140" s="15" t="s">
        <v>2724</v>
      </c>
      <c r="E140" s="16" t="s">
        <v>2065</v>
      </c>
      <c r="F140" s="14" t="s">
        <v>2696</v>
      </c>
      <c r="G140" s="17"/>
      <c r="H140" s="17"/>
      <c r="K140" s="136"/>
      <c r="L140" s="139">
        <f t="shared" ref="L140:AE140" si="33">SUMPRODUCT(L$45:L$52*(1-EXP(-L$55:L$62*L$139)))+SUMPRODUCT(L$101:L$116*(1-EXP(-L$65:L$80*L$139)))</f>
        <v>0</v>
      </c>
      <c r="M140" s="139">
        <f t="shared" si="33"/>
        <v>0</v>
      </c>
      <c r="N140" s="139">
        <f t="shared" si="33"/>
        <v>0</v>
      </c>
      <c r="O140" s="139">
        <f t="shared" si="33"/>
        <v>0</v>
      </c>
      <c r="P140" s="139">
        <f t="shared" si="33"/>
        <v>0</v>
      </c>
      <c r="Q140" s="139">
        <f t="shared" si="33"/>
        <v>0</v>
      </c>
      <c r="R140" s="139">
        <f t="shared" si="33"/>
        <v>0</v>
      </c>
      <c r="S140" s="139">
        <f t="shared" si="33"/>
        <v>0</v>
      </c>
      <c r="T140" s="139">
        <f t="shared" si="33"/>
        <v>0</v>
      </c>
      <c r="U140" s="139">
        <f t="shared" si="33"/>
        <v>0</v>
      </c>
      <c r="V140" s="139">
        <f t="shared" si="33"/>
        <v>0</v>
      </c>
      <c r="W140" s="139">
        <f t="shared" si="33"/>
        <v>0</v>
      </c>
      <c r="X140" s="139">
        <f t="shared" si="33"/>
        <v>0</v>
      </c>
      <c r="Y140" s="139">
        <f t="shared" si="33"/>
        <v>0</v>
      </c>
      <c r="Z140" s="139">
        <f t="shared" si="33"/>
        <v>0</v>
      </c>
      <c r="AA140" s="139">
        <f t="shared" si="33"/>
        <v>0</v>
      </c>
      <c r="AB140" s="139">
        <f t="shared" si="33"/>
        <v>0</v>
      </c>
      <c r="AC140" s="139">
        <f t="shared" si="33"/>
        <v>0</v>
      </c>
      <c r="AD140" s="139">
        <f t="shared" si="33"/>
        <v>0</v>
      </c>
      <c r="AE140" s="139">
        <f t="shared" si="33"/>
        <v>0</v>
      </c>
      <c r="AF140" s="138"/>
      <c r="AG140" s="138"/>
      <c r="AH140" s="138"/>
      <c r="AI140" s="138"/>
    </row>
    <row r="141" spans="2:35" customFormat="1" ht="15" x14ac:dyDescent="0.25">
      <c r="B141" s="14" t="s">
        <v>2725</v>
      </c>
      <c r="C141" s="14" t="s">
        <v>2672</v>
      </c>
      <c r="D141" s="15" t="s">
        <v>2726</v>
      </c>
      <c r="E141" s="16" t="s">
        <v>1854</v>
      </c>
      <c r="F141" s="14" t="s">
        <v>2699</v>
      </c>
      <c r="G141" s="17"/>
      <c r="H141" s="17"/>
      <c r="K141" s="136"/>
      <c r="L141" s="137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37">
        <f t="shared" si="34"/>
        <v>0</v>
      </c>
      <c r="N141" s="137">
        <f t="shared" si="34"/>
        <v>0</v>
      </c>
      <c r="O141" s="137">
        <f t="shared" si="34"/>
        <v>0</v>
      </c>
      <c r="P141" s="137">
        <f t="shared" si="34"/>
        <v>0</v>
      </c>
      <c r="Q141" s="137">
        <f t="shared" si="34"/>
        <v>0</v>
      </c>
      <c r="R141" s="137">
        <f t="shared" si="34"/>
        <v>0</v>
      </c>
      <c r="S141" s="137">
        <f t="shared" si="34"/>
        <v>0</v>
      </c>
      <c r="T141" s="137">
        <f t="shared" si="34"/>
        <v>0</v>
      </c>
      <c r="U141" s="137">
        <f t="shared" si="34"/>
        <v>0</v>
      </c>
      <c r="V141" s="137">
        <f t="shared" si="34"/>
        <v>0</v>
      </c>
      <c r="W141" s="137">
        <f t="shared" si="34"/>
        <v>0</v>
      </c>
      <c r="X141" s="137">
        <f t="shared" si="34"/>
        <v>0</v>
      </c>
      <c r="Y141" s="137">
        <f t="shared" si="34"/>
        <v>0</v>
      </c>
      <c r="Z141" s="137">
        <f t="shared" si="34"/>
        <v>0</v>
      </c>
      <c r="AA141" s="137">
        <f t="shared" si="34"/>
        <v>0</v>
      </c>
      <c r="AB141" s="137">
        <f t="shared" si="34"/>
        <v>0</v>
      </c>
      <c r="AC141" s="137">
        <f t="shared" si="34"/>
        <v>0</v>
      </c>
      <c r="AD141" s="137">
        <f t="shared" si="34"/>
        <v>0</v>
      </c>
      <c r="AE141" s="137">
        <f t="shared" si="34"/>
        <v>0</v>
      </c>
      <c r="AF141" s="138"/>
      <c r="AG141" s="138"/>
      <c r="AH141" s="138"/>
      <c r="AI141" s="138"/>
    </row>
    <row r="142" spans="2:35" customFormat="1" ht="15" x14ac:dyDescent="0.25">
      <c r="B142" s="14" t="s">
        <v>2727</v>
      </c>
      <c r="C142" s="14" t="s">
        <v>2672</v>
      </c>
      <c r="D142" s="15" t="s">
        <v>2728</v>
      </c>
      <c r="E142" s="16" t="s">
        <v>2702</v>
      </c>
      <c r="F142" s="14" t="s">
        <v>2703</v>
      </c>
      <c r="G142" s="17"/>
      <c r="H142" s="17"/>
      <c r="K142" s="136"/>
      <c r="L142" s="139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39">
        <f t="shared" si="35"/>
        <v>0</v>
      </c>
      <c r="N142" s="139">
        <f t="shared" si="35"/>
        <v>0</v>
      </c>
      <c r="O142" s="139">
        <f t="shared" si="35"/>
        <v>0</v>
      </c>
      <c r="P142" s="139">
        <f t="shared" si="35"/>
        <v>0</v>
      </c>
      <c r="Q142" s="139">
        <f t="shared" si="35"/>
        <v>0</v>
      </c>
      <c r="R142" s="139">
        <f t="shared" si="35"/>
        <v>0</v>
      </c>
      <c r="S142" s="139">
        <f t="shared" si="35"/>
        <v>0</v>
      </c>
      <c r="T142" s="139">
        <f t="shared" si="35"/>
        <v>0</v>
      </c>
      <c r="U142" s="139">
        <f t="shared" si="35"/>
        <v>0</v>
      </c>
      <c r="V142" s="139">
        <f t="shared" si="35"/>
        <v>0</v>
      </c>
      <c r="W142" s="139">
        <f t="shared" si="35"/>
        <v>0</v>
      </c>
      <c r="X142" s="139">
        <f t="shared" si="35"/>
        <v>0</v>
      </c>
      <c r="Y142" s="139">
        <f t="shared" si="35"/>
        <v>0</v>
      </c>
      <c r="Z142" s="139">
        <f t="shared" si="35"/>
        <v>0</v>
      </c>
      <c r="AA142" s="139">
        <f t="shared" si="35"/>
        <v>0</v>
      </c>
      <c r="AB142" s="139">
        <f t="shared" si="35"/>
        <v>0</v>
      </c>
      <c r="AC142" s="139">
        <f t="shared" si="35"/>
        <v>0</v>
      </c>
      <c r="AD142" s="139">
        <f t="shared" si="35"/>
        <v>0</v>
      </c>
      <c r="AE142" s="139">
        <f t="shared" si="35"/>
        <v>0</v>
      </c>
      <c r="AF142" s="138"/>
      <c r="AG142" s="138"/>
      <c r="AH142" s="138"/>
      <c r="AI142" s="138"/>
    </row>
    <row r="143" spans="2:35" customFormat="1" ht="15" x14ac:dyDescent="0.25">
      <c r="B143" s="14" t="s">
        <v>2729</v>
      </c>
      <c r="C143" s="14" t="s">
        <v>2672</v>
      </c>
      <c r="D143" s="15" t="s">
        <v>2730</v>
      </c>
      <c r="E143" s="16" t="s">
        <v>1398</v>
      </c>
      <c r="F143" s="14" t="s">
        <v>2706</v>
      </c>
      <c r="G143" s="17"/>
      <c r="H143" s="17"/>
      <c r="K143" s="136"/>
      <c r="L143" s="137">
        <f t="shared" ref="L143:AE143" si="36">IF(L$122&lt;=0,0,IF(L$142&lt;=0,L$139,MIN($F$5,IF(L$139-(L$141-L$122)/L$142&lt;=0,L$139/2,L$139-(L$141-L$122)/L$142))))</f>
        <v>0</v>
      </c>
      <c r="M143" s="137">
        <f t="shared" si="36"/>
        <v>0</v>
      </c>
      <c r="N143" s="137">
        <f t="shared" si="36"/>
        <v>0</v>
      </c>
      <c r="O143" s="137">
        <f t="shared" si="36"/>
        <v>0</v>
      </c>
      <c r="P143" s="137">
        <f t="shared" si="36"/>
        <v>0</v>
      </c>
      <c r="Q143" s="137">
        <f t="shared" si="36"/>
        <v>0</v>
      </c>
      <c r="R143" s="137">
        <f t="shared" si="36"/>
        <v>0</v>
      </c>
      <c r="S143" s="137">
        <f t="shared" si="36"/>
        <v>0</v>
      </c>
      <c r="T143" s="137">
        <f t="shared" si="36"/>
        <v>0</v>
      </c>
      <c r="U143" s="137">
        <f t="shared" si="36"/>
        <v>0</v>
      </c>
      <c r="V143" s="137">
        <f t="shared" si="36"/>
        <v>0</v>
      </c>
      <c r="W143" s="137">
        <f t="shared" si="36"/>
        <v>0</v>
      </c>
      <c r="X143" s="137">
        <f t="shared" si="36"/>
        <v>0</v>
      </c>
      <c r="Y143" s="137">
        <f t="shared" si="36"/>
        <v>0</v>
      </c>
      <c r="Z143" s="137">
        <f t="shared" si="36"/>
        <v>0</v>
      </c>
      <c r="AA143" s="137">
        <f t="shared" si="36"/>
        <v>0</v>
      </c>
      <c r="AB143" s="137">
        <f t="shared" si="36"/>
        <v>0</v>
      </c>
      <c r="AC143" s="137">
        <f t="shared" si="36"/>
        <v>0</v>
      </c>
      <c r="AD143" s="137">
        <f t="shared" si="36"/>
        <v>0</v>
      </c>
      <c r="AE143" s="137">
        <f t="shared" si="36"/>
        <v>0</v>
      </c>
      <c r="AF143" s="138"/>
      <c r="AG143" s="138"/>
      <c r="AH143" s="138"/>
      <c r="AI143" s="138"/>
    </row>
    <row r="144" spans="2:35" customFormat="1" ht="15" x14ac:dyDescent="0.25">
      <c r="B144" s="14" t="s">
        <v>2731</v>
      </c>
      <c r="C144" s="14" t="s">
        <v>2672</v>
      </c>
      <c r="D144" s="15" t="s">
        <v>2732</v>
      </c>
      <c r="E144" s="16" t="s">
        <v>2065</v>
      </c>
      <c r="F144" s="14" t="s">
        <v>2696</v>
      </c>
      <c r="G144" s="17"/>
      <c r="H144" s="17"/>
      <c r="K144" s="136"/>
      <c r="L144" s="139">
        <f t="shared" ref="L144:AE144" si="37">SUMPRODUCT(L$45:L$52*(1-EXP(-L$55:L$62*L$143)))+SUMPRODUCT(L$101:L$116*(1-EXP(-L$65:L$80*L$143)))</f>
        <v>0</v>
      </c>
      <c r="M144" s="139">
        <f t="shared" si="37"/>
        <v>0</v>
      </c>
      <c r="N144" s="139">
        <f t="shared" si="37"/>
        <v>0</v>
      </c>
      <c r="O144" s="139">
        <f t="shared" si="37"/>
        <v>0</v>
      </c>
      <c r="P144" s="139">
        <f t="shared" si="37"/>
        <v>0</v>
      </c>
      <c r="Q144" s="139">
        <f t="shared" si="37"/>
        <v>0</v>
      </c>
      <c r="R144" s="139">
        <f t="shared" si="37"/>
        <v>0</v>
      </c>
      <c r="S144" s="139">
        <f t="shared" si="37"/>
        <v>0</v>
      </c>
      <c r="T144" s="139">
        <f t="shared" si="37"/>
        <v>0</v>
      </c>
      <c r="U144" s="139">
        <f t="shared" si="37"/>
        <v>0</v>
      </c>
      <c r="V144" s="139">
        <f t="shared" si="37"/>
        <v>0</v>
      </c>
      <c r="W144" s="139">
        <f t="shared" si="37"/>
        <v>0</v>
      </c>
      <c r="X144" s="139">
        <f t="shared" si="37"/>
        <v>0</v>
      </c>
      <c r="Y144" s="139">
        <f t="shared" si="37"/>
        <v>0</v>
      </c>
      <c r="Z144" s="139">
        <f t="shared" si="37"/>
        <v>0</v>
      </c>
      <c r="AA144" s="139">
        <f t="shared" si="37"/>
        <v>0</v>
      </c>
      <c r="AB144" s="139">
        <f t="shared" si="37"/>
        <v>0</v>
      </c>
      <c r="AC144" s="139">
        <f t="shared" si="37"/>
        <v>0</v>
      </c>
      <c r="AD144" s="139">
        <f t="shared" si="37"/>
        <v>0</v>
      </c>
      <c r="AE144" s="139">
        <f t="shared" si="37"/>
        <v>0</v>
      </c>
      <c r="AF144" s="138"/>
      <c r="AG144" s="138"/>
      <c r="AH144" s="138"/>
      <c r="AI144" s="138"/>
    </row>
    <row r="145" spans="2:35" customFormat="1" ht="15" x14ac:dyDescent="0.25">
      <c r="B145" s="14" t="s">
        <v>2733</v>
      </c>
      <c r="C145" s="14" t="s">
        <v>2672</v>
      </c>
      <c r="D145" s="15" t="s">
        <v>2734</v>
      </c>
      <c r="E145" s="16" t="s">
        <v>1854</v>
      </c>
      <c r="F145" s="14" t="s">
        <v>2699</v>
      </c>
      <c r="G145" s="17"/>
      <c r="H145" s="17"/>
      <c r="K145" s="136"/>
      <c r="L145" s="137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37">
        <f t="shared" si="38"/>
        <v>0</v>
      </c>
      <c r="N145" s="137">
        <f t="shared" si="38"/>
        <v>0</v>
      </c>
      <c r="O145" s="137">
        <f t="shared" si="38"/>
        <v>0</v>
      </c>
      <c r="P145" s="137">
        <f t="shared" si="38"/>
        <v>0</v>
      </c>
      <c r="Q145" s="137">
        <f t="shared" si="38"/>
        <v>0</v>
      </c>
      <c r="R145" s="137">
        <f t="shared" si="38"/>
        <v>0</v>
      </c>
      <c r="S145" s="137">
        <f t="shared" si="38"/>
        <v>0</v>
      </c>
      <c r="T145" s="137">
        <f t="shared" si="38"/>
        <v>0</v>
      </c>
      <c r="U145" s="137">
        <f t="shared" si="38"/>
        <v>0</v>
      </c>
      <c r="V145" s="137">
        <f t="shared" si="38"/>
        <v>0</v>
      </c>
      <c r="W145" s="137">
        <f t="shared" si="38"/>
        <v>0</v>
      </c>
      <c r="X145" s="137">
        <f t="shared" si="38"/>
        <v>0</v>
      </c>
      <c r="Y145" s="137">
        <f t="shared" si="38"/>
        <v>0</v>
      </c>
      <c r="Z145" s="137">
        <f t="shared" si="38"/>
        <v>0</v>
      </c>
      <c r="AA145" s="137">
        <f t="shared" si="38"/>
        <v>0</v>
      </c>
      <c r="AB145" s="137">
        <f t="shared" si="38"/>
        <v>0</v>
      </c>
      <c r="AC145" s="137">
        <f t="shared" si="38"/>
        <v>0</v>
      </c>
      <c r="AD145" s="137">
        <f t="shared" si="38"/>
        <v>0</v>
      </c>
      <c r="AE145" s="137">
        <f t="shared" si="38"/>
        <v>0</v>
      </c>
      <c r="AF145" s="138"/>
      <c r="AG145" s="138"/>
      <c r="AH145" s="138"/>
      <c r="AI145" s="138"/>
    </row>
    <row r="146" spans="2:35" customFormat="1" ht="15" x14ac:dyDescent="0.25">
      <c r="B146" s="14" t="s">
        <v>2735</v>
      </c>
      <c r="C146" s="14" t="s">
        <v>2672</v>
      </c>
      <c r="D146" s="15" t="s">
        <v>2736</v>
      </c>
      <c r="E146" s="16" t="s">
        <v>2702</v>
      </c>
      <c r="F146" s="14" t="s">
        <v>2703</v>
      </c>
      <c r="G146" s="17"/>
      <c r="H146" s="17"/>
      <c r="K146" s="136"/>
      <c r="L146" s="139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39">
        <f t="shared" si="39"/>
        <v>0</v>
      </c>
      <c r="N146" s="139">
        <f t="shared" si="39"/>
        <v>0</v>
      </c>
      <c r="O146" s="139">
        <f t="shared" si="39"/>
        <v>0</v>
      </c>
      <c r="P146" s="139">
        <f t="shared" si="39"/>
        <v>0</v>
      </c>
      <c r="Q146" s="139">
        <f t="shared" si="39"/>
        <v>0</v>
      </c>
      <c r="R146" s="139">
        <f t="shared" si="39"/>
        <v>0</v>
      </c>
      <c r="S146" s="139">
        <f t="shared" si="39"/>
        <v>0</v>
      </c>
      <c r="T146" s="139">
        <f t="shared" si="39"/>
        <v>0</v>
      </c>
      <c r="U146" s="139">
        <f t="shared" si="39"/>
        <v>0</v>
      </c>
      <c r="V146" s="139">
        <f t="shared" si="39"/>
        <v>0</v>
      </c>
      <c r="W146" s="139">
        <f t="shared" si="39"/>
        <v>0</v>
      </c>
      <c r="X146" s="139">
        <f t="shared" si="39"/>
        <v>0</v>
      </c>
      <c r="Y146" s="139">
        <f t="shared" si="39"/>
        <v>0</v>
      </c>
      <c r="Z146" s="139">
        <f t="shared" si="39"/>
        <v>0</v>
      </c>
      <c r="AA146" s="139">
        <f t="shared" si="39"/>
        <v>0</v>
      </c>
      <c r="AB146" s="139">
        <f t="shared" si="39"/>
        <v>0</v>
      </c>
      <c r="AC146" s="139">
        <f t="shared" si="39"/>
        <v>0</v>
      </c>
      <c r="AD146" s="139">
        <f t="shared" si="39"/>
        <v>0</v>
      </c>
      <c r="AE146" s="139">
        <f t="shared" si="39"/>
        <v>0</v>
      </c>
      <c r="AF146" s="138"/>
      <c r="AG146" s="138"/>
      <c r="AH146" s="138"/>
      <c r="AI146" s="138"/>
    </row>
    <row r="147" spans="2:35" customFormat="1" ht="15" x14ac:dyDescent="0.25">
      <c r="B147" s="14" t="s">
        <v>2737</v>
      </c>
      <c r="C147" s="14" t="s">
        <v>2672</v>
      </c>
      <c r="D147" s="15" t="s">
        <v>2738</v>
      </c>
      <c r="E147" s="16" t="s">
        <v>1398</v>
      </c>
      <c r="F147" s="14" t="s">
        <v>2706</v>
      </c>
      <c r="G147" s="17"/>
      <c r="H147" s="17"/>
      <c r="K147" s="136"/>
      <c r="L147" s="137">
        <f t="shared" ref="L147:AE147" si="40">IF(L$122&lt;=0,0,IF(L$146&lt;=0,L$143,MIN($F$5,IF(L$143-(L$145-L$122)/L$146&lt;=0,L$143/2,L$143-(L$145-L$122)/L$146))))</f>
        <v>0</v>
      </c>
      <c r="M147" s="137">
        <f t="shared" si="40"/>
        <v>0</v>
      </c>
      <c r="N147" s="137">
        <f t="shared" si="40"/>
        <v>0</v>
      </c>
      <c r="O147" s="137">
        <f t="shared" si="40"/>
        <v>0</v>
      </c>
      <c r="P147" s="137">
        <f t="shared" si="40"/>
        <v>0</v>
      </c>
      <c r="Q147" s="137">
        <f t="shared" si="40"/>
        <v>0</v>
      </c>
      <c r="R147" s="137">
        <f t="shared" si="40"/>
        <v>0</v>
      </c>
      <c r="S147" s="137">
        <f t="shared" si="40"/>
        <v>0</v>
      </c>
      <c r="T147" s="137">
        <f t="shared" si="40"/>
        <v>0</v>
      </c>
      <c r="U147" s="137">
        <f t="shared" si="40"/>
        <v>0</v>
      </c>
      <c r="V147" s="137">
        <f t="shared" si="40"/>
        <v>0</v>
      </c>
      <c r="W147" s="137">
        <f t="shared" si="40"/>
        <v>0</v>
      </c>
      <c r="X147" s="137">
        <f t="shared" si="40"/>
        <v>0</v>
      </c>
      <c r="Y147" s="137">
        <f t="shared" si="40"/>
        <v>0</v>
      </c>
      <c r="Z147" s="137">
        <f t="shared" si="40"/>
        <v>0</v>
      </c>
      <c r="AA147" s="137">
        <f t="shared" si="40"/>
        <v>0</v>
      </c>
      <c r="AB147" s="137">
        <f t="shared" si="40"/>
        <v>0</v>
      </c>
      <c r="AC147" s="137">
        <f t="shared" si="40"/>
        <v>0</v>
      </c>
      <c r="AD147" s="137">
        <f t="shared" si="40"/>
        <v>0</v>
      </c>
      <c r="AE147" s="137">
        <f t="shared" si="40"/>
        <v>0</v>
      </c>
      <c r="AF147" s="138"/>
      <c r="AG147" s="138"/>
      <c r="AH147" s="138"/>
      <c r="AI147" s="138"/>
    </row>
    <row r="148" spans="2:35" customFormat="1" ht="15" x14ac:dyDescent="0.25">
      <c r="B148" s="14" t="s">
        <v>2739</v>
      </c>
      <c r="C148" s="14" t="s">
        <v>2672</v>
      </c>
      <c r="D148" s="15" t="s">
        <v>2740</v>
      </c>
      <c r="E148" s="16" t="s">
        <v>2065</v>
      </c>
      <c r="F148" s="14" t="s">
        <v>2696</v>
      </c>
      <c r="G148" s="17"/>
      <c r="H148" s="17"/>
      <c r="K148" s="136"/>
      <c r="L148" s="139">
        <f t="shared" ref="L148:AE148" si="41">SUMPRODUCT(L$45:L$52*(1-EXP(-L$55:L$62*L$147)))+SUMPRODUCT(L$101:L$116*(1-EXP(-L$65:L$80*L$147)))</f>
        <v>0</v>
      </c>
      <c r="M148" s="139">
        <f t="shared" si="41"/>
        <v>0</v>
      </c>
      <c r="N148" s="139">
        <f t="shared" si="41"/>
        <v>0</v>
      </c>
      <c r="O148" s="139">
        <f t="shared" si="41"/>
        <v>0</v>
      </c>
      <c r="P148" s="139">
        <f t="shared" si="41"/>
        <v>0</v>
      </c>
      <c r="Q148" s="139">
        <f t="shared" si="41"/>
        <v>0</v>
      </c>
      <c r="R148" s="139">
        <f t="shared" si="41"/>
        <v>0</v>
      </c>
      <c r="S148" s="139">
        <f t="shared" si="41"/>
        <v>0</v>
      </c>
      <c r="T148" s="139">
        <f t="shared" si="41"/>
        <v>0</v>
      </c>
      <c r="U148" s="139">
        <f t="shared" si="41"/>
        <v>0</v>
      </c>
      <c r="V148" s="139">
        <f t="shared" si="41"/>
        <v>0</v>
      </c>
      <c r="W148" s="139">
        <f t="shared" si="41"/>
        <v>0</v>
      </c>
      <c r="X148" s="139">
        <f t="shared" si="41"/>
        <v>0</v>
      </c>
      <c r="Y148" s="139">
        <f t="shared" si="41"/>
        <v>0</v>
      </c>
      <c r="Z148" s="139">
        <f t="shared" si="41"/>
        <v>0</v>
      </c>
      <c r="AA148" s="139">
        <f t="shared" si="41"/>
        <v>0</v>
      </c>
      <c r="AB148" s="139">
        <f t="shared" si="41"/>
        <v>0</v>
      </c>
      <c r="AC148" s="139">
        <f t="shared" si="41"/>
        <v>0</v>
      </c>
      <c r="AD148" s="139">
        <f t="shared" si="41"/>
        <v>0</v>
      </c>
      <c r="AE148" s="139">
        <f t="shared" si="41"/>
        <v>0</v>
      </c>
      <c r="AF148" s="138"/>
      <c r="AG148" s="138"/>
      <c r="AH148" s="138"/>
      <c r="AI148" s="138"/>
    </row>
    <row r="149" spans="2:35" customFormat="1" ht="15" x14ac:dyDescent="0.25">
      <c r="B149" s="14" t="s">
        <v>2741</v>
      </c>
      <c r="C149" s="14" t="s">
        <v>2672</v>
      </c>
      <c r="D149" s="15" t="s">
        <v>2742</v>
      </c>
      <c r="E149" s="16" t="s">
        <v>1854</v>
      </c>
      <c r="F149" s="14" t="s">
        <v>2699</v>
      </c>
      <c r="G149" s="17"/>
      <c r="H149" s="17"/>
      <c r="K149" s="136"/>
      <c r="L149" s="137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37">
        <f t="shared" si="42"/>
        <v>0</v>
      </c>
      <c r="N149" s="137">
        <f t="shared" si="42"/>
        <v>0</v>
      </c>
      <c r="O149" s="137">
        <f t="shared" si="42"/>
        <v>0</v>
      </c>
      <c r="P149" s="137">
        <f t="shared" si="42"/>
        <v>0</v>
      </c>
      <c r="Q149" s="137">
        <f t="shared" si="42"/>
        <v>0</v>
      </c>
      <c r="R149" s="137">
        <f t="shared" si="42"/>
        <v>0</v>
      </c>
      <c r="S149" s="137">
        <f t="shared" si="42"/>
        <v>0</v>
      </c>
      <c r="T149" s="137">
        <f t="shared" si="42"/>
        <v>0</v>
      </c>
      <c r="U149" s="137">
        <f t="shared" si="42"/>
        <v>0</v>
      </c>
      <c r="V149" s="137">
        <f t="shared" si="42"/>
        <v>0</v>
      </c>
      <c r="W149" s="137">
        <f t="shared" si="42"/>
        <v>0</v>
      </c>
      <c r="X149" s="137">
        <f t="shared" si="42"/>
        <v>0</v>
      </c>
      <c r="Y149" s="137">
        <f t="shared" si="42"/>
        <v>0</v>
      </c>
      <c r="Z149" s="137">
        <f t="shared" si="42"/>
        <v>0</v>
      </c>
      <c r="AA149" s="137">
        <f t="shared" si="42"/>
        <v>0</v>
      </c>
      <c r="AB149" s="137">
        <f t="shared" si="42"/>
        <v>0</v>
      </c>
      <c r="AC149" s="137">
        <f t="shared" si="42"/>
        <v>0</v>
      </c>
      <c r="AD149" s="137">
        <f t="shared" si="42"/>
        <v>0</v>
      </c>
      <c r="AE149" s="137">
        <f t="shared" si="42"/>
        <v>0</v>
      </c>
      <c r="AF149" s="138"/>
      <c r="AG149" s="138"/>
      <c r="AH149" s="138"/>
      <c r="AI149" s="138"/>
    </row>
    <row r="150" spans="2:35" customFormat="1" ht="15" x14ac:dyDescent="0.25">
      <c r="B150" s="14" t="s">
        <v>2743</v>
      </c>
      <c r="C150" s="14" t="s">
        <v>2672</v>
      </c>
      <c r="D150" s="15" t="s">
        <v>2744</v>
      </c>
      <c r="E150" s="16" t="s">
        <v>2702</v>
      </c>
      <c r="F150" s="14" t="s">
        <v>2703</v>
      </c>
      <c r="G150" s="17"/>
      <c r="H150" s="17"/>
      <c r="K150" s="136"/>
      <c r="L150" s="139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39">
        <f t="shared" si="43"/>
        <v>0</v>
      </c>
      <c r="N150" s="139">
        <f t="shared" si="43"/>
        <v>0</v>
      </c>
      <c r="O150" s="139">
        <f t="shared" si="43"/>
        <v>0</v>
      </c>
      <c r="P150" s="139">
        <f t="shared" si="43"/>
        <v>0</v>
      </c>
      <c r="Q150" s="139">
        <f t="shared" si="43"/>
        <v>0</v>
      </c>
      <c r="R150" s="139">
        <f t="shared" si="43"/>
        <v>0</v>
      </c>
      <c r="S150" s="139">
        <f t="shared" si="43"/>
        <v>0</v>
      </c>
      <c r="T150" s="139">
        <f t="shared" si="43"/>
        <v>0</v>
      </c>
      <c r="U150" s="139">
        <f t="shared" si="43"/>
        <v>0</v>
      </c>
      <c r="V150" s="139">
        <f t="shared" si="43"/>
        <v>0</v>
      </c>
      <c r="W150" s="139">
        <f t="shared" si="43"/>
        <v>0</v>
      </c>
      <c r="X150" s="139">
        <f t="shared" si="43"/>
        <v>0</v>
      </c>
      <c r="Y150" s="139">
        <f t="shared" si="43"/>
        <v>0</v>
      </c>
      <c r="Z150" s="139">
        <f t="shared" si="43"/>
        <v>0</v>
      </c>
      <c r="AA150" s="139">
        <f t="shared" si="43"/>
        <v>0</v>
      </c>
      <c r="AB150" s="139">
        <f t="shared" si="43"/>
        <v>0</v>
      </c>
      <c r="AC150" s="139">
        <f t="shared" si="43"/>
        <v>0</v>
      </c>
      <c r="AD150" s="139">
        <f t="shared" si="43"/>
        <v>0</v>
      </c>
      <c r="AE150" s="139">
        <f t="shared" si="43"/>
        <v>0</v>
      </c>
      <c r="AF150" s="138"/>
      <c r="AG150" s="138"/>
      <c r="AH150" s="138"/>
      <c r="AI150" s="138"/>
    </row>
    <row r="151" spans="2:35" customFormat="1" ht="15" x14ac:dyDescent="0.25">
      <c r="B151" s="14" t="s">
        <v>2745</v>
      </c>
      <c r="C151" s="14" t="s">
        <v>2672</v>
      </c>
      <c r="D151" s="15" t="s">
        <v>2746</v>
      </c>
      <c r="E151" s="16" t="s">
        <v>1398</v>
      </c>
      <c r="F151" s="14" t="s">
        <v>2706</v>
      </c>
      <c r="G151" s="17"/>
      <c r="H151" s="17"/>
      <c r="K151" s="136"/>
      <c r="L151" s="137">
        <f t="shared" ref="L151:AE151" si="44">IF(L$122&lt;=0,0,IF(L$150&lt;=0,L$147,MIN($F$5,IF(L$147-(L$149-L$122)/L$150&lt;=0,L$147/2,L$147-(L$149-L$122)/L$150))))</f>
        <v>0</v>
      </c>
      <c r="M151" s="137">
        <f t="shared" si="44"/>
        <v>0</v>
      </c>
      <c r="N151" s="137">
        <f t="shared" si="44"/>
        <v>0</v>
      </c>
      <c r="O151" s="137">
        <f t="shared" si="44"/>
        <v>0</v>
      </c>
      <c r="P151" s="137">
        <f t="shared" si="44"/>
        <v>0</v>
      </c>
      <c r="Q151" s="137">
        <f t="shared" si="44"/>
        <v>0</v>
      </c>
      <c r="R151" s="137">
        <f t="shared" si="44"/>
        <v>0</v>
      </c>
      <c r="S151" s="137">
        <f t="shared" si="44"/>
        <v>0</v>
      </c>
      <c r="T151" s="137">
        <f t="shared" si="44"/>
        <v>0</v>
      </c>
      <c r="U151" s="137">
        <f t="shared" si="44"/>
        <v>0</v>
      </c>
      <c r="V151" s="137">
        <f t="shared" si="44"/>
        <v>0</v>
      </c>
      <c r="W151" s="137">
        <f t="shared" si="44"/>
        <v>0</v>
      </c>
      <c r="X151" s="137">
        <f t="shared" si="44"/>
        <v>0</v>
      </c>
      <c r="Y151" s="137">
        <f t="shared" si="44"/>
        <v>0</v>
      </c>
      <c r="Z151" s="137">
        <f t="shared" si="44"/>
        <v>0</v>
      </c>
      <c r="AA151" s="137">
        <f t="shared" si="44"/>
        <v>0</v>
      </c>
      <c r="AB151" s="137">
        <f t="shared" si="44"/>
        <v>0</v>
      </c>
      <c r="AC151" s="137">
        <f t="shared" si="44"/>
        <v>0</v>
      </c>
      <c r="AD151" s="137">
        <f t="shared" si="44"/>
        <v>0</v>
      </c>
      <c r="AE151" s="137">
        <f t="shared" si="44"/>
        <v>0</v>
      </c>
      <c r="AF151" s="138"/>
      <c r="AG151" s="138"/>
      <c r="AH151" s="138"/>
      <c r="AI151" s="138"/>
    </row>
    <row r="152" spans="2:35" customFormat="1" ht="15" x14ac:dyDescent="0.25">
      <c r="B152" s="14" t="s">
        <v>2747</v>
      </c>
      <c r="C152" s="14" t="s">
        <v>2672</v>
      </c>
      <c r="D152" s="15" t="s">
        <v>2748</v>
      </c>
      <c r="E152" s="16" t="s">
        <v>2065</v>
      </c>
      <c r="F152" s="14" t="s">
        <v>2696</v>
      </c>
      <c r="G152" s="17"/>
      <c r="H152" s="17"/>
      <c r="K152" s="136"/>
      <c r="L152" s="139">
        <f t="shared" ref="L152:AE152" si="45">SUMPRODUCT(L$45:L$52*(1-EXP(-L$55:L$62*L$151)))+SUMPRODUCT(L$101:L$116*(1-EXP(-L$65:L$80*L$151)))</f>
        <v>0</v>
      </c>
      <c r="M152" s="139">
        <f t="shared" si="45"/>
        <v>0</v>
      </c>
      <c r="N152" s="139">
        <f t="shared" si="45"/>
        <v>0</v>
      </c>
      <c r="O152" s="139">
        <f t="shared" si="45"/>
        <v>0</v>
      </c>
      <c r="P152" s="139">
        <f t="shared" si="45"/>
        <v>0</v>
      </c>
      <c r="Q152" s="139">
        <f t="shared" si="45"/>
        <v>0</v>
      </c>
      <c r="R152" s="139">
        <f t="shared" si="45"/>
        <v>0</v>
      </c>
      <c r="S152" s="139">
        <f t="shared" si="45"/>
        <v>0</v>
      </c>
      <c r="T152" s="139">
        <f t="shared" si="45"/>
        <v>0</v>
      </c>
      <c r="U152" s="139">
        <f t="shared" si="45"/>
        <v>0</v>
      </c>
      <c r="V152" s="139">
        <f t="shared" si="45"/>
        <v>0</v>
      </c>
      <c r="W152" s="139">
        <f t="shared" si="45"/>
        <v>0</v>
      </c>
      <c r="X152" s="139">
        <f t="shared" si="45"/>
        <v>0</v>
      </c>
      <c r="Y152" s="139">
        <f t="shared" si="45"/>
        <v>0</v>
      </c>
      <c r="Z152" s="139">
        <f t="shared" si="45"/>
        <v>0</v>
      </c>
      <c r="AA152" s="139">
        <f t="shared" si="45"/>
        <v>0</v>
      </c>
      <c r="AB152" s="139">
        <f t="shared" si="45"/>
        <v>0</v>
      </c>
      <c r="AC152" s="139">
        <f t="shared" si="45"/>
        <v>0</v>
      </c>
      <c r="AD152" s="139">
        <f t="shared" si="45"/>
        <v>0</v>
      </c>
      <c r="AE152" s="139">
        <f t="shared" si="45"/>
        <v>0</v>
      </c>
      <c r="AF152" s="138"/>
      <c r="AG152" s="138"/>
      <c r="AH152" s="138"/>
      <c r="AI152" s="138"/>
    </row>
    <row r="153" spans="2:35" customFormat="1" ht="15" x14ac:dyDescent="0.25">
      <c r="B153" s="14" t="s">
        <v>2749</v>
      </c>
      <c r="C153" s="14" t="s">
        <v>2672</v>
      </c>
      <c r="D153" s="15" t="s">
        <v>2750</v>
      </c>
      <c r="E153" s="16" t="s">
        <v>1854</v>
      </c>
      <c r="F153" s="14" t="s">
        <v>2699</v>
      </c>
      <c r="G153" s="17"/>
      <c r="H153" s="17"/>
      <c r="K153" s="136"/>
      <c r="L153" s="137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37">
        <f t="shared" si="46"/>
        <v>0</v>
      </c>
      <c r="N153" s="137">
        <f t="shared" si="46"/>
        <v>0</v>
      </c>
      <c r="O153" s="137">
        <f t="shared" si="46"/>
        <v>0</v>
      </c>
      <c r="P153" s="137">
        <f t="shared" si="46"/>
        <v>0</v>
      </c>
      <c r="Q153" s="137">
        <f t="shared" si="46"/>
        <v>0</v>
      </c>
      <c r="R153" s="137">
        <f t="shared" si="46"/>
        <v>0</v>
      </c>
      <c r="S153" s="137">
        <f t="shared" si="46"/>
        <v>0</v>
      </c>
      <c r="T153" s="137">
        <f t="shared" si="46"/>
        <v>0</v>
      </c>
      <c r="U153" s="137">
        <f t="shared" si="46"/>
        <v>0</v>
      </c>
      <c r="V153" s="137">
        <f t="shared" si="46"/>
        <v>0</v>
      </c>
      <c r="W153" s="137">
        <f t="shared" si="46"/>
        <v>0</v>
      </c>
      <c r="X153" s="137">
        <f t="shared" si="46"/>
        <v>0</v>
      </c>
      <c r="Y153" s="137">
        <f t="shared" si="46"/>
        <v>0</v>
      </c>
      <c r="Z153" s="137">
        <f t="shared" si="46"/>
        <v>0</v>
      </c>
      <c r="AA153" s="137">
        <f t="shared" si="46"/>
        <v>0</v>
      </c>
      <c r="AB153" s="137">
        <f t="shared" si="46"/>
        <v>0</v>
      </c>
      <c r="AC153" s="137">
        <f t="shared" si="46"/>
        <v>0</v>
      </c>
      <c r="AD153" s="137">
        <f t="shared" si="46"/>
        <v>0</v>
      </c>
      <c r="AE153" s="137">
        <f t="shared" si="46"/>
        <v>0</v>
      </c>
      <c r="AF153" s="138"/>
      <c r="AG153" s="138"/>
      <c r="AH153" s="138"/>
      <c r="AI153" s="138"/>
    </row>
    <row r="154" spans="2:35" customFormat="1" ht="15" x14ac:dyDescent="0.25">
      <c r="B154" s="14" t="s">
        <v>2751</v>
      </c>
      <c r="C154" s="14" t="s">
        <v>2672</v>
      </c>
      <c r="D154" s="15" t="s">
        <v>2752</v>
      </c>
      <c r="E154" s="16" t="s">
        <v>2702</v>
      </c>
      <c r="F154" s="14" t="s">
        <v>2703</v>
      </c>
      <c r="G154" s="17"/>
      <c r="H154" s="17"/>
      <c r="K154" s="136"/>
      <c r="L154" s="139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39">
        <f t="shared" si="47"/>
        <v>0</v>
      </c>
      <c r="N154" s="139">
        <f t="shared" si="47"/>
        <v>0</v>
      </c>
      <c r="O154" s="139">
        <f t="shared" si="47"/>
        <v>0</v>
      </c>
      <c r="P154" s="139">
        <f t="shared" si="47"/>
        <v>0</v>
      </c>
      <c r="Q154" s="139">
        <f t="shared" si="47"/>
        <v>0</v>
      </c>
      <c r="R154" s="139">
        <f t="shared" si="47"/>
        <v>0</v>
      </c>
      <c r="S154" s="139">
        <f t="shared" si="47"/>
        <v>0</v>
      </c>
      <c r="T154" s="139">
        <f t="shared" si="47"/>
        <v>0</v>
      </c>
      <c r="U154" s="139">
        <f t="shared" si="47"/>
        <v>0</v>
      </c>
      <c r="V154" s="139">
        <f t="shared" si="47"/>
        <v>0</v>
      </c>
      <c r="W154" s="139">
        <f t="shared" si="47"/>
        <v>0</v>
      </c>
      <c r="X154" s="139">
        <f t="shared" si="47"/>
        <v>0</v>
      </c>
      <c r="Y154" s="139">
        <f t="shared" si="47"/>
        <v>0</v>
      </c>
      <c r="Z154" s="139">
        <f t="shared" si="47"/>
        <v>0</v>
      </c>
      <c r="AA154" s="139">
        <f t="shared" si="47"/>
        <v>0</v>
      </c>
      <c r="AB154" s="139">
        <f t="shared" si="47"/>
        <v>0</v>
      </c>
      <c r="AC154" s="139">
        <f t="shared" si="47"/>
        <v>0</v>
      </c>
      <c r="AD154" s="139">
        <f t="shared" si="47"/>
        <v>0</v>
      </c>
      <c r="AE154" s="139">
        <f t="shared" si="47"/>
        <v>0</v>
      </c>
      <c r="AF154" s="138"/>
      <c r="AG154" s="138"/>
      <c r="AH154" s="138"/>
      <c r="AI154" s="138"/>
    </row>
    <row r="155" spans="2:35" customFormat="1" ht="15" x14ac:dyDescent="0.25">
      <c r="B155" s="14" t="s">
        <v>2753</v>
      </c>
      <c r="C155" s="14" t="s">
        <v>2672</v>
      </c>
      <c r="D155" s="15" t="s">
        <v>2754</v>
      </c>
      <c r="E155" s="16" t="s">
        <v>1398</v>
      </c>
      <c r="F155" s="14" t="s">
        <v>2706</v>
      </c>
      <c r="G155" s="17"/>
      <c r="H155" s="17"/>
      <c r="K155" s="136"/>
      <c r="L155" s="137">
        <f t="shared" ref="L155:AE155" si="48">IF(L$122&lt;=0,0,IF(L$154&lt;=0,L$151,MIN($F$5,IF(L$151-(L$153-L$122)/L$154&lt;=0,L$151/2,L$151-(L$153-L$122)/L$154))))</f>
        <v>0</v>
      </c>
      <c r="M155" s="137">
        <f t="shared" si="48"/>
        <v>0</v>
      </c>
      <c r="N155" s="137">
        <f t="shared" si="48"/>
        <v>0</v>
      </c>
      <c r="O155" s="137">
        <f t="shared" si="48"/>
        <v>0</v>
      </c>
      <c r="P155" s="137">
        <f t="shared" si="48"/>
        <v>0</v>
      </c>
      <c r="Q155" s="137">
        <f t="shared" si="48"/>
        <v>0</v>
      </c>
      <c r="R155" s="137">
        <f t="shared" si="48"/>
        <v>0</v>
      </c>
      <c r="S155" s="137">
        <f t="shared" si="48"/>
        <v>0</v>
      </c>
      <c r="T155" s="137">
        <f t="shared" si="48"/>
        <v>0</v>
      </c>
      <c r="U155" s="137">
        <f t="shared" si="48"/>
        <v>0</v>
      </c>
      <c r="V155" s="137">
        <f t="shared" si="48"/>
        <v>0</v>
      </c>
      <c r="W155" s="137">
        <f t="shared" si="48"/>
        <v>0</v>
      </c>
      <c r="X155" s="137">
        <f t="shared" si="48"/>
        <v>0</v>
      </c>
      <c r="Y155" s="137">
        <f t="shared" si="48"/>
        <v>0</v>
      </c>
      <c r="Z155" s="137">
        <f t="shared" si="48"/>
        <v>0</v>
      </c>
      <c r="AA155" s="137">
        <f t="shared" si="48"/>
        <v>0</v>
      </c>
      <c r="AB155" s="137">
        <f t="shared" si="48"/>
        <v>0</v>
      </c>
      <c r="AC155" s="137">
        <f t="shared" si="48"/>
        <v>0</v>
      </c>
      <c r="AD155" s="137">
        <f t="shared" si="48"/>
        <v>0</v>
      </c>
      <c r="AE155" s="137">
        <f t="shared" si="48"/>
        <v>0</v>
      </c>
      <c r="AF155" s="138"/>
      <c r="AG155" s="138"/>
      <c r="AH155" s="138"/>
      <c r="AI155" s="138"/>
    </row>
    <row r="156" spans="2:35" customFormat="1" ht="15" x14ac:dyDescent="0.25">
      <c r="B156" s="14" t="s">
        <v>2755</v>
      </c>
      <c r="C156" s="14" t="s">
        <v>2672</v>
      </c>
      <c r="D156" s="15" t="s">
        <v>2756</v>
      </c>
      <c r="E156" s="16" t="s">
        <v>2065</v>
      </c>
      <c r="F156" s="14" t="s">
        <v>2696</v>
      </c>
      <c r="G156" s="17"/>
      <c r="H156" s="17"/>
      <c r="K156" s="136"/>
      <c r="L156" s="139">
        <f t="shared" ref="L156:AE156" si="49">SUMPRODUCT(L$45:L$52*(1-EXP(-L$55:L$62*L$155)))+SUMPRODUCT(L$101:L$116*(1-EXP(-L$65:L$80*L$155)))</f>
        <v>0</v>
      </c>
      <c r="M156" s="139">
        <f t="shared" si="49"/>
        <v>0</v>
      </c>
      <c r="N156" s="139">
        <f t="shared" si="49"/>
        <v>0</v>
      </c>
      <c r="O156" s="139">
        <f t="shared" si="49"/>
        <v>0</v>
      </c>
      <c r="P156" s="139">
        <f t="shared" si="49"/>
        <v>0</v>
      </c>
      <c r="Q156" s="139">
        <f t="shared" si="49"/>
        <v>0</v>
      </c>
      <c r="R156" s="139">
        <f t="shared" si="49"/>
        <v>0</v>
      </c>
      <c r="S156" s="139">
        <f t="shared" si="49"/>
        <v>0</v>
      </c>
      <c r="T156" s="139">
        <f t="shared" si="49"/>
        <v>0</v>
      </c>
      <c r="U156" s="139">
        <f t="shared" si="49"/>
        <v>0</v>
      </c>
      <c r="V156" s="139">
        <f t="shared" si="49"/>
        <v>0</v>
      </c>
      <c r="W156" s="139">
        <f t="shared" si="49"/>
        <v>0</v>
      </c>
      <c r="X156" s="139">
        <f t="shared" si="49"/>
        <v>0</v>
      </c>
      <c r="Y156" s="139">
        <f t="shared" si="49"/>
        <v>0</v>
      </c>
      <c r="Z156" s="139">
        <f t="shared" si="49"/>
        <v>0</v>
      </c>
      <c r="AA156" s="139">
        <f t="shared" si="49"/>
        <v>0</v>
      </c>
      <c r="AB156" s="139">
        <f t="shared" si="49"/>
        <v>0</v>
      </c>
      <c r="AC156" s="139">
        <f t="shared" si="49"/>
        <v>0</v>
      </c>
      <c r="AD156" s="139">
        <f t="shared" si="49"/>
        <v>0</v>
      </c>
      <c r="AE156" s="139">
        <f t="shared" si="49"/>
        <v>0</v>
      </c>
      <c r="AF156" s="138"/>
      <c r="AG156" s="138"/>
      <c r="AH156" s="138"/>
      <c r="AI156" s="138"/>
    </row>
    <row r="157" spans="2:35" customFormat="1" ht="15" x14ac:dyDescent="0.25">
      <c r="B157" s="14" t="s">
        <v>2757</v>
      </c>
      <c r="C157" s="14" t="s">
        <v>2672</v>
      </c>
      <c r="D157" s="15" t="s">
        <v>2758</v>
      </c>
      <c r="E157" s="16" t="s">
        <v>1854</v>
      </c>
      <c r="F157" s="14" t="s">
        <v>2699</v>
      </c>
      <c r="G157" s="17"/>
      <c r="H157" s="17"/>
      <c r="K157" s="136"/>
      <c r="L157" s="137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37">
        <f t="shared" si="50"/>
        <v>0</v>
      </c>
      <c r="N157" s="137">
        <f t="shared" si="50"/>
        <v>0</v>
      </c>
      <c r="O157" s="137">
        <f t="shared" si="50"/>
        <v>0</v>
      </c>
      <c r="P157" s="137">
        <f t="shared" si="50"/>
        <v>0</v>
      </c>
      <c r="Q157" s="137">
        <f t="shared" si="50"/>
        <v>0</v>
      </c>
      <c r="R157" s="137">
        <f t="shared" si="50"/>
        <v>0</v>
      </c>
      <c r="S157" s="137">
        <f t="shared" si="50"/>
        <v>0</v>
      </c>
      <c r="T157" s="137">
        <f t="shared" si="50"/>
        <v>0</v>
      </c>
      <c r="U157" s="137">
        <f t="shared" si="50"/>
        <v>0</v>
      </c>
      <c r="V157" s="137">
        <f t="shared" si="50"/>
        <v>0</v>
      </c>
      <c r="W157" s="137">
        <f t="shared" si="50"/>
        <v>0</v>
      </c>
      <c r="X157" s="137">
        <f t="shared" si="50"/>
        <v>0</v>
      </c>
      <c r="Y157" s="137">
        <f t="shared" si="50"/>
        <v>0</v>
      </c>
      <c r="Z157" s="137">
        <f t="shared" si="50"/>
        <v>0</v>
      </c>
      <c r="AA157" s="137">
        <f t="shared" si="50"/>
        <v>0</v>
      </c>
      <c r="AB157" s="137">
        <f t="shared" si="50"/>
        <v>0</v>
      </c>
      <c r="AC157" s="137">
        <f t="shared" si="50"/>
        <v>0</v>
      </c>
      <c r="AD157" s="137">
        <f t="shared" si="50"/>
        <v>0</v>
      </c>
      <c r="AE157" s="137">
        <f t="shared" si="50"/>
        <v>0</v>
      </c>
      <c r="AF157" s="138"/>
      <c r="AG157" s="138"/>
      <c r="AH157" s="138"/>
      <c r="AI157" s="138"/>
    </row>
    <row r="158" spans="2:35" customFormat="1" ht="15" x14ac:dyDescent="0.25">
      <c r="B158" s="14" t="s">
        <v>2759</v>
      </c>
      <c r="C158" s="14" t="s">
        <v>2672</v>
      </c>
      <c r="D158" s="15" t="s">
        <v>2760</v>
      </c>
      <c r="E158" s="16" t="s">
        <v>2702</v>
      </c>
      <c r="F158" s="14" t="s">
        <v>2703</v>
      </c>
      <c r="G158" s="17"/>
      <c r="H158" s="17"/>
      <c r="K158" s="136"/>
      <c r="L158" s="139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39">
        <f t="shared" si="51"/>
        <v>0</v>
      </c>
      <c r="N158" s="139">
        <f t="shared" si="51"/>
        <v>0</v>
      </c>
      <c r="O158" s="139">
        <f t="shared" si="51"/>
        <v>0</v>
      </c>
      <c r="P158" s="139">
        <f t="shared" si="51"/>
        <v>0</v>
      </c>
      <c r="Q158" s="139">
        <f t="shared" si="51"/>
        <v>0</v>
      </c>
      <c r="R158" s="139">
        <f t="shared" si="51"/>
        <v>0</v>
      </c>
      <c r="S158" s="139">
        <f t="shared" si="51"/>
        <v>0</v>
      </c>
      <c r="T158" s="139">
        <f t="shared" si="51"/>
        <v>0</v>
      </c>
      <c r="U158" s="139">
        <f t="shared" si="51"/>
        <v>0</v>
      </c>
      <c r="V158" s="139">
        <f t="shared" si="51"/>
        <v>0</v>
      </c>
      <c r="W158" s="139">
        <f t="shared" si="51"/>
        <v>0</v>
      </c>
      <c r="X158" s="139">
        <f t="shared" si="51"/>
        <v>0</v>
      </c>
      <c r="Y158" s="139">
        <f t="shared" si="51"/>
        <v>0</v>
      </c>
      <c r="Z158" s="139">
        <f t="shared" si="51"/>
        <v>0</v>
      </c>
      <c r="AA158" s="139">
        <f t="shared" si="51"/>
        <v>0</v>
      </c>
      <c r="AB158" s="139">
        <f t="shared" si="51"/>
        <v>0</v>
      </c>
      <c r="AC158" s="139">
        <f t="shared" si="51"/>
        <v>0</v>
      </c>
      <c r="AD158" s="139">
        <f t="shared" si="51"/>
        <v>0</v>
      </c>
      <c r="AE158" s="139">
        <f t="shared" si="51"/>
        <v>0</v>
      </c>
      <c r="AF158" s="138"/>
      <c r="AG158" s="138"/>
      <c r="AH158" s="138"/>
      <c r="AI158" s="138"/>
    </row>
    <row r="159" spans="2:35" customFormat="1" ht="15" x14ac:dyDescent="0.25">
      <c r="B159" s="14" t="s">
        <v>2761</v>
      </c>
      <c r="C159" s="14" t="s">
        <v>2672</v>
      </c>
      <c r="D159" s="15" t="s">
        <v>2762</v>
      </c>
      <c r="E159" s="16" t="s">
        <v>1398</v>
      </c>
      <c r="F159" s="14" t="s">
        <v>2706</v>
      </c>
      <c r="G159" s="17"/>
      <c r="H159" s="17"/>
      <c r="K159" s="136"/>
      <c r="L159" s="137">
        <f t="shared" ref="L159:AE159" si="52">IF(L$122&lt;=0,0,IF(L$158&lt;=0,L$155,MIN($F$5,IF(L$155-(L$157-L$122)/L$158&lt;=0,L$155/2,L$155-(L$157-L$122)/L$158))))</f>
        <v>0</v>
      </c>
      <c r="M159" s="137">
        <f t="shared" si="52"/>
        <v>0</v>
      </c>
      <c r="N159" s="137">
        <f t="shared" si="52"/>
        <v>0</v>
      </c>
      <c r="O159" s="137">
        <f t="shared" si="52"/>
        <v>0</v>
      </c>
      <c r="P159" s="137">
        <f t="shared" si="52"/>
        <v>0</v>
      </c>
      <c r="Q159" s="137">
        <f t="shared" si="52"/>
        <v>0</v>
      </c>
      <c r="R159" s="137">
        <f t="shared" si="52"/>
        <v>0</v>
      </c>
      <c r="S159" s="137">
        <f t="shared" si="52"/>
        <v>0</v>
      </c>
      <c r="T159" s="137">
        <f t="shared" si="52"/>
        <v>0</v>
      </c>
      <c r="U159" s="137">
        <f t="shared" si="52"/>
        <v>0</v>
      </c>
      <c r="V159" s="137">
        <f t="shared" si="52"/>
        <v>0</v>
      </c>
      <c r="W159" s="137">
        <f t="shared" si="52"/>
        <v>0</v>
      </c>
      <c r="X159" s="137">
        <f t="shared" si="52"/>
        <v>0</v>
      </c>
      <c r="Y159" s="137">
        <f t="shared" si="52"/>
        <v>0</v>
      </c>
      <c r="Z159" s="137">
        <f t="shared" si="52"/>
        <v>0</v>
      </c>
      <c r="AA159" s="137">
        <f t="shared" si="52"/>
        <v>0</v>
      </c>
      <c r="AB159" s="137">
        <f t="shared" si="52"/>
        <v>0</v>
      </c>
      <c r="AC159" s="137">
        <f t="shared" si="52"/>
        <v>0</v>
      </c>
      <c r="AD159" s="137">
        <f t="shared" si="52"/>
        <v>0</v>
      </c>
      <c r="AE159" s="137">
        <f t="shared" si="52"/>
        <v>0</v>
      </c>
      <c r="AF159" s="138"/>
      <c r="AG159" s="138"/>
      <c r="AH159" s="138"/>
      <c r="AI159" s="138"/>
    </row>
    <row r="160" spans="2:35" customFormat="1" ht="15" x14ac:dyDescent="0.25">
      <c r="B160" s="14" t="s">
        <v>2763</v>
      </c>
      <c r="C160" s="14" t="s">
        <v>2672</v>
      </c>
      <c r="D160" s="15" t="s">
        <v>2764</v>
      </c>
      <c r="E160" s="16" t="s">
        <v>2065</v>
      </c>
      <c r="F160" s="14" t="s">
        <v>2696</v>
      </c>
      <c r="G160" s="17"/>
      <c r="H160" s="17"/>
      <c r="K160" s="136"/>
      <c r="L160" s="139">
        <f t="shared" ref="L160:AE160" si="53">SUMPRODUCT(L$45:L$52*(1-EXP(-L$55:L$62*L$159)))+SUMPRODUCT(L$101:L$116*(1-EXP(-L$65:L$80*L$159)))</f>
        <v>0</v>
      </c>
      <c r="M160" s="139">
        <f t="shared" si="53"/>
        <v>0</v>
      </c>
      <c r="N160" s="139">
        <f t="shared" si="53"/>
        <v>0</v>
      </c>
      <c r="O160" s="139">
        <f t="shared" si="53"/>
        <v>0</v>
      </c>
      <c r="P160" s="139">
        <f t="shared" si="53"/>
        <v>0</v>
      </c>
      <c r="Q160" s="139">
        <f t="shared" si="53"/>
        <v>0</v>
      </c>
      <c r="R160" s="139">
        <f t="shared" si="53"/>
        <v>0</v>
      </c>
      <c r="S160" s="139">
        <f t="shared" si="53"/>
        <v>0</v>
      </c>
      <c r="T160" s="139">
        <f t="shared" si="53"/>
        <v>0</v>
      </c>
      <c r="U160" s="139">
        <f t="shared" si="53"/>
        <v>0</v>
      </c>
      <c r="V160" s="139">
        <f t="shared" si="53"/>
        <v>0</v>
      </c>
      <c r="W160" s="139">
        <f t="shared" si="53"/>
        <v>0</v>
      </c>
      <c r="X160" s="139">
        <f t="shared" si="53"/>
        <v>0</v>
      </c>
      <c r="Y160" s="139">
        <f t="shared" si="53"/>
        <v>0</v>
      </c>
      <c r="Z160" s="139">
        <f t="shared" si="53"/>
        <v>0</v>
      </c>
      <c r="AA160" s="139">
        <f t="shared" si="53"/>
        <v>0</v>
      </c>
      <c r="AB160" s="139">
        <f t="shared" si="53"/>
        <v>0</v>
      </c>
      <c r="AC160" s="139">
        <f t="shared" si="53"/>
        <v>0</v>
      </c>
      <c r="AD160" s="139">
        <f t="shared" si="53"/>
        <v>0</v>
      </c>
      <c r="AE160" s="139">
        <f t="shared" si="53"/>
        <v>0</v>
      </c>
      <c r="AF160" s="138"/>
      <c r="AG160" s="138"/>
      <c r="AH160" s="138"/>
      <c r="AI160" s="138"/>
    </row>
    <row r="161" spans="2:35" customFormat="1" ht="15" x14ac:dyDescent="0.25">
      <c r="B161" s="14" t="s">
        <v>2765</v>
      </c>
      <c r="C161" s="14" t="s">
        <v>2672</v>
      </c>
      <c r="D161" s="15" t="s">
        <v>2766</v>
      </c>
      <c r="E161" s="16" t="s">
        <v>1854</v>
      </c>
      <c r="F161" s="14" t="s">
        <v>2699</v>
      </c>
      <c r="G161" s="17"/>
      <c r="H161" s="17"/>
      <c r="K161" s="136"/>
      <c r="L161" s="137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37">
        <f t="shared" si="54"/>
        <v>0</v>
      </c>
      <c r="N161" s="137">
        <f t="shared" si="54"/>
        <v>0</v>
      </c>
      <c r="O161" s="137">
        <f t="shared" si="54"/>
        <v>0</v>
      </c>
      <c r="P161" s="137">
        <f t="shared" si="54"/>
        <v>0</v>
      </c>
      <c r="Q161" s="137">
        <f t="shared" si="54"/>
        <v>0</v>
      </c>
      <c r="R161" s="137">
        <f t="shared" si="54"/>
        <v>0</v>
      </c>
      <c r="S161" s="137">
        <f t="shared" si="54"/>
        <v>0</v>
      </c>
      <c r="T161" s="137">
        <f t="shared" si="54"/>
        <v>0</v>
      </c>
      <c r="U161" s="137">
        <f t="shared" si="54"/>
        <v>0</v>
      </c>
      <c r="V161" s="137">
        <f t="shared" si="54"/>
        <v>0</v>
      </c>
      <c r="W161" s="137">
        <f t="shared" si="54"/>
        <v>0</v>
      </c>
      <c r="X161" s="137">
        <f t="shared" si="54"/>
        <v>0</v>
      </c>
      <c r="Y161" s="137">
        <f t="shared" si="54"/>
        <v>0</v>
      </c>
      <c r="Z161" s="137">
        <f t="shared" si="54"/>
        <v>0</v>
      </c>
      <c r="AA161" s="137">
        <f t="shared" si="54"/>
        <v>0</v>
      </c>
      <c r="AB161" s="137">
        <f t="shared" si="54"/>
        <v>0</v>
      </c>
      <c r="AC161" s="137">
        <f t="shared" si="54"/>
        <v>0</v>
      </c>
      <c r="AD161" s="137">
        <f t="shared" si="54"/>
        <v>0</v>
      </c>
      <c r="AE161" s="137">
        <f t="shared" si="54"/>
        <v>0</v>
      </c>
      <c r="AF161" s="138"/>
      <c r="AG161" s="138"/>
      <c r="AH161" s="138"/>
      <c r="AI161" s="138"/>
    </row>
    <row r="162" spans="2:35" customFormat="1" ht="15" x14ac:dyDescent="0.25">
      <c r="B162" s="14" t="s">
        <v>2767</v>
      </c>
      <c r="C162" s="14" t="s">
        <v>2672</v>
      </c>
      <c r="D162" s="15" t="s">
        <v>2768</v>
      </c>
      <c r="E162" s="16" t="s">
        <v>2702</v>
      </c>
      <c r="F162" s="14" t="s">
        <v>2703</v>
      </c>
      <c r="G162" s="17"/>
      <c r="H162" s="17"/>
      <c r="K162" s="136"/>
      <c r="L162" s="139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39">
        <f t="shared" si="55"/>
        <v>0</v>
      </c>
      <c r="N162" s="139">
        <f t="shared" si="55"/>
        <v>0</v>
      </c>
      <c r="O162" s="139">
        <f t="shared" si="55"/>
        <v>0</v>
      </c>
      <c r="P162" s="139">
        <f t="shared" si="55"/>
        <v>0</v>
      </c>
      <c r="Q162" s="139">
        <f t="shared" si="55"/>
        <v>0</v>
      </c>
      <c r="R162" s="139">
        <f t="shared" si="55"/>
        <v>0</v>
      </c>
      <c r="S162" s="139">
        <f t="shared" si="55"/>
        <v>0</v>
      </c>
      <c r="T162" s="139">
        <f t="shared" si="55"/>
        <v>0</v>
      </c>
      <c r="U162" s="139">
        <f t="shared" si="55"/>
        <v>0</v>
      </c>
      <c r="V162" s="139">
        <f t="shared" si="55"/>
        <v>0</v>
      </c>
      <c r="W162" s="139">
        <f t="shared" si="55"/>
        <v>0</v>
      </c>
      <c r="X162" s="139">
        <f t="shared" si="55"/>
        <v>0</v>
      </c>
      <c r="Y162" s="139">
        <f t="shared" si="55"/>
        <v>0</v>
      </c>
      <c r="Z162" s="139">
        <f t="shared" si="55"/>
        <v>0</v>
      </c>
      <c r="AA162" s="139">
        <f t="shared" si="55"/>
        <v>0</v>
      </c>
      <c r="AB162" s="139">
        <f t="shared" si="55"/>
        <v>0</v>
      </c>
      <c r="AC162" s="139">
        <f t="shared" si="55"/>
        <v>0</v>
      </c>
      <c r="AD162" s="139">
        <f t="shared" si="55"/>
        <v>0</v>
      </c>
      <c r="AE162" s="139">
        <f t="shared" si="55"/>
        <v>0</v>
      </c>
      <c r="AF162" s="138"/>
      <c r="AG162" s="138"/>
      <c r="AH162" s="138"/>
      <c r="AI162" s="138"/>
    </row>
    <row r="163" spans="2:35" customFormat="1" ht="15" x14ac:dyDescent="0.25">
      <c r="B163" s="14" t="s">
        <v>2769</v>
      </c>
      <c r="C163" s="14" t="s">
        <v>2672</v>
      </c>
      <c r="D163" s="15" t="s">
        <v>2770</v>
      </c>
      <c r="E163" s="16" t="s">
        <v>1398</v>
      </c>
      <c r="F163" s="14" t="s">
        <v>2706</v>
      </c>
      <c r="G163" s="17"/>
      <c r="H163" s="17"/>
      <c r="K163" s="136"/>
      <c r="L163" s="137">
        <f t="shared" ref="L163:AE163" si="56">IF(L$122&lt;=0,0,IF(L$162&lt;=0,L$159,MIN($F$5,IF(L$159-(L$161-L$122)/L$162&lt;=0,L$159/2,L$159-(L$161-L$122)/L$162))))</f>
        <v>0</v>
      </c>
      <c r="M163" s="137">
        <f t="shared" si="56"/>
        <v>0</v>
      </c>
      <c r="N163" s="137">
        <f t="shared" si="56"/>
        <v>0</v>
      </c>
      <c r="O163" s="137">
        <f t="shared" si="56"/>
        <v>0</v>
      </c>
      <c r="P163" s="137">
        <f t="shared" si="56"/>
        <v>0</v>
      </c>
      <c r="Q163" s="137">
        <f t="shared" si="56"/>
        <v>0</v>
      </c>
      <c r="R163" s="137">
        <f t="shared" si="56"/>
        <v>0</v>
      </c>
      <c r="S163" s="137">
        <f t="shared" si="56"/>
        <v>0</v>
      </c>
      <c r="T163" s="137">
        <f t="shared" si="56"/>
        <v>0</v>
      </c>
      <c r="U163" s="137">
        <f t="shared" si="56"/>
        <v>0</v>
      </c>
      <c r="V163" s="137">
        <f t="shared" si="56"/>
        <v>0</v>
      </c>
      <c r="W163" s="137">
        <f t="shared" si="56"/>
        <v>0</v>
      </c>
      <c r="X163" s="137">
        <f t="shared" si="56"/>
        <v>0</v>
      </c>
      <c r="Y163" s="137">
        <f t="shared" si="56"/>
        <v>0</v>
      </c>
      <c r="Z163" s="137">
        <f t="shared" si="56"/>
        <v>0</v>
      </c>
      <c r="AA163" s="137">
        <f t="shared" si="56"/>
        <v>0</v>
      </c>
      <c r="AB163" s="137">
        <f t="shared" si="56"/>
        <v>0</v>
      </c>
      <c r="AC163" s="137">
        <f t="shared" si="56"/>
        <v>0</v>
      </c>
      <c r="AD163" s="137">
        <f t="shared" si="56"/>
        <v>0</v>
      </c>
      <c r="AE163" s="137">
        <f t="shared" si="56"/>
        <v>0</v>
      </c>
      <c r="AF163" s="138"/>
      <c r="AG163" s="138"/>
      <c r="AH163" s="138"/>
      <c r="AI163" s="138"/>
    </row>
    <row r="164" spans="2:35" customFormat="1" ht="15" x14ac:dyDescent="0.25">
      <c r="B164" s="14" t="s">
        <v>2771</v>
      </c>
      <c r="C164" s="14" t="s">
        <v>2672</v>
      </c>
      <c r="D164" s="15" t="s">
        <v>2772</v>
      </c>
      <c r="E164" s="16" t="s">
        <v>2065</v>
      </c>
      <c r="F164" s="14" t="s">
        <v>2696</v>
      </c>
      <c r="G164" s="17"/>
      <c r="H164" s="17"/>
      <c r="K164" s="136"/>
      <c r="L164" s="139">
        <f t="shared" ref="L164:AE164" si="57">SUMPRODUCT(L$45:L$52*(1-EXP(-L$55:L$62*L$163)))+SUMPRODUCT(L$101:L$116*(1-EXP(-L$65:L$80*L$163)))</f>
        <v>0</v>
      </c>
      <c r="M164" s="139">
        <f t="shared" si="57"/>
        <v>0</v>
      </c>
      <c r="N164" s="139">
        <f t="shared" si="57"/>
        <v>0</v>
      </c>
      <c r="O164" s="139">
        <f t="shared" si="57"/>
        <v>0</v>
      </c>
      <c r="P164" s="139">
        <f t="shared" si="57"/>
        <v>0</v>
      </c>
      <c r="Q164" s="139">
        <f t="shared" si="57"/>
        <v>0</v>
      </c>
      <c r="R164" s="139">
        <f t="shared" si="57"/>
        <v>0</v>
      </c>
      <c r="S164" s="139">
        <f t="shared" si="57"/>
        <v>0</v>
      </c>
      <c r="T164" s="139">
        <f t="shared" si="57"/>
        <v>0</v>
      </c>
      <c r="U164" s="139">
        <f t="shared" si="57"/>
        <v>0</v>
      </c>
      <c r="V164" s="139">
        <f t="shared" si="57"/>
        <v>0</v>
      </c>
      <c r="W164" s="139">
        <f t="shared" si="57"/>
        <v>0</v>
      </c>
      <c r="X164" s="139">
        <f t="shared" si="57"/>
        <v>0</v>
      </c>
      <c r="Y164" s="139">
        <f t="shared" si="57"/>
        <v>0</v>
      </c>
      <c r="Z164" s="139">
        <f t="shared" si="57"/>
        <v>0</v>
      </c>
      <c r="AA164" s="139">
        <f t="shared" si="57"/>
        <v>0</v>
      </c>
      <c r="AB164" s="139">
        <f t="shared" si="57"/>
        <v>0</v>
      </c>
      <c r="AC164" s="139">
        <f t="shared" si="57"/>
        <v>0</v>
      </c>
      <c r="AD164" s="139">
        <f t="shared" si="57"/>
        <v>0</v>
      </c>
      <c r="AE164" s="139">
        <f t="shared" si="57"/>
        <v>0</v>
      </c>
      <c r="AF164" s="138"/>
      <c r="AG164" s="138"/>
      <c r="AH164" s="138"/>
      <c r="AI164" s="138"/>
    </row>
    <row r="165" spans="2:35" customFormat="1" ht="15" x14ac:dyDescent="0.25">
      <c r="B165" s="14" t="s">
        <v>2773</v>
      </c>
      <c r="C165" s="14" t="s">
        <v>2672</v>
      </c>
      <c r="D165" s="15" t="s">
        <v>2774</v>
      </c>
      <c r="E165" s="16" t="s">
        <v>1854</v>
      </c>
      <c r="F165" s="14" t="s">
        <v>2699</v>
      </c>
      <c r="G165" s="17"/>
      <c r="H165" s="17"/>
      <c r="K165" s="136"/>
      <c r="L165" s="137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37">
        <f t="shared" si="58"/>
        <v>0</v>
      </c>
      <c r="N165" s="137">
        <f t="shared" si="58"/>
        <v>0</v>
      </c>
      <c r="O165" s="137">
        <f t="shared" si="58"/>
        <v>0</v>
      </c>
      <c r="P165" s="137">
        <f t="shared" si="58"/>
        <v>0</v>
      </c>
      <c r="Q165" s="137">
        <f t="shared" si="58"/>
        <v>0</v>
      </c>
      <c r="R165" s="137">
        <f t="shared" si="58"/>
        <v>0</v>
      </c>
      <c r="S165" s="137">
        <f t="shared" si="58"/>
        <v>0</v>
      </c>
      <c r="T165" s="137">
        <f t="shared" si="58"/>
        <v>0</v>
      </c>
      <c r="U165" s="137">
        <f t="shared" si="58"/>
        <v>0</v>
      </c>
      <c r="V165" s="137">
        <f t="shared" si="58"/>
        <v>0</v>
      </c>
      <c r="W165" s="137">
        <f t="shared" si="58"/>
        <v>0</v>
      </c>
      <c r="X165" s="137">
        <f t="shared" si="58"/>
        <v>0</v>
      </c>
      <c r="Y165" s="137">
        <f t="shared" si="58"/>
        <v>0</v>
      </c>
      <c r="Z165" s="137">
        <f t="shared" si="58"/>
        <v>0</v>
      </c>
      <c r="AA165" s="137">
        <f t="shared" si="58"/>
        <v>0</v>
      </c>
      <c r="AB165" s="137">
        <f t="shared" si="58"/>
        <v>0</v>
      </c>
      <c r="AC165" s="137">
        <f t="shared" si="58"/>
        <v>0</v>
      </c>
      <c r="AD165" s="137">
        <f t="shared" si="58"/>
        <v>0</v>
      </c>
      <c r="AE165" s="137">
        <f t="shared" si="58"/>
        <v>0</v>
      </c>
      <c r="AF165" s="138"/>
      <c r="AG165" s="138"/>
      <c r="AH165" s="138"/>
      <c r="AI165" s="138"/>
    </row>
    <row r="166" spans="2:35" customFormat="1" ht="15" x14ac:dyDescent="0.25">
      <c r="B166" s="14" t="s">
        <v>2775</v>
      </c>
      <c r="C166" s="14" t="s">
        <v>2672</v>
      </c>
      <c r="D166" s="15" t="s">
        <v>2776</v>
      </c>
      <c r="E166" s="16" t="s">
        <v>2702</v>
      </c>
      <c r="F166" s="14" t="s">
        <v>2703</v>
      </c>
      <c r="G166" s="17"/>
      <c r="H166" s="17"/>
      <c r="K166" s="136"/>
      <c r="L166" s="139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39">
        <f t="shared" si="59"/>
        <v>0</v>
      </c>
      <c r="N166" s="139">
        <f t="shared" si="59"/>
        <v>0</v>
      </c>
      <c r="O166" s="139">
        <f t="shared" si="59"/>
        <v>0</v>
      </c>
      <c r="P166" s="139">
        <f t="shared" si="59"/>
        <v>0</v>
      </c>
      <c r="Q166" s="139">
        <f t="shared" si="59"/>
        <v>0</v>
      </c>
      <c r="R166" s="139">
        <f t="shared" si="59"/>
        <v>0</v>
      </c>
      <c r="S166" s="139">
        <f t="shared" si="59"/>
        <v>0</v>
      </c>
      <c r="T166" s="139">
        <f t="shared" si="59"/>
        <v>0</v>
      </c>
      <c r="U166" s="139">
        <f t="shared" si="59"/>
        <v>0</v>
      </c>
      <c r="V166" s="139">
        <f t="shared" si="59"/>
        <v>0</v>
      </c>
      <c r="W166" s="139">
        <f t="shared" si="59"/>
        <v>0</v>
      </c>
      <c r="X166" s="139">
        <f t="shared" si="59"/>
        <v>0</v>
      </c>
      <c r="Y166" s="139">
        <f t="shared" si="59"/>
        <v>0</v>
      </c>
      <c r="Z166" s="139">
        <f t="shared" si="59"/>
        <v>0</v>
      </c>
      <c r="AA166" s="139">
        <f t="shared" si="59"/>
        <v>0</v>
      </c>
      <c r="AB166" s="139">
        <f t="shared" si="59"/>
        <v>0</v>
      </c>
      <c r="AC166" s="139">
        <f t="shared" si="59"/>
        <v>0</v>
      </c>
      <c r="AD166" s="139">
        <f t="shared" si="59"/>
        <v>0</v>
      </c>
      <c r="AE166" s="139">
        <f t="shared" si="59"/>
        <v>0</v>
      </c>
      <c r="AF166" s="138"/>
      <c r="AG166" s="138"/>
      <c r="AH166" s="138"/>
      <c r="AI166" s="138"/>
    </row>
    <row r="167" spans="2:35" customFormat="1" ht="15" x14ac:dyDescent="0.25">
      <c r="B167" s="14" t="s">
        <v>2777</v>
      </c>
      <c r="C167" s="14" t="s">
        <v>2672</v>
      </c>
      <c r="D167" s="15" t="s">
        <v>2778</v>
      </c>
      <c r="E167" s="16" t="s">
        <v>1398</v>
      </c>
      <c r="F167" s="14" t="s">
        <v>2706</v>
      </c>
      <c r="G167" s="17"/>
      <c r="H167" s="17"/>
      <c r="K167" s="136"/>
      <c r="L167" s="137">
        <f t="shared" ref="L167:AE167" si="60">IF(L$122&lt;=0,0,IF(L$166&lt;=0,L$163,MIN($F$5,IF(L$163-(L$165-L$122)/L$166&lt;=0,L$163/2,L$163-(L$165-L$122)/L$166))))</f>
        <v>0</v>
      </c>
      <c r="M167" s="137">
        <f t="shared" si="60"/>
        <v>0</v>
      </c>
      <c r="N167" s="137">
        <f t="shared" si="60"/>
        <v>0</v>
      </c>
      <c r="O167" s="137">
        <f t="shared" si="60"/>
        <v>0</v>
      </c>
      <c r="P167" s="137">
        <f t="shared" si="60"/>
        <v>0</v>
      </c>
      <c r="Q167" s="137">
        <f t="shared" si="60"/>
        <v>0</v>
      </c>
      <c r="R167" s="137">
        <f t="shared" si="60"/>
        <v>0</v>
      </c>
      <c r="S167" s="137">
        <f t="shared" si="60"/>
        <v>0</v>
      </c>
      <c r="T167" s="137">
        <f t="shared" si="60"/>
        <v>0</v>
      </c>
      <c r="U167" s="137">
        <f t="shared" si="60"/>
        <v>0</v>
      </c>
      <c r="V167" s="137">
        <f t="shared" si="60"/>
        <v>0</v>
      </c>
      <c r="W167" s="137">
        <f t="shared" si="60"/>
        <v>0</v>
      </c>
      <c r="X167" s="137">
        <f t="shared" si="60"/>
        <v>0</v>
      </c>
      <c r="Y167" s="137">
        <f t="shared" si="60"/>
        <v>0</v>
      </c>
      <c r="Z167" s="137">
        <f t="shared" si="60"/>
        <v>0</v>
      </c>
      <c r="AA167" s="137">
        <f t="shared" si="60"/>
        <v>0</v>
      </c>
      <c r="AB167" s="137">
        <f t="shared" si="60"/>
        <v>0</v>
      </c>
      <c r="AC167" s="137">
        <f t="shared" si="60"/>
        <v>0</v>
      </c>
      <c r="AD167" s="137">
        <f t="shared" si="60"/>
        <v>0</v>
      </c>
      <c r="AE167" s="137">
        <f t="shared" si="60"/>
        <v>0</v>
      </c>
      <c r="AF167" s="138"/>
      <c r="AG167" s="138"/>
      <c r="AH167" s="138"/>
      <c r="AI167" s="138"/>
    </row>
    <row r="168" spans="2:35" customFormat="1" ht="15" x14ac:dyDescent="0.25">
      <c r="B168" s="14" t="s">
        <v>2779</v>
      </c>
      <c r="C168" s="14" t="s">
        <v>2672</v>
      </c>
      <c r="D168" s="15" t="s">
        <v>2780</v>
      </c>
      <c r="E168" s="16" t="s">
        <v>2065</v>
      </c>
      <c r="F168" s="14" t="s">
        <v>2696</v>
      </c>
      <c r="G168" s="17"/>
      <c r="H168" s="17"/>
      <c r="K168" s="136"/>
      <c r="L168" s="139">
        <f t="shared" ref="L168:AE168" si="61">SUMPRODUCT(L$45:L$52*(1-EXP(-L$55:L$62*L$167)))+SUMPRODUCT(L$101:L$116*(1-EXP(-L$65:L$80*L$167)))</f>
        <v>0</v>
      </c>
      <c r="M168" s="139">
        <f t="shared" si="61"/>
        <v>0</v>
      </c>
      <c r="N168" s="139">
        <f t="shared" si="61"/>
        <v>0</v>
      </c>
      <c r="O168" s="139">
        <f t="shared" si="61"/>
        <v>0</v>
      </c>
      <c r="P168" s="139">
        <f t="shared" si="61"/>
        <v>0</v>
      </c>
      <c r="Q168" s="139">
        <f t="shared" si="61"/>
        <v>0</v>
      </c>
      <c r="R168" s="139">
        <f t="shared" si="61"/>
        <v>0</v>
      </c>
      <c r="S168" s="139">
        <f t="shared" si="61"/>
        <v>0</v>
      </c>
      <c r="T168" s="139">
        <f t="shared" si="61"/>
        <v>0</v>
      </c>
      <c r="U168" s="139">
        <f t="shared" si="61"/>
        <v>0</v>
      </c>
      <c r="V168" s="139">
        <f t="shared" si="61"/>
        <v>0</v>
      </c>
      <c r="W168" s="139">
        <f t="shared" si="61"/>
        <v>0</v>
      </c>
      <c r="X168" s="139">
        <f t="shared" si="61"/>
        <v>0</v>
      </c>
      <c r="Y168" s="139">
        <f t="shared" si="61"/>
        <v>0</v>
      </c>
      <c r="Z168" s="139">
        <f t="shared" si="61"/>
        <v>0</v>
      </c>
      <c r="AA168" s="139">
        <f t="shared" si="61"/>
        <v>0</v>
      </c>
      <c r="AB168" s="139">
        <f t="shared" si="61"/>
        <v>0</v>
      </c>
      <c r="AC168" s="139">
        <f t="shared" si="61"/>
        <v>0</v>
      </c>
      <c r="AD168" s="139">
        <f t="shared" si="61"/>
        <v>0</v>
      </c>
      <c r="AE168" s="139">
        <f t="shared" si="61"/>
        <v>0</v>
      </c>
      <c r="AF168" s="138"/>
      <c r="AG168" s="138"/>
      <c r="AH168" s="138"/>
      <c r="AI168" s="138"/>
    </row>
    <row r="169" spans="2:35" customFormat="1" ht="15" x14ac:dyDescent="0.25">
      <c r="B169" s="14" t="s">
        <v>2781</v>
      </c>
      <c r="C169" s="14" t="s">
        <v>2672</v>
      </c>
      <c r="D169" s="15" t="s">
        <v>2782</v>
      </c>
      <c r="E169" s="16" t="s">
        <v>1854</v>
      </c>
      <c r="F169" s="14" t="s">
        <v>2699</v>
      </c>
      <c r="G169" s="17"/>
      <c r="H169" s="17"/>
      <c r="K169" s="136"/>
      <c r="L169" s="137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37">
        <f t="shared" si="62"/>
        <v>0</v>
      </c>
      <c r="N169" s="137">
        <f t="shared" si="62"/>
        <v>0</v>
      </c>
      <c r="O169" s="137">
        <f t="shared" si="62"/>
        <v>0</v>
      </c>
      <c r="P169" s="137">
        <f t="shared" si="62"/>
        <v>0</v>
      </c>
      <c r="Q169" s="137">
        <f t="shared" si="62"/>
        <v>0</v>
      </c>
      <c r="R169" s="137">
        <f t="shared" si="62"/>
        <v>0</v>
      </c>
      <c r="S169" s="137">
        <f t="shared" si="62"/>
        <v>0</v>
      </c>
      <c r="T169" s="137">
        <f t="shared" si="62"/>
        <v>0</v>
      </c>
      <c r="U169" s="137">
        <f t="shared" si="62"/>
        <v>0</v>
      </c>
      <c r="V169" s="137">
        <f t="shared" si="62"/>
        <v>0</v>
      </c>
      <c r="W169" s="137">
        <f t="shared" si="62"/>
        <v>0</v>
      </c>
      <c r="X169" s="137">
        <f t="shared" si="62"/>
        <v>0</v>
      </c>
      <c r="Y169" s="137">
        <f t="shared" si="62"/>
        <v>0</v>
      </c>
      <c r="Z169" s="137">
        <f t="shared" si="62"/>
        <v>0</v>
      </c>
      <c r="AA169" s="137">
        <f t="shared" si="62"/>
        <v>0</v>
      </c>
      <c r="AB169" s="137">
        <f t="shared" si="62"/>
        <v>0</v>
      </c>
      <c r="AC169" s="137">
        <f t="shared" si="62"/>
        <v>0</v>
      </c>
      <c r="AD169" s="137">
        <f t="shared" si="62"/>
        <v>0</v>
      </c>
      <c r="AE169" s="137">
        <f t="shared" si="62"/>
        <v>0</v>
      </c>
      <c r="AF169" s="138"/>
      <c r="AG169" s="138"/>
      <c r="AH169" s="138"/>
      <c r="AI169" s="138"/>
    </row>
    <row r="170" spans="2:35" customFormat="1" ht="15" x14ac:dyDescent="0.25">
      <c r="B170" s="14" t="s">
        <v>2783</v>
      </c>
      <c r="C170" s="14" t="s">
        <v>2672</v>
      </c>
      <c r="D170" s="15" t="s">
        <v>2784</v>
      </c>
      <c r="E170" s="16" t="s">
        <v>2702</v>
      </c>
      <c r="F170" s="14" t="s">
        <v>2703</v>
      </c>
      <c r="G170" s="17"/>
      <c r="H170" s="17"/>
      <c r="K170" s="136"/>
      <c r="L170" s="139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39">
        <f t="shared" si="63"/>
        <v>0</v>
      </c>
      <c r="N170" s="139">
        <f t="shared" si="63"/>
        <v>0</v>
      </c>
      <c r="O170" s="139">
        <f t="shared" si="63"/>
        <v>0</v>
      </c>
      <c r="P170" s="139">
        <f t="shared" si="63"/>
        <v>0</v>
      </c>
      <c r="Q170" s="139">
        <f t="shared" si="63"/>
        <v>0</v>
      </c>
      <c r="R170" s="139">
        <f t="shared" si="63"/>
        <v>0</v>
      </c>
      <c r="S170" s="139">
        <f t="shared" si="63"/>
        <v>0</v>
      </c>
      <c r="T170" s="139">
        <f t="shared" si="63"/>
        <v>0</v>
      </c>
      <c r="U170" s="139">
        <f t="shared" si="63"/>
        <v>0</v>
      </c>
      <c r="V170" s="139">
        <f t="shared" si="63"/>
        <v>0</v>
      </c>
      <c r="W170" s="139">
        <f t="shared" si="63"/>
        <v>0</v>
      </c>
      <c r="X170" s="139">
        <f t="shared" si="63"/>
        <v>0</v>
      </c>
      <c r="Y170" s="139">
        <f t="shared" si="63"/>
        <v>0</v>
      </c>
      <c r="Z170" s="139">
        <f t="shared" si="63"/>
        <v>0</v>
      </c>
      <c r="AA170" s="139">
        <f t="shared" si="63"/>
        <v>0</v>
      </c>
      <c r="AB170" s="139">
        <f t="shared" si="63"/>
        <v>0</v>
      </c>
      <c r="AC170" s="139">
        <f t="shared" si="63"/>
        <v>0</v>
      </c>
      <c r="AD170" s="139">
        <f t="shared" si="63"/>
        <v>0</v>
      </c>
      <c r="AE170" s="139">
        <f t="shared" si="63"/>
        <v>0</v>
      </c>
      <c r="AF170" s="138"/>
      <c r="AG170" s="138"/>
      <c r="AH170" s="138"/>
      <c r="AI170" s="138"/>
    </row>
    <row r="171" spans="2:35" customFormat="1" ht="15" x14ac:dyDescent="0.25">
      <c r="B171" s="14" t="s">
        <v>2785</v>
      </c>
      <c r="C171" s="14" t="s">
        <v>2672</v>
      </c>
      <c r="D171" s="15" t="s">
        <v>2786</v>
      </c>
      <c r="E171" s="16" t="s">
        <v>1398</v>
      </c>
      <c r="F171" s="14" t="s">
        <v>2706</v>
      </c>
      <c r="G171" s="17"/>
      <c r="H171" s="17"/>
      <c r="K171" s="136"/>
      <c r="L171" s="137">
        <f t="shared" ref="L171:AE171" si="64">IF(L$122&lt;=0,0,IF(L$170&lt;=0,L$167,MIN($F$5,IF(L$167-(L$169-L$122)/L$170&lt;=0,L$167/2,L$167-(L$169-L$122)/L$170))))</f>
        <v>0</v>
      </c>
      <c r="M171" s="137">
        <f t="shared" si="64"/>
        <v>0</v>
      </c>
      <c r="N171" s="137">
        <f t="shared" si="64"/>
        <v>0</v>
      </c>
      <c r="O171" s="137">
        <f t="shared" si="64"/>
        <v>0</v>
      </c>
      <c r="P171" s="137">
        <f t="shared" si="64"/>
        <v>0</v>
      </c>
      <c r="Q171" s="137">
        <f t="shared" si="64"/>
        <v>0</v>
      </c>
      <c r="R171" s="137">
        <f t="shared" si="64"/>
        <v>0</v>
      </c>
      <c r="S171" s="137">
        <f t="shared" si="64"/>
        <v>0</v>
      </c>
      <c r="T171" s="137">
        <f t="shared" si="64"/>
        <v>0</v>
      </c>
      <c r="U171" s="137">
        <f t="shared" si="64"/>
        <v>0</v>
      </c>
      <c r="V171" s="137">
        <f t="shared" si="64"/>
        <v>0</v>
      </c>
      <c r="W171" s="137">
        <f t="shared" si="64"/>
        <v>0</v>
      </c>
      <c r="X171" s="137">
        <f t="shared" si="64"/>
        <v>0</v>
      </c>
      <c r="Y171" s="137">
        <f t="shared" si="64"/>
        <v>0</v>
      </c>
      <c r="Z171" s="137">
        <f t="shared" si="64"/>
        <v>0</v>
      </c>
      <c r="AA171" s="137">
        <f t="shared" si="64"/>
        <v>0</v>
      </c>
      <c r="AB171" s="137">
        <f t="shared" si="64"/>
        <v>0</v>
      </c>
      <c r="AC171" s="137">
        <f t="shared" si="64"/>
        <v>0</v>
      </c>
      <c r="AD171" s="137">
        <f t="shared" si="64"/>
        <v>0</v>
      </c>
      <c r="AE171" s="137">
        <f t="shared" si="64"/>
        <v>0</v>
      </c>
      <c r="AF171" s="138"/>
      <c r="AG171" s="138"/>
      <c r="AH171" s="138"/>
      <c r="AI171" s="138"/>
    </row>
    <row r="172" spans="2:35" customFormat="1" ht="15" x14ac:dyDescent="0.25">
      <c r="B172" s="14" t="s">
        <v>2787</v>
      </c>
      <c r="C172" s="14" t="s">
        <v>2672</v>
      </c>
      <c r="D172" s="15" t="s">
        <v>2788</v>
      </c>
      <c r="E172" s="16" t="s">
        <v>2065</v>
      </c>
      <c r="F172" s="14" t="s">
        <v>2696</v>
      </c>
      <c r="G172" s="17"/>
      <c r="H172" s="17"/>
      <c r="K172" s="136"/>
      <c r="L172" s="139">
        <f t="shared" ref="L172:AE172" si="65">SUMPRODUCT(L$45:L$52*(1-EXP(-L$55:L$62*L$171)))+SUMPRODUCT(L$101:L$116*(1-EXP(-L$65:L$80*L$171)))</f>
        <v>0</v>
      </c>
      <c r="M172" s="139">
        <f t="shared" si="65"/>
        <v>0</v>
      </c>
      <c r="N172" s="139">
        <f t="shared" si="65"/>
        <v>0</v>
      </c>
      <c r="O172" s="139">
        <f t="shared" si="65"/>
        <v>0</v>
      </c>
      <c r="P172" s="139">
        <f t="shared" si="65"/>
        <v>0</v>
      </c>
      <c r="Q172" s="139">
        <f t="shared" si="65"/>
        <v>0</v>
      </c>
      <c r="R172" s="139">
        <f t="shared" si="65"/>
        <v>0</v>
      </c>
      <c r="S172" s="139">
        <f t="shared" si="65"/>
        <v>0</v>
      </c>
      <c r="T172" s="139">
        <f t="shared" si="65"/>
        <v>0</v>
      </c>
      <c r="U172" s="139">
        <f t="shared" si="65"/>
        <v>0</v>
      </c>
      <c r="V172" s="139">
        <f t="shared" si="65"/>
        <v>0</v>
      </c>
      <c r="W172" s="139">
        <f t="shared" si="65"/>
        <v>0</v>
      </c>
      <c r="X172" s="139">
        <f t="shared" si="65"/>
        <v>0</v>
      </c>
      <c r="Y172" s="139">
        <f t="shared" si="65"/>
        <v>0</v>
      </c>
      <c r="Z172" s="139">
        <f t="shared" si="65"/>
        <v>0</v>
      </c>
      <c r="AA172" s="139">
        <f t="shared" si="65"/>
        <v>0</v>
      </c>
      <c r="AB172" s="139">
        <f t="shared" si="65"/>
        <v>0</v>
      </c>
      <c r="AC172" s="139">
        <f t="shared" si="65"/>
        <v>0</v>
      </c>
      <c r="AD172" s="139">
        <f t="shared" si="65"/>
        <v>0</v>
      </c>
      <c r="AE172" s="139">
        <f t="shared" si="65"/>
        <v>0</v>
      </c>
      <c r="AF172" s="138"/>
      <c r="AG172" s="138"/>
      <c r="AH172" s="138"/>
      <c r="AI172" s="138"/>
    </row>
    <row r="173" spans="2:35" customFormat="1" ht="15" x14ac:dyDescent="0.25">
      <c r="B173" s="14" t="s">
        <v>2789</v>
      </c>
      <c r="C173" s="14" t="s">
        <v>2672</v>
      </c>
      <c r="D173" s="15" t="s">
        <v>2790</v>
      </c>
      <c r="E173" s="16" t="s">
        <v>1854</v>
      </c>
      <c r="F173" s="14" t="s">
        <v>2699</v>
      </c>
      <c r="G173" s="17"/>
      <c r="H173" s="17"/>
      <c r="K173" s="136"/>
      <c r="L173" s="137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37">
        <f t="shared" si="66"/>
        <v>0</v>
      </c>
      <c r="N173" s="137">
        <f t="shared" si="66"/>
        <v>0</v>
      </c>
      <c r="O173" s="137">
        <f t="shared" si="66"/>
        <v>0</v>
      </c>
      <c r="P173" s="137">
        <f t="shared" si="66"/>
        <v>0</v>
      </c>
      <c r="Q173" s="137">
        <f t="shared" si="66"/>
        <v>0</v>
      </c>
      <c r="R173" s="137">
        <f t="shared" si="66"/>
        <v>0</v>
      </c>
      <c r="S173" s="137">
        <f t="shared" si="66"/>
        <v>0</v>
      </c>
      <c r="T173" s="137">
        <f t="shared" si="66"/>
        <v>0</v>
      </c>
      <c r="U173" s="137">
        <f t="shared" si="66"/>
        <v>0</v>
      </c>
      <c r="V173" s="137">
        <f t="shared" si="66"/>
        <v>0</v>
      </c>
      <c r="W173" s="137">
        <f t="shared" si="66"/>
        <v>0</v>
      </c>
      <c r="X173" s="137">
        <f t="shared" si="66"/>
        <v>0</v>
      </c>
      <c r="Y173" s="137">
        <f t="shared" si="66"/>
        <v>0</v>
      </c>
      <c r="Z173" s="137">
        <f t="shared" si="66"/>
        <v>0</v>
      </c>
      <c r="AA173" s="137">
        <f t="shared" si="66"/>
        <v>0</v>
      </c>
      <c r="AB173" s="137">
        <f t="shared" si="66"/>
        <v>0</v>
      </c>
      <c r="AC173" s="137">
        <f t="shared" si="66"/>
        <v>0</v>
      </c>
      <c r="AD173" s="137">
        <f t="shared" si="66"/>
        <v>0</v>
      </c>
      <c r="AE173" s="137">
        <f t="shared" si="66"/>
        <v>0</v>
      </c>
      <c r="AF173" s="138"/>
      <c r="AG173" s="138"/>
      <c r="AH173" s="138"/>
      <c r="AI173" s="138"/>
    </row>
    <row r="174" spans="2:35" customFormat="1" ht="15" x14ac:dyDescent="0.25">
      <c r="B174" s="14" t="s">
        <v>2791</v>
      </c>
      <c r="C174" s="14" t="s">
        <v>2672</v>
      </c>
      <c r="D174" s="15" t="s">
        <v>2792</v>
      </c>
      <c r="E174" s="16" t="s">
        <v>2702</v>
      </c>
      <c r="F174" s="14" t="s">
        <v>2703</v>
      </c>
      <c r="G174" s="17"/>
      <c r="H174" s="17"/>
      <c r="K174" s="136"/>
      <c r="L174" s="139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39">
        <f t="shared" si="67"/>
        <v>0</v>
      </c>
      <c r="N174" s="139">
        <f t="shared" si="67"/>
        <v>0</v>
      </c>
      <c r="O174" s="139">
        <f t="shared" si="67"/>
        <v>0</v>
      </c>
      <c r="P174" s="139">
        <f t="shared" si="67"/>
        <v>0</v>
      </c>
      <c r="Q174" s="139">
        <f t="shared" si="67"/>
        <v>0</v>
      </c>
      <c r="R174" s="139">
        <f t="shared" si="67"/>
        <v>0</v>
      </c>
      <c r="S174" s="139">
        <f t="shared" si="67"/>
        <v>0</v>
      </c>
      <c r="T174" s="139">
        <f t="shared" si="67"/>
        <v>0</v>
      </c>
      <c r="U174" s="139">
        <f t="shared" si="67"/>
        <v>0</v>
      </c>
      <c r="V174" s="139">
        <f t="shared" si="67"/>
        <v>0</v>
      </c>
      <c r="W174" s="139">
        <f t="shared" si="67"/>
        <v>0</v>
      </c>
      <c r="X174" s="139">
        <f t="shared" si="67"/>
        <v>0</v>
      </c>
      <c r="Y174" s="139">
        <f t="shared" si="67"/>
        <v>0</v>
      </c>
      <c r="Z174" s="139">
        <f t="shared" si="67"/>
        <v>0</v>
      </c>
      <c r="AA174" s="139">
        <f t="shared" si="67"/>
        <v>0</v>
      </c>
      <c r="AB174" s="139">
        <f t="shared" si="67"/>
        <v>0</v>
      </c>
      <c r="AC174" s="139">
        <f t="shared" si="67"/>
        <v>0</v>
      </c>
      <c r="AD174" s="139">
        <f t="shared" si="67"/>
        <v>0</v>
      </c>
      <c r="AE174" s="139">
        <f t="shared" si="67"/>
        <v>0</v>
      </c>
      <c r="AF174" s="138"/>
      <c r="AG174" s="138"/>
      <c r="AH174" s="138"/>
      <c r="AI174" s="138"/>
    </row>
    <row r="175" spans="2:35" customFormat="1" ht="15" x14ac:dyDescent="0.25">
      <c r="B175" s="14" t="s">
        <v>2793</v>
      </c>
      <c r="C175" s="14" t="s">
        <v>2672</v>
      </c>
      <c r="D175" s="15" t="s">
        <v>2794</v>
      </c>
      <c r="E175" s="16" t="s">
        <v>1398</v>
      </c>
      <c r="F175" s="14" t="s">
        <v>2706</v>
      </c>
      <c r="G175" s="17"/>
      <c r="H175" s="17"/>
      <c r="K175" s="136"/>
      <c r="L175" s="137">
        <f t="shared" ref="L175:AE175" si="68">IF(L$122&lt;=0,0,IF(L$174&lt;=0,L$171,MIN($F$5,IF(L$171-(L$173-L$122)/L$174&lt;=0,L$171/2,L$171-(L$173-L$122)/L$174))))</f>
        <v>0</v>
      </c>
      <c r="M175" s="137">
        <f t="shared" si="68"/>
        <v>0</v>
      </c>
      <c r="N175" s="137">
        <f t="shared" si="68"/>
        <v>0</v>
      </c>
      <c r="O175" s="137">
        <f t="shared" si="68"/>
        <v>0</v>
      </c>
      <c r="P175" s="137">
        <f t="shared" si="68"/>
        <v>0</v>
      </c>
      <c r="Q175" s="137">
        <f t="shared" si="68"/>
        <v>0</v>
      </c>
      <c r="R175" s="137">
        <f t="shared" si="68"/>
        <v>0</v>
      </c>
      <c r="S175" s="137">
        <f t="shared" si="68"/>
        <v>0</v>
      </c>
      <c r="T175" s="137">
        <f t="shared" si="68"/>
        <v>0</v>
      </c>
      <c r="U175" s="137">
        <f t="shared" si="68"/>
        <v>0</v>
      </c>
      <c r="V175" s="137">
        <f t="shared" si="68"/>
        <v>0</v>
      </c>
      <c r="W175" s="137">
        <f t="shared" si="68"/>
        <v>0</v>
      </c>
      <c r="X175" s="137">
        <f t="shared" si="68"/>
        <v>0</v>
      </c>
      <c r="Y175" s="137">
        <f t="shared" si="68"/>
        <v>0</v>
      </c>
      <c r="Z175" s="137">
        <f t="shared" si="68"/>
        <v>0</v>
      </c>
      <c r="AA175" s="137">
        <f t="shared" si="68"/>
        <v>0</v>
      </c>
      <c r="AB175" s="137">
        <f t="shared" si="68"/>
        <v>0</v>
      </c>
      <c r="AC175" s="137">
        <f t="shared" si="68"/>
        <v>0</v>
      </c>
      <c r="AD175" s="137">
        <f t="shared" si="68"/>
        <v>0</v>
      </c>
      <c r="AE175" s="137">
        <f t="shared" si="68"/>
        <v>0</v>
      </c>
      <c r="AF175" s="138"/>
      <c r="AG175" s="138"/>
      <c r="AH175" s="138"/>
      <c r="AI175" s="138"/>
    </row>
    <row r="176" spans="2:35" customFormat="1" ht="15" x14ac:dyDescent="0.25">
      <c r="B176" s="14" t="s">
        <v>2795</v>
      </c>
      <c r="C176" s="14" t="s">
        <v>2672</v>
      </c>
      <c r="D176" s="15" t="s">
        <v>2796</v>
      </c>
      <c r="E176" s="16" t="s">
        <v>2065</v>
      </c>
      <c r="F176" s="14" t="s">
        <v>2696</v>
      </c>
      <c r="G176" s="17"/>
      <c r="H176" s="17"/>
      <c r="K176" s="136"/>
      <c r="L176" s="139">
        <f t="shared" ref="L176:AE176" si="69">SUMPRODUCT(L$45:L$52*(1-EXP(-L$55:L$62*L$175)))+SUMPRODUCT(L$101:L$116*(1-EXP(-L$65:L$80*L$175)))</f>
        <v>0</v>
      </c>
      <c r="M176" s="139">
        <f t="shared" si="69"/>
        <v>0</v>
      </c>
      <c r="N176" s="139">
        <f t="shared" si="69"/>
        <v>0</v>
      </c>
      <c r="O176" s="139">
        <f t="shared" si="69"/>
        <v>0</v>
      </c>
      <c r="P176" s="139">
        <f t="shared" si="69"/>
        <v>0</v>
      </c>
      <c r="Q176" s="139">
        <f t="shared" si="69"/>
        <v>0</v>
      </c>
      <c r="R176" s="139">
        <f t="shared" si="69"/>
        <v>0</v>
      </c>
      <c r="S176" s="139">
        <f t="shared" si="69"/>
        <v>0</v>
      </c>
      <c r="T176" s="139">
        <f t="shared" si="69"/>
        <v>0</v>
      </c>
      <c r="U176" s="139">
        <f t="shared" si="69"/>
        <v>0</v>
      </c>
      <c r="V176" s="139">
        <f t="shared" si="69"/>
        <v>0</v>
      </c>
      <c r="W176" s="139">
        <f t="shared" si="69"/>
        <v>0</v>
      </c>
      <c r="X176" s="139">
        <f t="shared" si="69"/>
        <v>0</v>
      </c>
      <c r="Y176" s="139">
        <f t="shared" si="69"/>
        <v>0</v>
      </c>
      <c r="Z176" s="139">
        <f t="shared" si="69"/>
        <v>0</v>
      </c>
      <c r="AA176" s="139">
        <f t="shared" si="69"/>
        <v>0</v>
      </c>
      <c r="AB176" s="139">
        <f t="shared" si="69"/>
        <v>0</v>
      </c>
      <c r="AC176" s="139">
        <f t="shared" si="69"/>
        <v>0</v>
      </c>
      <c r="AD176" s="139">
        <f t="shared" si="69"/>
        <v>0</v>
      </c>
      <c r="AE176" s="139">
        <f t="shared" si="69"/>
        <v>0</v>
      </c>
      <c r="AF176" s="138"/>
      <c r="AG176" s="138"/>
      <c r="AH176" s="138"/>
      <c r="AI176" s="138"/>
    </row>
    <row r="177" spans="1:35" customFormat="1" ht="15" x14ac:dyDescent="0.25">
      <c r="B177" s="14" t="s">
        <v>2797</v>
      </c>
      <c r="C177" s="14" t="s">
        <v>2672</v>
      </c>
      <c r="D177" s="15" t="s">
        <v>2798</v>
      </c>
      <c r="E177" s="16" t="s">
        <v>1854</v>
      </c>
      <c r="F177" s="14" t="s">
        <v>2699</v>
      </c>
      <c r="G177" s="17"/>
      <c r="H177" s="17"/>
      <c r="K177" s="136"/>
      <c r="L177" s="137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37">
        <f t="shared" si="70"/>
        <v>0</v>
      </c>
      <c r="N177" s="137">
        <f t="shared" si="70"/>
        <v>0</v>
      </c>
      <c r="O177" s="137">
        <f t="shared" si="70"/>
        <v>0</v>
      </c>
      <c r="P177" s="137">
        <f t="shared" si="70"/>
        <v>0</v>
      </c>
      <c r="Q177" s="137">
        <f t="shared" si="70"/>
        <v>0</v>
      </c>
      <c r="R177" s="137">
        <f t="shared" si="70"/>
        <v>0</v>
      </c>
      <c r="S177" s="137">
        <f t="shared" si="70"/>
        <v>0</v>
      </c>
      <c r="T177" s="137">
        <f t="shared" si="70"/>
        <v>0</v>
      </c>
      <c r="U177" s="137">
        <f t="shared" si="70"/>
        <v>0</v>
      </c>
      <c r="V177" s="137">
        <f t="shared" si="70"/>
        <v>0</v>
      </c>
      <c r="W177" s="137">
        <f t="shared" si="70"/>
        <v>0</v>
      </c>
      <c r="X177" s="137">
        <f t="shared" si="70"/>
        <v>0</v>
      </c>
      <c r="Y177" s="137">
        <f t="shared" si="70"/>
        <v>0</v>
      </c>
      <c r="Z177" s="137">
        <f t="shared" si="70"/>
        <v>0</v>
      </c>
      <c r="AA177" s="137">
        <f t="shared" si="70"/>
        <v>0</v>
      </c>
      <c r="AB177" s="137">
        <f t="shared" si="70"/>
        <v>0</v>
      </c>
      <c r="AC177" s="137">
        <f t="shared" si="70"/>
        <v>0</v>
      </c>
      <c r="AD177" s="137">
        <f t="shared" si="70"/>
        <v>0</v>
      </c>
      <c r="AE177" s="137">
        <f t="shared" si="70"/>
        <v>0</v>
      </c>
      <c r="AF177" s="138"/>
      <c r="AG177" s="138"/>
      <c r="AH177" s="138"/>
      <c r="AI177" s="138"/>
    </row>
    <row r="178" spans="1:35" customFormat="1" ht="15" x14ac:dyDescent="0.25">
      <c r="B178" s="14" t="s">
        <v>2799</v>
      </c>
      <c r="C178" s="14" t="s">
        <v>2672</v>
      </c>
      <c r="D178" s="15" t="s">
        <v>2800</v>
      </c>
      <c r="E178" s="16" t="s">
        <v>2702</v>
      </c>
      <c r="F178" s="14" t="s">
        <v>2703</v>
      </c>
      <c r="G178" s="17"/>
      <c r="H178" s="17"/>
      <c r="K178" s="136"/>
      <c r="L178" s="139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39">
        <f t="shared" si="71"/>
        <v>0</v>
      </c>
      <c r="N178" s="139">
        <f t="shared" si="71"/>
        <v>0</v>
      </c>
      <c r="O178" s="139">
        <f t="shared" si="71"/>
        <v>0</v>
      </c>
      <c r="P178" s="139">
        <f t="shared" si="71"/>
        <v>0</v>
      </c>
      <c r="Q178" s="139">
        <f t="shared" si="71"/>
        <v>0</v>
      </c>
      <c r="R178" s="139">
        <f t="shared" si="71"/>
        <v>0</v>
      </c>
      <c r="S178" s="139">
        <f t="shared" si="71"/>
        <v>0</v>
      </c>
      <c r="T178" s="139">
        <f t="shared" si="71"/>
        <v>0</v>
      </c>
      <c r="U178" s="139">
        <f t="shared" si="71"/>
        <v>0</v>
      </c>
      <c r="V178" s="139">
        <f t="shared" si="71"/>
        <v>0</v>
      </c>
      <c r="W178" s="139">
        <f t="shared" si="71"/>
        <v>0</v>
      </c>
      <c r="X178" s="139">
        <f t="shared" si="71"/>
        <v>0</v>
      </c>
      <c r="Y178" s="139">
        <f t="shared" si="71"/>
        <v>0</v>
      </c>
      <c r="Z178" s="139">
        <f t="shared" si="71"/>
        <v>0</v>
      </c>
      <c r="AA178" s="139">
        <f t="shared" si="71"/>
        <v>0</v>
      </c>
      <c r="AB178" s="139">
        <f t="shared" si="71"/>
        <v>0</v>
      </c>
      <c r="AC178" s="139">
        <f t="shared" si="71"/>
        <v>0</v>
      </c>
      <c r="AD178" s="139">
        <f t="shared" si="71"/>
        <v>0</v>
      </c>
      <c r="AE178" s="139">
        <f t="shared" si="71"/>
        <v>0</v>
      </c>
      <c r="AF178" s="138"/>
      <c r="AG178" s="138"/>
      <c r="AH178" s="138"/>
      <c r="AI178" s="138"/>
    </row>
    <row r="179" spans="1:35" customFormat="1" ht="15" x14ac:dyDescent="0.25">
      <c r="B179" s="14" t="s">
        <v>2801</v>
      </c>
      <c r="C179" s="14" t="s">
        <v>2672</v>
      </c>
      <c r="D179" s="15" t="s">
        <v>2802</v>
      </c>
      <c r="E179" s="16" t="s">
        <v>1398</v>
      </c>
      <c r="F179" s="14" t="s">
        <v>2706</v>
      </c>
      <c r="G179" s="17"/>
      <c r="H179" s="17"/>
      <c r="K179" s="136"/>
      <c r="L179" s="137">
        <f t="shared" ref="L179:AE179" si="72">IF(L$122&lt;=0,0,IF(L$178&lt;=0,L$175,MIN($F$5,IF(L$175-(L$177-L$122)/L$178&lt;=0,L$175/2,L$175-(L$177-L$122)/L$178))))</f>
        <v>0</v>
      </c>
      <c r="M179" s="137">
        <f t="shared" si="72"/>
        <v>0</v>
      </c>
      <c r="N179" s="137">
        <f t="shared" si="72"/>
        <v>0</v>
      </c>
      <c r="O179" s="137">
        <f t="shared" si="72"/>
        <v>0</v>
      </c>
      <c r="P179" s="137">
        <f t="shared" si="72"/>
        <v>0</v>
      </c>
      <c r="Q179" s="137">
        <f t="shared" si="72"/>
        <v>0</v>
      </c>
      <c r="R179" s="137">
        <f t="shared" si="72"/>
        <v>0</v>
      </c>
      <c r="S179" s="137">
        <f t="shared" si="72"/>
        <v>0</v>
      </c>
      <c r="T179" s="137">
        <f t="shared" si="72"/>
        <v>0</v>
      </c>
      <c r="U179" s="137">
        <f t="shared" si="72"/>
        <v>0</v>
      </c>
      <c r="V179" s="137">
        <f t="shared" si="72"/>
        <v>0</v>
      </c>
      <c r="W179" s="137">
        <f t="shared" si="72"/>
        <v>0</v>
      </c>
      <c r="X179" s="137">
        <f t="shared" si="72"/>
        <v>0</v>
      </c>
      <c r="Y179" s="137">
        <f t="shared" si="72"/>
        <v>0</v>
      </c>
      <c r="Z179" s="137">
        <f t="shared" si="72"/>
        <v>0</v>
      </c>
      <c r="AA179" s="137">
        <f t="shared" si="72"/>
        <v>0</v>
      </c>
      <c r="AB179" s="137">
        <f t="shared" si="72"/>
        <v>0</v>
      </c>
      <c r="AC179" s="137">
        <f t="shared" si="72"/>
        <v>0</v>
      </c>
      <c r="AD179" s="137">
        <f t="shared" si="72"/>
        <v>0</v>
      </c>
      <c r="AE179" s="137">
        <f t="shared" si="72"/>
        <v>0</v>
      </c>
      <c r="AF179" s="138"/>
      <c r="AG179" s="138"/>
      <c r="AH179" s="138"/>
      <c r="AI179" s="138"/>
    </row>
    <row r="180" spans="1:35" customFormat="1" ht="15" x14ac:dyDescent="0.25">
      <c r="B180" s="14" t="s">
        <v>2803</v>
      </c>
      <c r="C180" s="14" t="s">
        <v>2672</v>
      </c>
      <c r="D180" s="15" t="s">
        <v>2804</v>
      </c>
      <c r="E180" s="16" t="s">
        <v>2065</v>
      </c>
      <c r="F180" s="14" t="s">
        <v>2696</v>
      </c>
      <c r="G180" s="17"/>
      <c r="H180" s="17"/>
      <c r="K180" s="136"/>
      <c r="L180" s="139">
        <f t="shared" ref="L180:AE180" si="73">SUMPRODUCT(L$45:L$52*(1-EXP(-L$55:L$62*L$179)))+SUMPRODUCT(L$101:L$116*(1-EXP(-L$65:L$80*L$179)))</f>
        <v>0</v>
      </c>
      <c r="M180" s="139">
        <f t="shared" si="73"/>
        <v>0</v>
      </c>
      <c r="N180" s="139">
        <f t="shared" si="73"/>
        <v>0</v>
      </c>
      <c r="O180" s="139">
        <f t="shared" si="73"/>
        <v>0</v>
      </c>
      <c r="P180" s="139">
        <f t="shared" si="73"/>
        <v>0</v>
      </c>
      <c r="Q180" s="139">
        <f t="shared" si="73"/>
        <v>0</v>
      </c>
      <c r="R180" s="139">
        <f t="shared" si="73"/>
        <v>0</v>
      </c>
      <c r="S180" s="139">
        <f t="shared" si="73"/>
        <v>0</v>
      </c>
      <c r="T180" s="139">
        <f t="shared" si="73"/>
        <v>0</v>
      </c>
      <c r="U180" s="139">
        <f t="shared" si="73"/>
        <v>0</v>
      </c>
      <c r="V180" s="139">
        <f t="shared" si="73"/>
        <v>0</v>
      </c>
      <c r="W180" s="139">
        <f t="shared" si="73"/>
        <v>0</v>
      </c>
      <c r="X180" s="139">
        <f t="shared" si="73"/>
        <v>0</v>
      </c>
      <c r="Y180" s="139">
        <f t="shared" si="73"/>
        <v>0</v>
      </c>
      <c r="Z180" s="139">
        <f t="shared" si="73"/>
        <v>0</v>
      </c>
      <c r="AA180" s="139">
        <f t="shared" si="73"/>
        <v>0</v>
      </c>
      <c r="AB180" s="139">
        <f t="shared" si="73"/>
        <v>0</v>
      </c>
      <c r="AC180" s="139">
        <f t="shared" si="73"/>
        <v>0</v>
      </c>
      <c r="AD180" s="139">
        <f t="shared" si="73"/>
        <v>0</v>
      </c>
      <c r="AE180" s="139">
        <f t="shared" si="73"/>
        <v>0</v>
      </c>
      <c r="AF180" s="138"/>
      <c r="AG180" s="138"/>
      <c r="AH180" s="138"/>
      <c r="AI180" s="138"/>
    </row>
    <row r="181" spans="1:35" customFormat="1" ht="15" x14ac:dyDescent="0.25">
      <c r="B181" s="14" t="s">
        <v>2805</v>
      </c>
      <c r="C181" s="14" t="s">
        <v>2672</v>
      </c>
      <c r="D181" s="15" t="s">
        <v>2806</v>
      </c>
      <c r="E181" s="16" t="s">
        <v>1854</v>
      </c>
      <c r="F181" s="14" t="s">
        <v>2699</v>
      </c>
      <c r="G181" s="17"/>
      <c r="H181" s="17"/>
      <c r="K181" s="136"/>
      <c r="L181" s="137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37">
        <f t="shared" si="74"/>
        <v>0</v>
      </c>
      <c r="N181" s="137">
        <f t="shared" si="74"/>
        <v>0</v>
      </c>
      <c r="O181" s="137">
        <f t="shared" si="74"/>
        <v>0</v>
      </c>
      <c r="P181" s="137">
        <f t="shared" si="74"/>
        <v>0</v>
      </c>
      <c r="Q181" s="137">
        <f t="shared" si="74"/>
        <v>0</v>
      </c>
      <c r="R181" s="137">
        <f t="shared" si="74"/>
        <v>0</v>
      </c>
      <c r="S181" s="137">
        <f t="shared" si="74"/>
        <v>0</v>
      </c>
      <c r="T181" s="137">
        <f t="shared" si="74"/>
        <v>0</v>
      </c>
      <c r="U181" s="137">
        <f t="shared" si="74"/>
        <v>0</v>
      </c>
      <c r="V181" s="137">
        <f t="shared" si="74"/>
        <v>0</v>
      </c>
      <c r="W181" s="137">
        <f t="shared" si="74"/>
        <v>0</v>
      </c>
      <c r="X181" s="137">
        <f t="shared" si="74"/>
        <v>0</v>
      </c>
      <c r="Y181" s="137">
        <f t="shared" si="74"/>
        <v>0</v>
      </c>
      <c r="Z181" s="137">
        <f t="shared" si="74"/>
        <v>0</v>
      </c>
      <c r="AA181" s="137">
        <f t="shared" si="74"/>
        <v>0</v>
      </c>
      <c r="AB181" s="137">
        <f t="shared" si="74"/>
        <v>0</v>
      </c>
      <c r="AC181" s="137">
        <f t="shared" si="74"/>
        <v>0</v>
      </c>
      <c r="AD181" s="137">
        <f t="shared" si="74"/>
        <v>0</v>
      </c>
      <c r="AE181" s="137">
        <f t="shared" si="74"/>
        <v>0</v>
      </c>
      <c r="AF181" s="138"/>
      <c r="AG181" s="138"/>
      <c r="AH181" s="138"/>
      <c r="AI181" s="138"/>
    </row>
    <row r="182" spans="1:35" customFormat="1" ht="15" x14ac:dyDescent="0.25">
      <c r="B182" s="14" t="s">
        <v>2807</v>
      </c>
      <c r="C182" s="14" t="s">
        <v>2672</v>
      </c>
      <c r="D182" s="15" t="s">
        <v>2808</v>
      </c>
      <c r="E182" s="16" t="s">
        <v>2702</v>
      </c>
      <c r="F182" s="14" t="s">
        <v>2703</v>
      </c>
      <c r="G182" s="17"/>
      <c r="H182" s="17"/>
      <c r="K182" s="136"/>
      <c r="L182" s="139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39">
        <f t="shared" si="75"/>
        <v>0</v>
      </c>
      <c r="N182" s="139">
        <f t="shared" si="75"/>
        <v>0</v>
      </c>
      <c r="O182" s="139">
        <f t="shared" si="75"/>
        <v>0</v>
      </c>
      <c r="P182" s="139">
        <f t="shared" si="75"/>
        <v>0</v>
      </c>
      <c r="Q182" s="139">
        <f t="shared" si="75"/>
        <v>0</v>
      </c>
      <c r="R182" s="139">
        <f t="shared" si="75"/>
        <v>0</v>
      </c>
      <c r="S182" s="139">
        <f t="shared" si="75"/>
        <v>0</v>
      </c>
      <c r="T182" s="139">
        <f t="shared" si="75"/>
        <v>0</v>
      </c>
      <c r="U182" s="139">
        <f t="shared" si="75"/>
        <v>0</v>
      </c>
      <c r="V182" s="139">
        <f t="shared" si="75"/>
        <v>0</v>
      </c>
      <c r="W182" s="139">
        <f t="shared" si="75"/>
        <v>0</v>
      </c>
      <c r="X182" s="139">
        <f t="shared" si="75"/>
        <v>0</v>
      </c>
      <c r="Y182" s="139">
        <f t="shared" si="75"/>
        <v>0</v>
      </c>
      <c r="Z182" s="139">
        <f t="shared" si="75"/>
        <v>0</v>
      </c>
      <c r="AA182" s="139">
        <f t="shared" si="75"/>
        <v>0</v>
      </c>
      <c r="AB182" s="139">
        <f t="shared" si="75"/>
        <v>0</v>
      </c>
      <c r="AC182" s="139">
        <f t="shared" si="75"/>
        <v>0</v>
      </c>
      <c r="AD182" s="139">
        <f t="shared" si="75"/>
        <v>0</v>
      </c>
      <c r="AE182" s="139">
        <f t="shared" si="75"/>
        <v>0</v>
      </c>
      <c r="AF182" s="138"/>
      <c r="AG182" s="138"/>
      <c r="AH182" s="138"/>
      <c r="AI182" s="138"/>
    </row>
    <row r="183" spans="1:35" customFormat="1" ht="15" x14ac:dyDescent="0.25">
      <c r="B183" s="14" t="s">
        <v>2809</v>
      </c>
      <c r="C183" s="14" t="s">
        <v>2672</v>
      </c>
      <c r="D183" s="15" t="s">
        <v>2810</v>
      </c>
      <c r="E183" s="16" t="s">
        <v>1398</v>
      </c>
      <c r="F183" s="14" t="s">
        <v>2706</v>
      </c>
      <c r="G183" s="17"/>
      <c r="H183" s="17"/>
      <c r="K183" s="136"/>
      <c r="L183" s="137">
        <f t="shared" ref="L183:AE183" si="76">IF(L$122&lt;=0,0,IF(L$182&lt;=0,L$179,MIN($F$5,IF(L$179-(L$181-L$122)/L$182&lt;=0,L$179/2,L$179-(L$181-L$122)/L$182))))</f>
        <v>0</v>
      </c>
      <c r="M183" s="137">
        <f t="shared" si="76"/>
        <v>0</v>
      </c>
      <c r="N183" s="137">
        <f t="shared" si="76"/>
        <v>0</v>
      </c>
      <c r="O183" s="137">
        <f t="shared" si="76"/>
        <v>0</v>
      </c>
      <c r="P183" s="137">
        <f t="shared" si="76"/>
        <v>0</v>
      </c>
      <c r="Q183" s="137">
        <f t="shared" si="76"/>
        <v>0</v>
      </c>
      <c r="R183" s="137">
        <f t="shared" si="76"/>
        <v>0</v>
      </c>
      <c r="S183" s="137">
        <f t="shared" si="76"/>
        <v>0</v>
      </c>
      <c r="T183" s="137">
        <f t="shared" si="76"/>
        <v>0</v>
      </c>
      <c r="U183" s="137">
        <f t="shared" si="76"/>
        <v>0</v>
      </c>
      <c r="V183" s="137">
        <f t="shared" si="76"/>
        <v>0</v>
      </c>
      <c r="W183" s="137">
        <f t="shared" si="76"/>
        <v>0</v>
      </c>
      <c r="X183" s="137">
        <f t="shared" si="76"/>
        <v>0</v>
      </c>
      <c r="Y183" s="137">
        <f t="shared" si="76"/>
        <v>0</v>
      </c>
      <c r="Z183" s="137">
        <f t="shared" si="76"/>
        <v>0</v>
      </c>
      <c r="AA183" s="137">
        <f t="shared" si="76"/>
        <v>0</v>
      </c>
      <c r="AB183" s="137">
        <f t="shared" si="76"/>
        <v>0</v>
      </c>
      <c r="AC183" s="137">
        <f t="shared" si="76"/>
        <v>0</v>
      </c>
      <c r="AD183" s="137">
        <f t="shared" si="76"/>
        <v>0</v>
      </c>
      <c r="AE183" s="137">
        <f t="shared" si="76"/>
        <v>0</v>
      </c>
      <c r="AF183" s="138"/>
      <c r="AG183" s="138"/>
      <c r="AH183" s="138"/>
      <c r="AI183" s="138"/>
    </row>
    <row r="184" spans="1:35" customFormat="1" ht="15" x14ac:dyDescent="0.25">
      <c r="B184" s="14" t="s">
        <v>2811</v>
      </c>
      <c r="C184" s="14" t="s">
        <v>2672</v>
      </c>
      <c r="D184" s="15" t="s">
        <v>2812</v>
      </c>
      <c r="E184" s="16" t="s">
        <v>2065</v>
      </c>
      <c r="F184" s="14" t="s">
        <v>2696</v>
      </c>
      <c r="G184" s="17"/>
      <c r="H184" s="17"/>
      <c r="K184" s="136"/>
      <c r="L184" s="139">
        <f t="shared" ref="L184:AE184" si="77">SUMPRODUCT(L$45:L$52*(1-EXP(-L$55:L$62*L$183)))+SUMPRODUCT(L$101:L$116*(1-EXP(-L$65:L$80*L$183)))</f>
        <v>0</v>
      </c>
      <c r="M184" s="139">
        <f t="shared" si="77"/>
        <v>0</v>
      </c>
      <c r="N184" s="139">
        <f t="shared" si="77"/>
        <v>0</v>
      </c>
      <c r="O184" s="139">
        <f t="shared" si="77"/>
        <v>0</v>
      </c>
      <c r="P184" s="139">
        <f t="shared" si="77"/>
        <v>0</v>
      </c>
      <c r="Q184" s="139">
        <f t="shared" si="77"/>
        <v>0</v>
      </c>
      <c r="R184" s="139">
        <f t="shared" si="77"/>
        <v>0</v>
      </c>
      <c r="S184" s="139">
        <f t="shared" si="77"/>
        <v>0</v>
      </c>
      <c r="T184" s="139">
        <f t="shared" si="77"/>
        <v>0</v>
      </c>
      <c r="U184" s="139">
        <f t="shared" si="77"/>
        <v>0</v>
      </c>
      <c r="V184" s="139">
        <f t="shared" si="77"/>
        <v>0</v>
      </c>
      <c r="W184" s="139">
        <f t="shared" si="77"/>
        <v>0</v>
      </c>
      <c r="X184" s="139">
        <f t="shared" si="77"/>
        <v>0</v>
      </c>
      <c r="Y184" s="139">
        <f t="shared" si="77"/>
        <v>0</v>
      </c>
      <c r="Z184" s="139">
        <f t="shared" si="77"/>
        <v>0</v>
      </c>
      <c r="AA184" s="139">
        <f t="shared" si="77"/>
        <v>0</v>
      </c>
      <c r="AB184" s="139">
        <f t="shared" si="77"/>
        <v>0</v>
      </c>
      <c r="AC184" s="139">
        <f t="shared" si="77"/>
        <v>0</v>
      </c>
      <c r="AD184" s="139">
        <f t="shared" si="77"/>
        <v>0</v>
      </c>
      <c r="AE184" s="139">
        <f t="shared" si="77"/>
        <v>0</v>
      </c>
      <c r="AF184" s="138"/>
      <c r="AG184" s="138"/>
      <c r="AH184" s="138"/>
      <c r="AI184" s="138"/>
    </row>
    <row r="185" spans="1:35" customFormat="1" ht="15" x14ac:dyDescent="0.25">
      <c r="B185" s="14" t="s">
        <v>2813</v>
      </c>
      <c r="C185" s="14" t="s">
        <v>2672</v>
      </c>
      <c r="D185" s="15" t="s">
        <v>2814</v>
      </c>
      <c r="E185" s="16" t="s">
        <v>1854</v>
      </c>
      <c r="F185" s="14" t="s">
        <v>2699</v>
      </c>
      <c r="G185" s="17"/>
      <c r="H185" s="17"/>
      <c r="K185" s="136"/>
      <c r="L185" s="137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37">
        <f t="shared" si="78"/>
        <v>0</v>
      </c>
      <c r="N185" s="137">
        <f t="shared" si="78"/>
        <v>0</v>
      </c>
      <c r="O185" s="137">
        <f t="shared" si="78"/>
        <v>0</v>
      </c>
      <c r="P185" s="137">
        <f t="shared" si="78"/>
        <v>0</v>
      </c>
      <c r="Q185" s="137">
        <f t="shared" si="78"/>
        <v>0</v>
      </c>
      <c r="R185" s="137">
        <f t="shared" si="78"/>
        <v>0</v>
      </c>
      <c r="S185" s="137">
        <f t="shared" si="78"/>
        <v>0</v>
      </c>
      <c r="T185" s="137">
        <f t="shared" si="78"/>
        <v>0</v>
      </c>
      <c r="U185" s="137">
        <f t="shared" si="78"/>
        <v>0</v>
      </c>
      <c r="V185" s="137">
        <f t="shared" si="78"/>
        <v>0</v>
      </c>
      <c r="W185" s="137">
        <f t="shared" si="78"/>
        <v>0</v>
      </c>
      <c r="X185" s="137">
        <f t="shared" si="78"/>
        <v>0</v>
      </c>
      <c r="Y185" s="137">
        <f t="shared" si="78"/>
        <v>0</v>
      </c>
      <c r="Z185" s="137">
        <f t="shared" si="78"/>
        <v>0</v>
      </c>
      <c r="AA185" s="137">
        <f t="shared" si="78"/>
        <v>0</v>
      </c>
      <c r="AB185" s="137">
        <f t="shared" si="78"/>
        <v>0</v>
      </c>
      <c r="AC185" s="137">
        <f t="shared" si="78"/>
        <v>0</v>
      </c>
      <c r="AD185" s="137">
        <f t="shared" si="78"/>
        <v>0</v>
      </c>
      <c r="AE185" s="137">
        <f t="shared" si="78"/>
        <v>0</v>
      </c>
      <c r="AF185" s="138"/>
      <c r="AG185" s="138"/>
      <c r="AH185" s="138"/>
      <c r="AI185" s="138"/>
    </row>
    <row r="186" spans="1:35" customFormat="1" ht="15" x14ac:dyDescent="0.25">
      <c r="B186" s="14" t="s">
        <v>2815</v>
      </c>
      <c r="C186" s="14" t="s">
        <v>2672</v>
      </c>
      <c r="D186" s="15" t="s">
        <v>2816</v>
      </c>
      <c r="E186" s="16" t="s">
        <v>2702</v>
      </c>
      <c r="F186" s="14" t="s">
        <v>2703</v>
      </c>
      <c r="G186" s="17"/>
      <c r="H186" s="17"/>
      <c r="K186" s="136"/>
      <c r="L186" s="139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39">
        <f t="shared" si="79"/>
        <v>0</v>
      </c>
      <c r="N186" s="139">
        <f t="shared" si="79"/>
        <v>0</v>
      </c>
      <c r="O186" s="139">
        <f t="shared" si="79"/>
        <v>0</v>
      </c>
      <c r="P186" s="139">
        <f t="shared" si="79"/>
        <v>0</v>
      </c>
      <c r="Q186" s="139">
        <f t="shared" si="79"/>
        <v>0</v>
      </c>
      <c r="R186" s="139">
        <f t="shared" si="79"/>
        <v>0</v>
      </c>
      <c r="S186" s="139">
        <f t="shared" si="79"/>
        <v>0</v>
      </c>
      <c r="T186" s="139">
        <f t="shared" si="79"/>
        <v>0</v>
      </c>
      <c r="U186" s="139">
        <f t="shared" si="79"/>
        <v>0</v>
      </c>
      <c r="V186" s="139">
        <f t="shared" si="79"/>
        <v>0</v>
      </c>
      <c r="W186" s="139">
        <f t="shared" si="79"/>
        <v>0</v>
      </c>
      <c r="X186" s="139">
        <f t="shared" si="79"/>
        <v>0</v>
      </c>
      <c r="Y186" s="139">
        <f t="shared" si="79"/>
        <v>0</v>
      </c>
      <c r="Z186" s="139">
        <f t="shared" si="79"/>
        <v>0</v>
      </c>
      <c r="AA186" s="139">
        <f t="shared" si="79"/>
        <v>0</v>
      </c>
      <c r="AB186" s="139">
        <f t="shared" si="79"/>
        <v>0</v>
      </c>
      <c r="AC186" s="139">
        <f t="shared" si="79"/>
        <v>0</v>
      </c>
      <c r="AD186" s="139">
        <f t="shared" si="79"/>
        <v>0</v>
      </c>
      <c r="AE186" s="139">
        <f t="shared" si="79"/>
        <v>0</v>
      </c>
      <c r="AF186" s="138"/>
      <c r="AG186" s="138"/>
      <c r="AH186" s="138"/>
      <c r="AI186" s="138"/>
    </row>
    <row r="187" spans="1:35" customFormat="1" ht="15" x14ac:dyDescent="0.25">
      <c r="B187" s="14" t="s">
        <v>2817</v>
      </c>
      <c r="C187" s="14" t="s">
        <v>2672</v>
      </c>
      <c r="D187" s="15" t="s">
        <v>2818</v>
      </c>
      <c r="E187" s="16" t="s">
        <v>1398</v>
      </c>
      <c r="F187" s="14" t="s">
        <v>2706</v>
      </c>
      <c r="G187" s="17"/>
      <c r="H187" s="17"/>
      <c r="K187" s="136"/>
      <c r="L187" s="137">
        <f t="shared" ref="L187:AE187" si="80">IF(L$122&lt;=0,0,IF(L$186&lt;=0,L$183,MIN($F$5,IF(L$183-(L$185-L$122)/L$186&lt;=0,L$183/2,L$183-(L$185-L$122)/L$186))))</f>
        <v>0</v>
      </c>
      <c r="M187" s="137">
        <f t="shared" si="80"/>
        <v>0</v>
      </c>
      <c r="N187" s="137">
        <f t="shared" si="80"/>
        <v>0</v>
      </c>
      <c r="O187" s="137">
        <f t="shared" si="80"/>
        <v>0</v>
      </c>
      <c r="P187" s="137">
        <f t="shared" si="80"/>
        <v>0</v>
      </c>
      <c r="Q187" s="137">
        <f t="shared" si="80"/>
        <v>0</v>
      </c>
      <c r="R187" s="137">
        <f t="shared" si="80"/>
        <v>0</v>
      </c>
      <c r="S187" s="137">
        <f t="shared" si="80"/>
        <v>0</v>
      </c>
      <c r="T187" s="137">
        <f t="shared" si="80"/>
        <v>0</v>
      </c>
      <c r="U187" s="137">
        <f t="shared" si="80"/>
        <v>0</v>
      </c>
      <c r="V187" s="137">
        <f t="shared" si="80"/>
        <v>0</v>
      </c>
      <c r="W187" s="137">
        <f t="shared" si="80"/>
        <v>0</v>
      </c>
      <c r="X187" s="137">
        <f t="shared" si="80"/>
        <v>0</v>
      </c>
      <c r="Y187" s="137">
        <f t="shared" si="80"/>
        <v>0</v>
      </c>
      <c r="Z187" s="137">
        <f t="shared" si="80"/>
        <v>0</v>
      </c>
      <c r="AA187" s="137">
        <f t="shared" si="80"/>
        <v>0</v>
      </c>
      <c r="AB187" s="137">
        <f t="shared" si="80"/>
        <v>0</v>
      </c>
      <c r="AC187" s="137">
        <f t="shared" si="80"/>
        <v>0</v>
      </c>
      <c r="AD187" s="137">
        <f t="shared" si="80"/>
        <v>0</v>
      </c>
      <c r="AE187" s="137">
        <f t="shared" si="80"/>
        <v>0</v>
      </c>
      <c r="AF187" s="138"/>
      <c r="AG187" s="138"/>
      <c r="AH187" s="138"/>
      <c r="AI187" s="138"/>
    </row>
    <row r="188" spans="1:35" x14ac:dyDescent="0.2"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</row>
    <row r="189" spans="1:35" customFormat="1" ht="15" x14ac:dyDescent="0.25">
      <c r="A189" s="11"/>
      <c r="B189" s="6"/>
      <c r="C189" s="7" t="s">
        <v>2819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4">
        <v>2021</v>
      </c>
      <c r="L189" s="135">
        <v>2022</v>
      </c>
      <c r="M189" s="134">
        <v>2023</v>
      </c>
      <c r="N189" s="134">
        <v>2024</v>
      </c>
      <c r="O189" s="134">
        <v>2025</v>
      </c>
      <c r="P189" s="134">
        <v>2026</v>
      </c>
      <c r="Q189" s="134">
        <v>2027</v>
      </c>
      <c r="R189" s="134">
        <v>2028</v>
      </c>
      <c r="S189" s="134">
        <v>2029</v>
      </c>
      <c r="T189" s="134">
        <v>2030</v>
      </c>
      <c r="U189" s="134">
        <v>2031</v>
      </c>
      <c r="V189" s="134">
        <v>2032</v>
      </c>
      <c r="W189" s="134">
        <v>2033</v>
      </c>
      <c r="X189" s="134">
        <v>2034</v>
      </c>
      <c r="Y189" s="134">
        <v>2035</v>
      </c>
      <c r="Z189" s="134">
        <v>2036</v>
      </c>
      <c r="AA189" s="134">
        <v>2037</v>
      </c>
      <c r="AB189" s="134">
        <v>2038</v>
      </c>
      <c r="AC189" s="134">
        <v>2039</v>
      </c>
      <c r="AD189" s="134">
        <v>2040</v>
      </c>
      <c r="AE189" s="134">
        <v>2041</v>
      </c>
      <c r="AF189" s="134">
        <v>2042</v>
      </c>
      <c r="AG189" s="134">
        <v>2043</v>
      </c>
      <c r="AH189" s="134">
        <v>2044</v>
      </c>
      <c r="AI189" s="134">
        <v>2045</v>
      </c>
    </row>
    <row r="190" spans="1:35" customFormat="1" ht="15" x14ac:dyDescent="0.25">
      <c r="B190" s="14" t="s">
        <v>1793</v>
      </c>
      <c r="C190" s="14" t="s">
        <v>2672</v>
      </c>
      <c r="D190" s="15" t="s">
        <v>2820</v>
      </c>
      <c r="E190" s="16" t="s">
        <v>1398</v>
      </c>
      <c r="F190" s="14" t="s">
        <v>1793</v>
      </c>
      <c r="G190" s="17"/>
      <c r="H190" s="125" t="str">
        <f>Settings!$B$3&amp;".mit.fundsp.cbam.tot.1"</f>
        <v>egy.mit.fundsp.cbam.tot.1</v>
      </c>
      <c r="I190" t="s">
        <v>2821</v>
      </c>
      <c r="K190" s="136"/>
      <c r="L190" s="137">
        <f t="shared" ref="L190:AE190" si="81">L$187</f>
        <v>0</v>
      </c>
      <c r="M190" s="137">
        <f t="shared" si="81"/>
        <v>0</v>
      </c>
      <c r="N190" s="137">
        <f t="shared" si="81"/>
        <v>0</v>
      </c>
      <c r="O190" s="137">
        <f t="shared" si="81"/>
        <v>0</v>
      </c>
      <c r="P190" s="137">
        <f t="shared" si="81"/>
        <v>0</v>
      </c>
      <c r="Q190" s="137">
        <f t="shared" si="81"/>
        <v>0</v>
      </c>
      <c r="R190" s="137">
        <f t="shared" si="81"/>
        <v>0</v>
      </c>
      <c r="S190" s="137">
        <f t="shared" si="81"/>
        <v>0</v>
      </c>
      <c r="T190" s="137">
        <f t="shared" si="81"/>
        <v>0</v>
      </c>
      <c r="U190" s="137">
        <f t="shared" si="81"/>
        <v>0</v>
      </c>
      <c r="V190" s="137">
        <f t="shared" si="81"/>
        <v>0</v>
      </c>
      <c r="W190" s="137">
        <f t="shared" si="81"/>
        <v>0</v>
      </c>
      <c r="X190" s="137">
        <f t="shared" si="81"/>
        <v>0</v>
      </c>
      <c r="Y190" s="137">
        <f t="shared" si="81"/>
        <v>0</v>
      </c>
      <c r="Z190" s="137">
        <f t="shared" si="81"/>
        <v>0</v>
      </c>
      <c r="AA190" s="137">
        <f t="shared" si="81"/>
        <v>0</v>
      </c>
      <c r="AB190" s="137">
        <f t="shared" si="81"/>
        <v>0</v>
      </c>
      <c r="AC190" s="137">
        <f t="shared" si="81"/>
        <v>0</v>
      </c>
      <c r="AD190" s="137">
        <f t="shared" si="81"/>
        <v>0</v>
      </c>
      <c r="AE190" s="137">
        <f t="shared" si="81"/>
        <v>0</v>
      </c>
      <c r="AF190" s="138"/>
      <c r="AG190" s="138"/>
      <c r="AH190" s="138"/>
      <c r="AI190" s="138"/>
    </row>
    <row r="191" spans="1:35" customFormat="1" ht="15" x14ac:dyDescent="0.25">
      <c r="B191" s="14" t="s">
        <v>2822</v>
      </c>
      <c r="C191" s="14" t="s">
        <v>2672</v>
      </c>
      <c r="D191" s="15" t="s">
        <v>2823</v>
      </c>
      <c r="E191" s="16" t="s">
        <v>2065</v>
      </c>
      <c r="F191" s="14" t="s">
        <v>2822</v>
      </c>
      <c r="G191" s="17"/>
      <c r="H191" s="125" t="str">
        <f>Settings!$B$3&amp;".mit.abat.cbam.tot.1"</f>
        <v>egy.mit.abat.cbam.tot.1</v>
      </c>
      <c r="I191" t="s">
        <v>2824</v>
      </c>
      <c r="K191" s="136"/>
      <c r="L191" s="139">
        <f t="shared" ref="L191:AE191" si="82">L192+L193</f>
        <v>0</v>
      </c>
      <c r="M191" s="139">
        <f t="shared" si="82"/>
        <v>0</v>
      </c>
      <c r="N191" s="139">
        <f t="shared" si="82"/>
        <v>0</v>
      </c>
      <c r="O191" s="139">
        <f t="shared" si="82"/>
        <v>0</v>
      </c>
      <c r="P191" s="139">
        <f t="shared" si="82"/>
        <v>0</v>
      </c>
      <c r="Q191" s="139">
        <f t="shared" si="82"/>
        <v>0</v>
      </c>
      <c r="R191" s="139">
        <f t="shared" si="82"/>
        <v>0</v>
      </c>
      <c r="S191" s="139">
        <f t="shared" si="82"/>
        <v>0</v>
      </c>
      <c r="T191" s="139">
        <f t="shared" si="82"/>
        <v>0</v>
      </c>
      <c r="U191" s="139">
        <f t="shared" si="82"/>
        <v>0</v>
      </c>
      <c r="V191" s="139">
        <f t="shared" si="82"/>
        <v>0</v>
      </c>
      <c r="W191" s="139">
        <f t="shared" si="82"/>
        <v>0</v>
      </c>
      <c r="X191" s="139">
        <f t="shared" si="82"/>
        <v>0</v>
      </c>
      <c r="Y191" s="139">
        <f t="shared" si="82"/>
        <v>0</v>
      </c>
      <c r="Z191" s="139">
        <f t="shared" si="82"/>
        <v>0</v>
      </c>
      <c r="AA191" s="139">
        <f t="shared" si="82"/>
        <v>0</v>
      </c>
      <c r="AB191" s="139">
        <f t="shared" si="82"/>
        <v>0</v>
      </c>
      <c r="AC191" s="139">
        <f t="shared" si="82"/>
        <v>0</v>
      </c>
      <c r="AD191" s="139">
        <f t="shared" si="82"/>
        <v>0</v>
      </c>
      <c r="AE191" s="139">
        <f t="shared" si="82"/>
        <v>0</v>
      </c>
      <c r="AF191" s="138"/>
      <c r="AG191" s="138"/>
      <c r="AH191" s="138"/>
      <c r="AI191" s="138"/>
    </row>
    <row r="192" spans="1:35" customFormat="1" ht="15" x14ac:dyDescent="0.25">
      <c r="B192" s="14" t="s">
        <v>2825</v>
      </c>
      <c r="C192" s="14" t="s">
        <v>2672</v>
      </c>
      <c r="D192" s="15" t="s">
        <v>2826</v>
      </c>
      <c r="E192" s="16" t="s">
        <v>2065</v>
      </c>
      <c r="F192" s="14" t="s">
        <v>2825</v>
      </c>
      <c r="G192" s="17"/>
      <c r="H192" s="125" t="str">
        <f>Settings!$B$3&amp;".mit.abatf.cbam.tot.1"</f>
        <v>egy.mit.abatf.cbam.tot.1</v>
      </c>
      <c r="I192" t="s">
        <v>2827</v>
      </c>
      <c r="K192" s="136"/>
      <c r="L192" s="139">
        <f t="shared" ref="L192:AE192" si="83">SUMPRODUCT(L$45:L$52*(1-EXP(-L$55:L$62*L$190)))</f>
        <v>0</v>
      </c>
      <c r="M192" s="139">
        <f t="shared" si="83"/>
        <v>0</v>
      </c>
      <c r="N192" s="139">
        <f t="shared" si="83"/>
        <v>0</v>
      </c>
      <c r="O192" s="139">
        <f t="shared" si="83"/>
        <v>0</v>
      </c>
      <c r="P192" s="139">
        <f t="shared" si="83"/>
        <v>0</v>
      </c>
      <c r="Q192" s="139">
        <f t="shared" si="83"/>
        <v>0</v>
      </c>
      <c r="R192" s="139">
        <f t="shared" si="83"/>
        <v>0</v>
      </c>
      <c r="S192" s="139">
        <f t="shared" si="83"/>
        <v>0</v>
      </c>
      <c r="T192" s="139">
        <f t="shared" si="83"/>
        <v>0</v>
      </c>
      <c r="U192" s="139">
        <f t="shared" si="83"/>
        <v>0</v>
      </c>
      <c r="V192" s="139">
        <f t="shared" si="83"/>
        <v>0</v>
      </c>
      <c r="W192" s="139">
        <f t="shared" si="83"/>
        <v>0</v>
      </c>
      <c r="X192" s="139">
        <f t="shared" si="83"/>
        <v>0</v>
      </c>
      <c r="Y192" s="139">
        <f t="shared" si="83"/>
        <v>0</v>
      </c>
      <c r="Z192" s="139">
        <f t="shared" si="83"/>
        <v>0</v>
      </c>
      <c r="AA192" s="139">
        <f t="shared" si="83"/>
        <v>0</v>
      </c>
      <c r="AB192" s="139">
        <f t="shared" si="83"/>
        <v>0</v>
      </c>
      <c r="AC192" s="139">
        <f t="shared" si="83"/>
        <v>0</v>
      </c>
      <c r="AD192" s="139">
        <f t="shared" si="83"/>
        <v>0</v>
      </c>
      <c r="AE192" s="139">
        <f t="shared" si="83"/>
        <v>0</v>
      </c>
      <c r="AF192" s="138"/>
      <c r="AG192" s="138"/>
      <c r="AH192" s="138"/>
      <c r="AI192" s="138"/>
    </row>
    <row r="193" spans="1:35" customFormat="1" ht="15" x14ac:dyDescent="0.25">
      <c r="B193" s="14" t="s">
        <v>2828</v>
      </c>
      <c r="C193" s="14" t="s">
        <v>2672</v>
      </c>
      <c r="D193" s="15" t="s">
        <v>2829</v>
      </c>
      <c r="E193" s="16" t="s">
        <v>2065</v>
      </c>
      <c r="F193" s="14" t="s">
        <v>2828</v>
      </c>
      <c r="G193" s="17"/>
      <c r="H193" s="125" t="str">
        <f>Settings!$B$3&amp;".mit.abatp.cbam.tot.1"</f>
        <v>egy.mit.abatp.cbam.tot.1</v>
      </c>
      <c r="I193" t="s">
        <v>2830</v>
      </c>
      <c r="K193" s="136"/>
      <c r="L193" s="139">
        <f t="shared" ref="L193:AE193" si="84">SUMPRODUCT(L$101:L$116*(1-EXP(-L$65:L$80*L$190)))</f>
        <v>0</v>
      </c>
      <c r="M193" s="139">
        <f t="shared" si="84"/>
        <v>0</v>
      </c>
      <c r="N193" s="139">
        <f t="shared" si="84"/>
        <v>0</v>
      </c>
      <c r="O193" s="139">
        <f t="shared" si="84"/>
        <v>0</v>
      </c>
      <c r="P193" s="139">
        <f t="shared" si="84"/>
        <v>0</v>
      </c>
      <c r="Q193" s="139">
        <f t="shared" si="84"/>
        <v>0</v>
      </c>
      <c r="R193" s="139">
        <f t="shared" si="84"/>
        <v>0</v>
      </c>
      <c r="S193" s="139">
        <f t="shared" si="84"/>
        <v>0</v>
      </c>
      <c r="T193" s="139">
        <f t="shared" si="84"/>
        <v>0</v>
      </c>
      <c r="U193" s="139">
        <f t="shared" si="84"/>
        <v>0</v>
      </c>
      <c r="V193" s="139">
        <f t="shared" si="84"/>
        <v>0</v>
      </c>
      <c r="W193" s="139">
        <f t="shared" si="84"/>
        <v>0</v>
      </c>
      <c r="X193" s="139">
        <f t="shared" si="84"/>
        <v>0</v>
      </c>
      <c r="Y193" s="139">
        <f t="shared" si="84"/>
        <v>0</v>
      </c>
      <c r="Z193" s="139">
        <f t="shared" si="84"/>
        <v>0</v>
      </c>
      <c r="AA193" s="139">
        <f t="shared" si="84"/>
        <v>0</v>
      </c>
      <c r="AB193" s="139">
        <f t="shared" si="84"/>
        <v>0</v>
      </c>
      <c r="AC193" s="139">
        <f t="shared" si="84"/>
        <v>0</v>
      </c>
      <c r="AD193" s="139">
        <f t="shared" si="84"/>
        <v>0</v>
      </c>
      <c r="AE193" s="139">
        <f t="shared" si="84"/>
        <v>0</v>
      </c>
      <c r="AF193" s="138"/>
      <c r="AG193" s="138"/>
      <c r="AH193" s="138"/>
      <c r="AI193" s="138"/>
    </row>
    <row r="194" spans="1:35" customFormat="1" ht="15" x14ac:dyDescent="0.25">
      <c r="B194" s="14" t="s">
        <v>2831</v>
      </c>
      <c r="C194" s="14" t="s">
        <v>2672</v>
      </c>
      <c r="D194" s="15" t="s">
        <v>2832</v>
      </c>
      <c r="E194" s="16" t="s">
        <v>1854</v>
      </c>
      <c r="F194" s="14" t="s">
        <v>2831</v>
      </c>
      <c r="G194" s="17"/>
      <c r="H194" s="125" t="str">
        <f>Settings!$B$3&amp;".mit.outlay.cbam.tot.1"</f>
        <v>egy.mit.outlay.cbam.tot.1</v>
      </c>
      <c r="K194" s="136"/>
      <c r="L194" s="137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37">
        <f t="shared" si="85"/>
        <v>0</v>
      </c>
      <c r="N194" s="137">
        <f t="shared" si="85"/>
        <v>0</v>
      </c>
      <c r="O194" s="137">
        <f t="shared" si="85"/>
        <v>0</v>
      </c>
      <c r="P194" s="137">
        <f t="shared" si="85"/>
        <v>0</v>
      </c>
      <c r="Q194" s="137">
        <f t="shared" si="85"/>
        <v>0</v>
      </c>
      <c r="R194" s="137">
        <f t="shared" si="85"/>
        <v>0</v>
      </c>
      <c r="S194" s="137">
        <f t="shared" si="85"/>
        <v>0</v>
      </c>
      <c r="T194" s="137">
        <f t="shared" si="85"/>
        <v>0</v>
      </c>
      <c r="U194" s="137">
        <f t="shared" si="85"/>
        <v>0</v>
      </c>
      <c r="V194" s="137">
        <f t="shared" si="85"/>
        <v>0</v>
      </c>
      <c r="W194" s="137">
        <f t="shared" si="85"/>
        <v>0</v>
      </c>
      <c r="X194" s="137">
        <f t="shared" si="85"/>
        <v>0</v>
      </c>
      <c r="Y194" s="137">
        <f t="shared" si="85"/>
        <v>0</v>
      </c>
      <c r="Z194" s="137">
        <f t="shared" si="85"/>
        <v>0</v>
      </c>
      <c r="AA194" s="137">
        <f t="shared" si="85"/>
        <v>0</v>
      </c>
      <c r="AB194" s="137">
        <f t="shared" si="85"/>
        <v>0</v>
      </c>
      <c r="AC194" s="137">
        <f t="shared" si="85"/>
        <v>0</v>
      </c>
      <c r="AD194" s="137">
        <f t="shared" si="85"/>
        <v>0</v>
      </c>
      <c r="AE194" s="137">
        <f t="shared" si="85"/>
        <v>0</v>
      </c>
      <c r="AF194" s="138"/>
      <c r="AG194" s="138"/>
      <c r="AH194" s="138"/>
      <c r="AI194" s="138"/>
    </row>
    <row r="195" spans="1:35" customFormat="1" ht="15" x14ac:dyDescent="0.25">
      <c r="B195" s="14" t="s">
        <v>2833</v>
      </c>
      <c r="C195" s="14" t="s">
        <v>2672</v>
      </c>
      <c r="D195" s="15" t="s">
        <v>2834</v>
      </c>
      <c r="E195" s="16" t="s">
        <v>1854</v>
      </c>
      <c r="F195" s="14" t="s">
        <v>2833</v>
      </c>
      <c r="G195" s="17"/>
      <c r="H195" s="17"/>
      <c r="K195" s="136"/>
      <c r="L195" s="139">
        <f t="shared" ref="L195:AE195" si="86">L$194-L$122</f>
        <v>0</v>
      </c>
      <c r="M195" s="139">
        <f t="shared" si="86"/>
        <v>0</v>
      </c>
      <c r="N195" s="139">
        <f t="shared" si="86"/>
        <v>0</v>
      </c>
      <c r="O195" s="139">
        <f t="shared" si="86"/>
        <v>0</v>
      </c>
      <c r="P195" s="139">
        <f t="shared" si="86"/>
        <v>0</v>
      </c>
      <c r="Q195" s="139">
        <f t="shared" si="86"/>
        <v>0</v>
      </c>
      <c r="R195" s="139">
        <f t="shared" si="86"/>
        <v>0</v>
      </c>
      <c r="S195" s="139">
        <f t="shared" si="86"/>
        <v>0</v>
      </c>
      <c r="T195" s="139">
        <f t="shared" si="86"/>
        <v>0</v>
      </c>
      <c r="U195" s="139">
        <f t="shared" si="86"/>
        <v>0</v>
      </c>
      <c r="V195" s="139">
        <f t="shared" si="86"/>
        <v>0</v>
      </c>
      <c r="W195" s="139">
        <f t="shared" si="86"/>
        <v>0</v>
      </c>
      <c r="X195" s="139">
        <f t="shared" si="86"/>
        <v>0</v>
      </c>
      <c r="Y195" s="139">
        <f t="shared" si="86"/>
        <v>0</v>
      </c>
      <c r="Z195" s="139">
        <f t="shared" si="86"/>
        <v>0</v>
      </c>
      <c r="AA195" s="139">
        <f t="shared" si="86"/>
        <v>0</v>
      </c>
      <c r="AB195" s="139">
        <f t="shared" si="86"/>
        <v>0</v>
      </c>
      <c r="AC195" s="139">
        <f t="shared" si="86"/>
        <v>0</v>
      </c>
      <c r="AD195" s="139">
        <f t="shared" si="86"/>
        <v>0</v>
      </c>
      <c r="AE195" s="139">
        <f t="shared" si="86"/>
        <v>0</v>
      </c>
      <c r="AF195" s="138"/>
      <c r="AG195" s="138"/>
      <c r="AH195" s="138"/>
      <c r="AI195" s="138"/>
    </row>
    <row r="196" spans="1:35" customFormat="1" ht="15" x14ac:dyDescent="0.25">
      <c r="B196" s="14" t="s">
        <v>2835</v>
      </c>
      <c r="C196" s="14" t="s">
        <v>2672</v>
      </c>
      <c r="D196" s="15" t="s">
        <v>2836</v>
      </c>
      <c r="E196" s="16" t="s">
        <v>1854</v>
      </c>
      <c r="F196" s="14" t="s">
        <v>2835</v>
      </c>
      <c r="G196" s="17"/>
      <c r="H196" s="125" t="str">
        <f>Settings!$B$3&amp;".mit.unspent.cbam.tot.1"</f>
        <v>egy.mit.unspent.cbam.tot.1</v>
      </c>
      <c r="K196" s="136"/>
      <c r="L196" s="137">
        <f t="shared" ref="L196:AE196" si="87">MAX(0,L$122-L$194)</f>
        <v>0</v>
      </c>
      <c r="M196" s="137">
        <f t="shared" si="87"/>
        <v>0</v>
      </c>
      <c r="N196" s="137">
        <f t="shared" si="87"/>
        <v>0</v>
      </c>
      <c r="O196" s="137">
        <f t="shared" si="87"/>
        <v>0</v>
      </c>
      <c r="P196" s="137">
        <f t="shared" si="87"/>
        <v>0</v>
      </c>
      <c r="Q196" s="137">
        <f t="shared" si="87"/>
        <v>0</v>
      </c>
      <c r="R196" s="137">
        <f t="shared" si="87"/>
        <v>0</v>
      </c>
      <c r="S196" s="137">
        <f t="shared" si="87"/>
        <v>0</v>
      </c>
      <c r="T196" s="137">
        <f t="shared" si="87"/>
        <v>0</v>
      </c>
      <c r="U196" s="137">
        <f t="shared" si="87"/>
        <v>0</v>
      </c>
      <c r="V196" s="137">
        <f t="shared" si="87"/>
        <v>0</v>
      </c>
      <c r="W196" s="137">
        <f t="shared" si="87"/>
        <v>0</v>
      </c>
      <c r="X196" s="137">
        <f t="shared" si="87"/>
        <v>0</v>
      </c>
      <c r="Y196" s="137">
        <f t="shared" si="87"/>
        <v>0</v>
      </c>
      <c r="Z196" s="137">
        <f t="shared" si="87"/>
        <v>0</v>
      </c>
      <c r="AA196" s="137">
        <f t="shared" si="87"/>
        <v>0</v>
      </c>
      <c r="AB196" s="137">
        <f t="shared" si="87"/>
        <v>0</v>
      </c>
      <c r="AC196" s="137">
        <f t="shared" si="87"/>
        <v>0</v>
      </c>
      <c r="AD196" s="137">
        <f t="shared" si="87"/>
        <v>0</v>
      </c>
      <c r="AE196" s="137">
        <f t="shared" si="87"/>
        <v>0</v>
      </c>
      <c r="AF196" s="138"/>
      <c r="AG196" s="138"/>
      <c r="AH196" s="138"/>
      <c r="AI196" s="138"/>
    </row>
    <row r="197" spans="1:35" customFormat="1" ht="15" x14ac:dyDescent="0.25">
      <c r="B197" s="14" t="s">
        <v>2837</v>
      </c>
      <c r="C197" s="14" t="s">
        <v>2672</v>
      </c>
      <c r="D197" s="15" t="s">
        <v>2838</v>
      </c>
      <c r="E197" s="16" t="s">
        <v>2839</v>
      </c>
      <c r="F197" s="14" t="s">
        <v>2837</v>
      </c>
      <c r="G197" s="17"/>
      <c r="H197" s="17"/>
      <c r="K197" s="136"/>
      <c r="L197" s="141">
        <f t="shared" ref="L197:AE197" si="88">(L$122&gt;0)*(L$190&gt;=$F$5-0.000000001)</f>
        <v>0</v>
      </c>
      <c r="M197" s="141">
        <f t="shared" si="88"/>
        <v>0</v>
      </c>
      <c r="N197" s="141">
        <f t="shared" si="88"/>
        <v>0</v>
      </c>
      <c r="O197" s="141">
        <f t="shared" si="88"/>
        <v>0</v>
      </c>
      <c r="P197" s="141">
        <f t="shared" si="88"/>
        <v>0</v>
      </c>
      <c r="Q197" s="141">
        <f t="shared" si="88"/>
        <v>0</v>
      </c>
      <c r="R197" s="141">
        <f t="shared" si="88"/>
        <v>0</v>
      </c>
      <c r="S197" s="141">
        <f t="shared" si="88"/>
        <v>0</v>
      </c>
      <c r="T197" s="141">
        <f t="shared" si="88"/>
        <v>0</v>
      </c>
      <c r="U197" s="141">
        <f t="shared" si="88"/>
        <v>0</v>
      </c>
      <c r="V197" s="141">
        <f t="shared" si="88"/>
        <v>0</v>
      </c>
      <c r="W197" s="141">
        <f t="shared" si="88"/>
        <v>0</v>
      </c>
      <c r="X197" s="141">
        <f t="shared" si="88"/>
        <v>0</v>
      </c>
      <c r="Y197" s="141">
        <f t="shared" si="88"/>
        <v>0</v>
      </c>
      <c r="Z197" s="141">
        <f t="shared" si="88"/>
        <v>0</v>
      </c>
      <c r="AA197" s="141">
        <f t="shared" si="88"/>
        <v>0</v>
      </c>
      <c r="AB197" s="141">
        <f t="shared" si="88"/>
        <v>0</v>
      </c>
      <c r="AC197" s="141">
        <f t="shared" si="88"/>
        <v>0</v>
      </c>
      <c r="AD197" s="141">
        <f t="shared" si="88"/>
        <v>0</v>
      </c>
      <c r="AE197" s="141">
        <f t="shared" si="88"/>
        <v>0</v>
      </c>
      <c r="AF197" s="138"/>
      <c r="AG197" s="138"/>
      <c r="AH197" s="138"/>
      <c r="AI197" s="138"/>
    </row>
    <row r="198" spans="1:35" customFormat="1" ht="15" x14ac:dyDescent="0.25">
      <c r="B198" s="14" t="s">
        <v>2840</v>
      </c>
      <c r="C198" s="14" t="s">
        <v>2672</v>
      </c>
      <c r="D198" s="15" t="s">
        <v>2841</v>
      </c>
      <c r="E198" s="16" t="s">
        <v>1398</v>
      </c>
      <c r="F198" s="14" t="s">
        <v>2840</v>
      </c>
      <c r="G198" s="17"/>
      <c r="H198" s="125" t="str">
        <f>Settings!$B$3&amp;".mit.cpt.cbam.tot.1"</f>
        <v>egy.mit.cpt.cbam.tot.1</v>
      </c>
      <c r="K198" s="136"/>
      <c r="L198" s="137">
        <f t="shared" ref="L198:AE198" si="89">IF(L$191&gt;0,L$194/L$191,0)</f>
        <v>0</v>
      </c>
      <c r="M198" s="137">
        <f t="shared" si="89"/>
        <v>0</v>
      </c>
      <c r="N198" s="137">
        <f t="shared" si="89"/>
        <v>0</v>
      </c>
      <c r="O198" s="137">
        <f t="shared" si="89"/>
        <v>0</v>
      </c>
      <c r="P198" s="137">
        <f t="shared" si="89"/>
        <v>0</v>
      </c>
      <c r="Q198" s="137">
        <f t="shared" si="89"/>
        <v>0</v>
      </c>
      <c r="R198" s="137">
        <f t="shared" si="89"/>
        <v>0</v>
      </c>
      <c r="S198" s="137">
        <f t="shared" si="89"/>
        <v>0</v>
      </c>
      <c r="T198" s="137">
        <f t="shared" si="89"/>
        <v>0</v>
      </c>
      <c r="U198" s="137">
        <f t="shared" si="89"/>
        <v>0</v>
      </c>
      <c r="V198" s="137">
        <f t="shared" si="89"/>
        <v>0</v>
      </c>
      <c r="W198" s="137">
        <f t="shared" si="89"/>
        <v>0</v>
      </c>
      <c r="X198" s="137">
        <f t="shared" si="89"/>
        <v>0</v>
      </c>
      <c r="Y198" s="137">
        <f t="shared" si="89"/>
        <v>0</v>
      </c>
      <c r="Z198" s="137">
        <f t="shared" si="89"/>
        <v>0</v>
      </c>
      <c r="AA198" s="137">
        <f t="shared" si="89"/>
        <v>0</v>
      </c>
      <c r="AB198" s="137">
        <f t="shared" si="89"/>
        <v>0</v>
      </c>
      <c r="AC198" s="137">
        <f t="shared" si="89"/>
        <v>0</v>
      </c>
      <c r="AD198" s="137">
        <f t="shared" si="89"/>
        <v>0</v>
      </c>
      <c r="AE198" s="137">
        <f t="shared" si="89"/>
        <v>0</v>
      </c>
      <c r="AF198" s="138"/>
      <c r="AG198" s="138"/>
      <c r="AH198" s="138"/>
      <c r="AI198" s="138"/>
    </row>
    <row r="199" spans="1:35" customFormat="1" ht="15" x14ac:dyDescent="0.25">
      <c r="B199" s="14" t="s">
        <v>2842</v>
      </c>
      <c r="C199" s="14" t="s">
        <v>2672</v>
      </c>
      <c r="D199" s="15" t="s">
        <v>2843</v>
      </c>
      <c r="E199" s="16" t="s">
        <v>1854</v>
      </c>
      <c r="F199" s="14" t="s">
        <v>2842</v>
      </c>
      <c r="G199" s="17"/>
      <c r="H199" s="17"/>
      <c r="I199" t="s">
        <v>2844</v>
      </c>
      <c r="K199" s="136"/>
      <c r="L199" s="140">
        <f>L$11*Mitigation_Industry!L$400</f>
        <v>0</v>
      </c>
      <c r="M199" s="140">
        <f>M$11*Mitigation_Industry!M$400</f>
        <v>0</v>
      </c>
      <c r="N199" s="140">
        <f>N$11*Mitigation_Industry!N$400</f>
        <v>0</v>
      </c>
      <c r="O199" s="140">
        <f>O$11*Mitigation_Industry!O$400</f>
        <v>0</v>
      </c>
      <c r="P199" s="140">
        <f>P$11*Mitigation_Industry!P$400</f>
        <v>0</v>
      </c>
      <c r="Q199" s="140">
        <f>Q$11*Mitigation_Industry!Q$400</f>
        <v>0</v>
      </c>
      <c r="R199" s="140">
        <f>R$11*Mitigation_Industry!R$400</f>
        <v>0</v>
      </c>
      <c r="S199" s="140">
        <f>S$11*Mitigation_Industry!S$400</f>
        <v>0</v>
      </c>
      <c r="T199" s="140">
        <f>T$11*Mitigation_Industry!T$400</f>
        <v>0</v>
      </c>
      <c r="U199" s="140">
        <f>U$11*Mitigation_Industry!U$400</f>
        <v>0</v>
      </c>
      <c r="V199" s="140">
        <f>V$11*Mitigation_Industry!V$400</f>
        <v>0</v>
      </c>
      <c r="W199" s="140">
        <f>W$11*Mitigation_Industry!W$400</f>
        <v>0</v>
      </c>
      <c r="X199" s="140">
        <f>X$11*Mitigation_Industry!X$400</f>
        <v>0</v>
      </c>
      <c r="Y199" s="140">
        <f>Y$11*Mitigation_Industry!Y$400</f>
        <v>0</v>
      </c>
      <c r="Z199" s="140">
        <f>Z$11*Mitigation_Industry!Z$400</f>
        <v>0</v>
      </c>
      <c r="AA199" s="140">
        <f>AA$11*Mitigation_Industry!AA$400</f>
        <v>0</v>
      </c>
      <c r="AB199" s="140">
        <f>AB$11*Mitigation_Industry!AB$400</f>
        <v>0</v>
      </c>
      <c r="AC199" s="140">
        <f>AC$11*Mitigation_Industry!AC$400</f>
        <v>0</v>
      </c>
      <c r="AD199" s="140">
        <f>AD$11*Mitigation_Industry!AD$400</f>
        <v>0</v>
      </c>
      <c r="AE199" s="140">
        <f>AE$11*Mitigation_Industry!AE$400</f>
        <v>0</v>
      </c>
      <c r="AF199" s="138"/>
      <c r="AG199" s="138"/>
      <c r="AH199" s="138"/>
      <c r="AI199" s="138"/>
    </row>
    <row r="200" spans="1:35" customFormat="1" ht="15" x14ac:dyDescent="0.25">
      <c r="B200" s="14" t="s">
        <v>2845</v>
      </c>
      <c r="C200" s="14" t="s">
        <v>2672</v>
      </c>
      <c r="D200" s="15" t="s">
        <v>2846</v>
      </c>
      <c r="E200" s="16" t="s">
        <v>1854</v>
      </c>
      <c r="F200" s="14" t="s">
        <v>2845</v>
      </c>
      <c r="G200" s="17"/>
      <c r="H200" s="17"/>
      <c r="I200" t="s">
        <v>2847</v>
      </c>
      <c r="K200" s="136"/>
      <c r="L200" s="140">
        <f t="shared" ref="L200:AE200" si="90">L199-L$122</f>
        <v>0</v>
      </c>
      <c r="M200" s="140">
        <f t="shared" si="90"/>
        <v>0</v>
      </c>
      <c r="N200" s="140">
        <f t="shared" si="90"/>
        <v>0</v>
      </c>
      <c r="O200" s="140">
        <f t="shared" si="90"/>
        <v>0</v>
      </c>
      <c r="P200" s="140">
        <f t="shared" si="90"/>
        <v>0</v>
      </c>
      <c r="Q200" s="140">
        <f t="shared" si="90"/>
        <v>0</v>
      </c>
      <c r="R200" s="140">
        <f t="shared" si="90"/>
        <v>0</v>
      </c>
      <c r="S200" s="140">
        <f t="shared" si="90"/>
        <v>0</v>
      </c>
      <c r="T200" s="140">
        <f t="shared" si="90"/>
        <v>0</v>
      </c>
      <c r="U200" s="140">
        <f t="shared" si="90"/>
        <v>0</v>
      </c>
      <c r="V200" s="140">
        <f t="shared" si="90"/>
        <v>0</v>
      </c>
      <c r="W200" s="140">
        <f t="shared" si="90"/>
        <v>0</v>
      </c>
      <c r="X200" s="140">
        <f t="shared" si="90"/>
        <v>0</v>
      </c>
      <c r="Y200" s="140">
        <f t="shared" si="90"/>
        <v>0</v>
      </c>
      <c r="Z200" s="140">
        <f t="shared" si="90"/>
        <v>0</v>
      </c>
      <c r="AA200" s="140">
        <f t="shared" si="90"/>
        <v>0</v>
      </c>
      <c r="AB200" s="140">
        <f t="shared" si="90"/>
        <v>0</v>
      </c>
      <c r="AC200" s="140">
        <f t="shared" si="90"/>
        <v>0</v>
      </c>
      <c r="AD200" s="140">
        <f t="shared" si="90"/>
        <v>0</v>
      </c>
      <c r="AE200" s="140">
        <f t="shared" si="90"/>
        <v>0</v>
      </c>
      <c r="AF200" s="138"/>
      <c r="AG200" s="138"/>
      <c r="AH200" s="138"/>
      <c r="AI200" s="138"/>
    </row>
    <row r="201" spans="1:35" x14ac:dyDescent="0.2"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</row>
    <row r="202" spans="1:35" customFormat="1" ht="15" x14ac:dyDescent="0.2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2848</v>
      </c>
      <c r="J202" s="48">
        <v>1</v>
      </c>
      <c r="K202" s="134">
        <v>2021</v>
      </c>
      <c r="L202" s="135">
        <v>2022</v>
      </c>
      <c r="M202" s="134">
        <v>2023</v>
      </c>
      <c r="N202" s="134">
        <v>2024</v>
      </c>
      <c r="O202" s="134">
        <v>2025</v>
      </c>
      <c r="P202" s="134">
        <v>2026</v>
      </c>
      <c r="Q202" s="134">
        <v>2027</v>
      </c>
      <c r="R202" s="134">
        <v>2028</v>
      </c>
      <c r="S202" s="134">
        <v>2029</v>
      </c>
      <c r="T202" s="134">
        <v>2030</v>
      </c>
      <c r="U202" s="134">
        <v>2031</v>
      </c>
      <c r="V202" s="134">
        <v>2032</v>
      </c>
      <c r="W202" s="134">
        <v>2033</v>
      </c>
      <c r="X202" s="134">
        <v>2034</v>
      </c>
      <c r="Y202" s="134">
        <v>2035</v>
      </c>
      <c r="Z202" s="134">
        <v>2036</v>
      </c>
      <c r="AA202" s="134">
        <v>2037</v>
      </c>
      <c r="AB202" s="134">
        <v>2038</v>
      </c>
      <c r="AC202" s="134">
        <v>2039</v>
      </c>
      <c r="AD202" s="134">
        <v>2040</v>
      </c>
      <c r="AE202" s="134">
        <v>2041</v>
      </c>
      <c r="AF202" s="134">
        <v>2042</v>
      </c>
      <c r="AG202" s="134">
        <v>2043</v>
      </c>
      <c r="AH202" s="134">
        <v>2044</v>
      </c>
      <c r="AI202" s="134">
        <v>2045</v>
      </c>
    </row>
    <row r="203" spans="1:35" customFormat="1" ht="15" x14ac:dyDescent="0.25">
      <c r="B203" s="14" t="s">
        <v>49</v>
      </c>
      <c r="C203" s="14" t="s">
        <v>4</v>
      </c>
      <c r="D203" s="15" t="s">
        <v>2849</v>
      </c>
      <c r="E203" s="16" t="s">
        <v>51</v>
      </c>
      <c r="F203" s="14" t="s">
        <v>2850</v>
      </c>
      <c r="G203" s="17"/>
      <c r="H203" s="125" t="str">
        <f>Settings!$B$3&amp;".mit.shpf.coa.ind.1"</f>
        <v>egy.mit.shpf.coa.ind.1</v>
      </c>
      <c r="K203" s="137"/>
      <c r="L203" s="137">
        <f>L$190*Scenarios!$E$30</f>
        <v>0</v>
      </c>
      <c r="M203" s="137">
        <f>M$190*Scenarios!$E$30</f>
        <v>0</v>
      </c>
      <c r="N203" s="137">
        <f>N$190*Scenarios!$E$30</f>
        <v>0</v>
      </c>
      <c r="O203" s="137">
        <f>O$190*Scenarios!$E$30</f>
        <v>0</v>
      </c>
      <c r="P203" s="137">
        <f>P$190*Scenarios!$E$30</f>
        <v>0</v>
      </c>
      <c r="Q203" s="137">
        <f>Q$190*Scenarios!$E$30</f>
        <v>0</v>
      </c>
      <c r="R203" s="137">
        <f>R$190*Scenarios!$E$30</f>
        <v>0</v>
      </c>
      <c r="S203" s="137">
        <f>S$190*Scenarios!$E$30</f>
        <v>0</v>
      </c>
      <c r="T203" s="137">
        <f>T$190*Scenarios!$E$30</f>
        <v>0</v>
      </c>
      <c r="U203" s="137">
        <f>U$190*Scenarios!$E$30</f>
        <v>0</v>
      </c>
      <c r="V203" s="137">
        <f>V$190*Scenarios!$E$30</f>
        <v>0</v>
      </c>
      <c r="W203" s="137">
        <f>W$190*Scenarios!$E$30</f>
        <v>0</v>
      </c>
      <c r="X203" s="137">
        <f>X$190*Scenarios!$E$30</f>
        <v>0</v>
      </c>
      <c r="Y203" s="137">
        <f>Y$190*Scenarios!$E$30</f>
        <v>0</v>
      </c>
      <c r="Z203" s="137">
        <f>Z$190*Scenarios!$E$30</f>
        <v>0</v>
      </c>
      <c r="AA203" s="137">
        <f>AA$190*Scenarios!$E$30</f>
        <v>0</v>
      </c>
      <c r="AB203" s="137">
        <f>AB$190*Scenarios!$E$30</f>
        <v>0</v>
      </c>
      <c r="AC203" s="137">
        <f>AC$190*Scenarios!$E$30</f>
        <v>0</v>
      </c>
      <c r="AD203" s="137">
        <f>AD$190*Scenarios!$E$30</f>
        <v>0</v>
      </c>
      <c r="AE203" s="137">
        <f>AE$190*Scenarios!$E$30</f>
        <v>0</v>
      </c>
      <c r="AF203" s="138"/>
      <c r="AG203" s="138"/>
      <c r="AH203" s="138"/>
      <c r="AI203" s="138"/>
    </row>
    <row r="204" spans="1:35" customFormat="1" ht="15" x14ac:dyDescent="0.25">
      <c r="B204" s="14" t="s">
        <v>53</v>
      </c>
      <c r="C204" s="14" t="s">
        <v>4</v>
      </c>
      <c r="D204" s="15" t="s">
        <v>2851</v>
      </c>
      <c r="E204" s="16" t="s">
        <v>51</v>
      </c>
      <c r="F204" s="14" t="s">
        <v>2850</v>
      </c>
      <c r="G204" s="17"/>
      <c r="H204" s="125" t="str">
        <f>Settings!$B$3&amp;".mit.shpf.nga.ind.1"</f>
        <v>egy.mit.shpf.nga.ind.1</v>
      </c>
      <c r="K204" s="137"/>
      <c r="L204" s="137">
        <f>L$190*Scenarios!$E$31</f>
        <v>0</v>
      </c>
      <c r="M204" s="137">
        <f>M$190*Scenarios!$E$31</f>
        <v>0</v>
      </c>
      <c r="N204" s="137">
        <f>N$190*Scenarios!$E$31</f>
        <v>0</v>
      </c>
      <c r="O204" s="137">
        <f>O$190*Scenarios!$E$31</f>
        <v>0</v>
      </c>
      <c r="P204" s="137">
        <f>P$190*Scenarios!$E$31</f>
        <v>0</v>
      </c>
      <c r="Q204" s="137">
        <f>Q$190*Scenarios!$E$31</f>
        <v>0</v>
      </c>
      <c r="R204" s="137">
        <f>R$190*Scenarios!$E$31</f>
        <v>0</v>
      </c>
      <c r="S204" s="137">
        <f>S$190*Scenarios!$E$31</f>
        <v>0</v>
      </c>
      <c r="T204" s="137">
        <f>T$190*Scenarios!$E$31</f>
        <v>0</v>
      </c>
      <c r="U204" s="137">
        <f>U$190*Scenarios!$E$31</f>
        <v>0</v>
      </c>
      <c r="V204" s="137">
        <f>V$190*Scenarios!$E$31</f>
        <v>0</v>
      </c>
      <c r="W204" s="137">
        <f>W$190*Scenarios!$E$31</f>
        <v>0</v>
      </c>
      <c r="X204" s="137">
        <f>X$190*Scenarios!$E$31</f>
        <v>0</v>
      </c>
      <c r="Y204" s="137">
        <f>Y$190*Scenarios!$E$31</f>
        <v>0</v>
      </c>
      <c r="Z204" s="137">
        <f>Z$190*Scenarios!$E$31</f>
        <v>0</v>
      </c>
      <c r="AA204" s="137">
        <f>AA$190*Scenarios!$E$31</f>
        <v>0</v>
      </c>
      <c r="AB204" s="137">
        <f>AB$190*Scenarios!$E$31</f>
        <v>0</v>
      </c>
      <c r="AC204" s="137">
        <f>AC$190*Scenarios!$E$31</f>
        <v>0</v>
      </c>
      <c r="AD204" s="137">
        <f>AD$190*Scenarios!$E$31</f>
        <v>0</v>
      </c>
      <c r="AE204" s="137">
        <f>AE$190*Scenarios!$E$31</f>
        <v>0</v>
      </c>
      <c r="AF204" s="138"/>
      <c r="AG204" s="138"/>
      <c r="AH204" s="138"/>
      <c r="AI204" s="138"/>
    </row>
    <row r="205" spans="1:35" customFormat="1" ht="15" x14ac:dyDescent="0.25">
      <c r="B205" s="14" t="s">
        <v>55</v>
      </c>
      <c r="C205" s="14" t="s">
        <v>4</v>
      </c>
      <c r="D205" s="15" t="s">
        <v>2852</v>
      </c>
      <c r="E205" s="16" t="s">
        <v>57</v>
      </c>
      <c r="F205" s="14" t="s">
        <v>2850</v>
      </c>
      <c r="G205" s="17"/>
      <c r="H205" s="125" t="str">
        <f>Settings!$B$3&amp;".mit.shpf.gso.ind.1"</f>
        <v>egy.mit.shpf.gso.ind.1</v>
      </c>
      <c r="K205" s="137"/>
      <c r="L205" s="137">
        <f>L$190*Scenarios!$E$32</f>
        <v>0</v>
      </c>
      <c r="M205" s="137">
        <f>M$190*Scenarios!$E$32</f>
        <v>0</v>
      </c>
      <c r="N205" s="137">
        <f>N$190*Scenarios!$E$32</f>
        <v>0</v>
      </c>
      <c r="O205" s="137">
        <f>O$190*Scenarios!$E$32</f>
        <v>0</v>
      </c>
      <c r="P205" s="137">
        <f>P$190*Scenarios!$E$32</f>
        <v>0</v>
      </c>
      <c r="Q205" s="137">
        <f>Q$190*Scenarios!$E$32</f>
        <v>0</v>
      </c>
      <c r="R205" s="137">
        <f>R$190*Scenarios!$E$32</f>
        <v>0</v>
      </c>
      <c r="S205" s="137">
        <f>S$190*Scenarios!$E$32</f>
        <v>0</v>
      </c>
      <c r="T205" s="137">
        <f>T$190*Scenarios!$E$32</f>
        <v>0</v>
      </c>
      <c r="U205" s="137">
        <f>U$190*Scenarios!$E$32</f>
        <v>0</v>
      </c>
      <c r="V205" s="137">
        <f>V$190*Scenarios!$E$32</f>
        <v>0</v>
      </c>
      <c r="W205" s="137">
        <f>W$190*Scenarios!$E$32</f>
        <v>0</v>
      </c>
      <c r="X205" s="137">
        <f>X$190*Scenarios!$E$32</f>
        <v>0</v>
      </c>
      <c r="Y205" s="137">
        <f>Y$190*Scenarios!$E$32</f>
        <v>0</v>
      </c>
      <c r="Z205" s="137">
        <f>Z$190*Scenarios!$E$32</f>
        <v>0</v>
      </c>
      <c r="AA205" s="137">
        <f>AA$190*Scenarios!$E$32</f>
        <v>0</v>
      </c>
      <c r="AB205" s="137">
        <f>AB$190*Scenarios!$E$32</f>
        <v>0</v>
      </c>
      <c r="AC205" s="137">
        <f>AC$190*Scenarios!$E$32</f>
        <v>0</v>
      </c>
      <c r="AD205" s="137">
        <f>AD$190*Scenarios!$E$32</f>
        <v>0</v>
      </c>
      <c r="AE205" s="137">
        <f>AE$190*Scenarios!$E$32</f>
        <v>0</v>
      </c>
      <c r="AF205" s="138"/>
      <c r="AG205" s="138"/>
      <c r="AH205" s="138"/>
      <c r="AI205" s="138"/>
    </row>
    <row r="206" spans="1:35" customFormat="1" ht="15" x14ac:dyDescent="0.25">
      <c r="B206" s="14" t="s">
        <v>58</v>
      </c>
      <c r="C206" s="14" t="s">
        <v>4</v>
      </c>
      <c r="D206" s="15" t="s">
        <v>2853</v>
      </c>
      <c r="E206" s="16" t="s">
        <v>57</v>
      </c>
      <c r="F206" s="14" t="s">
        <v>2850</v>
      </c>
      <c r="G206" s="17"/>
      <c r="H206" s="125" t="str">
        <f>Settings!$B$3&amp;".mit.shpf.die.ind.1"</f>
        <v>egy.mit.shpf.die.ind.1</v>
      </c>
      <c r="K206" s="137"/>
      <c r="L206" s="137">
        <f>L$190*Scenarios!$E$33</f>
        <v>0</v>
      </c>
      <c r="M206" s="137">
        <f>M$190*Scenarios!$E$33</f>
        <v>0</v>
      </c>
      <c r="N206" s="137">
        <f>N$190*Scenarios!$E$33</f>
        <v>0</v>
      </c>
      <c r="O206" s="137">
        <f>O$190*Scenarios!$E$33</f>
        <v>0</v>
      </c>
      <c r="P206" s="137">
        <f>P$190*Scenarios!$E$33</f>
        <v>0</v>
      </c>
      <c r="Q206" s="137">
        <f>Q$190*Scenarios!$E$33</f>
        <v>0</v>
      </c>
      <c r="R206" s="137">
        <f>R$190*Scenarios!$E$33</f>
        <v>0</v>
      </c>
      <c r="S206" s="137">
        <f>S$190*Scenarios!$E$33</f>
        <v>0</v>
      </c>
      <c r="T206" s="137">
        <f>T$190*Scenarios!$E$33</f>
        <v>0</v>
      </c>
      <c r="U206" s="137">
        <f>U$190*Scenarios!$E$33</f>
        <v>0</v>
      </c>
      <c r="V206" s="137">
        <f>V$190*Scenarios!$E$33</f>
        <v>0</v>
      </c>
      <c r="W206" s="137">
        <f>W$190*Scenarios!$E$33</f>
        <v>0</v>
      </c>
      <c r="X206" s="137">
        <f>X$190*Scenarios!$E$33</f>
        <v>0</v>
      </c>
      <c r="Y206" s="137">
        <f>Y$190*Scenarios!$E$33</f>
        <v>0</v>
      </c>
      <c r="Z206" s="137">
        <f>Z$190*Scenarios!$E$33</f>
        <v>0</v>
      </c>
      <c r="AA206" s="137">
        <f>AA$190*Scenarios!$E$33</f>
        <v>0</v>
      </c>
      <c r="AB206" s="137">
        <f>AB$190*Scenarios!$E$33</f>
        <v>0</v>
      </c>
      <c r="AC206" s="137">
        <f>AC$190*Scenarios!$E$33</f>
        <v>0</v>
      </c>
      <c r="AD206" s="137">
        <f>AD$190*Scenarios!$E$33</f>
        <v>0</v>
      </c>
      <c r="AE206" s="137">
        <f>AE$190*Scenarios!$E$33</f>
        <v>0</v>
      </c>
      <c r="AF206" s="138"/>
      <c r="AG206" s="138"/>
      <c r="AH206" s="138"/>
      <c r="AI206" s="138"/>
    </row>
    <row r="207" spans="1:35" customFormat="1" ht="15" x14ac:dyDescent="0.25">
      <c r="B207" s="14" t="s">
        <v>60</v>
      </c>
      <c r="C207" s="14" t="s">
        <v>4</v>
      </c>
      <c r="D207" s="15" t="s">
        <v>2854</v>
      </c>
      <c r="E207" s="16" t="s">
        <v>57</v>
      </c>
      <c r="F207" s="14" t="s">
        <v>2850</v>
      </c>
      <c r="G207" s="17"/>
      <c r="H207" s="125" t="str">
        <f>Settings!$B$3&amp;".mit.shpf.lpg.ind.1"</f>
        <v>egy.mit.shpf.lpg.ind.1</v>
      </c>
      <c r="K207" s="137"/>
      <c r="L207" s="137">
        <f>L$190*Scenarios!$E$34</f>
        <v>0</v>
      </c>
      <c r="M207" s="137">
        <f>M$190*Scenarios!$E$34</f>
        <v>0</v>
      </c>
      <c r="N207" s="137">
        <f>N$190*Scenarios!$E$34</f>
        <v>0</v>
      </c>
      <c r="O207" s="137">
        <f>O$190*Scenarios!$E$34</f>
        <v>0</v>
      </c>
      <c r="P207" s="137">
        <f>P$190*Scenarios!$E$34</f>
        <v>0</v>
      </c>
      <c r="Q207" s="137">
        <f>Q$190*Scenarios!$E$34</f>
        <v>0</v>
      </c>
      <c r="R207" s="137">
        <f>R$190*Scenarios!$E$34</f>
        <v>0</v>
      </c>
      <c r="S207" s="137">
        <f>S$190*Scenarios!$E$34</f>
        <v>0</v>
      </c>
      <c r="T207" s="137">
        <f>T$190*Scenarios!$E$34</f>
        <v>0</v>
      </c>
      <c r="U207" s="137">
        <f>U$190*Scenarios!$E$34</f>
        <v>0</v>
      </c>
      <c r="V207" s="137">
        <f>V$190*Scenarios!$E$34</f>
        <v>0</v>
      </c>
      <c r="W207" s="137">
        <f>W$190*Scenarios!$E$34</f>
        <v>0</v>
      </c>
      <c r="X207" s="137">
        <f>X$190*Scenarios!$E$34</f>
        <v>0</v>
      </c>
      <c r="Y207" s="137">
        <f>Y$190*Scenarios!$E$34</f>
        <v>0</v>
      </c>
      <c r="Z207" s="137">
        <f>Z$190*Scenarios!$E$34</f>
        <v>0</v>
      </c>
      <c r="AA207" s="137">
        <f>AA$190*Scenarios!$E$34</f>
        <v>0</v>
      </c>
      <c r="AB207" s="137">
        <f>AB$190*Scenarios!$E$34</f>
        <v>0</v>
      </c>
      <c r="AC207" s="137">
        <f>AC$190*Scenarios!$E$34</f>
        <v>0</v>
      </c>
      <c r="AD207" s="137">
        <f>AD$190*Scenarios!$E$34</f>
        <v>0</v>
      </c>
      <c r="AE207" s="137">
        <f>AE$190*Scenarios!$E$34</f>
        <v>0</v>
      </c>
      <c r="AF207" s="138"/>
      <c r="AG207" s="138"/>
      <c r="AH207" s="138"/>
      <c r="AI207" s="138"/>
    </row>
    <row r="208" spans="1:35" customFormat="1" ht="15" x14ac:dyDescent="0.25">
      <c r="B208" s="14" t="s">
        <v>62</v>
      </c>
      <c r="C208" s="14" t="s">
        <v>4</v>
      </c>
      <c r="D208" s="15" t="s">
        <v>2855</v>
      </c>
      <c r="E208" s="16" t="s">
        <v>57</v>
      </c>
      <c r="F208" s="14" t="s">
        <v>2850</v>
      </c>
      <c r="G208" s="17"/>
      <c r="H208" s="125" t="str">
        <f>Settings!$B$3&amp;".mit.shpf.ker.ind.1"</f>
        <v>egy.mit.shpf.ker.ind.1</v>
      </c>
      <c r="K208" s="137"/>
      <c r="L208" s="137">
        <f>L$190*Scenarios!$E$35</f>
        <v>0</v>
      </c>
      <c r="M208" s="137">
        <f>M$190*Scenarios!$E$35</f>
        <v>0</v>
      </c>
      <c r="N208" s="137">
        <f>N$190*Scenarios!$E$35</f>
        <v>0</v>
      </c>
      <c r="O208" s="137">
        <f>O$190*Scenarios!$E$35</f>
        <v>0</v>
      </c>
      <c r="P208" s="137">
        <f>P$190*Scenarios!$E$35</f>
        <v>0</v>
      </c>
      <c r="Q208" s="137">
        <f>Q$190*Scenarios!$E$35</f>
        <v>0</v>
      </c>
      <c r="R208" s="137">
        <f>R$190*Scenarios!$E$35</f>
        <v>0</v>
      </c>
      <c r="S208" s="137">
        <f>S$190*Scenarios!$E$35</f>
        <v>0</v>
      </c>
      <c r="T208" s="137">
        <f>T$190*Scenarios!$E$35</f>
        <v>0</v>
      </c>
      <c r="U208" s="137">
        <f>U$190*Scenarios!$E$35</f>
        <v>0</v>
      </c>
      <c r="V208" s="137">
        <f>V$190*Scenarios!$E$35</f>
        <v>0</v>
      </c>
      <c r="W208" s="137">
        <f>W$190*Scenarios!$E$35</f>
        <v>0</v>
      </c>
      <c r="X208" s="137">
        <f>X$190*Scenarios!$E$35</f>
        <v>0</v>
      </c>
      <c r="Y208" s="137">
        <f>Y$190*Scenarios!$E$35</f>
        <v>0</v>
      </c>
      <c r="Z208" s="137">
        <f>Z$190*Scenarios!$E$35</f>
        <v>0</v>
      </c>
      <c r="AA208" s="137">
        <f>AA$190*Scenarios!$E$35</f>
        <v>0</v>
      </c>
      <c r="AB208" s="137">
        <f>AB$190*Scenarios!$E$35</f>
        <v>0</v>
      </c>
      <c r="AC208" s="137">
        <f>AC$190*Scenarios!$E$35</f>
        <v>0</v>
      </c>
      <c r="AD208" s="137">
        <f>AD$190*Scenarios!$E$35</f>
        <v>0</v>
      </c>
      <c r="AE208" s="137">
        <f>AE$190*Scenarios!$E$35</f>
        <v>0</v>
      </c>
      <c r="AF208" s="138"/>
      <c r="AG208" s="138"/>
      <c r="AH208" s="138"/>
      <c r="AI208" s="138"/>
    </row>
    <row r="209" spans="1:35" customFormat="1" ht="15" x14ac:dyDescent="0.25">
      <c r="B209" s="14" t="s">
        <v>64</v>
      </c>
      <c r="C209" s="14" t="s">
        <v>4</v>
      </c>
      <c r="D209" s="15" t="s">
        <v>2856</v>
      </c>
      <c r="E209" s="16" t="s">
        <v>66</v>
      </c>
      <c r="F209" s="14" t="s">
        <v>2850</v>
      </c>
      <c r="G209" s="17"/>
      <c r="H209" s="125" t="str">
        <f>Settings!$B$3&amp;".mit.shpf.oop.ind.1"</f>
        <v>egy.mit.shpf.oop.ind.1</v>
      </c>
      <c r="K209" s="137"/>
      <c r="L209" s="137">
        <f>L$190*Scenarios!$E$36</f>
        <v>0</v>
      </c>
      <c r="M209" s="137">
        <f>M$190*Scenarios!$E$36</f>
        <v>0</v>
      </c>
      <c r="N209" s="137">
        <f>N$190*Scenarios!$E$36</f>
        <v>0</v>
      </c>
      <c r="O209" s="137">
        <f>O$190*Scenarios!$E$36</f>
        <v>0</v>
      </c>
      <c r="P209" s="137">
        <f>P$190*Scenarios!$E$36</f>
        <v>0</v>
      </c>
      <c r="Q209" s="137">
        <f>Q$190*Scenarios!$E$36</f>
        <v>0</v>
      </c>
      <c r="R209" s="137">
        <f>R$190*Scenarios!$E$36</f>
        <v>0</v>
      </c>
      <c r="S209" s="137">
        <f>S$190*Scenarios!$E$36</f>
        <v>0</v>
      </c>
      <c r="T209" s="137">
        <f>T$190*Scenarios!$E$36</f>
        <v>0</v>
      </c>
      <c r="U209" s="137">
        <f>U$190*Scenarios!$E$36</f>
        <v>0</v>
      </c>
      <c r="V209" s="137">
        <f>V$190*Scenarios!$E$36</f>
        <v>0</v>
      </c>
      <c r="W209" s="137">
        <f>W$190*Scenarios!$E$36</f>
        <v>0</v>
      </c>
      <c r="X209" s="137">
        <f>X$190*Scenarios!$E$36</f>
        <v>0</v>
      </c>
      <c r="Y209" s="137">
        <f>Y$190*Scenarios!$E$36</f>
        <v>0</v>
      </c>
      <c r="Z209" s="137">
        <f>Z$190*Scenarios!$E$36</f>
        <v>0</v>
      </c>
      <c r="AA209" s="137">
        <f>AA$190*Scenarios!$E$36</f>
        <v>0</v>
      </c>
      <c r="AB209" s="137">
        <f>AB$190*Scenarios!$E$36</f>
        <v>0</v>
      </c>
      <c r="AC209" s="137">
        <f>AC$190*Scenarios!$E$36</f>
        <v>0</v>
      </c>
      <c r="AD209" s="137">
        <f>AD$190*Scenarios!$E$36</f>
        <v>0</v>
      </c>
      <c r="AE209" s="137">
        <f>AE$190*Scenarios!$E$36</f>
        <v>0</v>
      </c>
      <c r="AF209" s="138"/>
      <c r="AG209" s="138"/>
      <c r="AH209" s="138"/>
      <c r="AI209" s="138"/>
    </row>
    <row r="210" spans="1:35" customFormat="1" ht="15" x14ac:dyDescent="0.25">
      <c r="B210" s="14" t="s">
        <v>67</v>
      </c>
      <c r="C210" s="14" t="s">
        <v>4</v>
      </c>
      <c r="D210" s="15" t="s">
        <v>2857</v>
      </c>
      <c r="E210" s="16" t="s">
        <v>51</v>
      </c>
      <c r="F210" s="14" t="s">
        <v>2850</v>
      </c>
      <c r="G210" s="17"/>
      <c r="H210" s="125" t="str">
        <f>Settings!$B$3&amp;".mit.shpf.bio.ind.1"</f>
        <v>egy.mit.shpf.bio.ind.1</v>
      </c>
      <c r="K210" s="137"/>
      <c r="L210" s="137">
        <f>L$190*Scenarios!$E$37</f>
        <v>0</v>
      </c>
      <c r="M210" s="137">
        <f>M$190*Scenarios!$E$37</f>
        <v>0</v>
      </c>
      <c r="N210" s="137">
        <f>N$190*Scenarios!$E$37</f>
        <v>0</v>
      </c>
      <c r="O210" s="137">
        <f>O$190*Scenarios!$E$37</f>
        <v>0</v>
      </c>
      <c r="P210" s="137">
        <f>P$190*Scenarios!$E$37</f>
        <v>0</v>
      </c>
      <c r="Q210" s="137">
        <f>Q$190*Scenarios!$E$37</f>
        <v>0</v>
      </c>
      <c r="R210" s="137">
        <f>R$190*Scenarios!$E$37</f>
        <v>0</v>
      </c>
      <c r="S210" s="137">
        <f>S$190*Scenarios!$E$37</f>
        <v>0</v>
      </c>
      <c r="T210" s="137">
        <f>T$190*Scenarios!$E$37</f>
        <v>0</v>
      </c>
      <c r="U210" s="137">
        <f>U$190*Scenarios!$E$37</f>
        <v>0</v>
      </c>
      <c r="V210" s="137">
        <f>V$190*Scenarios!$E$37</f>
        <v>0</v>
      </c>
      <c r="W210" s="137">
        <f>W$190*Scenarios!$E$37</f>
        <v>0</v>
      </c>
      <c r="X210" s="137">
        <f>X$190*Scenarios!$E$37</f>
        <v>0</v>
      </c>
      <c r="Y210" s="137">
        <f>Y$190*Scenarios!$E$37</f>
        <v>0</v>
      </c>
      <c r="Z210" s="137">
        <f>Z$190*Scenarios!$E$37</f>
        <v>0</v>
      </c>
      <c r="AA210" s="137">
        <f>AA$190*Scenarios!$E$37</f>
        <v>0</v>
      </c>
      <c r="AB210" s="137">
        <f>AB$190*Scenarios!$E$37</f>
        <v>0</v>
      </c>
      <c r="AC210" s="137">
        <f>AC$190*Scenarios!$E$37</f>
        <v>0</v>
      </c>
      <c r="AD210" s="137">
        <f>AD$190*Scenarios!$E$37</f>
        <v>0</v>
      </c>
      <c r="AE210" s="137">
        <f>AE$190*Scenarios!$E$37</f>
        <v>0</v>
      </c>
      <c r="AF210" s="138"/>
      <c r="AG210" s="138"/>
      <c r="AH210" s="138"/>
      <c r="AI210" s="138"/>
    </row>
    <row r="211" spans="1:35" customFormat="1" ht="15" x14ac:dyDescent="0.25">
      <c r="B211" s="14" t="s">
        <v>69</v>
      </c>
      <c r="C211" s="14" t="s">
        <v>4</v>
      </c>
      <c r="D211" s="15" t="s">
        <v>2858</v>
      </c>
      <c r="E211" s="16" t="s">
        <v>71</v>
      </c>
      <c r="F211" s="14" t="s">
        <v>2850</v>
      </c>
      <c r="G211" s="17"/>
      <c r="H211" s="125" t="str">
        <f>Settings!$B$3&amp;".mit.shpf.ren.ind.1"</f>
        <v>egy.mit.shpf.ren.ind.1</v>
      </c>
      <c r="K211" s="137"/>
      <c r="L211" s="137">
        <f>L$190*Scenarios!$E$38</f>
        <v>0</v>
      </c>
      <c r="M211" s="137">
        <f>M$190*Scenarios!$E$38</f>
        <v>0</v>
      </c>
      <c r="N211" s="137">
        <f>N$190*Scenarios!$E$38</f>
        <v>0</v>
      </c>
      <c r="O211" s="137">
        <f>O$190*Scenarios!$E$38</f>
        <v>0</v>
      </c>
      <c r="P211" s="137">
        <f>P$190*Scenarios!$E$38</f>
        <v>0</v>
      </c>
      <c r="Q211" s="137">
        <f>Q$190*Scenarios!$E$38</f>
        <v>0</v>
      </c>
      <c r="R211" s="137">
        <f>R$190*Scenarios!$E$38</f>
        <v>0</v>
      </c>
      <c r="S211" s="137">
        <f>S$190*Scenarios!$E$38</f>
        <v>0</v>
      </c>
      <c r="T211" s="137">
        <f>T$190*Scenarios!$E$38</f>
        <v>0</v>
      </c>
      <c r="U211" s="137">
        <f>U$190*Scenarios!$E$38</f>
        <v>0</v>
      </c>
      <c r="V211" s="137">
        <f>V$190*Scenarios!$E$38</f>
        <v>0</v>
      </c>
      <c r="W211" s="137">
        <f>W$190*Scenarios!$E$38</f>
        <v>0</v>
      </c>
      <c r="X211" s="137">
        <f>X$190*Scenarios!$E$38</f>
        <v>0</v>
      </c>
      <c r="Y211" s="137">
        <f>Y$190*Scenarios!$E$38</f>
        <v>0</v>
      </c>
      <c r="Z211" s="137">
        <f>Z$190*Scenarios!$E$38</f>
        <v>0</v>
      </c>
      <c r="AA211" s="137">
        <f>AA$190*Scenarios!$E$38</f>
        <v>0</v>
      </c>
      <c r="AB211" s="137">
        <f>AB$190*Scenarios!$E$38</f>
        <v>0</v>
      </c>
      <c r="AC211" s="137">
        <f>AC$190*Scenarios!$E$38</f>
        <v>0</v>
      </c>
      <c r="AD211" s="137">
        <f>AD$190*Scenarios!$E$38</f>
        <v>0</v>
      </c>
      <c r="AE211" s="137">
        <f>AE$190*Scenarios!$E$38</f>
        <v>0</v>
      </c>
      <c r="AF211" s="138"/>
      <c r="AG211" s="138"/>
      <c r="AH211" s="138"/>
      <c r="AI211" s="138"/>
    </row>
    <row r="212" spans="1:35" x14ac:dyDescent="0.2"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</row>
    <row r="213" spans="1:35" x14ac:dyDescent="0.2"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</row>
    <row r="214" spans="1:35" x14ac:dyDescent="0.2"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</row>
    <row r="215" spans="1:35" customFormat="1" ht="18" customHeight="1" x14ac:dyDescent="0.25">
      <c r="A215" s="8"/>
      <c r="B215" s="9" t="s">
        <v>2859</v>
      </c>
      <c r="C215" s="10"/>
      <c r="D215" s="10"/>
      <c r="E215" s="10"/>
      <c r="F215" s="10"/>
      <c r="G215" s="10"/>
      <c r="H215" s="10"/>
      <c r="I215" s="10"/>
      <c r="J215" s="10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</row>
    <row r="216" spans="1:35" x14ac:dyDescent="0.2"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</row>
    <row r="217" spans="1:35" customFormat="1" ht="15" x14ac:dyDescent="0.25">
      <c r="A217" s="11"/>
      <c r="B217" s="6"/>
      <c r="C217" s="7" t="s">
        <v>2173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4">
        <v>2021</v>
      </c>
      <c r="L217" s="135">
        <v>2022</v>
      </c>
      <c r="M217" s="134">
        <v>2023</v>
      </c>
      <c r="N217" s="134">
        <v>2024</v>
      </c>
      <c r="O217" s="134">
        <v>2025</v>
      </c>
      <c r="P217" s="134">
        <v>2026</v>
      </c>
      <c r="Q217" s="134">
        <v>2027</v>
      </c>
      <c r="R217" s="134">
        <v>2028</v>
      </c>
      <c r="S217" s="134">
        <v>2029</v>
      </c>
      <c r="T217" s="134">
        <v>2030</v>
      </c>
      <c r="U217" s="134">
        <v>2031</v>
      </c>
      <c r="V217" s="134">
        <v>2032</v>
      </c>
      <c r="W217" s="134">
        <v>2033</v>
      </c>
      <c r="X217" s="134">
        <v>2034</v>
      </c>
      <c r="Y217" s="134">
        <v>2035</v>
      </c>
      <c r="Z217" s="134">
        <v>2036</v>
      </c>
      <c r="AA217" s="134">
        <v>2037</v>
      </c>
      <c r="AB217" s="134">
        <v>2038</v>
      </c>
      <c r="AC217" s="134">
        <v>2039</v>
      </c>
      <c r="AD217" s="134">
        <v>2040</v>
      </c>
      <c r="AE217" s="134">
        <v>2041</v>
      </c>
      <c r="AF217" s="134">
        <v>2042</v>
      </c>
      <c r="AG217" s="134">
        <v>2043</v>
      </c>
      <c r="AH217" s="134">
        <v>2044</v>
      </c>
      <c r="AI217" s="134">
        <v>2045</v>
      </c>
    </row>
    <row r="218" spans="1:35" customFormat="1" ht="15" x14ac:dyDescent="0.25">
      <c r="B218" s="14" t="s">
        <v>1789</v>
      </c>
      <c r="C218" s="14"/>
      <c r="D218" s="15" t="s">
        <v>2544</v>
      </c>
      <c r="E218" s="16" t="s">
        <v>79</v>
      </c>
      <c r="F218" s="14" t="s">
        <v>1789</v>
      </c>
      <c r="G218" s="125" t="s">
        <v>1792</v>
      </c>
      <c r="H218" s="17"/>
      <c r="I218" t="s">
        <v>2175</v>
      </c>
      <c r="K218" s="136"/>
      <c r="L218" s="137">
        <f>INDEX(Data_Prices!L:L,MATCH($G218,Data_Prices!$A:$A,0))</f>
        <v>0</v>
      </c>
      <c r="M218" s="137">
        <f>INDEX(Data_Prices!M:M,MATCH($G218,Data_Prices!$A:$A,0))</f>
        <v>0</v>
      </c>
      <c r="N218" s="137">
        <f>INDEX(Data_Prices!N:N,MATCH($G218,Data_Prices!$A:$A,0))</f>
        <v>0</v>
      </c>
      <c r="O218" s="137">
        <f>INDEX(Data_Prices!O:O,MATCH($G218,Data_Prices!$A:$A,0))</f>
        <v>0</v>
      </c>
      <c r="P218" s="137">
        <f>INDEX(Data_Prices!P:P,MATCH($G218,Data_Prices!$A:$A,0))</f>
        <v>0</v>
      </c>
      <c r="Q218" s="137">
        <f>INDEX(Data_Prices!Q:Q,MATCH($G218,Data_Prices!$A:$A,0))</f>
        <v>0</v>
      </c>
      <c r="R218" s="137">
        <f>INDEX(Data_Prices!R:R,MATCH($G218,Data_Prices!$A:$A,0))</f>
        <v>0</v>
      </c>
      <c r="S218" s="137">
        <f>INDEX(Data_Prices!S:S,MATCH($G218,Data_Prices!$A:$A,0))</f>
        <v>0</v>
      </c>
      <c r="T218" s="137">
        <f>INDEX(Data_Prices!T:T,MATCH($G218,Data_Prices!$A:$A,0))</f>
        <v>0</v>
      </c>
      <c r="U218" s="137">
        <f>INDEX(Data_Prices!U:U,MATCH($G218,Data_Prices!$A:$A,0))</f>
        <v>0</v>
      </c>
      <c r="V218" s="137">
        <f>INDEX(Data_Prices!V:V,MATCH($G218,Data_Prices!$A:$A,0))</f>
        <v>0</v>
      </c>
      <c r="W218" s="137">
        <f>INDEX(Data_Prices!W:W,MATCH($G218,Data_Prices!$A:$A,0))</f>
        <v>0</v>
      </c>
      <c r="X218" s="137">
        <f>INDEX(Data_Prices!X:X,MATCH($G218,Data_Prices!$A:$A,0))</f>
        <v>0</v>
      </c>
      <c r="Y218" s="137">
        <f>INDEX(Data_Prices!Y:Y,MATCH($G218,Data_Prices!$A:$A,0))</f>
        <v>0</v>
      </c>
      <c r="Z218" s="137">
        <f>INDEX(Data_Prices!Z:Z,MATCH($G218,Data_Prices!$A:$A,0))</f>
        <v>0</v>
      </c>
      <c r="AA218" s="137">
        <f>INDEX(Data_Prices!AA:AA,MATCH($G218,Data_Prices!$A:$A,0))</f>
        <v>0</v>
      </c>
      <c r="AB218" s="137">
        <f>INDEX(Data_Prices!AB:AB,MATCH($G218,Data_Prices!$A:$A,0))</f>
        <v>0</v>
      </c>
      <c r="AC218" s="137">
        <f>INDEX(Data_Prices!AC:AC,MATCH($G218,Data_Prices!$A:$A,0))</f>
        <v>0</v>
      </c>
      <c r="AD218" s="137">
        <f>INDEX(Data_Prices!AD:AD,MATCH($G218,Data_Prices!$A:$A,0))</f>
        <v>0</v>
      </c>
      <c r="AE218" s="137">
        <f>INDEX(Data_Prices!AE:AE,MATCH($G218,Data_Prices!$A:$A,0))</f>
        <v>0</v>
      </c>
      <c r="AF218" s="138"/>
      <c r="AG218" s="138"/>
      <c r="AH218" s="138"/>
      <c r="AI218" s="138"/>
    </row>
    <row r="219" spans="1:35" customFormat="1" ht="15" x14ac:dyDescent="0.25">
      <c r="B219" s="14" t="s">
        <v>1397</v>
      </c>
      <c r="C219" s="14"/>
      <c r="D219" s="15" t="s">
        <v>2545</v>
      </c>
      <c r="E219" s="16" t="s">
        <v>1398</v>
      </c>
      <c r="F219" s="14" t="s">
        <v>1397</v>
      </c>
      <c r="G219" s="17"/>
      <c r="H219" s="17"/>
      <c r="I219" t="s">
        <v>2860</v>
      </c>
      <c r="K219" s="136"/>
      <c r="L219" s="137">
        <f>Mitigation_Industry!L$646</f>
        <v>0</v>
      </c>
      <c r="M219" s="137">
        <f>Mitigation_Industry!M$646</f>
        <v>0</v>
      </c>
      <c r="N219" s="137">
        <f>Mitigation_Industry!N$646</f>
        <v>0</v>
      </c>
      <c r="O219" s="137">
        <f>Mitigation_Industry!O$646</f>
        <v>0</v>
      </c>
      <c r="P219" s="137">
        <f>Mitigation_Industry!P$646</f>
        <v>0</v>
      </c>
      <c r="Q219" s="137">
        <f>Mitigation_Industry!Q$646</f>
        <v>12.5</v>
      </c>
      <c r="R219" s="137">
        <f>Mitigation_Industry!R$646</f>
        <v>25</v>
      </c>
      <c r="S219" s="137">
        <f>Mitigation_Industry!S$646</f>
        <v>37.5</v>
      </c>
      <c r="T219" s="137">
        <f>Mitigation_Industry!T$646</f>
        <v>50</v>
      </c>
      <c r="U219" s="137">
        <f>Mitigation_Industry!U$646</f>
        <v>62.5</v>
      </c>
      <c r="V219" s="137">
        <f>Mitigation_Industry!V$646</f>
        <v>75</v>
      </c>
      <c r="W219" s="137">
        <f>Mitigation_Industry!W$646</f>
        <v>87.5</v>
      </c>
      <c r="X219" s="137">
        <f>Mitigation_Industry!X$646</f>
        <v>100</v>
      </c>
      <c r="Y219" s="137">
        <f>Mitigation_Industry!Y$646</f>
        <v>112.5</v>
      </c>
      <c r="Z219" s="137">
        <f>Mitigation_Industry!Z$646</f>
        <v>125</v>
      </c>
      <c r="AA219" s="137">
        <f>Mitigation_Industry!AA$646</f>
        <v>137.5</v>
      </c>
      <c r="AB219" s="137">
        <f>Mitigation_Industry!AB$646</f>
        <v>150</v>
      </c>
      <c r="AC219" s="137">
        <f>Mitigation_Industry!AC$646</f>
        <v>162.5</v>
      </c>
      <c r="AD219" s="137">
        <f>Mitigation_Industry!AD$646</f>
        <v>175</v>
      </c>
      <c r="AE219" s="137">
        <f>Mitigation_Industry!AE$646</f>
        <v>187.5</v>
      </c>
      <c r="AF219" s="138"/>
      <c r="AG219" s="138"/>
      <c r="AH219" s="138"/>
      <c r="AI219" s="138"/>
    </row>
    <row r="220" spans="1:35" customFormat="1" ht="15" x14ac:dyDescent="0.25">
      <c r="B220" s="14" t="s">
        <v>1401</v>
      </c>
      <c r="C220" s="14"/>
      <c r="D220" s="15" t="s">
        <v>2547</v>
      </c>
      <c r="E220" s="16" t="s">
        <v>1398</v>
      </c>
      <c r="F220" s="14" t="s">
        <v>1401</v>
      </c>
      <c r="G220" s="17"/>
      <c r="H220" s="17"/>
      <c r="I220" t="s">
        <v>2861</v>
      </c>
      <c r="K220" s="136"/>
      <c r="L220" s="137">
        <f>Mitigation_Industry!L$647</f>
        <v>0</v>
      </c>
      <c r="M220" s="137">
        <f>Mitigation_Industry!M$647</f>
        <v>0</v>
      </c>
      <c r="N220" s="137">
        <f>Mitigation_Industry!N$647</f>
        <v>0</v>
      </c>
      <c r="O220" s="137">
        <f>Mitigation_Industry!O$647</f>
        <v>0</v>
      </c>
      <c r="P220" s="137">
        <f>Mitigation_Industry!P$647</f>
        <v>0</v>
      </c>
      <c r="Q220" s="137">
        <f>Mitigation_Industry!Q$647</f>
        <v>0</v>
      </c>
      <c r="R220" s="137">
        <f>Mitigation_Industry!R$647</f>
        <v>0</v>
      </c>
      <c r="S220" s="137">
        <f>Mitigation_Industry!S$647</f>
        <v>0</v>
      </c>
      <c r="T220" s="137">
        <f>Mitigation_Industry!T$647</f>
        <v>0</v>
      </c>
      <c r="U220" s="137">
        <f>Mitigation_Industry!U$647</f>
        <v>0</v>
      </c>
      <c r="V220" s="137">
        <f>Mitigation_Industry!V$647</f>
        <v>0</v>
      </c>
      <c r="W220" s="137">
        <f>Mitigation_Industry!W$647</f>
        <v>0</v>
      </c>
      <c r="X220" s="137">
        <f>Mitigation_Industry!X$647</f>
        <v>0</v>
      </c>
      <c r="Y220" s="137">
        <f>Mitigation_Industry!Y$647</f>
        <v>0</v>
      </c>
      <c r="Z220" s="137">
        <f>Mitigation_Industry!Z$647</f>
        <v>0</v>
      </c>
      <c r="AA220" s="137">
        <f>Mitigation_Industry!AA$647</f>
        <v>0</v>
      </c>
      <c r="AB220" s="137">
        <f>Mitigation_Industry!AB$647</f>
        <v>0</v>
      </c>
      <c r="AC220" s="137">
        <f>Mitigation_Industry!AC$647</f>
        <v>0</v>
      </c>
      <c r="AD220" s="137">
        <f>Mitigation_Industry!AD$647</f>
        <v>0</v>
      </c>
      <c r="AE220" s="137">
        <f>Mitigation_Industry!AE$647</f>
        <v>0</v>
      </c>
      <c r="AF220" s="138"/>
      <c r="AG220" s="138"/>
      <c r="AH220" s="138"/>
      <c r="AI220" s="138"/>
    </row>
    <row r="221" spans="1:35" customFormat="1" ht="15" x14ac:dyDescent="0.25">
      <c r="B221" s="14" t="s">
        <v>1775</v>
      </c>
      <c r="C221" s="14"/>
      <c r="D221" s="15" t="s">
        <v>2549</v>
      </c>
      <c r="E221" s="16" t="s">
        <v>1398</v>
      </c>
      <c r="F221" s="14" t="s">
        <v>1775</v>
      </c>
      <c r="G221" s="17"/>
      <c r="H221" s="17"/>
      <c r="I221" t="s">
        <v>2862</v>
      </c>
      <c r="K221" s="136"/>
      <c r="L221" s="137">
        <f>Mitigation_Industry!L$707</f>
        <v>0</v>
      </c>
      <c r="M221" s="137">
        <f>Mitigation_Industry!M$707</f>
        <v>0</v>
      </c>
      <c r="N221" s="137">
        <f>Mitigation_Industry!N$707</f>
        <v>0</v>
      </c>
      <c r="O221" s="137">
        <f>Mitigation_Industry!O$707</f>
        <v>0</v>
      </c>
      <c r="P221" s="137">
        <f>Mitigation_Industry!P$707</f>
        <v>0</v>
      </c>
      <c r="Q221" s="137">
        <f>Mitigation_Industry!Q$707</f>
        <v>0</v>
      </c>
      <c r="R221" s="137">
        <f>Mitigation_Industry!R$707</f>
        <v>0</v>
      </c>
      <c r="S221" s="137">
        <f>Mitigation_Industry!S$707</f>
        <v>0</v>
      </c>
      <c r="T221" s="137">
        <f>Mitigation_Industry!T$707</f>
        <v>0</v>
      </c>
      <c r="U221" s="137">
        <f>Mitigation_Industry!U$707</f>
        <v>0</v>
      </c>
      <c r="V221" s="137">
        <f>Mitigation_Industry!V$707</f>
        <v>0</v>
      </c>
      <c r="W221" s="137">
        <f>Mitigation_Industry!W$707</f>
        <v>0</v>
      </c>
      <c r="X221" s="137">
        <f>Mitigation_Industry!X$707</f>
        <v>0</v>
      </c>
      <c r="Y221" s="137">
        <f>Mitigation_Industry!Y$707</f>
        <v>0</v>
      </c>
      <c r="Z221" s="137">
        <f>Mitigation_Industry!Z$707</f>
        <v>0</v>
      </c>
      <c r="AA221" s="137">
        <f>Mitigation_Industry!AA$707</f>
        <v>0</v>
      </c>
      <c r="AB221" s="137">
        <f>Mitigation_Industry!AB$707</f>
        <v>0</v>
      </c>
      <c r="AC221" s="137">
        <f>Mitigation_Industry!AC$707</f>
        <v>0</v>
      </c>
      <c r="AD221" s="137">
        <f>Mitigation_Industry!AD$707</f>
        <v>0</v>
      </c>
      <c r="AE221" s="137">
        <f>Mitigation_Industry!AE$707</f>
        <v>0</v>
      </c>
      <c r="AF221" s="138"/>
      <c r="AG221" s="138"/>
      <c r="AH221" s="138"/>
      <c r="AI221" s="138"/>
    </row>
    <row r="222" spans="1:35" x14ac:dyDescent="0.2"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</row>
    <row r="223" spans="1:35" customFormat="1" ht="15" x14ac:dyDescent="0.25">
      <c r="A223" s="11"/>
      <c r="B223" s="6"/>
      <c r="C223" s="7" t="s">
        <v>2551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4">
        <v>2021</v>
      </c>
      <c r="L223" s="135">
        <v>2022</v>
      </c>
      <c r="M223" s="134">
        <v>2023</v>
      </c>
      <c r="N223" s="134">
        <v>2024</v>
      </c>
      <c r="O223" s="134">
        <v>2025</v>
      </c>
      <c r="P223" s="134">
        <v>2026</v>
      </c>
      <c r="Q223" s="134">
        <v>2027</v>
      </c>
      <c r="R223" s="134">
        <v>2028</v>
      </c>
      <c r="S223" s="134">
        <v>2029</v>
      </c>
      <c r="T223" s="134">
        <v>2030</v>
      </c>
      <c r="U223" s="134">
        <v>2031</v>
      </c>
      <c r="V223" s="134">
        <v>2032</v>
      </c>
      <c r="W223" s="134">
        <v>2033</v>
      </c>
      <c r="X223" s="134">
        <v>2034</v>
      </c>
      <c r="Y223" s="134">
        <v>2035</v>
      </c>
      <c r="Z223" s="134">
        <v>2036</v>
      </c>
      <c r="AA223" s="134">
        <v>2037</v>
      </c>
      <c r="AB223" s="134">
        <v>2038</v>
      </c>
      <c r="AC223" s="134">
        <v>2039</v>
      </c>
      <c r="AD223" s="134">
        <v>2040</v>
      </c>
      <c r="AE223" s="134">
        <v>2041</v>
      </c>
      <c r="AF223" s="134">
        <v>2042</v>
      </c>
      <c r="AG223" s="134">
        <v>2043</v>
      </c>
      <c r="AH223" s="134">
        <v>2044</v>
      </c>
      <c r="AI223" s="134">
        <v>2045</v>
      </c>
    </row>
    <row r="224" spans="1:35" customFormat="1" ht="15" x14ac:dyDescent="0.25">
      <c r="B224" s="14" t="s">
        <v>1435</v>
      </c>
      <c r="C224" s="14" t="s">
        <v>43</v>
      </c>
      <c r="D224" s="15" t="s">
        <v>2552</v>
      </c>
      <c r="E224" s="16" t="s">
        <v>1398</v>
      </c>
      <c r="F224" s="14" t="s">
        <v>2551</v>
      </c>
      <c r="G224" s="17"/>
      <c r="H224" s="125" t="str">
        <f>Settings!$B$3&amp;".mit.pf.stl.drg.2"</f>
        <v>egy.mit.pf.stl.drg.2</v>
      </c>
      <c r="I224" t="s">
        <v>2553</v>
      </c>
      <c r="K224" s="136"/>
      <c r="L224" s="137">
        <f>Mitigation_Industry!$F$698*L$219+Mitigation_Industry!$G$698*L$220</f>
        <v>0</v>
      </c>
      <c r="M224" s="137">
        <f>Mitigation_Industry!$F$698*M$219+Mitigation_Industry!$G$698*M$220</f>
        <v>0</v>
      </c>
      <c r="N224" s="137">
        <f>Mitigation_Industry!$F$698*N$219+Mitigation_Industry!$G$698*N$220</f>
        <v>0</v>
      </c>
      <c r="O224" s="137">
        <f>Mitigation_Industry!$F$698*O$219+Mitigation_Industry!$G$698*O$220</f>
        <v>0</v>
      </c>
      <c r="P224" s="137">
        <f>Mitigation_Industry!$F$698*P$219+Mitigation_Industry!$G$698*P$220</f>
        <v>0</v>
      </c>
      <c r="Q224" s="137">
        <f>Mitigation_Industry!$F$698*Q$219+Mitigation_Industry!$G$698*Q$220</f>
        <v>12.5</v>
      </c>
      <c r="R224" s="137">
        <f>Mitigation_Industry!$F$698*R$219+Mitigation_Industry!$G$698*R$220</f>
        <v>25</v>
      </c>
      <c r="S224" s="137">
        <f>Mitigation_Industry!$F$698*S$219+Mitigation_Industry!$G$698*S$220</f>
        <v>37.5</v>
      </c>
      <c r="T224" s="137">
        <f>Mitigation_Industry!$F$698*T$219+Mitigation_Industry!$G$698*T$220</f>
        <v>50</v>
      </c>
      <c r="U224" s="137">
        <f>Mitigation_Industry!$F$698*U$219+Mitigation_Industry!$G$698*U$220</f>
        <v>62.5</v>
      </c>
      <c r="V224" s="137">
        <f>Mitigation_Industry!$F$698*V$219+Mitigation_Industry!$G$698*V$220</f>
        <v>75</v>
      </c>
      <c r="W224" s="137">
        <f>Mitigation_Industry!$F$698*W$219+Mitigation_Industry!$G$698*W$220</f>
        <v>87.5</v>
      </c>
      <c r="X224" s="137">
        <f>Mitigation_Industry!$F$698*X$219+Mitigation_Industry!$G$698*X$220</f>
        <v>100</v>
      </c>
      <c r="Y224" s="137">
        <f>Mitigation_Industry!$F$698*Y$219+Mitigation_Industry!$G$698*Y$220</f>
        <v>112.5</v>
      </c>
      <c r="Z224" s="137">
        <f>Mitigation_Industry!$F$698*Z$219+Mitigation_Industry!$G$698*Z$220</f>
        <v>125</v>
      </c>
      <c r="AA224" s="137">
        <f>Mitigation_Industry!$F$698*AA$219+Mitigation_Industry!$G$698*AA$220</f>
        <v>137.5</v>
      </c>
      <c r="AB224" s="137">
        <f>Mitigation_Industry!$F$698*AB$219+Mitigation_Industry!$G$698*AB$220</f>
        <v>150</v>
      </c>
      <c r="AC224" s="137">
        <f>Mitigation_Industry!$F$698*AC$219+Mitigation_Industry!$G$698*AC$220</f>
        <v>162.5</v>
      </c>
      <c r="AD224" s="137">
        <f>Mitigation_Industry!$F$698*AD$219+Mitigation_Industry!$G$698*AD$220</f>
        <v>175</v>
      </c>
      <c r="AE224" s="137">
        <f>Mitigation_Industry!$F$698*AE$219+Mitigation_Industry!$G$698*AE$220</f>
        <v>187.5</v>
      </c>
      <c r="AF224" s="138"/>
      <c r="AG224" s="138"/>
      <c r="AH224" s="138"/>
      <c r="AI224" s="138"/>
    </row>
    <row r="225" spans="1:35" customFormat="1" ht="15" x14ac:dyDescent="0.25">
      <c r="B225" s="14" t="s">
        <v>1438</v>
      </c>
      <c r="C225" s="14" t="s">
        <v>43</v>
      </c>
      <c r="D225" s="15" t="s">
        <v>2554</v>
      </c>
      <c r="E225" s="16" t="s">
        <v>1398</v>
      </c>
      <c r="F225" s="14" t="s">
        <v>2551</v>
      </c>
      <c r="G225" s="17"/>
      <c r="H225" s="125" t="str">
        <f>Settings!$B$3&amp;".mit.pf.stl.scr.2"</f>
        <v>egy.mit.pf.stl.scr.2</v>
      </c>
      <c r="K225" s="136"/>
      <c r="L225" s="137">
        <f>Mitigation_Industry!$F$699*L$219+Mitigation_Industry!$G$699*L$220</f>
        <v>0</v>
      </c>
      <c r="M225" s="137">
        <f>Mitigation_Industry!$F$699*M$219+Mitigation_Industry!$G$699*M$220</f>
        <v>0</v>
      </c>
      <c r="N225" s="137">
        <f>Mitigation_Industry!$F$699*N$219+Mitigation_Industry!$G$699*N$220</f>
        <v>0</v>
      </c>
      <c r="O225" s="137">
        <f>Mitigation_Industry!$F$699*O$219+Mitigation_Industry!$G$699*O$220</f>
        <v>0</v>
      </c>
      <c r="P225" s="137">
        <f>Mitigation_Industry!$F$699*P$219+Mitigation_Industry!$G$699*P$220</f>
        <v>0</v>
      </c>
      <c r="Q225" s="137">
        <f>Mitigation_Industry!$F$699*Q$219+Mitigation_Industry!$G$699*Q$220</f>
        <v>12.5</v>
      </c>
      <c r="R225" s="137">
        <f>Mitigation_Industry!$F$699*R$219+Mitigation_Industry!$G$699*R$220</f>
        <v>25</v>
      </c>
      <c r="S225" s="137">
        <f>Mitigation_Industry!$F$699*S$219+Mitigation_Industry!$G$699*S$220</f>
        <v>37.5</v>
      </c>
      <c r="T225" s="137">
        <f>Mitigation_Industry!$F$699*T$219+Mitigation_Industry!$G$699*T$220</f>
        <v>50</v>
      </c>
      <c r="U225" s="137">
        <f>Mitigation_Industry!$F$699*U$219+Mitigation_Industry!$G$699*U$220</f>
        <v>62.5</v>
      </c>
      <c r="V225" s="137">
        <f>Mitigation_Industry!$F$699*V$219+Mitigation_Industry!$G$699*V$220</f>
        <v>75</v>
      </c>
      <c r="W225" s="137">
        <f>Mitigation_Industry!$F$699*W$219+Mitigation_Industry!$G$699*W$220</f>
        <v>87.5</v>
      </c>
      <c r="X225" s="137">
        <f>Mitigation_Industry!$F$699*X$219+Mitigation_Industry!$G$699*X$220</f>
        <v>100</v>
      </c>
      <c r="Y225" s="137">
        <f>Mitigation_Industry!$F$699*Y$219+Mitigation_Industry!$G$699*Y$220</f>
        <v>112.5</v>
      </c>
      <c r="Z225" s="137">
        <f>Mitigation_Industry!$F$699*Z$219+Mitigation_Industry!$G$699*Z$220</f>
        <v>125</v>
      </c>
      <c r="AA225" s="137">
        <f>Mitigation_Industry!$F$699*AA$219+Mitigation_Industry!$G$699*AA$220</f>
        <v>137.5</v>
      </c>
      <c r="AB225" s="137">
        <f>Mitigation_Industry!$F$699*AB$219+Mitigation_Industry!$G$699*AB$220</f>
        <v>150</v>
      </c>
      <c r="AC225" s="137">
        <f>Mitigation_Industry!$F$699*AC$219+Mitigation_Industry!$G$699*AC$220</f>
        <v>162.5</v>
      </c>
      <c r="AD225" s="137">
        <f>Mitigation_Industry!$F$699*AD$219+Mitigation_Industry!$G$699*AD$220</f>
        <v>175</v>
      </c>
      <c r="AE225" s="137">
        <f>Mitigation_Industry!$F$699*AE$219+Mitigation_Industry!$G$699*AE$220</f>
        <v>187.5</v>
      </c>
      <c r="AF225" s="138"/>
      <c r="AG225" s="138"/>
      <c r="AH225" s="138"/>
      <c r="AI225" s="138"/>
    </row>
    <row r="226" spans="1:35" customFormat="1" ht="15" x14ac:dyDescent="0.25">
      <c r="B226" s="14" t="s">
        <v>1441</v>
      </c>
      <c r="C226" s="14" t="s">
        <v>43</v>
      </c>
      <c r="D226" s="15" t="s">
        <v>2555</v>
      </c>
      <c r="E226" s="16" t="s">
        <v>1398</v>
      </c>
      <c r="F226" s="14" t="s">
        <v>2551</v>
      </c>
      <c r="G226" s="17"/>
      <c r="H226" s="125" t="str">
        <f>Settings!$B$3&amp;".mit.pf.stl.bof.2"</f>
        <v>egy.mit.pf.stl.bof.2</v>
      </c>
      <c r="K226" s="136"/>
      <c r="L226" s="137">
        <f>Mitigation_Industry!$F$700*L$219+Mitigation_Industry!$G$700*L$220</f>
        <v>0</v>
      </c>
      <c r="M226" s="137">
        <f>Mitigation_Industry!$F$700*M$219+Mitigation_Industry!$G$700*M$220</f>
        <v>0</v>
      </c>
      <c r="N226" s="137">
        <f>Mitigation_Industry!$F$700*N$219+Mitigation_Industry!$G$700*N$220</f>
        <v>0</v>
      </c>
      <c r="O226" s="137">
        <f>Mitigation_Industry!$F$700*O$219+Mitigation_Industry!$G$700*O$220</f>
        <v>0</v>
      </c>
      <c r="P226" s="137">
        <f>Mitigation_Industry!$F$700*P$219+Mitigation_Industry!$G$700*P$220</f>
        <v>0</v>
      </c>
      <c r="Q226" s="137">
        <f>Mitigation_Industry!$F$700*Q$219+Mitigation_Industry!$G$700*Q$220</f>
        <v>12.5</v>
      </c>
      <c r="R226" s="137">
        <f>Mitigation_Industry!$F$700*R$219+Mitigation_Industry!$G$700*R$220</f>
        <v>25</v>
      </c>
      <c r="S226" s="137">
        <f>Mitigation_Industry!$F$700*S$219+Mitigation_Industry!$G$700*S$220</f>
        <v>37.5</v>
      </c>
      <c r="T226" s="137">
        <f>Mitigation_Industry!$F$700*T$219+Mitigation_Industry!$G$700*T$220</f>
        <v>50</v>
      </c>
      <c r="U226" s="137">
        <f>Mitigation_Industry!$F$700*U$219+Mitigation_Industry!$G$700*U$220</f>
        <v>62.5</v>
      </c>
      <c r="V226" s="137">
        <f>Mitigation_Industry!$F$700*V$219+Mitigation_Industry!$G$700*V$220</f>
        <v>75</v>
      </c>
      <c r="W226" s="137">
        <f>Mitigation_Industry!$F$700*W$219+Mitigation_Industry!$G$700*W$220</f>
        <v>87.5</v>
      </c>
      <c r="X226" s="137">
        <f>Mitigation_Industry!$F$700*X$219+Mitigation_Industry!$G$700*X$220</f>
        <v>100</v>
      </c>
      <c r="Y226" s="137">
        <f>Mitigation_Industry!$F$700*Y$219+Mitigation_Industry!$G$700*Y$220</f>
        <v>112.5</v>
      </c>
      <c r="Z226" s="137">
        <f>Mitigation_Industry!$F$700*Z$219+Mitigation_Industry!$G$700*Z$220</f>
        <v>125</v>
      </c>
      <c r="AA226" s="137">
        <f>Mitigation_Industry!$F$700*AA$219+Mitigation_Industry!$G$700*AA$220</f>
        <v>137.5</v>
      </c>
      <c r="AB226" s="137">
        <f>Mitigation_Industry!$F$700*AB$219+Mitigation_Industry!$G$700*AB$220</f>
        <v>150</v>
      </c>
      <c r="AC226" s="137">
        <f>Mitigation_Industry!$F$700*AC$219+Mitigation_Industry!$G$700*AC$220</f>
        <v>162.5</v>
      </c>
      <c r="AD226" s="137">
        <f>Mitigation_Industry!$F$700*AD$219+Mitigation_Industry!$G$700*AD$220</f>
        <v>175</v>
      </c>
      <c r="AE226" s="137">
        <f>Mitigation_Industry!$F$700*AE$219+Mitigation_Industry!$G$700*AE$220</f>
        <v>187.5</v>
      </c>
      <c r="AF226" s="138"/>
      <c r="AG226" s="138"/>
      <c r="AH226" s="138"/>
      <c r="AI226" s="138"/>
    </row>
    <row r="227" spans="1:35" customFormat="1" ht="15" x14ac:dyDescent="0.25">
      <c r="B227" s="14" t="s">
        <v>1444</v>
      </c>
      <c r="C227" s="14" t="s">
        <v>113</v>
      </c>
      <c r="D227" s="15" t="s">
        <v>2556</v>
      </c>
      <c r="E227" s="16" t="s">
        <v>1398</v>
      </c>
      <c r="F227" s="14" t="s">
        <v>2551</v>
      </c>
      <c r="G227" s="17"/>
      <c r="H227" s="125" t="str">
        <f>Settings!$B$3&amp;".mit.pf.cmt.dry.2"</f>
        <v>egy.mit.pf.cmt.dry.2</v>
      </c>
      <c r="K227" s="136"/>
      <c r="L227" s="137">
        <f>Mitigation_Industry!$F$701*L$219+Mitigation_Industry!$G$701*L$220</f>
        <v>0</v>
      </c>
      <c r="M227" s="137">
        <f>Mitigation_Industry!$F$701*M$219+Mitigation_Industry!$G$701*M$220</f>
        <v>0</v>
      </c>
      <c r="N227" s="137">
        <f>Mitigation_Industry!$F$701*N$219+Mitigation_Industry!$G$701*N$220</f>
        <v>0</v>
      </c>
      <c r="O227" s="137">
        <f>Mitigation_Industry!$F$701*O$219+Mitigation_Industry!$G$701*O$220</f>
        <v>0</v>
      </c>
      <c r="P227" s="137">
        <f>Mitigation_Industry!$F$701*P$219+Mitigation_Industry!$G$701*P$220</f>
        <v>0</v>
      </c>
      <c r="Q227" s="137">
        <f>Mitigation_Industry!$F$701*Q$219+Mitigation_Industry!$G$701*Q$220</f>
        <v>12.5</v>
      </c>
      <c r="R227" s="137">
        <f>Mitigation_Industry!$F$701*R$219+Mitigation_Industry!$G$701*R$220</f>
        <v>25</v>
      </c>
      <c r="S227" s="137">
        <f>Mitigation_Industry!$F$701*S$219+Mitigation_Industry!$G$701*S$220</f>
        <v>37.5</v>
      </c>
      <c r="T227" s="137">
        <f>Mitigation_Industry!$F$701*T$219+Mitigation_Industry!$G$701*T$220</f>
        <v>50</v>
      </c>
      <c r="U227" s="137">
        <f>Mitigation_Industry!$F$701*U$219+Mitigation_Industry!$G$701*U$220</f>
        <v>62.5</v>
      </c>
      <c r="V227" s="137">
        <f>Mitigation_Industry!$F$701*V$219+Mitigation_Industry!$G$701*V$220</f>
        <v>75</v>
      </c>
      <c r="W227" s="137">
        <f>Mitigation_Industry!$F$701*W$219+Mitigation_Industry!$G$701*W$220</f>
        <v>87.5</v>
      </c>
      <c r="X227" s="137">
        <f>Mitigation_Industry!$F$701*X$219+Mitigation_Industry!$G$701*X$220</f>
        <v>100</v>
      </c>
      <c r="Y227" s="137">
        <f>Mitigation_Industry!$F$701*Y$219+Mitigation_Industry!$G$701*Y$220</f>
        <v>112.5</v>
      </c>
      <c r="Z227" s="137">
        <f>Mitigation_Industry!$F$701*Z$219+Mitigation_Industry!$G$701*Z$220</f>
        <v>125</v>
      </c>
      <c r="AA227" s="137">
        <f>Mitigation_Industry!$F$701*AA$219+Mitigation_Industry!$G$701*AA$220</f>
        <v>137.5</v>
      </c>
      <c r="AB227" s="137">
        <f>Mitigation_Industry!$F$701*AB$219+Mitigation_Industry!$G$701*AB$220</f>
        <v>150</v>
      </c>
      <c r="AC227" s="137">
        <f>Mitigation_Industry!$F$701*AC$219+Mitigation_Industry!$G$701*AC$220</f>
        <v>162.5</v>
      </c>
      <c r="AD227" s="137">
        <f>Mitigation_Industry!$F$701*AD$219+Mitigation_Industry!$G$701*AD$220</f>
        <v>175</v>
      </c>
      <c r="AE227" s="137">
        <f>Mitigation_Industry!$F$701*AE$219+Mitigation_Industry!$G$701*AE$220</f>
        <v>187.5</v>
      </c>
      <c r="AF227" s="138"/>
      <c r="AG227" s="138"/>
      <c r="AH227" s="138"/>
      <c r="AI227" s="138"/>
    </row>
    <row r="228" spans="1:35" customFormat="1" ht="15" x14ac:dyDescent="0.25">
      <c r="B228" s="14" t="s">
        <v>1447</v>
      </c>
      <c r="C228" s="14" t="s">
        <v>117</v>
      </c>
      <c r="D228" s="15" t="s">
        <v>2557</v>
      </c>
      <c r="E228" s="16" t="s">
        <v>1398</v>
      </c>
      <c r="F228" s="14" t="s">
        <v>2551</v>
      </c>
      <c r="G228" s="17"/>
      <c r="H228" s="125" t="str">
        <f>Settings!$B$3&amp;".mit.pf.frt.amc.2"</f>
        <v>egy.mit.pf.frt.amc.2</v>
      </c>
      <c r="K228" s="136"/>
      <c r="L228" s="137">
        <f>Mitigation_Industry!$F$702*L$219+Mitigation_Industry!$G$702*L$220</f>
        <v>0</v>
      </c>
      <c r="M228" s="137">
        <f>Mitigation_Industry!$F$702*M$219+Mitigation_Industry!$G$702*M$220</f>
        <v>0</v>
      </c>
      <c r="N228" s="137">
        <f>Mitigation_Industry!$F$702*N$219+Mitigation_Industry!$G$702*N$220</f>
        <v>0</v>
      </c>
      <c r="O228" s="137">
        <f>Mitigation_Industry!$F$702*O$219+Mitigation_Industry!$G$702*O$220</f>
        <v>0</v>
      </c>
      <c r="P228" s="137">
        <f>Mitigation_Industry!$F$702*P$219+Mitigation_Industry!$G$702*P$220</f>
        <v>0</v>
      </c>
      <c r="Q228" s="137">
        <f>Mitigation_Industry!$F$702*Q$219+Mitigation_Industry!$G$702*Q$220</f>
        <v>12.5</v>
      </c>
      <c r="R228" s="137">
        <f>Mitigation_Industry!$F$702*R$219+Mitigation_Industry!$G$702*R$220</f>
        <v>25</v>
      </c>
      <c r="S228" s="137">
        <f>Mitigation_Industry!$F$702*S$219+Mitigation_Industry!$G$702*S$220</f>
        <v>37.5</v>
      </c>
      <c r="T228" s="137">
        <f>Mitigation_Industry!$F$702*T$219+Mitigation_Industry!$G$702*T$220</f>
        <v>50</v>
      </c>
      <c r="U228" s="137">
        <f>Mitigation_Industry!$F$702*U$219+Mitigation_Industry!$G$702*U$220</f>
        <v>62.5</v>
      </c>
      <c r="V228" s="137">
        <f>Mitigation_Industry!$F$702*V$219+Mitigation_Industry!$G$702*V$220</f>
        <v>75</v>
      </c>
      <c r="W228" s="137">
        <f>Mitigation_Industry!$F$702*W$219+Mitigation_Industry!$G$702*W$220</f>
        <v>87.5</v>
      </c>
      <c r="X228" s="137">
        <f>Mitigation_Industry!$F$702*X$219+Mitigation_Industry!$G$702*X$220</f>
        <v>100</v>
      </c>
      <c r="Y228" s="137">
        <f>Mitigation_Industry!$F$702*Y$219+Mitigation_Industry!$G$702*Y$220</f>
        <v>112.5</v>
      </c>
      <c r="Z228" s="137">
        <f>Mitigation_Industry!$F$702*Z$219+Mitigation_Industry!$G$702*Z$220</f>
        <v>125</v>
      </c>
      <c r="AA228" s="137">
        <f>Mitigation_Industry!$F$702*AA$219+Mitigation_Industry!$G$702*AA$220</f>
        <v>137.5</v>
      </c>
      <c r="AB228" s="137">
        <f>Mitigation_Industry!$F$702*AB$219+Mitigation_Industry!$G$702*AB$220</f>
        <v>150</v>
      </c>
      <c r="AC228" s="137">
        <f>Mitigation_Industry!$F$702*AC$219+Mitigation_Industry!$G$702*AC$220</f>
        <v>162.5</v>
      </c>
      <c r="AD228" s="137">
        <f>Mitigation_Industry!$F$702*AD$219+Mitigation_Industry!$G$702*AD$220</f>
        <v>175</v>
      </c>
      <c r="AE228" s="137">
        <f>Mitigation_Industry!$F$702*AE$219+Mitigation_Industry!$G$702*AE$220</f>
        <v>187.5</v>
      </c>
      <c r="AF228" s="138"/>
      <c r="AG228" s="138"/>
      <c r="AH228" s="138"/>
      <c r="AI228" s="138"/>
    </row>
    <row r="229" spans="1:35" customFormat="1" ht="15" x14ac:dyDescent="0.25">
      <c r="B229" s="14" t="s">
        <v>1450</v>
      </c>
      <c r="C229" s="14" t="s">
        <v>117</v>
      </c>
      <c r="D229" s="15" t="s">
        <v>2558</v>
      </c>
      <c r="E229" s="16" t="s">
        <v>1398</v>
      </c>
      <c r="F229" s="14" t="s">
        <v>2551</v>
      </c>
      <c r="G229" s="17"/>
      <c r="H229" s="125" t="str">
        <f>Settings!$B$3&amp;".mit.pf.frt.ure.2"</f>
        <v>egy.mit.pf.frt.ure.2</v>
      </c>
      <c r="K229" s="136"/>
      <c r="L229" s="137">
        <f>Mitigation_Industry!$F$703*L$219+Mitigation_Industry!$G$703*L$220</f>
        <v>0</v>
      </c>
      <c r="M229" s="137">
        <f>Mitigation_Industry!$F$703*M$219+Mitigation_Industry!$G$703*M$220</f>
        <v>0</v>
      </c>
      <c r="N229" s="137">
        <f>Mitigation_Industry!$F$703*N$219+Mitigation_Industry!$G$703*N$220</f>
        <v>0</v>
      </c>
      <c r="O229" s="137">
        <f>Mitigation_Industry!$F$703*O$219+Mitigation_Industry!$G$703*O$220</f>
        <v>0</v>
      </c>
      <c r="P229" s="137">
        <f>Mitigation_Industry!$F$703*P$219+Mitigation_Industry!$G$703*P$220</f>
        <v>0</v>
      </c>
      <c r="Q229" s="137">
        <f>Mitigation_Industry!$F$703*Q$219+Mitigation_Industry!$G$703*Q$220</f>
        <v>12.5</v>
      </c>
      <c r="R229" s="137">
        <f>Mitigation_Industry!$F$703*R$219+Mitigation_Industry!$G$703*R$220</f>
        <v>25</v>
      </c>
      <c r="S229" s="137">
        <f>Mitigation_Industry!$F$703*S$219+Mitigation_Industry!$G$703*S$220</f>
        <v>37.5</v>
      </c>
      <c r="T229" s="137">
        <f>Mitigation_Industry!$F$703*T$219+Mitigation_Industry!$G$703*T$220</f>
        <v>50</v>
      </c>
      <c r="U229" s="137">
        <f>Mitigation_Industry!$F$703*U$219+Mitigation_Industry!$G$703*U$220</f>
        <v>62.5</v>
      </c>
      <c r="V229" s="137">
        <f>Mitigation_Industry!$F$703*V$219+Mitigation_Industry!$G$703*V$220</f>
        <v>75</v>
      </c>
      <c r="W229" s="137">
        <f>Mitigation_Industry!$F$703*W$219+Mitigation_Industry!$G$703*W$220</f>
        <v>87.5</v>
      </c>
      <c r="X229" s="137">
        <f>Mitigation_Industry!$F$703*X$219+Mitigation_Industry!$G$703*X$220</f>
        <v>100</v>
      </c>
      <c r="Y229" s="137">
        <f>Mitigation_Industry!$F$703*Y$219+Mitigation_Industry!$G$703*Y$220</f>
        <v>112.5</v>
      </c>
      <c r="Z229" s="137">
        <f>Mitigation_Industry!$F$703*Z$219+Mitigation_Industry!$G$703*Z$220</f>
        <v>125</v>
      </c>
      <c r="AA229" s="137">
        <f>Mitigation_Industry!$F$703*AA$219+Mitigation_Industry!$G$703*AA$220</f>
        <v>137.5</v>
      </c>
      <c r="AB229" s="137">
        <f>Mitigation_Industry!$F$703*AB$219+Mitigation_Industry!$G$703*AB$220</f>
        <v>150</v>
      </c>
      <c r="AC229" s="137">
        <f>Mitigation_Industry!$F$703*AC$219+Mitigation_Industry!$G$703*AC$220</f>
        <v>162.5</v>
      </c>
      <c r="AD229" s="137">
        <f>Mitigation_Industry!$F$703*AD$219+Mitigation_Industry!$G$703*AD$220</f>
        <v>175</v>
      </c>
      <c r="AE229" s="137">
        <f>Mitigation_Industry!$F$703*AE$219+Mitigation_Industry!$G$703*AE$220</f>
        <v>187.5</v>
      </c>
      <c r="AF229" s="138"/>
      <c r="AG229" s="138"/>
      <c r="AH229" s="138"/>
      <c r="AI229" s="138"/>
    </row>
    <row r="230" spans="1:35" customFormat="1" ht="15" x14ac:dyDescent="0.25">
      <c r="B230" s="14" t="s">
        <v>1453</v>
      </c>
      <c r="C230" s="14" t="s">
        <v>117</v>
      </c>
      <c r="D230" s="15" t="s">
        <v>2559</v>
      </c>
      <c r="E230" s="16" t="s">
        <v>1398</v>
      </c>
      <c r="F230" s="14" t="s">
        <v>2551</v>
      </c>
      <c r="G230" s="17"/>
      <c r="H230" s="125" t="str">
        <f>Settings!$B$3&amp;".mit.pf.frt.nit.2"</f>
        <v>egy.mit.pf.frt.nit.2</v>
      </c>
      <c r="K230" s="136"/>
      <c r="L230" s="137">
        <f>Mitigation_Industry!$F$704*L$219+Mitigation_Industry!$G$704*L$220</f>
        <v>0</v>
      </c>
      <c r="M230" s="137">
        <f>Mitigation_Industry!$F$704*M$219+Mitigation_Industry!$G$704*M$220</f>
        <v>0</v>
      </c>
      <c r="N230" s="137">
        <f>Mitigation_Industry!$F$704*N$219+Mitigation_Industry!$G$704*N$220</f>
        <v>0</v>
      </c>
      <c r="O230" s="137">
        <f>Mitigation_Industry!$F$704*O$219+Mitigation_Industry!$G$704*O$220</f>
        <v>0</v>
      </c>
      <c r="P230" s="137">
        <f>Mitigation_Industry!$F$704*P$219+Mitigation_Industry!$G$704*P$220</f>
        <v>0</v>
      </c>
      <c r="Q230" s="137">
        <f>Mitigation_Industry!$F$704*Q$219+Mitigation_Industry!$G$704*Q$220</f>
        <v>12.5</v>
      </c>
      <c r="R230" s="137">
        <f>Mitigation_Industry!$F$704*R$219+Mitigation_Industry!$G$704*R$220</f>
        <v>25</v>
      </c>
      <c r="S230" s="137">
        <f>Mitigation_Industry!$F$704*S$219+Mitigation_Industry!$G$704*S$220</f>
        <v>37.5</v>
      </c>
      <c r="T230" s="137">
        <f>Mitigation_Industry!$F$704*T$219+Mitigation_Industry!$G$704*T$220</f>
        <v>50</v>
      </c>
      <c r="U230" s="137">
        <f>Mitigation_Industry!$F$704*U$219+Mitigation_Industry!$G$704*U$220</f>
        <v>62.5</v>
      </c>
      <c r="V230" s="137">
        <f>Mitigation_Industry!$F$704*V$219+Mitigation_Industry!$G$704*V$220</f>
        <v>75</v>
      </c>
      <c r="W230" s="137">
        <f>Mitigation_Industry!$F$704*W$219+Mitigation_Industry!$G$704*W$220</f>
        <v>87.5</v>
      </c>
      <c r="X230" s="137">
        <f>Mitigation_Industry!$F$704*X$219+Mitigation_Industry!$G$704*X$220</f>
        <v>100</v>
      </c>
      <c r="Y230" s="137">
        <f>Mitigation_Industry!$F$704*Y$219+Mitigation_Industry!$G$704*Y$220</f>
        <v>112.5</v>
      </c>
      <c r="Z230" s="137">
        <f>Mitigation_Industry!$F$704*Z$219+Mitigation_Industry!$G$704*Z$220</f>
        <v>125</v>
      </c>
      <c r="AA230" s="137">
        <f>Mitigation_Industry!$F$704*AA$219+Mitigation_Industry!$G$704*AA$220</f>
        <v>137.5</v>
      </c>
      <c r="AB230" s="137">
        <f>Mitigation_Industry!$F$704*AB$219+Mitigation_Industry!$G$704*AB$220</f>
        <v>150</v>
      </c>
      <c r="AC230" s="137">
        <f>Mitigation_Industry!$F$704*AC$219+Mitigation_Industry!$G$704*AC$220</f>
        <v>162.5</v>
      </c>
      <c r="AD230" s="137">
        <f>Mitigation_Industry!$F$704*AD$219+Mitigation_Industry!$G$704*AD$220</f>
        <v>175</v>
      </c>
      <c r="AE230" s="137">
        <f>Mitigation_Industry!$F$704*AE$219+Mitigation_Industry!$G$704*AE$220</f>
        <v>187.5</v>
      </c>
      <c r="AF230" s="138"/>
      <c r="AG230" s="138"/>
      <c r="AH230" s="138"/>
      <c r="AI230" s="138"/>
    </row>
    <row r="231" spans="1:35" customFormat="1" ht="15" x14ac:dyDescent="0.25">
      <c r="B231" s="14" t="s">
        <v>1456</v>
      </c>
      <c r="C231" s="14" t="s">
        <v>115</v>
      </c>
      <c r="D231" s="15" t="s">
        <v>2560</v>
      </c>
      <c r="E231" s="16" t="s">
        <v>1398</v>
      </c>
      <c r="F231" s="14" t="s">
        <v>2551</v>
      </c>
      <c r="G231" s="17"/>
      <c r="H231" s="125" t="str">
        <f>Settings!$B$3&amp;".mit.pf.alu.prp.2"</f>
        <v>egy.mit.pf.alu.prp.2</v>
      </c>
      <c r="K231" s="136"/>
      <c r="L231" s="137">
        <f>Mitigation_Industry!$F$705*L$219+Mitigation_Industry!$G$705*L$220</f>
        <v>0</v>
      </c>
      <c r="M231" s="137">
        <f>Mitigation_Industry!$F$705*M$219+Mitigation_Industry!$G$705*M$220</f>
        <v>0</v>
      </c>
      <c r="N231" s="137">
        <f>Mitigation_Industry!$F$705*N$219+Mitigation_Industry!$G$705*N$220</f>
        <v>0</v>
      </c>
      <c r="O231" s="137">
        <f>Mitigation_Industry!$F$705*O$219+Mitigation_Industry!$G$705*O$220</f>
        <v>0</v>
      </c>
      <c r="P231" s="137">
        <f>Mitigation_Industry!$F$705*P$219+Mitigation_Industry!$G$705*P$220</f>
        <v>0</v>
      </c>
      <c r="Q231" s="137">
        <f>Mitigation_Industry!$F$705*Q$219+Mitigation_Industry!$G$705*Q$220</f>
        <v>12.5</v>
      </c>
      <c r="R231" s="137">
        <f>Mitigation_Industry!$F$705*R$219+Mitigation_Industry!$G$705*R$220</f>
        <v>25</v>
      </c>
      <c r="S231" s="137">
        <f>Mitigation_Industry!$F$705*S$219+Mitigation_Industry!$G$705*S$220</f>
        <v>37.5</v>
      </c>
      <c r="T231" s="137">
        <f>Mitigation_Industry!$F$705*T$219+Mitigation_Industry!$G$705*T$220</f>
        <v>50</v>
      </c>
      <c r="U231" s="137">
        <f>Mitigation_Industry!$F$705*U$219+Mitigation_Industry!$G$705*U$220</f>
        <v>62.5</v>
      </c>
      <c r="V231" s="137">
        <f>Mitigation_Industry!$F$705*V$219+Mitigation_Industry!$G$705*V$220</f>
        <v>75</v>
      </c>
      <c r="W231" s="137">
        <f>Mitigation_Industry!$F$705*W$219+Mitigation_Industry!$G$705*W$220</f>
        <v>87.5</v>
      </c>
      <c r="X231" s="137">
        <f>Mitigation_Industry!$F$705*X$219+Mitigation_Industry!$G$705*X$220</f>
        <v>100</v>
      </c>
      <c r="Y231" s="137">
        <f>Mitigation_Industry!$F$705*Y$219+Mitigation_Industry!$G$705*Y$220</f>
        <v>112.5</v>
      </c>
      <c r="Z231" s="137">
        <f>Mitigation_Industry!$F$705*Z$219+Mitigation_Industry!$G$705*Z$220</f>
        <v>125</v>
      </c>
      <c r="AA231" s="137">
        <f>Mitigation_Industry!$F$705*AA$219+Mitigation_Industry!$G$705*AA$220</f>
        <v>137.5</v>
      </c>
      <c r="AB231" s="137">
        <f>Mitigation_Industry!$F$705*AB$219+Mitigation_Industry!$G$705*AB$220</f>
        <v>150</v>
      </c>
      <c r="AC231" s="137">
        <f>Mitigation_Industry!$F$705*AC$219+Mitigation_Industry!$G$705*AC$220</f>
        <v>162.5</v>
      </c>
      <c r="AD231" s="137">
        <f>Mitigation_Industry!$F$705*AD$219+Mitigation_Industry!$G$705*AD$220</f>
        <v>175</v>
      </c>
      <c r="AE231" s="137">
        <f>Mitigation_Industry!$F$705*AE$219+Mitigation_Industry!$G$705*AE$220</f>
        <v>187.5</v>
      </c>
      <c r="AF231" s="138"/>
      <c r="AG231" s="138"/>
      <c r="AH231" s="138"/>
      <c r="AI231" s="138"/>
    </row>
    <row r="232" spans="1:35" x14ac:dyDescent="0.2"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</row>
    <row r="233" spans="1:35" customFormat="1" ht="15" x14ac:dyDescent="0.25">
      <c r="A233" s="11"/>
      <c r="B233" s="6"/>
      <c r="C233" s="7" t="s">
        <v>2561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4">
        <v>2021</v>
      </c>
      <c r="L233" s="135">
        <v>2022</v>
      </c>
      <c r="M233" s="134">
        <v>2023</v>
      </c>
      <c r="N233" s="134">
        <v>2024</v>
      </c>
      <c r="O233" s="134">
        <v>2025</v>
      </c>
      <c r="P233" s="134">
        <v>2026</v>
      </c>
      <c r="Q233" s="134">
        <v>2027</v>
      </c>
      <c r="R233" s="134">
        <v>2028</v>
      </c>
      <c r="S233" s="134">
        <v>2029</v>
      </c>
      <c r="T233" s="134">
        <v>2030</v>
      </c>
      <c r="U233" s="134">
        <v>2031</v>
      </c>
      <c r="V233" s="134">
        <v>2032</v>
      </c>
      <c r="W233" s="134">
        <v>2033</v>
      </c>
      <c r="X233" s="134">
        <v>2034</v>
      </c>
      <c r="Y233" s="134">
        <v>2035</v>
      </c>
      <c r="Z233" s="134">
        <v>2036</v>
      </c>
      <c r="AA233" s="134">
        <v>2037</v>
      </c>
      <c r="AB233" s="134">
        <v>2038</v>
      </c>
      <c r="AC233" s="134">
        <v>2039</v>
      </c>
      <c r="AD233" s="134">
        <v>2040</v>
      </c>
      <c r="AE233" s="134">
        <v>2041</v>
      </c>
      <c r="AF233" s="134">
        <v>2042</v>
      </c>
      <c r="AG233" s="134">
        <v>2043</v>
      </c>
      <c r="AH233" s="134">
        <v>2044</v>
      </c>
      <c r="AI233" s="134">
        <v>2045</v>
      </c>
    </row>
    <row r="234" spans="1:35" customFormat="1" ht="15" x14ac:dyDescent="0.25">
      <c r="B234" s="14" t="s">
        <v>2562</v>
      </c>
      <c r="C234" s="14" t="s">
        <v>43</v>
      </c>
      <c r="D234" s="15" t="s">
        <v>2563</v>
      </c>
      <c r="E234" s="16" t="s">
        <v>1398</v>
      </c>
      <c r="F234" s="14" t="s">
        <v>2561</v>
      </c>
      <c r="G234" s="17"/>
      <c r="H234" s="125" t="str">
        <f>Settings!$B$3&amp;".mit.pp.stl.drg.np.2"</f>
        <v>egy.mit.pp.stl.drg.np.2</v>
      </c>
      <c r="I234" t="s">
        <v>2564</v>
      </c>
      <c r="K234" s="136"/>
      <c r="L234" s="137">
        <f>Mitigation_Industry!$F$709*L$221+Mitigation_Industry!$G$709*L$220</f>
        <v>0</v>
      </c>
      <c r="M234" s="137">
        <f>Mitigation_Industry!$F$709*M$221+Mitigation_Industry!$G$709*M$220</f>
        <v>0</v>
      </c>
      <c r="N234" s="137">
        <f>Mitigation_Industry!$F$709*N$221+Mitigation_Industry!$G$709*N$220</f>
        <v>0</v>
      </c>
      <c r="O234" s="137">
        <f>Mitigation_Industry!$F$709*O$221+Mitigation_Industry!$G$709*O$220</f>
        <v>0</v>
      </c>
      <c r="P234" s="137">
        <f>Mitigation_Industry!$F$709*P$221+Mitigation_Industry!$G$709*P$220</f>
        <v>0</v>
      </c>
      <c r="Q234" s="137">
        <f>Mitigation_Industry!$F$709*Q$221+Mitigation_Industry!$G$709*Q$220</f>
        <v>0</v>
      </c>
      <c r="R234" s="137">
        <f>Mitigation_Industry!$F$709*R$221+Mitigation_Industry!$G$709*R$220</f>
        <v>0</v>
      </c>
      <c r="S234" s="137">
        <f>Mitigation_Industry!$F$709*S$221+Mitigation_Industry!$G$709*S$220</f>
        <v>0</v>
      </c>
      <c r="T234" s="137">
        <f>Mitigation_Industry!$F$709*T$221+Mitigation_Industry!$G$709*T$220</f>
        <v>0</v>
      </c>
      <c r="U234" s="137">
        <f>Mitigation_Industry!$F$709*U$221+Mitigation_Industry!$G$709*U$220</f>
        <v>0</v>
      </c>
      <c r="V234" s="137">
        <f>Mitigation_Industry!$F$709*V$221+Mitigation_Industry!$G$709*V$220</f>
        <v>0</v>
      </c>
      <c r="W234" s="137">
        <f>Mitigation_Industry!$F$709*W$221+Mitigation_Industry!$G$709*W$220</f>
        <v>0</v>
      </c>
      <c r="X234" s="137">
        <f>Mitigation_Industry!$F$709*X$221+Mitigation_Industry!$G$709*X$220</f>
        <v>0</v>
      </c>
      <c r="Y234" s="137">
        <f>Mitigation_Industry!$F$709*Y$221+Mitigation_Industry!$G$709*Y$220</f>
        <v>0</v>
      </c>
      <c r="Z234" s="137">
        <f>Mitigation_Industry!$F$709*Z$221+Mitigation_Industry!$G$709*Z$220</f>
        <v>0</v>
      </c>
      <c r="AA234" s="137">
        <f>Mitigation_Industry!$F$709*AA$221+Mitigation_Industry!$G$709*AA$220</f>
        <v>0</v>
      </c>
      <c r="AB234" s="137">
        <f>Mitigation_Industry!$F$709*AB$221+Mitigation_Industry!$G$709*AB$220</f>
        <v>0</v>
      </c>
      <c r="AC234" s="137">
        <f>Mitigation_Industry!$F$709*AC$221+Mitigation_Industry!$G$709*AC$220</f>
        <v>0</v>
      </c>
      <c r="AD234" s="137">
        <f>Mitigation_Industry!$F$709*AD$221+Mitigation_Industry!$G$709*AD$220</f>
        <v>0</v>
      </c>
      <c r="AE234" s="137">
        <f>Mitigation_Industry!$F$709*AE$221+Mitigation_Industry!$G$709*AE$220</f>
        <v>0</v>
      </c>
      <c r="AF234" s="138"/>
      <c r="AG234" s="138"/>
      <c r="AH234" s="138"/>
      <c r="AI234" s="138"/>
    </row>
    <row r="235" spans="1:35" customFormat="1" ht="15" x14ac:dyDescent="0.25">
      <c r="B235" s="14" t="s">
        <v>2565</v>
      </c>
      <c r="C235" s="14" t="s">
        <v>43</v>
      </c>
      <c r="D235" s="15" t="s">
        <v>2566</v>
      </c>
      <c r="E235" s="16" t="s">
        <v>1398</v>
      </c>
      <c r="F235" s="14" t="s">
        <v>2561</v>
      </c>
      <c r="G235" s="17"/>
      <c r="H235" s="125" t="str">
        <f>Settings!$B$3&amp;".mit.pp.stl.scr.np.2"</f>
        <v>egy.mit.pp.stl.scr.np.2</v>
      </c>
      <c r="K235" s="136"/>
      <c r="L235" s="137">
        <f>Mitigation_Industry!$F$710*L$221+Mitigation_Industry!$G$710*L$220</f>
        <v>0</v>
      </c>
      <c r="M235" s="137">
        <f>Mitigation_Industry!$F$710*M$221+Mitigation_Industry!$G$710*M$220</f>
        <v>0</v>
      </c>
      <c r="N235" s="137">
        <f>Mitigation_Industry!$F$710*N$221+Mitigation_Industry!$G$710*N$220</f>
        <v>0</v>
      </c>
      <c r="O235" s="137">
        <f>Mitigation_Industry!$F$710*O$221+Mitigation_Industry!$G$710*O$220</f>
        <v>0</v>
      </c>
      <c r="P235" s="137">
        <f>Mitigation_Industry!$F$710*P$221+Mitigation_Industry!$G$710*P$220</f>
        <v>0</v>
      </c>
      <c r="Q235" s="137">
        <f>Mitigation_Industry!$F$710*Q$221+Mitigation_Industry!$G$710*Q$220</f>
        <v>0</v>
      </c>
      <c r="R235" s="137">
        <f>Mitigation_Industry!$F$710*R$221+Mitigation_Industry!$G$710*R$220</f>
        <v>0</v>
      </c>
      <c r="S235" s="137">
        <f>Mitigation_Industry!$F$710*S$221+Mitigation_Industry!$G$710*S$220</f>
        <v>0</v>
      </c>
      <c r="T235" s="137">
        <f>Mitigation_Industry!$F$710*T$221+Mitigation_Industry!$G$710*T$220</f>
        <v>0</v>
      </c>
      <c r="U235" s="137">
        <f>Mitigation_Industry!$F$710*U$221+Mitigation_Industry!$G$710*U$220</f>
        <v>0</v>
      </c>
      <c r="V235" s="137">
        <f>Mitigation_Industry!$F$710*V$221+Mitigation_Industry!$G$710*V$220</f>
        <v>0</v>
      </c>
      <c r="W235" s="137">
        <f>Mitigation_Industry!$F$710*W$221+Mitigation_Industry!$G$710*W$220</f>
        <v>0</v>
      </c>
      <c r="X235" s="137">
        <f>Mitigation_Industry!$F$710*X$221+Mitigation_Industry!$G$710*X$220</f>
        <v>0</v>
      </c>
      <c r="Y235" s="137">
        <f>Mitigation_Industry!$F$710*Y$221+Mitigation_Industry!$G$710*Y$220</f>
        <v>0</v>
      </c>
      <c r="Z235" s="137">
        <f>Mitigation_Industry!$F$710*Z$221+Mitigation_Industry!$G$710*Z$220</f>
        <v>0</v>
      </c>
      <c r="AA235" s="137">
        <f>Mitigation_Industry!$F$710*AA$221+Mitigation_Industry!$G$710*AA$220</f>
        <v>0</v>
      </c>
      <c r="AB235" s="137">
        <f>Mitigation_Industry!$F$710*AB$221+Mitigation_Industry!$G$710*AB$220</f>
        <v>0</v>
      </c>
      <c r="AC235" s="137">
        <f>Mitigation_Industry!$F$710*AC$221+Mitigation_Industry!$G$710*AC$220</f>
        <v>0</v>
      </c>
      <c r="AD235" s="137">
        <f>Mitigation_Industry!$F$710*AD$221+Mitigation_Industry!$G$710*AD$220</f>
        <v>0</v>
      </c>
      <c r="AE235" s="137">
        <f>Mitigation_Industry!$F$710*AE$221+Mitigation_Industry!$G$710*AE$220</f>
        <v>0</v>
      </c>
      <c r="AF235" s="138"/>
      <c r="AG235" s="138"/>
      <c r="AH235" s="138"/>
      <c r="AI235" s="138"/>
    </row>
    <row r="236" spans="1:35" customFormat="1" ht="15" x14ac:dyDescent="0.25">
      <c r="B236" s="14" t="s">
        <v>2567</v>
      </c>
      <c r="C236" s="14" t="s">
        <v>43</v>
      </c>
      <c r="D236" s="15" t="s">
        <v>2568</v>
      </c>
      <c r="E236" s="16" t="s">
        <v>1398</v>
      </c>
      <c r="F236" s="14" t="s">
        <v>2561</v>
      </c>
      <c r="G236" s="17"/>
      <c r="H236" s="125" t="str">
        <f>Settings!$B$3&amp;".mit.pp.stl.bof.np.2"</f>
        <v>egy.mit.pp.stl.bof.np.2</v>
      </c>
      <c r="K236" s="136"/>
      <c r="L236" s="137">
        <f>Mitigation_Industry!$F$711*L$221+Mitigation_Industry!$G$711*L$220</f>
        <v>0</v>
      </c>
      <c r="M236" s="137">
        <f>Mitigation_Industry!$F$711*M$221+Mitigation_Industry!$G$711*M$220</f>
        <v>0</v>
      </c>
      <c r="N236" s="137">
        <f>Mitigation_Industry!$F$711*N$221+Mitigation_Industry!$G$711*N$220</f>
        <v>0</v>
      </c>
      <c r="O236" s="137">
        <f>Mitigation_Industry!$F$711*O$221+Mitigation_Industry!$G$711*O$220</f>
        <v>0</v>
      </c>
      <c r="P236" s="137">
        <f>Mitigation_Industry!$F$711*P$221+Mitigation_Industry!$G$711*P$220</f>
        <v>0</v>
      </c>
      <c r="Q236" s="137">
        <f>Mitigation_Industry!$F$711*Q$221+Mitigation_Industry!$G$711*Q$220</f>
        <v>0</v>
      </c>
      <c r="R236" s="137">
        <f>Mitigation_Industry!$F$711*R$221+Mitigation_Industry!$G$711*R$220</f>
        <v>0</v>
      </c>
      <c r="S236" s="137">
        <f>Mitigation_Industry!$F$711*S$221+Mitigation_Industry!$G$711*S$220</f>
        <v>0</v>
      </c>
      <c r="T236" s="137">
        <f>Mitigation_Industry!$F$711*T$221+Mitigation_Industry!$G$711*T$220</f>
        <v>0</v>
      </c>
      <c r="U236" s="137">
        <f>Mitigation_Industry!$F$711*U$221+Mitigation_Industry!$G$711*U$220</f>
        <v>0</v>
      </c>
      <c r="V236" s="137">
        <f>Mitigation_Industry!$F$711*V$221+Mitigation_Industry!$G$711*V$220</f>
        <v>0</v>
      </c>
      <c r="W236" s="137">
        <f>Mitigation_Industry!$F$711*W$221+Mitigation_Industry!$G$711*W$220</f>
        <v>0</v>
      </c>
      <c r="X236" s="137">
        <f>Mitigation_Industry!$F$711*X$221+Mitigation_Industry!$G$711*X$220</f>
        <v>0</v>
      </c>
      <c r="Y236" s="137">
        <f>Mitigation_Industry!$F$711*Y$221+Mitigation_Industry!$G$711*Y$220</f>
        <v>0</v>
      </c>
      <c r="Z236" s="137">
        <f>Mitigation_Industry!$F$711*Z$221+Mitigation_Industry!$G$711*Z$220</f>
        <v>0</v>
      </c>
      <c r="AA236" s="137">
        <f>Mitigation_Industry!$F$711*AA$221+Mitigation_Industry!$G$711*AA$220</f>
        <v>0</v>
      </c>
      <c r="AB236" s="137">
        <f>Mitigation_Industry!$F$711*AB$221+Mitigation_Industry!$G$711*AB$220</f>
        <v>0</v>
      </c>
      <c r="AC236" s="137">
        <f>Mitigation_Industry!$F$711*AC$221+Mitigation_Industry!$G$711*AC$220</f>
        <v>0</v>
      </c>
      <c r="AD236" s="137">
        <f>Mitigation_Industry!$F$711*AD$221+Mitigation_Industry!$G$711*AD$220</f>
        <v>0</v>
      </c>
      <c r="AE236" s="137">
        <f>Mitigation_Industry!$F$711*AE$221+Mitigation_Industry!$G$711*AE$220</f>
        <v>0</v>
      </c>
      <c r="AF236" s="138"/>
      <c r="AG236" s="138"/>
      <c r="AH236" s="138"/>
      <c r="AI236" s="138"/>
    </row>
    <row r="237" spans="1:35" customFormat="1" ht="15" x14ac:dyDescent="0.25">
      <c r="B237" s="14" t="s">
        <v>2569</v>
      </c>
      <c r="C237" s="14" t="s">
        <v>113</v>
      </c>
      <c r="D237" s="15" t="s">
        <v>2570</v>
      </c>
      <c r="E237" s="16" t="s">
        <v>1398</v>
      </c>
      <c r="F237" s="14" t="s">
        <v>2561</v>
      </c>
      <c r="G237" s="17"/>
      <c r="H237" s="125" t="str">
        <f>Settings!$B$3&amp;".mit.pp.cmt.dry.np.2"</f>
        <v>egy.mit.pp.cmt.dry.np.2</v>
      </c>
      <c r="K237" s="136"/>
      <c r="L237" s="137">
        <f>Mitigation_Industry!$F$712*L$221+Mitigation_Industry!$G$712*L$220</f>
        <v>0</v>
      </c>
      <c r="M237" s="137">
        <f>Mitigation_Industry!$F$712*M$221+Mitigation_Industry!$G$712*M$220</f>
        <v>0</v>
      </c>
      <c r="N237" s="137">
        <f>Mitigation_Industry!$F$712*N$221+Mitigation_Industry!$G$712*N$220</f>
        <v>0</v>
      </c>
      <c r="O237" s="137">
        <f>Mitigation_Industry!$F$712*O$221+Mitigation_Industry!$G$712*O$220</f>
        <v>0</v>
      </c>
      <c r="P237" s="137">
        <f>Mitigation_Industry!$F$712*P$221+Mitigation_Industry!$G$712*P$220</f>
        <v>0</v>
      </c>
      <c r="Q237" s="137">
        <f>Mitigation_Industry!$F$712*Q$221+Mitigation_Industry!$G$712*Q$220</f>
        <v>0</v>
      </c>
      <c r="R237" s="137">
        <f>Mitigation_Industry!$F$712*R$221+Mitigation_Industry!$G$712*R$220</f>
        <v>0</v>
      </c>
      <c r="S237" s="137">
        <f>Mitigation_Industry!$F$712*S$221+Mitigation_Industry!$G$712*S$220</f>
        <v>0</v>
      </c>
      <c r="T237" s="137">
        <f>Mitigation_Industry!$F$712*T$221+Mitigation_Industry!$G$712*T$220</f>
        <v>0</v>
      </c>
      <c r="U237" s="137">
        <f>Mitigation_Industry!$F$712*U$221+Mitigation_Industry!$G$712*U$220</f>
        <v>0</v>
      </c>
      <c r="V237" s="137">
        <f>Mitigation_Industry!$F$712*V$221+Mitigation_Industry!$G$712*V$220</f>
        <v>0</v>
      </c>
      <c r="W237" s="137">
        <f>Mitigation_Industry!$F$712*W$221+Mitigation_Industry!$G$712*W$220</f>
        <v>0</v>
      </c>
      <c r="X237" s="137">
        <f>Mitigation_Industry!$F$712*X$221+Mitigation_Industry!$G$712*X$220</f>
        <v>0</v>
      </c>
      <c r="Y237" s="137">
        <f>Mitigation_Industry!$F$712*Y$221+Mitigation_Industry!$G$712*Y$220</f>
        <v>0</v>
      </c>
      <c r="Z237" s="137">
        <f>Mitigation_Industry!$F$712*Z$221+Mitigation_Industry!$G$712*Z$220</f>
        <v>0</v>
      </c>
      <c r="AA237" s="137">
        <f>Mitigation_Industry!$F$712*AA$221+Mitigation_Industry!$G$712*AA$220</f>
        <v>0</v>
      </c>
      <c r="AB237" s="137">
        <f>Mitigation_Industry!$F$712*AB$221+Mitigation_Industry!$G$712*AB$220</f>
        <v>0</v>
      </c>
      <c r="AC237" s="137">
        <f>Mitigation_Industry!$F$712*AC$221+Mitigation_Industry!$G$712*AC$220</f>
        <v>0</v>
      </c>
      <c r="AD237" s="137">
        <f>Mitigation_Industry!$F$712*AD$221+Mitigation_Industry!$G$712*AD$220</f>
        <v>0</v>
      </c>
      <c r="AE237" s="137">
        <f>Mitigation_Industry!$F$712*AE$221+Mitigation_Industry!$G$712*AE$220</f>
        <v>0</v>
      </c>
      <c r="AF237" s="138"/>
      <c r="AG237" s="138"/>
      <c r="AH237" s="138"/>
      <c r="AI237" s="138"/>
    </row>
    <row r="238" spans="1:35" customFormat="1" ht="15" x14ac:dyDescent="0.25">
      <c r="B238" s="14" t="s">
        <v>2571</v>
      </c>
      <c r="C238" s="14" t="s">
        <v>117</v>
      </c>
      <c r="D238" s="15" t="s">
        <v>2572</v>
      </c>
      <c r="E238" s="16" t="s">
        <v>1398</v>
      </c>
      <c r="F238" s="14" t="s">
        <v>2561</v>
      </c>
      <c r="G238" s="17"/>
      <c r="H238" s="125" t="str">
        <f>Settings!$B$3&amp;".mit.pp.frt.amc.np.2"</f>
        <v>egy.mit.pp.frt.amc.np.2</v>
      </c>
      <c r="K238" s="136"/>
      <c r="L238" s="137">
        <f>Mitigation_Industry!$F$713*L$221+Mitigation_Industry!$G$713*L$220</f>
        <v>0</v>
      </c>
      <c r="M238" s="137">
        <f>Mitigation_Industry!$F$713*M$221+Mitigation_Industry!$G$713*M$220</f>
        <v>0</v>
      </c>
      <c r="N238" s="137">
        <f>Mitigation_Industry!$F$713*N$221+Mitigation_Industry!$G$713*N$220</f>
        <v>0</v>
      </c>
      <c r="O238" s="137">
        <f>Mitigation_Industry!$F$713*O$221+Mitigation_Industry!$G$713*O$220</f>
        <v>0</v>
      </c>
      <c r="P238" s="137">
        <f>Mitigation_Industry!$F$713*P$221+Mitigation_Industry!$G$713*P$220</f>
        <v>0</v>
      </c>
      <c r="Q238" s="137">
        <f>Mitigation_Industry!$F$713*Q$221+Mitigation_Industry!$G$713*Q$220</f>
        <v>0</v>
      </c>
      <c r="R238" s="137">
        <f>Mitigation_Industry!$F$713*R$221+Mitigation_Industry!$G$713*R$220</f>
        <v>0</v>
      </c>
      <c r="S238" s="137">
        <f>Mitigation_Industry!$F$713*S$221+Mitigation_Industry!$G$713*S$220</f>
        <v>0</v>
      </c>
      <c r="T238" s="137">
        <f>Mitigation_Industry!$F$713*T$221+Mitigation_Industry!$G$713*T$220</f>
        <v>0</v>
      </c>
      <c r="U238" s="137">
        <f>Mitigation_Industry!$F$713*U$221+Mitigation_Industry!$G$713*U$220</f>
        <v>0</v>
      </c>
      <c r="V238" s="137">
        <f>Mitigation_Industry!$F$713*V$221+Mitigation_Industry!$G$713*V$220</f>
        <v>0</v>
      </c>
      <c r="W238" s="137">
        <f>Mitigation_Industry!$F$713*W$221+Mitigation_Industry!$G$713*W$220</f>
        <v>0</v>
      </c>
      <c r="X238" s="137">
        <f>Mitigation_Industry!$F$713*X$221+Mitigation_Industry!$G$713*X$220</f>
        <v>0</v>
      </c>
      <c r="Y238" s="137">
        <f>Mitigation_Industry!$F$713*Y$221+Mitigation_Industry!$G$713*Y$220</f>
        <v>0</v>
      </c>
      <c r="Z238" s="137">
        <f>Mitigation_Industry!$F$713*Z$221+Mitigation_Industry!$G$713*Z$220</f>
        <v>0</v>
      </c>
      <c r="AA238" s="137">
        <f>Mitigation_Industry!$F$713*AA$221+Mitigation_Industry!$G$713*AA$220</f>
        <v>0</v>
      </c>
      <c r="AB238" s="137">
        <f>Mitigation_Industry!$F$713*AB$221+Mitigation_Industry!$G$713*AB$220</f>
        <v>0</v>
      </c>
      <c r="AC238" s="137">
        <f>Mitigation_Industry!$F$713*AC$221+Mitigation_Industry!$G$713*AC$220</f>
        <v>0</v>
      </c>
      <c r="AD238" s="137">
        <f>Mitigation_Industry!$F$713*AD$221+Mitigation_Industry!$G$713*AD$220</f>
        <v>0</v>
      </c>
      <c r="AE238" s="137">
        <f>Mitigation_Industry!$F$713*AE$221+Mitigation_Industry!$G$713*AE$220</f>
        <v>0</v>
      </c>
      <c r="AF238" s="138"/>
      <c r="AG238" s="138"/>
      <c r="AH238" s="138"/>
      <c r="AI238" s="138"/>
    </row>
    <row r="239" spans="1:35" customFormat="1" ht="15" x14ac:dyDescent="0.25">
      <c r="B239" s="14" t="s">
        <v>2573</v>
      </c>
      <c r="C239" s="14" t="s">
        <v>117</v>
      </c>
      <c r="D239" s="15" t="s">
        <v>2574</v>
      </c>
      <c r="E239" s="16" t="s">
        <v>1398</v>
      </c>
      <c r="F239" s="14" t="s">
        <v>2561</v>
      </c>
      <c r="G239" s="17"/>
      <c r="H239" s="125" t="str">
        <f>Settings!$B$3&amp;".mit.pp.frt.ure.np.2"</f>
        <v>egy.mit.pp.frt.ure.np.2</v>
      </c>
      <c r="K239" s="136"/>
      <c r="L239" s="137">
        <f>Mitigation_Industry!$F$714*L$221+Mitigation_Industry!$G$714*L$220</f>
        <v>0</v>
      </c>
      <c r="M239" s="137">
        <f>Mitigation_Industry!$F$714*M$221+Mitigation_Industry!$G$714*M$220</f>
        <v>0</v>
      </c>
      <c r="N239" s="137">
        <f>Mitigation_Industry!$F$714*N$221+Mitigation_Industry!$G$714*N$220</f>
        <v>0</v>
      </c>
      <c r="O239" s="137">
        <f>Mitigation_Industry!$F$714*O$221+Mitigation_Industry!$G$714*O$220</f>
        <v>0</v>
      </c>
      <c r="P239" s="137">
        <f>Mitigation_Industry!$F$714*P$221+Mitigation_Industry!$G$714*P$220</f>
        <v>0</v>
      </c>
      <c r="Q239" s="137">
        <f>Mitigation_Industry!$F$714*Q$221+Mitigation_Industry!$G$714*Q$220</f>
        <v>0</v>
      </c>
      <c r="R239" s="137">
        <f>Mitigation_Industry!$F$714*R$221+Mitigation_Industry!$G$714*R$220</f>
        <v>0</v>
      </c>
      <c r="S239" s="137">
        <f>Mitigation_Industry!$F$714*S$221+Mitigation_Industry!$G$714*S$220</f>
        <v>0</v>
      </c>
      <c r="T239" s="137">
        <f>Mitigation_Industry!$F$714*T$221+Mitigation_Industry!$G$714*T$220</f>
        <v>0</v>
      </c>
      <c r="U239" s="137">
        <f>Mitigation_Industry!$F$714*U$221+Mitigation_Industry!$G$714*U$220</f>
        <v>0</v>
      </c>
      <c r="V239" s="137">
        <f>Mitigation_Industry!$F$714*V$221+Mitigation_Industry!$G$714*V$220</f>
        <v>0</v>
      </c>
      <c r="W239" s="137">
        <f>Mitigation_Industry!$F$714*W$221+Mitigation_Industry!$G$714*W$220</f>
        <v>0</v>
      </c>
      <c r="X239" s="137">
        <f>Mitigation_Industry!$F$714*X$221+Mitigation_Industry!$G$714*X$220</f>
        <v>0</v>
      </c>
      <c r="Y239" s="137">
        <f>Mitigation_Industry!$F$714*Y$221+Mitigation_Industry!$G$714*Y$220</f>
        <v>0</v>
      </c>
      <c r="Z239" s="137">
        <f>Mitigation_Industry!$F$714*Z$221+Mitigation_Industry!$G$714*Z$220</f>
        <v>0</v>
      </c>
      <c r="AA239" s="137">
        <f>Mitigation_Industry!$F$714*AA$221+Mitigation_Industry!$G$714*AA$220</f>
        <v>0</v>
      </c>
      <c r="AB239" s="137">
        <f>Mitigation_Industry!$F$714*AB$221+Mitigation_Industry!$G$714*AB$220</f>
        <v>0</v>
      </c>
      <c r="AC239" s="137">
        <f>Mitigation_Industry!$F$714*AC$221+Mitigation_Industry!$G$714*AC$220</f>
        <v>0</v>
      </c>
      <c r="AD239" s="137">
        <f>Mitigation_Industry!$F$714*AD$221+Mitigation_Industry!$G$714*AD$220</f>
        <v>0</v>
      </c>
      <c r="AE239" s="137">
        <f>Mitigation_Industry!$F$714*AE$221+Mitigation_Industry!$G$714*AE$220</f>
        <v>0</v>
      </c>
      <c r="AF239" s="138"/>
      <c r="AG239" s="138"/>
      <c r="AH239" s="138"/>
      <c r="AI239" s="138"/>
    </row>
    <row r="240" spans="1:35" customFormat="1" ht="15" x14ac:dyDescent="0.25">
      <c r="B240" s="14" t="s">
        <v>2575</v>
      </c>
      <c r="C240" s="14" t="s">
        <v>117</v>
      </c>
      <c r="D240" s="15" t="s">
        <v>2576</v>
      </c>
      <c r="E240" s="16" t="s">
        <v>1398</v>
      </c>
      <c r="F240" s="14" t="s">
        <v>2561</v>
      </c>
      <c r="G240" s="17"/>
      <c r="H240" s="125" t="str">
        <f>Settings!$B$3&amp;".mit.pp.frt.nit.np.2"</f>
        <v>egy.mit.pp.frt.nit.np.2</v>
      </c>
      <c r="K240" s="136"/>
      <c r="L240" s="137">
        <f>Mitigation_Industry!$F$715*L$221+Mitigation_Industry!$G$715*L$220</f>
        <v>0</v>
      </c>
      <c r="M240" s="137">
        <f>Mitigation_Industry!$F$715*M$221+Mitigation_Industry!$G$715*M$220</f>
        <v>0</v>
      </c>
      <c r="N240" s="137">
        <f>Mitigation_Industry!$F$715*N$221+Mitigation_Industry!$G$715*N$220</f>
        <v>0</v>
      </c>
      <c r="O240" s="137">
        <f>Mitigation_Industry!$F$715*O$221+Mitigation_Industry!$G$715*O$220</f>
        <v>0</v>
      </c>
      <c r="P240" s="137">
        <f>Mitigation_Industry!$F$715*P$221+Mitigation_Industry!$G$715*P$220</f>
        <v>0</v>
      </c>
      <c r="Q240" s="137">
        <f>Mitigation_Industry!$F$715*Q$221+Mitigation_Industry!$G$715*Q$220</f>
        <v>0</v>
      </c>
      <c r="R240" s="137">
        <f>Mitigation_Industry!$F$715*R$221+Mitigation_Industry!$G$715*R$220</f>
        <v>0</v>
      </c>
      <c r="S240" s="137">
        <f>Mitigation_Industry!$F$715*S$221+Mitigation_Industry!$G$715*S$220</f>
        <v>0</v>
      </c>
      <c r="T240" s="137">
        <f>Mitigation_Industry!$F$715*T$221+Mitigation_Industry!$G$715*T$220</f>
        <v>0</v>
      </c>
      <c r="U240" s="137">
        <f>Mitigation_Industry!$F$715*U$221+Mitigation_Industry!$G$715*U$220</f>
        <v>0</v>
      </c>
      <c r="V240" s="137">
        <f>Mitigation_Industry!$F$715*V$221+Mitigation_Industry!$G$715*V$220</f>
        <v>0</v>
      </c>
      <c r="W240" s="137">
        <f>Mitigation_Industry!$F$715*W$221+Mitigation_Industry!$G$715*W$220</f>
        <v>0</v>
      </c>
      <c r="X240" s="137">
        <f>Mitigation_Industry!$F$715*X$221+Mitigation_Industry!$G$715*X$220</f>
        <v>0</v>
      </c>
      <c r="Y240" s="137">
        <f>Mitigation_Industry!$F$715*Y$221+Mitigation_Industry!$G$715*Y$220</f>
        <v>0</v>
      </c>
      <c r="Z240" s="137">
        <f>Mitigation_Industry!$F$715*Z$221+Mitigation_Industry!$G$715*Z$220</f>
        <v>0</v>
      </c>
      <c r="AA240" s="137">
        <f>Mitigation_Industry!$F$715*AA$221+Mitigation_Industry!$G$715*AA$220</f>
        <v>0</v>
      </c>
      <c r="AB240" s="137">
        <f>Mitigation_Industry!$F$715*AB$221+Mitigation_Industry!$G$715*AB$220</f>
        <v>0</v>
      </c>
      <c r="AC240" s="137">
        <f>Mitigation_Industry!$F$715*AC$221+Mitigation_Industry!$G$715*AC$220</f>
        <v>0</v>
      </c>
      <c r="AD240" s="137">
        <f>Mitigation_Industry!$F$715*AD$221+Mitigation_Industry!$G$715*AD$220</f>
        <v>0</v>
      </c>
      <c r="AE240" s="137">
        <f>Mitigation_Industry!$F$715*AE$221+Mitigation_Industry!$G$715*AE$220</f>
        <v>0</v>
      </c>
      <c r="AF240" s="138"/>
      <c r="AG240" s="138"/>
      <c r="AH240" s="138"/>
      <c r="AI240" s="138"/>
    </row>
    <row r="241" spans="1:35" customFormat="1" ht="15" x14ac:dyDescent="0.25">
      <c r="B241" s="14" t="s">
        <v>2577</v>
      </c>
      <c r="C241" s="14" t="s">
        <v>115</v>
      </c>
      <c r="D241" s="15" t="s">
        <v>2578</v>
      </c>
      <c r="E241" s="16" t="s">
        <v>1398</v>
      </c>
      <c r="F241" s="14" t="s">
        <v>2561</v>
      </c>
      <c r="G241" s="17"/>
      <c r="H241" s="125" t="str">
        <f>Settings!$B$3&amp;".mit.pp.alu.prp.np.2"</f>
        <v>egy.mit.pp.alu.prp.np.2</v>
      </c>
      <c r="K241" s="136"/>
      <c r="L241" s="137">
        <f>Mitigation_Industry!$F$716*L$221+Mitigation_Industry!$G$716*L$220</f>
        <v>0</v>
      </c>
      <c r="M241" s="137">
        <f>Mitigation_Industry!$F$716*M$221+Mitigation_Industry!$G$716*M$220</f>
        <v>0</v>
      </c>
      <c r="N241" s="137">
        <f>Mitigation_Industry!$F$716*N$221+Mitigation_Industry!$G$716*N$220</f>
        <v>0</v>
      </c>
      <c r="O241" s="137">
        <f>Mitigation_Industry!$F$716*O$221+Mitigation_Industry!$G$716*O$220</f>
        <v>0</v>
      </c>
      <c r="P241" s="137">
        <f>Mitigation_Industry!$F$716*P$221+Mitigation_Industry!$G$716*P$220</f>
        <v>0</v>
      </c>
      <c r="Q241" s="137">
        <f>Mitigation_Industry!$F$716*Q$221+Mitigation_Industry!$G$716*Q$220</f>
        <v>0</v>
      </c>
      <c r="R241" s="137">
        <f>Mitigation_Industry!$F$716*R$221+Mitigation_Industry!$G$716*R$220</f>
        <v>0</v>
      </c>
      <c r="S241" s="137">
        <f>Mitigation_Industry!$F$716*S$221+Mitigation_Industry!$G$716*S$220</f>
        <v>0</v>
      </c>
      <c r="T241" s="137">
        <f>Mitigation_Industry!$F$716*T$221+Mitigation_Industry!$G$716*T$220</f>
        <v>0</v>
      </c>
      <c r="U241" s="137">
        <f>Mitigation_Industry!$F$716*U$221+Mitigation_Industry!$G$716*U$220</f>
        <v>0</v>
      </c>
      <c r="V241" s="137">
        <f>Mitigation_Industry!$F$716*V$221+Mitigation_Industry!$G$716*V$220</f>
        <v>0</v>
      </c>
      <c r="W241" s="137">
        <f>Mitigation_Industry!$F$716*W$221+Mitigation_Industry!$G$716*W$220</f>
        <v>0</v>
      </c>
      <c r="X241" s="137">
        <f>Mitigation_Industry!$F$716*X$221+Mitigation_Industry!$G$716*X$220</f>
        <v>0</v>
      </c>
      <c r="Y241" s="137">
        <f>Mitigation_Industry!$F$716*Y$221+Mitigation_Industry!$G$716*Y$220</f>
        <v>0</v>
      </c>
      <c r="Z241" s="137">
        <f>Mitigation_Industry!$F$716*Z$221+Mitigation_Industry!$G$716*Z$220</f>
        <v>0</v>
      </c>
      <c r="AA241" s="137">
        <f>Mitigation_Industry!$F$716*AA$221+Mitigation_Industry!$G$716*AA$220</f>
        <v>0</v>
      </c>
      <c r="AB241" s="137">
        <f>Mitigation_Industry!$F$716*AB$221+Mitigation_Industry!$G$716*AB$220</f>
        <v>0</v>
      </c>
      <c r="AC241" s="137">
        <f>Mitigation_Industry!$F$716*AC$221+Mitigation_Industry!$G$716*AC$220</f>
        <v>0</v>
      </c>
      <c r="AD241" s="137">
        <f>Mitigation_Industry!$F$716*AD$221+Mitigation_Industry!$G$716*AD$220</f>
        <v>0</v>
      </c>
      <c r="AE241" s="137">
        <f>Mitigation_Industry!$F$716*AE$221+Mitigation_Industry!$G$716*AE$220</f>
        <v>0</v>
      </c>
      <c r="AF241" s="138"/>
      <c r="AG241" s="138"/>
      <c r="AH241" s="138"/>
      <c r="AI241" s="138"/>
    </row>
    <row r="242" spans="1:35" customFormat="1" ht="15" x14ac:dyDescent="0.25">
      <c r="B242" s="14" t="s">
        <v>2579</v>
      </c>
      <c r="C242" s="14" t="s">
        <v>43</v>
      </c>
      <c r="D242" s="15" t="s">
        <v>2580</v>
      </c>
      <c r="E242" s="16" t="s">
        <v>1398</v>
      </c>
      <c r="F242" s="14" t="s">
        <v>2561</v>
      </c>
      <c r="G242" s="17"/>
      <c r="H242" s="125" t="str">
        <f>Settings!$B$3&amp;".mit.pp.stl.drg.no.2"</f>
        <v>egy.mit.pp.stl.drg.no.2</v>
      </c>
      <c r="K242" s="136"/>
      <c r="L242" s="137">
        <f>Mitigation_Industry!$F$709*L$221+Mitigation_Industry!$G$709*L$220</f>
        <v>0</v>
      </c>
      <c r="M242" s="137">
        <f>Mitigation_Industry!$F$709*M$221+Mitigation_Industry!$G$709*M$220</f>
        <v>0</v>
      </c>
      <c r="N242" s="137">
        <f>Mitigation_Industry!$F$709*N$221+Mitigation_Industry!$G$709*N$220</f>
        <v>0</v>
      </c>
      <c r="O242" s="137">
        <f>Mitigation_Industry!$F$709*O$221+Mitigation_Industry!$G$709*O$220</f>
        <v>0</v>
      </c>
      <c r="P242" s="137">
        <f>Mitigation_Industry!$F$709*P$221+Mitigation_Industry!$G$709*P$220</f>
        <v>0</v>
      </c>
      <c r="Q242" s="137">
        <f>Mitigation_Industry!$F$709*Q$221+Mitigation_Industry!$G$709*Q$220</f>
        <v>0</v>
      </c>
      <c r="R242" s="137">
        <f>Mitigation_Industry!$F$709*R$221+Mitigation_Industry!$G$709*R$220</f>
        <v>0</v>
      </c>
      <c r="S242" s="137">
        <f>Mitigation_Industry!$F$709*S$221+Mitigation_Industry!$G$709*S$220</f>
        <v>0</v>
      </c>
      <c r="T242" s="137">
        <f>Mitigation_Industry!$F$709*T$221+Mitigation_Industry!$G$709*T$220</f>
        <v>0</v>
      </c>
      <c r="U242" s="137">
        <f>Mitigation_Industry!$F$709*U$221+Mitigation_Industry!$G$709*U$220</f>
        <v>0</v>
      </c>
      <c r="V242" s="137">
        <f>Mitigation_Industry!$F$709*V$221+Mitigation_Industry!$G$709*V$220</f>
        <v>0</v>
      </c>
      <c r="W242" s="137">
        <f>Mitigation_Industry!$F$709*W$221+Mitigation_Industry!$G$709*W$220</f>
        <v>0</v>
      </c>
      <c r="X242" s="137">
        <f>Mitigation_Industry!$F$709*X$221+Mitigation_Industry!$G$709*X$220</f>
        <v>0</v>
      </c>
      <c r="Y242" s="137">
        <f>Mitigation_Industry!$F$709*Y$221+Mitigation_Industry!$G$709*Y$220</f>
        <v>0</v>
      </c>
      <c r="Z242" s="137">
        <f>Mitigation_Industry!$F$709*Z$221+Mitigation_Industry!$G$709*Z$220</f>
        <v>0</v>
      </c>
      <c r="AA242" s="137">
        <f>Mitigation_Industry!$F$709*AA$221+Mitigation_Industry!$G$709*AA$220</f>
        <v>0</v>
      </c>
      <c r="AB242" s="137">
        <f>Mitigation_Industry!$F$709*AB$221+Mitigation_Industry!$G$709*AB$220</f>
        <v>0</v>
      </c>
      <c r="AC242" s="137">
        <f>Mitigation_Industry!$F$709*AC$221+Mitigation_Industry!$G$709*AC$220</f>
        <v>0</v>
      </c>
      <c r="AD242" s="137">
        <f>Mitigation_Industry!$F$709*AD$221+Mitigation_Industry!$G$709*AD$220</f>
        <v>0</v>
      </c>
      <c r="AE242" s="137">
        <f>Mitigation_Industry!$F$709*AE$221+Mitigation_Industry!$G$709*AE$220</f>
        <v>0</v>
      </c>
      <c r="AF242" s="138"/>
      <c r="AG242" s="138"/>
      <c r="AH242" s="138"/>
      <c r="AI242" s="138"/>
    </row>
    <row r="243" spans="1:35" customFormat="1" ht="15" x14ac:dyDescent="0.25">
      <c r="B243" s="14" t="s">
        <v>2581</v>
      </c>
      <c r="C243" s="14" t="s">
        <v>43</v>
      </c>
      <c r="D243" s="15" t="s">
        <v>2582</v>
      </c>
      <c r="E243" s="16" t="s">
        <v>1398</v>
      </c>
      <c r="F243" s="14" t="s">
        <v>2561</v>
      </c>
      <c r="G243" s="17"/>
      <c r="H243" s="125" t="str">
        <f>Settings!$B$3&amp;".mit.pp.stl.scr.no.2"</f>
        <v>egy.mit.pp.stl.scr.no.2</v>
      </c>
      <c r="K243" s="136"/>
      <c r="L243" s="137">
        <f>Mitigation_Industry!$F$710*L$221+Mitigation_Industry!$G$710*L$220</f>
        <v>0</v>
      </c>
      <c r="M243" s="137">
        <f>Mitigation_Industry!$F$710*M$221+Mitigation_Industry!$G$710*M$220</f>
        <v>0</v>
      </c>
      <c r="N243" s="137">
        <f>Mitigation_Industry!$F$710*N$221+Mitigation_Industry!$G$710*N$220</f>
        <v>0</v>
      </c>
      <c r="O243" s="137">
        <f>Mitigation_Industry!$F$710*O$221+Mitigation_Industry!$G$710*O$220</f>
        <v>0</v>
      </c>
      <c r="P243" s="137">
        <f>Mitigation_Industry!$F$710*P$221+Mitigation_Industry!$G$710*P$220</f>
        <v>0</v>
      </c>
      <c r="Q243" s="137">
        <f>Mitigation_Industry!$F$710*Q$221+Mitigation_Industry!$G$710*Q$220</f>
        <v>0</v>
      </c>
      <c r="R243" s="137">
        <f>Mitigation_Industry!$F$710*R$221+Mitigation_Industry!$G$710*R$220</f>
        <v>0</v>
      </c>
      <c r="S243" s="137">
        <f>Mitigation_Industry!$F$710*S$221+Mitigation_Industry!$G$710*S$220</f>
        <v>0</v>
      </c>
      <c r="T243" s="137">
        <f>Mitigation_Industry!$F$710*T$221+Mitigation_Industry!$G$710*T$220</f>
        <v>0</v>
      </c>
      <c r="U243" s="137">
        <f>Mitigation_Industry!$F$710*U$221+Mitigation_Industry!$G$710*U$220</f>
        <v>0</v>
      </c>
      <c r="V243" s="137">
        <f>Mitigation_Industry!$F$710*V$221+Mitigation_Industry!$G$710*V$220</f>
        <v>0</v>
      </c>
      <c r="W243" s="137">
        <f>Mitigation_Industry!$F$710*W$221+Mitigation_Industry!$G$710*W$220</f>
        <v>0</v>
      </c>
      <c r="X243" s="137">
        <f>Mitigation_Industry!$F$710*X$221+Mitigation_Industry!$G$710*X$220</f>
        <v>0</v>
      </c>
      <c r="Y243" s="137">
        <f>Mitigation_Industry!$F$710*Y$221+Mitigation_Industry!$G$710*Y$220</f>
        <v>0</v>
      </c>
      <c r="Z243" s="137">
        <f>Mitigation_Industry!$F$710*Z$221+Mitigation_Industry!$G$710*Z$220</f>
        <v>0</v>
      </c>
      <c r="AA243" s="137">
        <f>Mitigation_Industry!$F$710*AA$221+Mitigation_Industry!$G$710*AA$220</f>
        <v>0</v>
      </c>
      <c r="AB243" s="137">
        <f>Mitigation_Industry!$F$710*AB$221+Mitigation_Industry!$G$710*AB$220</f>
        <v>0</v>
      </c>
      <c r="AC243" s="137">
        <f>Mitigation_Industry!$F$710*AC$221+Mitigation_Industry!$G$710*AC$220</f>
        <v>0</v>
      </c>
      <c r="AD243" s="137">
        <f>Mitigation_Industry!$F$710*AD$221+Mitigation_Industry!$G$710*AD$220</f>
        <v>0</v>
      </c>
      <c r="AE243" s="137">
        <f>Mitigation_Industry!$F$710*AE$221+Mitigation_Industry!$G$710*AE$220</f>
        <v>0</v>
      </c>
      <c r="AF243" s="138"/>
      <c r="AG243" s="138"/>
      <c r="AH243" s="138"/>
      <c r="AI243" s="138"/>
    </row>
    <row r="244" spans="1:35" customFormat="1" ht="15" x14ac:dyDescent="0.25">
      <c r="B244" s="14" t="s">
        <v>2583</v>
      </c>
      <c r="C244" s="14" t="s">
        <v>43</v>
      </c>
      <c r="D244" s="15" t="s">
        <v>2584</v>
      </c>
      <c r="E244" s="16" t="s">
        <v>1398</v>
      </c>
      <c r="F244" s="14" t="s">
        <v>2561</v>
      </c>
      <c r="G244" s="17"/>
      <c r="H244" s="125" t="str">
        <f>Settings!$B$3&amp;".mit.pp.stl.bof.no.2"</f>
        <v>egy.mit.pp.stl.bof.no.2</v>
      </c>
      <c r="K244" s="136"/>
      <c r="L244" s="137">
        <f>Mitigation_Industry!$F$711*L$221+Mitigation_Industry!$G$711*L$220</f>
        <v>0</v>
      </c>
      <c r="M244" s="137">
        <f>Mitigation_Industry!$F$711*M$221+Mitigation_Industry!$G$711*M$220</f>
        <v>0</v>
      </c>
      <c r="N244" s="137">
        <f>Mitigation_Industry!$F$711*N$221+Mitigation_Industry!$G$711*N$220</f>
        <v>0</v>
      </c>
      <c r="O244" s="137">
        <f>Mitigation_Industry!$F$711*O$221+Mitigation_Industry!$G$711*O$220</f>
        <v>0</v>
      </c>
      <c r="P244" s="137">
        <f>Mitigation_Industry!$F$711*P$221+Mitigation_Industry!$G$711*P$220</f>
        <v>0</v>
      </c>
      <c r="Q244" s="137">
        <f>Mitigation_Industry!$F$711*Q$221+Mitigation_Industry!$G$711*Q$220</f>
        <v>0</v>
      </c>
      <c r="R244" s="137">
        <f>Mitigation_Industry!$F$711*R$221+Mitigation_Industry!$G$711*R$220</f>
        <v>0</v>
      </c>
      <c r="S244" s="137">
        <f>Mitigation_Industry!$F$711*S$221+Mitigation_Industry!$G$711*S$220</f>
        <v>0</v>
      </c>
      <c r="T244" s="137">
        <f>Mitigation_Industry!$F$711*T$221+Mitigation_Industry!$G$711*T$220</f>
        <v>0</v>
      </c>
      <c r="U244" s="137">
        <f>Mitigation_Industry!$F$711*U$221+Mitigation_Industry!$G$711*U$220</f>
        <v>0</v>
      </c>
      <c r="V244" s="137">
        <f>Mitigation_Industry!$F$711*V$221+Mitigation_Industry!$G$711*V$220</f>
        <v>0</v>
      </c>
      <c r="W244" s="137">
        <f>Mitigation_Industry!$F$711*W$221+Mitigation_Industry!$G$711*W$220</f>
        <v>0</v>
      </c>
      <c r="X244" s="137">
        <f>Mitigation_Industry!$F$711*X$221+Mitigation_Industry!$G$711*X$220</f>
        <v>0</v>
      </c>
      <c r="Y244" s="137">
        <f>Mitigation_Industry!$F$711*Y$221+Mitigation_Industry!$G$711*Y$220</f>
        <v>0</v>
      </c>
      <c r="Z244" s="137">
        <f>Mitigation_Industry!$F$711*Z$221+Mitigation_Industry!$G$711*Z$220</f>
        <v>0</v>
      </c>
      <c r="AA244" s="137">
        <f>Mitigation_Industry!$F$711*AA$221+Mitigation_Industry!$G$711*AA$220</f>
        <v>0</v>
      </c>
      <c r="AB244" s="137">
        <f>Mitigation_Industry!$F$711*AB$221+Mitigation_Industry!$G$711*AB$220</f>
        <v>0</v>
      </c>
      <c r="AC244" s="137">
        <f>Mitigation_Industry!$F$711*AC$221+Mitigation_Industry!$G$711*AC$220</f>
        <v>0</v>
      </c>
      <c r="AD244" s="137">
        <f>Mitigation_Industry!$F$711*AD$221+Mitigation_Industry!$G$711*AD$220</f>
        <v>0</v>
      </c>
      <c r="AE244" s="137">
        <f>Mitigation_Industry!$F$711*AE$221+Mitigation_Industry!$G$711*AE$220</f>
        <v>0</v>
      </c>
      <c r="AF244" s="138"/>
      <c r="AG244" s="138"/>
      <c r="AH244" s="138"/>
      <c r="AI244" s="138"/>
    </row>
    <row r="245" spans="1:35" customFormat="1" ht="15" x14ac:dyDescent="0.25">
      <c r="B245" s="14" t="s">
        <v>2585</v>
      </c>
      <c r="C245" s="14" t="s">
        <v>113</v>
      </c>
      <c r="D245" s="15" t="s">
        <v>2586</v>
      </c>
      <c r="E245" s="16" t="s">
        <v>1398</v>
      </c>
      <c r="F245" s="14" t="s">
        <v>2561</v>
      </c>
      <c r="G245" s="17"/>
      <c r="H245" s="125" t="str">
        <f>Settings!$B$3&amp;".mit.pp.cmt.dry.no.2"</f>
        <v>egy.mit.pp.cmt.dry.no.2</v>
      </c>
      <c r="K245" s="136"/>
      <c r="L245" s="137">
        <f>Mitigation_Industry!$F$712*L$221+Mitigation_Industry!$G$712*L$220</f>
        <v>0</v>
      </c>
      <c r="M245" s="137">
        <f>Mitigation_Industry!$F$712*M$221+Mitigation_Industry!$G$712*M$220</f>
        <v>0</v>
      </c>
      <c r="N245" s="137">
        <f>Mitigation_Industry!$F$712*N$221+Mitigation_Industry!$G$712*N$220</f>
        <v>0</v>
      </c>
      <c r="O245" s="137">
        <f>Mitigation_Industry!$F$712*O$221+Mitigation_Industry!$G$712*O$220</f>
        <v>0</v>
      </c>
      <c r="P245" s="137">
        <f>Mitigation_Industry!$F$712*P$221+Mitigation_Industry!$G$712*P$220</f>
        <v>0</v>
      </c>
      <c r="Q245" s="137">
        <f>Mitigation_Industry!$F$712*Q$221+Mitigation_Industry!$G$712*Q$220</f>
        <v>0</v>
      </c>
      <c r="R245" s="137">
        <f>Mitigation_Industry!$F$712*R$221+Mitigation_Industry!$G$712*R$220</f>
        <v>0</v>
      </c>
      <c r="S245" s="137">
        <f>Mitigation_Industry!$F$712*S$221+Mitigation_Industry!$G$712*S$220</f>
        <v>0</v>
      </c>
      <c r="T245" s="137">
        <f>Mitigation_Industry!$F$712*T$221+Mitigation_Industry!$G$712*T$220</f>
        <v>0</v>
      </c>
      <c r="U245" s="137">
        <f>Mitigation_Industry!$F$712*U$221+Mitigation_Industry!$G$712*U$220</f>
        <v>0</v>
      </c>
      <c r="V245" s="137">
        <f>Mitigation_Industry!$F$712*V$221+Mitigation_Industry!$G$712*V$220</f>
        <v>0</v>
      </c>
      <c r="W245" s="137">
        <f>Mitigation_Industry!$F$712*W$221+Mitigation_Industry!$G$712*W$220</f>
        <v>0</v>
      </c>
      <c r="X245" s="137">
        <f>Mitigation_Industry!$F$712*X$221+Mitigation_Industry!$G$712*X$220</f>
        <v>0</v>
      </c>
      <c r="Y245" s="137">
        <f>Mitigation_Industry!$F$712*Y$221+Mitigation_Industry!$G$712*Y$220</f>
        <v>0</v>
      </c>
      <c r="Z245" s="137">
        <f>Mitigation_Industry!$F$712*Z$221+Mitigation_Industry!$G$712*Z$220</f>
        <v>0</v>
      </c>
      <c r="AA245" s="137">
        <f>Mitigation_Industry!$F$712*AA$221+Mitigation_Industry!$G$712*AA$220</f>
        <v>0</v>
      </c>
      <c r="AB245" s="137">
        <f>Mitigation_Industry!$F$712*AB$221+Mitigation_Industry!$G$712*AB$220</f>
        <v>0</v>
      </c>
      <c r="AC245" s="137">
        <f>Mitigation_Industry!$F$712*AC$221+Mitigation_Industry!$G$712*AC$220</f>
        <v>0</v>
      </c>
      <c r="AD245" s="137">
        <f>Mitigation_Industry!$F$712*AD$221+Mitigation_Industry!$G$712*AD$220</f>
        <v>0</v>
      </c>
      <c r="AE245" s="137">
        <f>Mitigation_Industry!$F$712*AE$221+Mitigation_Industry!$G$712*AE$220</f>
        <v>0</v>
      </c>
      <c r="AF245" s="138"/>
      <c r="AG245" s="138"/>
      <c r="AH245" s="138"/>
      <c r="AI245" s="138"/>
    </row>
    <row r="246" spans="1:35" customFormat="1" ht="15" x14ac:dyDescent="0.25">
      <c r="B246" s="14" t="s">
        <v>2587</v>
      </c>
      <c r="C246" s="14" t="s">
        <v>117</v>
      </c>
      <c r="D246" s="15" t="s">
        <v>2588</v>
      </c>
      <c r="E246" s="16" t="s">
        <v>1398</v>
      </c>
      <c r="F246" s="14" t="s">
        <v>2561</v>
      </c>
      <c r="G246" s="17"/>
      <c r="H246" s="125" t="str">
        <f>Settings!$B$3&amp;".mit.pp.frt.amc.no.2"</f>
        <v>egy.mit.pp.frt.amc.no.2</v>
      </c>
      <c r="K246" s="136"/>
      <c r="L246" s="137">
        <f>Mitigation_Industry!$F$713*L$221+Mitigation_Industry!$G$713*L$220</f>
        <v>0</v>
      </c>
      <c r="M246" s="137">
        <f>Mitigation_Industry!$F$713*M$221+Mitigation_Industry!$G$713*M$220</f>
        <v>0</v>
      </c>
      <c r="N246" s="137">
        <f>Mitigation_Industry!$F$713*N$221+Mitigation_Industry!$G$713*N$220</f>
        <v>0</v>
      </c>
      <c r="O246" s="137">
        <f>Mitigation_Industry!$F$713*O$221+Mitigation_Industry!$G$713*O$220</f>
        <v>0</v>
      </c>
      <c r="P246" s="137">
        <f>Mitigation_Industry!$F$713*P$221+Mitigation_Industry!$G$713*P$220</f>
        <v>0</v>
      </c>
      <c r="Q246" s="137">
        <f>Mitigation_Industry!$F$713*Q$221+Mitigation_Industry!$G$713*Q$220</f>
        <v>0</v>
      </c>
      <c r="R246" s="137">
        <f>Mitigation_Industry!$F$713*R$221+Mitigation_Industry!$G$713*R$220</f>
        <v>0</v>
      </c>
      <c r="S246" s="137">
        <f>Mitigation_Industry!$F$713*S$221+Mitigation_Industry!$G$713*S$220</f>
        <v>0</v>
      </c>
      <c r="T246" s="137">
        <f>Mitigation_Industry!$F$713*T$221+Mitigation_Industry!$G$713*T$220</f>
        <v>0</v>
      </c>
      <c r="U246" s="137">
        <f>Mitigation_Industry!$F$713*U$221+Mitigation_Industry!$G$713*U$220</f>
        <v>0</v>
      </c>
      <c r="V246" s="137">
        <f>Mitigation_Industry!$F$713*V$221+Mitigation_Industry!$G$713*V$220</f>
        <v>0</v>
      </c>
      <c r="W246" s="137">
        <f>Mitigation_Industry!$F$713*W$221+Mitigation_Industry!$G$713*W$220</f>
        <v>0</v>
      </c>
      <c r="X246" s="137">
        <f>Mitigation_Industry!$F$713*X$221+Mitigation_Industry!$G$713*X$220</f>
        <v>0</v>
      </c>
      <c r="Y246" s="137">
        <f>Mitigation_Industry!$F$713*Y$221+Mitigation_Industry!$G$713*Y$220</f>
        <v>0</v>
      </c>
      <c r="Z246" s="137">
        <f>Mitigation_Industry!$F$713*Z$221+Mitigation_Industry!$G$713*Z$220</f>
        <v>0</v>
      </c>
      <c r="AA246" s="137">
        <f>Mitigation_Industry!$F$713*AA$221+Mitigation_Industry!$G$713*AA$220</f>
        <v>0</v>
      </c>
      <c r="AB246" s="137">
        <f>Mitigation_Industry!$F$713*AB$221+Mitigation_Industry!$G$713*AB$220</f>
        <v>0</v>
      </c>
      <c r="AC246" s="137">
        <f>Mitigation_Industry!$F$713*AC$221+Mitigation_Industry!$G$713*AC$220</f>
        <v>0</v>
      </c>
      <c r="AD246" s="137">
        <f>Mitigation_Industry!$F$713*AD$221+Mitigation_Industry!$G$713*AD$220</f>
        <v>0</v>
      </c>
      <c r="AE246" s="137">
        <f>Mitigation_Industry!$F$713*AE$221+Mitigation_Industry!$G$713*AE$220</f>
        <v>0</v>
      </c>
      <c r="AF246" s="138"/>
      <c r="AG246" s="138"/>
      <c r="AH246" s="138"/>
      <c r="AI246" s="138"/>
    </row>
    <row r="247" spans="1:35" customFormat="1" ht="15" x14ac:dyDescent="0.25">
      <c r="B247" s="14" t="s">
        <v>2589</v>
      </c>
      <c r="C247" s="14" t="s">
        <v>117</v>
      </c>
      <c r="D247" s="15" t="s">
        <v>2590</v>
      </c>
      <c r="E247" s="16" t="s">
        <v>1398</v>
      </c>
      <c r="F247" s="14" t="s">
        <v>2561</v>
      </c>
      <c r="G247" s="17"/>
      <c r="H247" s="125" t="str">
        <f>Settings!$B$3&amp;".mit.pp.frt.ure.no.2"</f>
        <v>egy.mit.pp.frt.ure.no.2</v>
      </c>
      <c r="K247" s="136"/>
      <c r="L247" s="137">
        <f>Mitigation_Industry!$F$714*L$221+Mitigation_Industry!$G$714*L$220</f>
        <v>0</v>
      </c>
      <c r="M247" s="137">
        <f>Mitigation_Industry!$F$714*M$221+Mitigation_Industry!$G$714*M$220</f>
        <v>0</v>
      </c>
      <c r="N247" s="137">
        <f>Mitigation_Industry!$F$714*N$221+Mitigation_Industry!$G$714*N$220</f>
        <v>0</v>
      </c>
      <c r="O247" s="137">
        <f>Mitigation_Industry!$F$714*O$221+Mitigation_Industry!$G$714*O$220</f>
        <v>0</v>
      </c>
      <c r="P247" s="137">
        <f>Mitigation_Industry!$F$714*P$221+Mitigation_Industry!$G$714*P$220</f>
        <v>0</v>
      </c>
      <c r="Q247" s="137">
        <f>Mitigation_Industry!$F$714*Q$221+Mitigation_Industry!$G$714*Q$220</f>
        <v>0</v>
      </c>
      <c r="R247" s="137">
        <f>Mitigation_Industry!$F$714*R$221+Mitigation_Industry!$G$714*R$220</f>
        <v>0</v>
      </c>
      <c r="S247" s="137">
        <f>Mitigation_Industry!$F$714*S$221+Mitigation_Industry!$G$714*S$220</f>
        <v>0</v>
      </c>
      <c r="T247" s="137">
        <f>Mitigation_Industry!$F$714*T$221+Mitigation_Industry!$G$714*T$220</f>
        <v>0</v>
      </c>
      <c r="U247" s="137">
        <f>Mitigation_Industry!$F$714*U$221+Mitigation_Industry!$G$714*U$220</f>
        <v>0</v>
      </c>
      <c r="V247" s="137">
        <f>Mitigation_Industry!$F$714*V$221+Mitigation_Industry!$G$714*V$220</f>
        <v>0</v>
      </c>
      <c r="W247" s="137">
        <f>Mitigation_Industry!$F$714*W$221+Mitigation_Industry!$G$714*W$220</f>
        <v>0</v>
      </c>
      <c r="X247" s="137">
        <f>Mitigation_Industry!$F$714*X$221+Mitigation_Industry!$G$714*X$220</f>
        <v>0</v>
      </c>
      <c r="Y247" s="137">
        <f>Mitigation_Industry!$F$714*Y$221+Mitigation_Industry!$G$714*Y$220</f>
        <v>0</v>
      </c>
      <c r="Z247" s="137">
        <f>Mitigation_Industry!$F$714*Z$221+Mitigation_Industry!$G$714*Z$220</f>
        <v>0</v>
      </c>
      <c r="AA247" s="137">
        <f>Mitigation_Industry!$F$714*AA$221+Mitigation_Industry!$G$714*AA$220</f>
        <v>0</v>
      </c>
      <c r="AB247" s="137">
        <f>Mitigation_Industry!$F$714*AB$221+Mitigation_Industry!$G$714*AB$220</f>
        <v>0</v>
      </c>
      <c r="AC247" s="137">
        <f>Mitigation_Industry!$F$714*AC$221+Mitigation_Industry!$G$714*AC$220</f>
        <v>0</v>
      </c>
      <c r="AD247" s="137">
        <f>Mitigation_Industry!$F$714*AD$221+Mitigation_Industry!$G$714*AD$220</f>
        <v>0</v>
      </c>
      <c r="AE247" s="137">
        <f>Mitigation_Industry!$F$714*AE$221+Mitigation_Industry!$G$714*AE$220</f>
        <v>0</v>
      </c>
      <c r="AF247" s="138"/>
      <c r="AG247" s="138"/>
      <c r="AH247" s="138"/>
      <c r="AI247" s="138"/>
    </row>
    <row r="248" spans="1:35" customFormat="1" ht="15" x14ac:dyDescent="0.25">
      <c r="B248" s="14" t="s">
        <v>2591</v>
      </c>
      <c r="C248" s="14" t="s">
        <v>117</v>
      </c>
      <c r="D248" s="15" t="s">
        <v>2592</v>
      </c>
      <c r="E248" s="16" t="s">
        <v>1398</v>
      </c>
      <c r="F248" s="14" t="s">
        <v>2561</v>
      </c>
      <c r="G248" s="17"/>
      <c r="H248" s="125" t="str">
        <f>Settings!$B$3&amp;".mit.pp.frt.nit.no.2"</f>
        <v>egy.mit.pp.frt.nit.no.2</v>
      </c>
      <c r="K248" s="136"/>
      <c r="L248" s="137">
        <f>Mitigation_Industry!$F$715*L$221+Mitigation_Industry!$G$715*L$220</f>
        <v>0</v>
      </c>
      <c r="M248" s="137">
        <f>Mitigation_Industry!$F$715*M$221+Mitigation_Industry!$G$715*M$220</f>
        <v>0</v>
      </c>
      <c r="N248" s="137">
        <f>Mitigation_Industry!$F$715*N$221+Mitigation_Industry!$G$715*N$220</f>
        <v>0</v>
      </c>
      <c r="O248" s="137">
        <f>Mitigation_Industry!$F$715*O$221+Mitigation_Industry!$G$715*O$220</f>
        <v>0</v>
      </c>
      <c r="P248" s="137">
        <f>Mitigation_Industry!$F$715*P$221+Mitigation_Industry!$G$715*P$220</f>
        <v>0</v>
      </c>
      <c r="Q248" s="137">
        <f>Mitigation_Industry!$F$715*Q$221+Mitigation_Industry!$G$715*Q$220</f>
        <v>0</v>
      </c>
      <c r="R248" s="137">
        <f>Mitigation_Industry!$F$715*R$221+Mitigation_Industry!$G$715*R$220</f>
        <v>0</v>
      </c>
      <c r="S248" s="137">
        <f>Mitigation_Industry!$F$715*S$221+Mitigation_Industry!$G$715*S$220</f>
        <v>0</v>
      </c>
      <c r="T248" s="137">
        <f>Mitigation_Industry!$F$715*T$221+Mitigation_Industry!$G$715*T$220</f>
        <v>0</v>
      </c>
      <c r="U248" s="137">
        <f>Mitigation_Industry!$F$715*U$221+Mitigation_Industry!$G$715*U$220</f>
        <v>0</v>
      </c>
      <c r="V248" s="137">
        <f>Mitigation_Industry!$F$715*V$221+Mitigation_Industry!$G$715*V$220</f>
        <v>0</v>
      </c>
      <c r="W248" s="137">
        <f>Mitigation_Industry!$F$715*W$221+Mitigation_Industry!$G$715*W$220</f>
        <v>0</v>
      </c>
      <c r="X248" s="137">
        <f>Mitigation_Industry!$F$715*X$221+Mitigation_Industry!$G$715*X$220</f>
        <v>0</v>
      </c>
      <c r="Y248" s="137">
        <f>Mitigation_Industry!$F$715*Y$221+Mitigation_Industry!$G$715*Y$220</f>
        <v>0</v>
      </c>
      <c r="Z248" s="137">
        <f>Mitigation_Industry!$F$715*Z$221+Mitigation_Industry!$G$715*Z$220</f>
        <v>0</v>
      </c>
      <c r="AA248" s="137">
        <f>Mitigation_Industry!$F$715*AA$221+Mitigation_Industry!$G$715*AA$220</f>
        <v>0</v>
      </c>
      <c r="AB248" s="137">
        <f>Mitigation_Industry!$F$715*AB$221+Mitigation_Industry!$G$715*AB$220</f>
        <v>0</v>
      </c>
      <c r="AC248" s="137">
        <f>Mitigation_Industry!$F$715*AC$221+Mitigation_Industry!$G$715*AC$220</f>
        <v>0</v>
      </c>
      <c r="AD248" s="137">
        <f>Mitigation_Industry!$F$715*AD$221+Mitigation_Industry!$G$715*AD$220</f>
        <v>0</v>
      </c>
      <c r="AE248" s="137">
        <f>Mitigation_Industry!$F$715*AE$221+Mitigation_Industry!$G$715*AE$220</f>
        <v>0</v>
      </c>
      <c r="AF248" s="138"/>
      <c r="AG248" s="138"/>
      <c r="AH248" s="138"/>
      <c r="AI248" s="138"/>
    </row>
    <row r="249" spans="1:35" customFormat="1" ht="15" x14ac:dyDescent="0.25">
      <c r="B249" s="14" t="s">
        <v>2593</v>
      </c>
      <c r="C249" s="14" t="s">
        <v>115</v>
      </c>
      <c r="D249" s="15" t="s">
        <v>2594</v>
      </c>
      <c r="E249" s="16" t="s">
        <v>1398</v>
      </c>
      <c r="F249" s="14" t="s">
        <v>2561</v>
      </c>
      <c r="G249" s="17"/>
      <c r="H249" s="125" t="str">
        <f>Settings!$B$3&amp;".mit.pp.alu.prp.no.2"</f>
        <v>egy.mit.pp.alu.prp.no.2</v>
      </c>
      <c r="K249" s="136"/>
      <c r="L249" s="137">
        <f>Mitigation_Industry!$F$716*L$221+Mitigation_Industry!$G$716*L$220</f>
        <v>0</v>
      </c>
      <c r="M249" s="137">
        <f>Mitigation_Industry!$F$716*M$221+Mitigation_Industry!$G$716*M$220</f>
        <v>0</v>
      </c>
      <c r="N249" s="137">
        <f>Mitigation_Industry!$F$716*N$221+Mitigation_Industry!$G$716*N$220</f>
        <v>0</v>
      </c>
      <c r="O249" s="137">
        <f>Mitigation_Industry!$F$716*O$221+Mitigation_Industry!$G$716*O$220</f>
        <v>0</v>
      </c>
      <c r="P249" s="137">
        <f>Mitigation_Industry!$F$716*P$221+Mitigation_Industry!$G$716*P$220</f>
        <v>0</v>
      </c>
      <c r="Q249" s="137">
        <f>Mitigation_Industry!$F$716*Q$221+Mitigation_Industry!$G$716*Q$220</f>
        <v>0</v>
      </c>
      <c r="R249" s="137">
        <f>Mitigation_Industry!$F$716*R$221+Mitigation_Industry!$G$716*R$220</f>
        <v>0</v>
      </c>
      <c r="S249" s="137">
        <f>Mitigation_Industry!$F$716*S$221+Mitigation_Industry!$G$716*S$220</f>
        <v>0</v>
      </c>
      <c r="T249" s="137">
        <f>Mitigation_Industry!$F$716*T$221+Mitigation_Industry!$G$716*T$220</f>
        <v>0</v>
      </c>
      <c r="U249" s="137">
        <f>Mitigation_Industry!$F$716*U$221+Mitigation_Industry!$G$716*U$220</f>
        <v>0</v>
      </c>
      <c r="V249" s="137">
        <f>Mitigation_Industry!$F$716*V$221+Mitigation_Industry!$G$716*V$220</f>
        <v>0</v>
      </c>
      <c r="W249" s="137">
        <f>Mitigation_Industry!$F$716*W$221+Mitigation_Industry!$G$716*W$220</f>
        <v>0</v>
      </c>
      <c r="X249" s="137">
        <f>Mitigation_Industry!$F$716*X$221+Mitigation_Industry!$G$716*X$220</f>
        <v>0</v>
      </c>
      <c r="Y249" s="137">
        <f>Mitigation_Industry!$F$716*Y$221+Mitigation_Industry!$G$716*Y$220</f>
        <v>0</v>
      </c>
      <c r="Z249" s="137">
        <f>Mitigation_Industry!$F$716*Z$221+Mitigation_Industry!$G$716*Z$220</f>
        <v>0</v>
      </c>
      <c r="AA249" s="137">
        <f>Mitigation_Industry!$F$716*AA$221+Mitigation_Industry!$G$716*AA$220</f>
        <v>0</v>
      </c>
      <c r="AB249" s="137">
        <f>Mitigation_Industry!$F$716*AB$221+Mitigation_Industry!$G$716*AB$220</f>
        <v>0</v>
      </c>
      <c r="AC249" s="137">
        <f>Mitigation_Industry!$F$716*AC$221+Mitigation_Industry!$G$716*AC$220</f>
        <v>0</v>
      </c>
      <c r="AD249" s="137">
        <f>Mitigation_Industry!$F$716*AD$221+Mitigation_Industry!$G$716*AD$220</f>
        <v>0</v>
      </c>
      <c r="AE249" s="137">
        <f>Mitigation_Industry!$F$716*AE$221+Mitigation_Industry!$G$716*AE$220</f>
        <v>0</v>
      </c>
      <c r="AF249" s="138"/>
      <c r="AG249" s="138"/>
      <c r="AH249" s="138"/>
      <c r="AI249" s="138"/>
    </row>
    <row r="250" spans="1:35" x14ac:dyDescent="0.2"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</row>
    <row r="251" spans="1:35" customFormat="1" ht="15" x14ac:dyDescent="0.25">
      <c r="A251" s="11"/>
      <c r="B251" s="6"/>
      <c r="C251" s="7" t="s">
        <v>2595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4">
        <v>2021</v>
      </c>
      <c r="L251" s="135">
        <v>2022</v>
      </c>
      <c r="M251" s="134">
        <v>2023</v>
      </c>
      <c r="N251" s="134">
        <v>2024</v>
      </c>
      <c r="O251" s="134">
        <v>2025</v>
      </c>
      <c r="P251" s="134">
        <v>2026</v>
      </c>
      <c r="Q251" s="134">
        <v>2027</v>
      </c>
      <c r="R251" s="134">
        <v>2028</v>
      </c>
      <c r="S251" s="134">
        <v>2029</v>
      </c>
      <c r="T251" s="134">
        <v>2030</v>
      </c>
      <c r="U251" s="134">
        <v>2031</v>
      </c>
      <c r="V251" s="134">
        <v>2032</v>
      </c>
      <c r="W251" s="134">
        <v>2033</v>
      </c>
      <c r="X251" s="134">
        <v>2034</v>
      </c>
      <c r="Y251" s="134">
        <v>2035</v>
      </c>
      <c r="Z251" s="134">
        <v>2036</v>
      </c>
      <c r="AA251" s="134">
        <v>2037</v>
      </c>
      <c r="AB251" s="134">
        <v>2038</v>
      </c>
      <c r="AC251" s="134">
        <v>2039</v>
      </c>
      <c r="AD251" s="134">
        <v>2040</v>
      </c>
      <c r="AE251" s="134">
        <v>2041</v>
      </c>
      <c r="AF251" s="134">
        <v>2042</v>
      </c>
      <c r="AG251" s="134">
        <v>2043</v>
      </c>
      <c r="AH251" s="134">
        <v>2044</v>
      </c>
      <c r="AI251" s="134">
        <v>2045</v>
      </c>
    </row>
    <row r="252" spans="1:35" customFormat="1" ht="15" x14ac:dyDescent="0.25">
      <c r="B252" s="14" t="s">
        <v>1435</v>
      </c>
      <c r="C252" s="14" t="s">
        <v>43</v>
      </c>
      <c r="D252" s="15" t="s">
        <v>2596</v>
      </c>
      <c r="E252" s="16" t="s">
        <v>2065</v>
      </c>
      <c r="F252" s="14" t="s">
        <v>2595</v>
      </c>
      <c r="G252" s="17"/>
      <c r="H252" s="125" t="str">
        <f>Settings!$B$3&amp;".mit.wf.stl.drg.2"</f>
        <v>egy.mit.wf.stl.drg.2</v>
      </c>
      <c r="I252" t="s">
        <v>2597</v>
      </c>
      <c r="K252" s="136"/>
      <c r="L252" s="137">
        <f>Mitigation_Industry!L$729</f>
        <v>2.6717650641872548</v>
      </c>
      <c r="M252" s="137">
        <f>Mitigation_Industry!M$729</f>
        <v>2.789322727011494</v>
      </c>
      <c r="N252" s="137">
        <f>Mitigation_Industry!N$729</f>
        <v>2.9120529269999995</v>
      </c>
      <c r="O252" s="137">
        <f>Mitigation_Industry!O$729</f>
        <v>3.0401832557880004</v>
      </c>
      <c r="P252" s="137">
        <f>Mitigation_Industry!P$729</f>
        <v>3.173951319042672</v>
      </c>
      <c r="Q252" s="137">
        <f>Mitigation_Industry!Q$729</f>
        <v>3.3136051770805501</v>
      </c>
      <c r="R252" s="137">
        <f>Mitigation_Industry!R$729</f>
        <v>3.4594038048720939</v>
      </c>
      <c r="S252" s="137">
        <f>Mitigation_Industry!S$729</f>
        <v>3.6116175722864661</v>
      </c>
      <c r="T252" s="137">
        <f>Mitigation_Industry!T$729</f>
        <v>3.7705287454670713</v>
      </c>
      <c r="U252" s="137">
        <f>Mitigation_Industry!U$729</f>
        <v>3.9364320102676222</v>
      </c>
      <c r="V252" s="137">
        <f>Mitigation_Industry!V$729</f>
        <v>4.1096350187193975</v>
      </c>
      <c r="W252" s="137">
        <f>Mitigation_Industry!W$729</f>
        <v>4.2904589595430505</v>
      </c>
      <c r="X252" s="137">
        <f>Mitigation_Industry!X$729</f>
        <v>4.4792391537629452</v>
      </c>
      <c r="Y252" s="137">
        <f>Mitigation_Industry!Y$729</f>
        <v>4.6763256765285162</v>
      </c>
      <c r="Z252" s="137">
        <f>Mitigation_Industry!Z$729</f>
        <v>4.8820840062957691</v>
      </c>
      <c r="AA252" s="137">
        <f>Mitigation_Industry!AA$729</f>
        <v>5.096895702572783</v>
      </c>
      <c r="AB252" s="137">
        <f>Mitigation_Industry!AB$729</f>
        <v>5.3211591134859875</v>
      </c>
      <c r="AC252" s="137">
        <f>Mitigation_Industry!AC$729</f>
        <v>5.5552901144793703</v>
      </c>
      <c r="AD252" s="137">
        <f>Mitigation_Industry!AD$729</f>
        <v>5.7997228795164624</v>
      </c>
      <c r="AE252" s="137">
        <f>Mitigation_Industry!AE$729</f>
        <v>6.0549106862151856</v>
      </c>
      <c r="AF252" s="138"/>
      <c r="AG252" s="138"/>
      <c r="AH252" s="138"/>
      <c r="AI252" s="138"/>
    </row>
    <row r="253" spans="1:35" customFormat="1" ht="15" x14ac:dyDescent="0.25">
      <c r="B253" s="14" t="s">
        <v>1438</v>
      </c>
      <c r="C253" s="14" t="s">
        <v>43</v>
      </c>
      <c r="D253" s="15" t="s">
        <v>2598</v>
      </c>
      <c r="E253" s="16" t="s">
        <v>2065</v>
      </c>
      <c r="F253" s="14" t="s">
        <v>2595</v>
      </c>
      <c r="G253" s="17"/>
      <c r="H253" s="125" t="str">
        <f>Settings!$B$3&amp;".mit.wf.stl.scr.2"</f>
        <v>egy.mit.wf.stl.scr.2</v>
      </c>
      <c r="K253" s="136"/>
      <c r="L253" s="137">
        <f>Mitigation_Industry!L$730</f>
        <v>0.19764830228563882</v>
      </c>
      <c r="M253" s="137">
        <f>Mitigation_Industry!M$730</f>
        <v>0.20634482758620692</v>
      </c>
      <c r="N253" s="137">
        <f>Mitigation_Industry!N$730</f>
        <v>0.215424</v>
      </c>
      <c r="O253" s="137">
        <f>Mitigation_Industry!O$730</f>
        <v>0.22490265600000001</v>
      </c>
      <c r="P253" s="137">
        <f>Mitigation_Industry!P$730</f>
        <v>0.23479837286400002</v>
      </c>
      <c r="Q253" s="137">
        <f>Mitigation_Industry!Q$730</f>
        <v>0.24512950127001604</v>
      </c>
      <c r="R253" s="137">
        <f>Mitigation_Industry!R$730</f>
        <v>0.25591519932589668</v>
      </c>
      <c r="S253" s="137">
        <f>Mitigation_Industry!S$730</f>
        <v>0.26717546809623621</v>
      </c>
      <c r="T253" s="137">
        <f>Mitigation_Industry!T$730</f>
        <v>0.27893118869247063</v>
      </c>
      <c r="U253" s="137">
        <f>Mitigation_Industry!U$730</f>
        <v>0.29120416099493934</v>
      </c>
      <c r="V253" s="137">
        <f>Mitigation_Industry!V$730</f>
        <v>0.30401714407871661</v>
      </c>
      <c r="W253" s="137">
        <f>Mitigation_Industry!W$730</f>
        <v>0.31739389841818022</v>
      </c>
      <c r="X253" s="137">
        <f>Mitigation_Industry!X$730</f>
        <v>0.33135922994858014</v>
      </c>
      <c r="Y253" s="137">
        <f>Mitigation_Industry!Y$730</f>
        <v>0.34593903606631771</v>
      </c>
      <c r="Z253" s="137">
        <f>Mitigation_Industry!Z$730</f>
        <v>0.36116035365323562</v>
      </c>
      <c r="AA253" s="137">
        <f>Mitigation_Industry!AA$730</f>
        <v>0.37705140921397801</v>
      </c>
      <c r="AB253" s="137">
        <f>Mitigation_Industry!AB$730</f>
        <v>0.39364167121939314</v>
      </c>
      <c r="AC253" s="137">
        <f>Mitigation_Industry!AC$730</f>
        <v>0.41096190475304639</v>
      </c>
      <c r="AD253" s="137">
        <f>Mitigation_Industry!AD$730</f>
        <v>0.42904422856218044</v>
      </c>
      <c r="AE253" s="137">
        <f>Mitigation_Industry!AE$730</f>
        <v>0.44792217461891631</v>
      </c>
      <c r="AF253" s="138"/>
      <c r="AG253" s="138"/>
      <c r="AH253" s="138"/>
      <c r="AI253" s="138"/>
    </row>
    <row r="254" spans="1:35" customFormat="1" ht="15" x14ac:dyDescent="0.25">
      <c r="B254" s="14" t="s">
        <v>1441</v>
      </c>
      <c r="C254" s="14" t="s">
        <v>43</v>
      </c>
      <c r="D254" s="15" t="s">
        <v>2599</v>
      </c>
      <c r="E254" s="16" t="s">
        <v>2065</v>
      </c>
      <c r="F254" s="14" t="s">
        <v>2595</v>
      </c>
      <c r="G254" s="17"/>
      <c r="H254" s="125" t="str">
        <f>Settings!$B$3&amp;".mit.wf.stl.bof.2"</f>
        <v>egy.mit.wf.stl.bof.2</v>
      </c>
      <c r="K254" s="136"/>
      <c r="L254" s="137">
        <f>Mitigation_Industry!L$731</f>
        <v>0</v>
      </c>
      <c r="M254" s="137">
        <f>Mitigation_Industry!M$731</f>
        <v>0</v>
      </c>
      <c r="N254" s="137">
        <f>Mitigation_Industry!N$731</f>
        <v>0</v>
      </c>
      <c r="O254" s="137">
        <f>Mitigation_Industry!O$731</f>
        <v>0</v>
      </c>
      <c r="P254" s="137">
        <f>Mitigation_Industry!P$731</f>
        <v>0</v>
      </c>
      <c r="Q254" s="137">
        <f>Mitigation_Industry!Q$731</f>
        <v>0</v>
      </c>
      <c r="R254" s="137">
        <f>Mitigation_Industry!R$731</f>
        <v>0</v>
      </c>
      <c r="S254" s="137">
        <f>Mitigation_Industry!S$731</f>
        <v>0</v>
      </c>
      <c r="T254" s="137">
        <f>Mitigation_Industry!T$731</f>
        <v>0</v>
      </c>
      <c r="U254" s="137">
        <f>Mitigation_Industry!U$731</f>
        <v>0</v>
      </c>
      <c r="V254" s="137">
        <f>Mitigation_Industry!V$731</f>
        <v>0</v>
      </c>
      <c r="W254" s="137">
        <f>Mitigation_Industry!W$731</f>
        <v>0</v>
      </c>
      <c r="X254" s="137">
        <f>Mitigation_Industry!X$731</f>
        <v>0</v>
      </c>
      <c r="Y254" s="137">
        <f>Mitigation_Industry!Y$731</f>
        <v>0</v>
      </c>
      <c r="Z254" s="137">
        <f>Mitigation_Industry!Z$731</f>
        <v>0</v>
      </c>
      <c r="AA254" s="137">
        <f>Mitigation_Industry!AA$731</f>
        <v>0</v>
      </c>
      <c r="AB254" s="137">
        <f>Mitigation_Industry!AB$731</f>
        <v>0</v>
      </c>
      <c r="AC254" s="137">
        <f>Mitigation_Industry!AC$731</f>
        <v>0</v>
      </c>
      <c r="AD254" s="137">
        <f>Mitigation_Industry!AD$731</f>
        <v>0</v>
      </c>
      <c r="AE254" s="137">
        <f>Mitigation_Industry!AE$731</f>
        <v>0</v>
      </c>
      <c r="AF254" s="138"/>
      <c r="AG254" s="138"/>
      <c r="AH254" s="138"/>
      <c r="AI254" s="138"/>
    </row>
    <row r="255" spans="1:35" customFormat="1" ht="15" x14ac:dyDescent="0.25">
      <c r="B255" s="14" t="s">
        <v>1444</v>
      </c>
      <c r="C255" s="14" t="s">
        <v>113</v>
      </c>
      <c r="D255" s="15" t="s">
        <v>2600</v>
      </c>
      <c r="E255" s="16" t="s">
        <v>2065</v>
      </c>
      <c r="F255" s="14" t="s">
        <v>2595</v>
      </c>
      <c r="G255" s="17"/>
      <c r="H255" s="125" t="str">
        <f>Settings!$B$3&amp;".mit.wf.cmt.dry.2"</f>
        <v>egy.mit.wf.cmt.dry.2</v>
      </c>
      <c r="K255" s="136"/>
      <c r="L255" s="137">
        <f>Mitigation_Industry!L$732</f>
        <v>14.692706044200628</v>
      </c>
      <c r="M255" s="137">
        <f>Mitigation_Industry!M$732</f>
        <v>15.177565343659246</v>
      </c>
      <c r="N255" s="137">
        <f>Mitigation_Industry!N$732</f>
        <v>15.678424999999999</v>
      </c>
      <c r="O255" s="137">
        <f>Mitigation_Industry!O$732</f>
        <v>16.195813024999996</v>
      </c>
      <c r="P255" s="137">
        <f>Mitigation_Industry!P$732</f>
        <v>16.730274854824994</v>
      </c>
      <c r="Q255" s="137">
        <f>Mitigation_Industry!Q$732</f>
        <v>17.282373925034218</v>
      </c>
      <c r="R255" s="137">
        <f>Mitigation_Industry!R$732</f>
        <v>17.852692264560343</v>
      </c>
      <c r="S255" s="137">
        <f>Mitigation_Industry!S$732</f>
        <v>18.441831109290838</v>
      </c>
      <c r="T255" s="137">
        <f>Mitigation_Industry!T$732</f>
        <v>19.050411535897432</v>
      </c>
      <c r="U255" s="137">
        <f>Mitigation_Industry!U$732</f>
        <v>19.679075116582045</v>
      </c>
      <c r="V255" s="137">
        <f>Mitigation_Industry!V$732</f>
        <v>20.328484595429249</v>
      </c>
      <c r="W255" s="137">
        <f>Mitigation_Industry!W$732</f>
        <v>20.999324587078412</v>
      </c>
      <c r="X255" s="137">
        <f>Mitigation_Industry!X$732</f>
        <v>21.692302298451992</v>
      </c>
      <c r="Y255" s="137">
        <f>Mitigation_Industry!Y$732</f>
        <v>22.40814827430091</v>
      </c>
      <c r="Z255" s="137">
        <f>Mitigation_Industry!Z$732</f>
        <v>23.147617167352838</v>
      </c>
      <c r="AA255" s="137">
        <f>Mitigation_Industry!AA$732</f>
        <v>23.911488533875481</v>
      </c>
      <c r="AB255" s="137">
        <f>Mitigation_Industry!AB$732</f>
        <v>24.700567655493362</v>
      </c>
      <c r="AC255" s="137">
        <f>Mitigation_Industry!AC$732</f>
        <v>25.515686388124642</v>
      </c>
      <c r="AD255" s="137">
        <f>Mitigation_Industry!AD$732</f>
        <v>26.357704038932756</v>
      </c>
      <c r="AE255" s="137">
        <f>Mitigation_Industry!AE$732</f>
        <v>27.227508272217527</v>
      </c>
      <c r="AF255" s="138"/>
      <c r="AG255" s="138"/>
      <c r="AH255" s="138"/>
      <c r="AI255" s="138"/>
    </row>
    <row r="256" spans="1:35" customFormat="1" ht="15" x14ac:dyDescent="0.25">
      <c r="B256" s="14" t="s">
        <v>1447</v>
      </c>
      <c r="C256" s="14" t="s">
        <v>117</v>
      </c>
      <c r="D256" s="15" t="s">
        <v>2601</v>
      </c>
      <c r="E256" s="16" t="s">
        <v>2065</v>
      </c>
      <c r="F256" s="14" t="s">
        <v>2595</v>
      </c>
      <c r="G256" s="17"/>
      <c r="H256" s="125" t="str">
        <f>Settings!$B$3&amp;".mit.wf.frt.amc.2"</f>
        <v>egy.mit.wf.frt.amc.2</v>
      </c>
      <c r="K256" s="136"/>
      <c r="L256" s="137">
        <f>Mitigation_Industry!L$733</f>
        <v>3.3747527008551588</v>
      </c>
      <c r="M256" s="137">
        <f>Mitigation_Industry!M$733</f>
        <v>3.4489972602739725</v>
      </c>
      <c r="N256" s="137">
        <f>Mitigation_Industry!N$733</f>
        <v>3.5248751999999999</v>
      </c>
      <c r="O256" s="137">
        <f>Mitigation_Industry!O$733</f>
        <v>3.6024224544000001</v>
      </c>
      <c r="P256" s="137">
        <f>Mitigation_Industry!P$733</f>
        <v>3.6816757483967999</v>
      </c>
      <c r="Q256" s="137">
        <f>Mitigation_Industry!Q$733</f>
        <v>3.7626726148615299</v>
      </c>
      <c r="R256" s="137">
        <f>Mitigation_Industry!R$733</f>
        <v>3.8454514123884831</v>
      </c>
      <c r="S256" s="137">
        <f>Mitigation_Industry!S$733</f>
        <v>3.9300513434610296</v>
      </c>
      <c r="T256" s="137">
        <f>Mitigation_Industry!T$733</f>
        <v>4.0165124730171726</v>
      </c>
      <c r="U256" s="137">
        <f>Mitigation_Industry!U$733</f>
        <v>4.1048757474235504</v>
      </c>
      <c r="V256" s="137">
        <f>Mitigation_Industry!V$733</f>
        <v>4.1951830138668695</v>
      </c>
      <c r="W256" s="137">
        <f>Mitigation_Industry!W$733</f>
        <v>4.2874770401719395</v>
      </c>
      <c r="X256" s="137">
        <f>Mitigation_Industry!X$733</f>
        <v>4.3818015350557227</v>
      </c>
      <c r="Y256" s="137">
        <f>Mitigation_Industry!Y$733</f>
        <v>4.4782011688269483</v>
      </c>
      <c r="Z256" s="137">
        <f>Mitigation_Industry!Z$733</f>
        <v>4.5767215945411417</v>
      </c>
      <c r="AA256" s="137">
        <f>Mitigation_Industry!AA$733</f>
        <v>4.6774094696210469</v>
      </c>
      <c r="AB256" s="137">
        <f>Mitigation_Industry!AB$733</f>
        <v>4.7803124779527089</v>
      </c>
      <c r="AC256" s="137">
        <f>Mitigation_Industry!AC$733</f>
        <v>4.8854793524676694</v>
      </c>
      <c r="AD256" s="137">
        <f>Mitigation_Industry!AD$733</f>
        <v>4.9929598982219581</v>
      </c>
      <c r="AE256" s="137">
        <f>Mitigation_Industry!AE$733</f>
        <v>5.1028050159828409</v>
      </c>
      <c r="AF256" s="138"/>
      <c r="AG256" s="138"/>
      <c r="AH256" s="138"/>
      <c r="AI256" s="138"/>
    </row>
    <row r="257" spans="1:35" customFormat="1" ht="15" x14ac:dyDescent="0.25">
      <c r="B257" s="14" t="s">
        <v>1450</v>
      </c>
      <c r="C257" s="14" t="s">
        <v>117</v>
      </c>
      <c r="D257" s="15" t="s">
        <v>2602</v>
      </c>
      <c r="E257" s="16" t="s">
        <v>2065</v>
      </c>
      <c r="F257" s="14" t="s">
        <v>2595</v>
      </c>
      <c r="G257" s="17"/>
      <c r="H257" s="125" t="str">
        <f>Settings!$B$3&amp;".mit.wf.frt.ure.2"</f>
        <v>egy.mit.wf.frt.ure.2</v>
      </c>
      <c r="K257" s="136"/>
      <c r="L257" s="137">
        <f>Mitigation_Industry!L$734</f>
        <v>0.30078009811543305</v>
      </c>
      <c r="M257" s="137">
        <f>Mitigation_Industry!M$734</f>
        <v>0.30739726027397257</v>
      </c>
      <c r="N257" s="137">
        <f>Mitigation_Industry!N$734</f>
        <v>0.31415999999999999</v>
      </c>
      <c r="O257" s="137">
        <f>Mitigation_Industry!O$734</f>
        <v>0.32107151999999994</v>
      </c>
      <c r="P257" s="137">
        <f>Mitigation_Industry!P$734</f>
        <v>0.32813509343999991</v>
      </c>
      <c r="Q257" s="137">
        <f>Mitigation_Industry!Q$734</f>
        <v>0.33535406549567992</v>
      </c>
      <c r="R257" s="137">
        <f>Mitigation_Industry!R$734</f>
        <v>0.34273185493658498</v>
      </c>
      <c r="S257" s="137">
        <f>Mitigation_Industry!S$734</f>
        <v>0.35027195574518982</v>
      </c>
      <c r="T257" s="137">
        <f>Mitigation_Industry!T$734</f>
        <v>0.3579779387715839</v>
      </c>
      <c r="U257" s="137">
        <f>Mitigation_Industry!U$734</f>
        <v>0.36585345342455883</v>
      </c>
      <c r="V257" s="137">
        <f>Mitigation_Industry!V$734</f>
        <v>0.37390222939989914</v>
      </c>
      <c r="W257" s="137">
        <f>Mitigation_Industry!W$734</f>
        <v>0.38212807844669694</v>
      </c>
      <c r="X257" s="137">
        <f>Mitigation_Industry!X$734</f>
        <v>0.39053489617252429</v>
      </c>
      <c r="Y257" s="137">
        <f>Mitigation_Industry!Y$734</f>
        <v>0.39912666388831985</v>
      </c>
      <c r="Z257" s="137">
        <f>Mitigation_Industry!Z$734</f>
        <v>0.4079074504938629</v>
      </c>
      <c r="AA257" s="137">
        <f>Mitigation_Industry!AA$734</f>
        <v>0.41688141440472787</v>
      </c>
      <c r="AB257" s="137">
        <f>Mitigation_Industry!AB$734</f>
        <v>0.42605280552163183</v>
      </c>
      <c r="AC257" s="137">
        <f>Mitigation_Industry!AC$734</f>
        <v>0.43542596724310778</v>
      </c>
      <c r="AD257" s="137">
        <f>Mitigation_Industry!AD$734</f>
        <v>0.44500533852245616</v>
      </c>
      <c r="AE257" s="137">
        <f>Mitigation_Industry!AE$734</f>
        <v>0.45479545596995019</v>
      </c>
      <c r="AF257" s="138"/>
      <c r="AG257" s="138"/>
      <c r="AH257" s="138"/>
      <c r="AI257" s="138"/>
    </row>
    <row r="258" spans="1:35" customFormat="1" ht="15" x14ac:dyDescent="0.25">
      <c r="B258" s="14" t="s">
        <v>1453</v>
      </c>
      <c r="C258" s="14" t="s">
        <v>117</v>
      </c>
      <c r="D258" s="15" t="s">
        <v>2603</v>
      </c>
      <c r="E258" s="16" t="s">
        <v>2065</v>
      </c>
      <c r="F258" s="14" t="s">
        <v>2595</v>
      </c>
      <c r="G258" s="17"/>
      <c r="H258" s="125" t="str">
        <f>Settings!$B$3&amp;".mit.wf.frt.nit.2"</f>
        <v>egy.mit.wf.frt.nit.2</v>
      </c>
      <c r="K258" s="136"/>
      <c r="L258" s="137">
        <f>Mitigation_Industry!L$735</f>
        <v>6.4452878167592806E-2</v>
      </c>
      <c r="M258" s="137">
        <f>Mitigation_Industry!M$735</f>
        <v>6.5870841487279841E-2</v>
      </c>
      <c r="N258" s="137">
        <f>Mitigation_Industry!N$735</f>
        <v>6.7319999999999991E-2</v>
      </c>
      <c r="O258" s="137">
        <f>Mitigation_Industry!O$735</f>
        <v>6.8801039999999994E-2</v>
      </c>
      <c r="P258" s="137">
        <f>Mitigation_Industry!P$735</f>
        <v>7.031466287999999E-2</v>
      </c>
      <c r="Q258" s="137">
        <f>Mitigation_Industry!Q$735</f>
        <v>7.1861585463359995E-2</v>
      </c>
      <c r="R258" s="137">
        <f>Mitigation_Industry!R$735</f>
        <v>7.3442540343553922E-2</v>
      </c>
      <c r="S258" s="137">
        <f>Mitigation_Industry!S$735</f>
        <v>7.5058276231112109E-2</v>
      </c>
      <c r="T258" s="137">
        <f>Mitigation_Industry!T$735</f>
        <v>7.6709558308196563E-2</v>
      </c>
      <c r="U258" s="137">
        <f>Mitigation_Industry!U$735</f>
        <v>7.8397168590976896E-2</v>
      </c>
      <c r="V258" s="137">
        <f>Mitigation_Industry!V$735</f>
        <v>8.012190629997841E-2</v>
      </c>
      <c r="W258" s="137">
        <f>Mitigation_Industry!W$735</f>
        <v>8.1884588238577902E-2</v>
      </c>
      <c r="X258" s="137">
        <f>Mitigation_Industry!X$735</f>
        <v>8.3686049179826624E-2</v>
      </c>
      <c r="Y258" s="137">
        <f>Mitigation_Industry!Y$735</f>
        <v>8.5527142261782832E-2</v>
      </c>
      <c r="Z258" s="137">
        <f>Mitigation_Industry!Z$735</f>
        <v>8.7408739391542062E-2</v>
      </c>
      <c r="AA258" s="137">
        <f>Mitigation_Industry!AA$735</f>
        <v>8.9331731658155972E-2</v>
      </c>
      <c r="AB258" s="137">
        <f>Mitigation_Industry!AB$735</f>
        <v>9.1297029754635384E-2</v>
      </c>
      <c r="AC258" s="137">
        <f>Mitigation_Industry!AC$735</f>
        <v>9.3305564409237374E-2</v>
      </c>
      <c r="AD258" s="137">
        <f>Mitigation_Industry!AD$735</f>
        <v>9.5358286826240604E-2</v>
      </c>
      <c r="AE258" s="137">
        <f>Mitigation_Industry!AE$735</f>
        <v>9.74561691364179E-2</v>
      </c>
      <c r="AF258" s="138"/>
      <c r="AG258" s="138"/>
      <c r="AH258" s="138"/>
      <c r="AI258" s="138"/>
    </row>
    <row r="259" spans="1:35" customFormat="1" ht="15" x14ac:dyDescent="0.25">
      <c r="B259" s="14" t="s">
        <v>1456</v>
      </c>
      <c r="C259" s="14" t="s">
        <v>115</v>
      </c>
      <c r="D259" s="15" t="s">
        <v>2604</v>
      </c>
      <c r="E259" s="16" t="s">
        <v>2065</v>
      </c>
      <c r="F259" s="14" t="s">
        <v>2595</v>
      </c>
      <c r="G259" s="17"/>
      <c r="H259" s="125" t="str">
        <f>Settings!$B$3&amp;".mit.wf.alu.prp.2"</f>
        <v>egy.mit.wf.alu.prp.2</v>
      </c>
      <c r="K259" s="136"/>
      <c r="L259" s="137">
        <f>Mitigation_Industry!L$736</f>
        <v>3.3266099144224071E-2</v>
      </c>
      <c r="M259" s="137">
        <f>Mitigation_Industry!M$736</f>
        <v>3.5095734597156404E-2</v>
      </c>
      <c r="N259" s="137">
        <f>Mitigation_Industry!N$736</f>
        <v>3.7026000000000003E-2</v>
      </c>
      <c r="O259" s="137">
        <f>Mitigation_Industry!O$736</f>
        <v>3.9062430000000002E-2</v>
      </c>
      <c r="P259" s="137">
        <f>Mitigation_Industry!P$736</f>
        <v>4.1210863649999999E-2</v>
      </c>
      <c r="Q259" s="137">
        <f>Mitigation_Industry!Q$736</f>
        <v>4.3477461150749991E-2</v>
      </c>
      <c r="R259" s="137">
        <f>Mitigation_Industry!R$736</f>
        <v>4.5868721514041248E-2</v>
      </c>
      <c r="S259" s="137">
        <f>Mitigation_Industry!S$736</f>
        <v>4.8391501197313509E-2</v>
      </c>
      <c r="T259" s="137">
        <f>Mitigation_Industry!T$736</f>
        <v>5.105303376316575E-2</v>
      </c>
      <c r="U259" s="137">
        <f>Mitigation_Industry!U$736</f>
        <v>5.3860950620139861E-2</v>
      </c>
      <c r="V259" s="137">
        <f>Mitigation_Industry!V$736</f>
        <v>5.6823302904247558E-2</v>
      </c>
      <c r="W259" s="137">
        <f>Mitigation_Industry!W$736</f>
        <v>5.9948584563981173E-2</v>
      </c>
      <c r="X259" s="137">
        <f>Mitigation_Industry!X$736</f>
        <v>6.3245756715000129E-2</v>
      </c>
      <c r="Y259" s="137">
        <f>Mitigation_Industry!Y$736</f>
        <v>6.6724273334325138E-2</v>
      </c>
      <c r="Z259" s="137">
        <f>Mitigation_Industry!Z$736</f>
        <v>7.039410836771301E-2</v>
      </c>
      <c r="AA259" s="137">
        <f>Mitigation_Industry!AA$736</f>
        <v>7.426578432793722E-2</v>
      </c>
      <c r="AB259" s="137">
        <f>Mitigation_Industry!AB$736</f>
        <v>7.8350402465973787E-2</v>
      </c>
      <c r="AC259" s="137">
        <f>Mitigation_Industry!AC$736</f>
        <v>8.2659674601602312E-2</v>
      </c>
      <c r="AD259" s="137">
        <f>Mitigation_Industry!AD$736</f>
        <v>8.7205956704690446E-2</v>
      </c>
      <c r="AE259" s="137">
        <f>Mitigation_Industry!AE$736</f>
        <v>9.2002284323448424E-2</v>
      </c>
      <c r="AF259" s="138"/>
      <c r="AG259" s="138"/>
      <c r="AH259" s="138"/>
      <c r="AI259" s="138"/>
    </row>
    <row r="260" spans="1:35" x14ac:dyDescent="0.2"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</row>
    <row r="261" spans="1:35" customFormat="1" ht="15" x14ac:dyDescent="0.25">
      <c r="A261" s="11"/>
      <c r="B261" s="6"/>
      <c r="C261" s="7" t="s">
        <v>2605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4">
        <v>2021</v>
      </c>
      <c r="L261" s="135">
        <v>2022</v>
      </c>
      <c r="M261" s="134">
        <v>2023</v>
      </c>
      <c r="N261" s="134">
        <v>2024</v>
      </c>
      <c r="O261" s="134">
        <v>2025</v>
      </c>
      <c r="P261" s="134">
        <v>2026</v>
      </c>
      <c r="Q261" s="134">
        <v>2027</v>
      </c>
      <c r="R261" s="134">
        <v>2028</v>
      </c>
      <c r="S261" s="134">
        <v>2029</v>
      </c>
      <c r="T261" s="134">
        <v>2030</v>
      </c>
      <c r="U261" s="134">
        <v>2031</v>
      </c>
      <c r="V261" s="134">
        <v>2032</v>
      </c>
      <c r="W261" s="134">
        <v>2033</v>
      </c>
      <c r="X261" s="134">
        <v>2034</v>
      </c>
      <c r="Y261" s="134">
        <v>2035</v>
      </c>
      <c r="Z261" s="134">
        <v>2036</v>
      </c>
      <c r="AA261" s="134">
        <v>2037</v>
      </c>
      <c r="AB261" s="134">
        <v>2038</v>
      </c>
      <c r="AC261" s="134">
        <v>2039</v>
      </c>
      <c r="AD261" s="134">
        <v>2040</v>
      </c>
      <c r="AE261" s="134">
        <v>2041</v>
      </c>
      <c r="AF261" s="134">
        <v>2042</v>
      </c>
      <c r="AG261" s="134">
        <v>2043</v>
      </c>
      <c r="AH261" s="134">
        <v>2044</v>
      </c>
      <c r="AI261" s="134">
        <v>2045</v>
      </c>
    </row>
    <row r="262" spans="1:35" customFormat="1" ht="15" x14ac:dyDescent="0.25">
      <c r="B262" s="14" t="s">
        <v>1435</v>
      </c>
      <c r="C262" s="14" t="s">
        <v>43</v>
      </c>
      <c r="D262" s="15" t="s">
        <v>2606</v>
      </c>
      <c r="E262" s="16" t="s">
        <v>2607</v>
      </c>
      <c r="F262" s="14" t="s">
        <v>2605</v>
      </c>
      <c r="G262" s="17"/>
      <c r="H262" s="125" t="str">
        <f>Settings!$B$3&amp;".mit.bf.stl.drg.2"</f>
        <v>egy.mit.bf.stl.drg.2</v>
      </c>
      <c r="I262" t="s">
        <v>2608</v>
      </c>
      <c r="K262" s="136"/>
      <c r="L262" s="139">
        <f>Mitigation_Industry!$E$751</f>
        <v>1.0536051565782599E-3</v>
      </c>
      <c r="M262" s="139">
        <f>Mitigation_Industry!$E$751</f>
        <v>1.0536051565782599E-3</v>
      </c>
      <c r="N262" s="139">
        <f>Mitigation_Industry!$E$751</f>
        <v>1.0536051565782599E-3</v>
      </c>
      <c r="O262" s="139">
        <f>Mitigation_Industry!$E$751</f>
        <v>1.0536051565782599E-3</v>
      </c>
      <c r="P262" s="139">
        <f>Mitigation_Industry!$E$751</f>
        <v>1.0536051565782599E-3</v>
      </c>
      <c r="Q262" s="139">
        <f>Mitigation_Industry!$E$751</f>
        <v>1.0536051565782599E-3</v>
      </c>
      <c r="R262" s="139">
        <f>Mitigation_Industry!$E$751</f>
        <v>1.0536051565782599E-3</v>
      </c>
      <c r="S262" s="139">
        <f>Mitigation_Industry!$E$751</f>
        <v>1.0536051565782599E-3</v>
      </c>
      <c r="T262" s="139">
        <f>Mitigation_Industry!$E$751</f>
        <v>1.0536051565782599E-3</v>
      </c>
      <c r="U262" s="139">
        <f>Mitigation_Industry!$E$751</f>
        <v>1.0536051565782599E-3</v>
      </c>
      <c r="V262" s="139">
        <f>Mitigation_Industry!$E$751</f>
        <v>1.0536051565782599E-3</v>
      </c>
      <c r="W262" s="139">
        <f>Mitigation_Industry!$E$751</f>
        <v>1.0536051565782599E-3</v>
      </c>
      <c r="X262" s="139">
        <f>Mitigation_Industry!$E$751</f>
        <v>1.0536051565782599E-3</v>
      </c>
      <c r="Y262" s="139">
        <f>Mitigation_Industry!$E$751</f>
        <v>1.0536051565782599E-3</v>
      </c>
      <c r="Z262" s="139">
        <f>Mitigation_Industry!$E$751</f>
        <v>1.0536051565782599E-3</v>
      </c>
      <c r="AA262" s="139">
        <f>Mitigation_Industry!$E$751</f>
        <v>1.0536051565782599E-3</v>
      </c>
      <c r="AB262" s="139">
        <f>Mitigation_Industry!$E$751</f>
        <v>1.0536051565782599E-3</v>
      </c>
      <c r="AC262" s="139">
        <f>Mitigation_Industry!$E$751</f>
        <v>1.0536051565782599E-3</v>
      </c>
      <c r="AD262" s="139">
        <f>Mitigation_Industry!$E$751</f>
        <v>1.0536051565782599E-3</v>
      </c>
      <c r="AE262" s="139">
        <f>Mitigation_Industry!$E$751</f>
        <v>1.0536051565782599E-3</v>
      </c>
      <c r="AF262" s="138"/>
      <c r="AG262" s="138"/>
      <c r="AH262" s="138"/>
      <c r="AI262" s="138"/>
    </row>
    <row r="263" spans="1:35" customFormat="1" ht="15" x14ac:dyDescent="0.25">
      <c r="B263" s="14" t="s">
        <v>1438</v>
      </c>
      <c r="C263" s="14" t="s">
        <v>43</v>
      </c>
      <c r="D263" s="15" t="s">
        <v>2609</v>
      </c>
      <c r="E263" s="16" t="s">
        <v>2607</v>
      </c>
      <c r="F263" s="14" t="s">
        <v>2605</v>
      </c>
      <c r="G263" s="17"/>
      <c r="H263" s="125" t="str">
        <f>Settings!$B$3&amp;".mit.bf.stl.scr.2"</f>
        <v>egy.mit.bf.stl.scr.2</v>
      </c>
      <c r="K263" s="136"/>
      <c r="L263" s="139">
        <f>Mitigation_Industry!$E$752</f>
        <v>2.0202707317519501E-4</v>
      </c>
      <c r="M263" s="139">
        <f>Mitigation_Industry!$E$752</f>
        <v>2.0202707317519501E-4</v>
      </c>
      <c r="N263" s="139">
        <f>Mitigation_Industry!$E$752</f>
        <v>2.0202707317519501E-4</v>
      </c>
      <c r="O263" s="139">
        <f>Mitigation_Industry!$E$752</f>
        <v>2.0202707317519501E-4</v>
      </c>
      <c r="P263" s="139">
        <f>Mitigation_Industry!$E$752</f>
        <v>2.0202707317519501E-4</v>
      </c>
      <c r="Q263" s="139">
        <f>Mitigation_Industry!$E$752</f>
        <v>2.0202707317519501E-4</v>
      </c>
      <c r="R263" s="139">
        <f>Mitigation_Industry!$E$752</f>
        <v>2.0202707317519501E-4</v>
      </c>
      <c r="S263" s="139">
        <f>Mitigation_Industry!$E$752</f>
        <v>2.0202707317519501E-4</v>
      </c>
      <c r="T263" s="139">
        <f>Mitigation_Industry!$E$752</f>
        <v>2.0202707317519501E-4</v>
      </c>
      <c r="U263" s="139">
        <f>Mitigation_Industry!$E$752</f>
        <v>2.0202707317519501E-4</v>
      </c>
      <c r="V263" s="139">
        <f>Mitigation_Industry!$E$752</f>
        <v>2.0202707317519501E-4</v>
      </c>
      <c r="W263" s="139">
        <f>Mitigation_Industry!$E$752</f>
        <v>2.0202707317519501E-4</v>
      </c>
      <c r="X263" s="139">
        <f>Mitigation_Industry!$E$752</f>
        <v>2.0202707317519501E-4</v>
      </c>
      <c r="Y263" s="139">
        <f>Mitigation_Industry!$E$752</f>
        <v>2.0202707317519501E-4</v>
      </c>
      <c r="Z263" s="139">
        <f>Mitigation_Industry!$E$752</f>
        <v>2.0202707317519501E-4</v>
      </c>
      <c r="AA263" s="139">
        <f>Mitigation_Industry!$E$752</f>
        <v>2.0202707317519501E-4</v>
      </c>
      <c r="AB263" s="139">
        <f>Mitigation_Industry!$E$752</f>
        <v>2.0202707317519501E-4</v>
      </c>
      <c r="AC263" s="139">
        <f>Mitigation_Industry!$E$752</f>
        <v>2.0202707317519501E-4</v>
      </c>
      <c r="AD263" s="139">
        <f>Mitigation_Industry!$E$752</f>
        <v>2.0202707317519501E-4</v>
      </c>
      <c r="AE263" s="139">
        <f>Mitigation_Industry!$E$752</f>
        <v>2.0202707317519501E-4</v>
      </c>
      <c r="AF263" s="138"/>
      <c r="AG263" s="138"/>
      <c r="AH263" s="138"/>
      <c r="AI263" s="138"/>
    </row>
    <row r="264" spans="1:35" customFormat="1" ht="15" x14ac:dyDescent="0.25">
      <c r="B264" s="14" t="s">
        <v>1441</v>
      </c>
      <c r="C264" s="14" t="s">
        <v>43</v>
      </c>
      <c r="D264" s="15" t="s">
        <v>2610</v>
      </c>
      <c r="E264" s="16" t="s">
        <v>2607</v>
      </c>
      <c r="F264" s="14" t="s">
        <v>2605</v>
      </c>
      <c r="G264" s="17"/>
      <c r="H264" s="125" t="str">
        <f>Settings!$B$3&amp;".mit.bf.stl.bof.2"</f>
        <v>egy.mit.bf.stl.bof.2</v>
      </c>
      <c r="K264" s="136"/>
      <c r="L264" s="139">
        <f>Mitigation_Industry!$E$753</f>
        <v>5.1293294387550598E-4</v>
      </c>
      <c r="M264" s="139">
        <f>Mitigation_Industry!$E$753</f>
        <v>5.1293294387550598E-4</v>
      </c>
      <c r="N264" s="139">
        <f>Mitigation_Industry!$E$753</f>
        <v>5.1293294387550598E-4</v>
      </c>
      <c r="O264" s="139">
        <f>Mitigation_Industry!$E$753</f>
        <v>5.1293294387550598E-4</v>
      </c>
      <c r="P264" s="139">
        <f>Mitigation_Industry!$E$753</f>
        <v>5.1293294387550598E-4</v>
      </c>
      <c r="Q264" s="139">
        <f>Mitigation_Industry!$E$753</f>
        <v>5.1293294387550598E-4</v>
      </c>
      <c r="R264" s="139">
        <f>Mitigation_Industry!$E$753</f>
        <v>5.1293294387550598E-4</v>
      </c>
      <c r="S264" s="139">
        <f>Mitigation_Industry!$E$753</f>
        <v>5.1293294387550598E-4</v>
      </c>
      <c r="T264" s="139">
        <f>Mitigation_Industry!$E$753</f>
        <v>5.1293294387550598E-4</v>
      </c>
      <c r="U264" s="139">
        <f>Mitigation_Industry!$E$753</f>
        <v>5.1293294387550598E-4</v>
      </c>
      <c r="V264" s="139">
        <f>Mitigation_Industry!$E$753</f>
        <v>5.1293294387550598E-4</v>
      </c>
      <c r="W264" s="139">
        <f>Mitigation_Industry!$E$753</f>
        <v>5.1293294387550598E-4</v>
      </c>
      <c r="X264" s="139">
        <f>Mitigation_Industry!$E$753</f>
        <v>5.1293294387550598E-4</v>
      </c>
      <c r="Y264" s="139">
        <f>Mitigation_Industry!$E$753</f>
        <v>5.1293294387550598E-4</v>
      </c>
      <c r="Z264" s="139">
        <f>Mitigation_Industry!$E$753</f>
        <v>5.1293294387550598E-4</v>
      </c>
      <c r="AA264" s="139">
        <f>Mitigation_Industry!$E$753</f>
        <v>5.1293294387550598E-4</v>
      </c>
      <c r="AB264" s="139">
        <f>Mitigation_Industry!$E$753</f>
        <v>5.1293294387550598E-4</v>
      </c>
      <c r="AC264" s="139">
        <f>Mitigation_Industry!$E$753</f>
        <v>5.1293294387550598E-4</v>
      </c>
      <c r="AD264" s="139">
        <f>Mitigation_Industry!$E$753</f>
        <v>5.1293294387550598E-4</v>
      </c>
      <c r="AE264" s="139">
        <f>Mitigation_Industry!$E$753</f>
        <v>5.1293294387550598E-4</v>
      </c>
      <c r="AF264" s="138"/>
      <c r="AG264" s="138"/>
      <c r="AH264" s="138"/>
      <c r="AI264" s="138"/>
    </row>
    <row r="265" spans="1:35" customFormat="1" ht="15" x14ac:dyDescent="0.25">
      <c r="B265" s="14" t="s">
        <v>1444</v>
      </c>
      <c r="C265" s="14" t="s">
        <v>113</v>
      </c>
      <c r="D265" s="15" t="s">
        <v>2611</v>
      </c>
      <c r="E265" s="16" t="s">
        <v>2607</v>
      </c>
      <c r="F265" s="14" t="s">
        <v>2605</v>
      </c>
      <c r="G265" s="17"/>
      <c r="H265" s="125" t="str">
        <f>Settings!$B$3&amp;".mit.bf.cmt.dry.2"</f>
        <v>egy.mit.bf.cmt.dry.2</v>
      </c>
      <c r="K265" s="136"/>
      <c r="L265" s="139">
        <f>Mitigation_Industry!$E$754</f>
        <v>8.3381608939051E-4</v>
      </c>
      <c r="M265" s="139">
        <f>Mitigation_Industry!$E$754</f>
        <v>8.3381608939051E-4</v>
      </c>
      <c r="N265" s="139">
        <f>Mitigation_Industry!$E$754</f>
        <v>8.3381608939051E-4</v>
      </c>
      <c r="O265" s="139">
        <f>Mitigation_Industry!$E$754</f>
        <v>8.3381608939051E-4</v>
      </c>
      <c r="P265" s="139">
        <f>Mitigation_Industry!$E$754</f>
        <v>8.3381608939051E-4</v>
      </c>
      <c r="Q265" s="139">
        <f>Mitigation_Industry!$E$754</f>
        <v>8.3381608939051E-4</v>
      </c>
      <c r="R265" s="139">
        <f>Mitigation_Industry!$E$754</f>
        <v>8.3381608939051E-4</v>
      </c>
      <c r="S265" s="139">
        <f>Mitigation_Industry!$E$754</f>
        <v>8.3381608939051E-4</v>
      </c>
      <c r="T265" s="139">
        <f>Mitigation_Industry!$E$754</f>
        <v>8.3381608939051E-4</v>
      </c>
      <c r="U265" s="139">
        <f>Mitigation_Industry!$E$754</f>
        <v>8.3381608939051E-4</v>
      </c>
      <c r="V265" s="139">
        <f>Mitigation_Industry!$E$754</f>
        <v>8.3381608939051E-4</v>
      </c>
      <c r="W265" s="139">
        <f>Mitigation_Industry!$E$754</f>
        <v>8.3381608939051E-4</v>
      </c>
      <c r="X265" s="139">
        <f>Mitigation_Industry!$E$754</f>
        <v>8.3381608939051E-4</v>
      </c>
      <c r="Y265" s="139">
        <f>Mitigation_Industry!$E$754</f>
        <v>8.3381608939051E-4</v>
      </c>
      <c r="Z265" s="139">
        <f>Mitigation_Industry!$E$754</f>
        <v>8.3381608939051E-4</v>
      </c>
      <c r="AA265" s="139">
        <f>Mitigation_Industry!$E$754</f>
        <v>8.3381608939051E-4</v>
      </c>
      <c r="AB265" s="139">
        <f>Mitigation_Industry!$E$754</f>
        <v>8.3381608939051E-4</v>
      </c>
      <c r="AC265" s="139">
        <f>Mitigation_Industry!$E$754</f>
        <v>8.3381608939051E-4</v>
      </c>
      <c r="AD265" s="139">
        <f>Mitigation_Industry!$E$754</f>
        <v>8.3381608939051E-4</v>
      </c>
      <c r="AE265" s="139">
        <f>Mitigation_Industry!$E$754</f>
        <v>8.3381608939051E-4</v>
      </c>
      <c r="AF265" s="138"/>
      <c r="AG265" s="138"/>
      <c r="AH265" s="138"/>
      <c r="AI265" s="138"/>
    </row>
    <row r="266" spans="1:35" customFormat="1" ht="15" x14ac:dyDescent="0.25">
      <c r="B266" s="14" t="s">
        <v>1447</v>
      </c>
      <c r="C266" s="14" t="s">
        <v>117</v>
      </c>
      <c r="D266" s="15" t="s">
        <v>2612</v>
      </c>
      <c r="E266" s="16" t="s">
        <v>2607</v>
      </c>
      <c r="F266" s="14" t="s">
        <v>2605</v>
      </c>
      <c r="G266" s="17"/>
      <c r="H266" s="125" t="str">
        <f>Settings!$B$3&amp;".mit.bf.frt.amc.2"</f>
        <v>egy.mit.bf.frt.amc.2</v>
      </c>
      <c r="K266" s="136"/>
      <c r="L266" s="139">
        <f>Mitigation_Industry!$E$755</f>
        <v>1.98450938723838E-3</v>
      </c>
      <c r="M266" s="139">
        <f>Mitigation_Industry!$E$755</f>
        <v>1.98450938723838E-3</v>
      </c>
      <c r="N266" s="139">
        <f>Mitigation_Industry!$E$755</f>
        <v>1.98450938723838E-3</v>
      </c>
      <c r="O266" s="139">
        <f>Mitigation_Industry!$E$755</f>
        <v>1.98450938723838E-3</v>
      </c>
      <c r="P266" s="139">
        <f>Mitigation_Industry!$E$755</f>
        <v>1.98450938723838E-3</v>
      </c>
      <c r="Q266" s="139">
        <f>Mitigation_Industry!$E$755</f>
        <v>1.98450938723838E-3</v>
      </c>
      <c r="R266" s="139">
        <f>Mitigation_Industry!$E$755</f>
        <v>1.98450938723838E-3</v>
      </c>
      <c r="S266" s="139">
        <f>Mitigation_Industry!$E$755</f>
        <v>1.98450938723838E-3</v>
      </c>
      <c r="T266" s="139">
        <f>Mitigation_Industry!$E$755</f>
        <v>1.98450938723838E-3</v>
      </c>
      <c r="U266" s="139">
        <f>Mitigation_Industry!$E$755</f>
        <v>1.98450938723838E-3</v>
      </c>
      <c r="V266" s="139">
        <f>Mitigation_Industry!$E$755</f>
        <v>1.98450938723838E-3</v>
      </c>
      <c r="W266" s="139">
        <f>Mitigation_Industry!$E$755</f>
        <v>1.98450938723838E-3</v>
      </c>
      <c r="X266" s="139">
        <f>Mitigation_Industry!$E$755</f>
        <v>1.98450938723838E-3</v>
      </c>
      <c r="Y266" s="139">
        <f>Mitigation_Industry!$E$755</f>
        <v>1.98450938723838E-3</v>
      </c>
      <c r="Z266" s="139">
        <f>Mitigation_Industry!$E$755</f>
        <v>1.98450938723838E-3</v>
      </c>
      <c r="AA266" s="139">
        <f>Mitigation_Industry!$E$755</f>
        <v>1.98450938723838E-3</v>
      </c>
      <c r="AB266" s="139">
        <f>Mitigation_Industry!$E$755</f>
        <v>1.98450938723838E-3</v>
      </c>
      <c r="AC266" s="139">
        <f>Mitigation_Industry!$E$755</f>
        <v>1.98450938723838E-3</v>
      </c>
      <c r="AD266" s="139">
        <f>Mitigation_Industry!$E$755</f>
        <v>1.98450938723838E-3</v>
      </c>
      <c r="AE266" s="139">
        <f>Mitigation_Industry!$E$755</f>
        <v>1.98450938723838E-3</v>
      </c>
      <c r="AF266" s="138"/>
      <c r="AG266" s="138"/>
      <c r="AH266" s="138"/>
      <c r="AI266" s="138"/>
    </row>
    <row r="267" spans="1:35" customFormat="1" ht="15" x14ac:dyDescent="0.25">
      <c r="B267" s="14" t="s">
        <v>1450</v>
      </c>
      <c r="C267" s="14" t="s">
        <v>117</v>
      </c>
      <c r="D267" s="15" t="s">
        <v>2613</v>
      </c>
      <c r="E267" s="16" t="s">
        <v>2607</v>
      </c>
      <c r="F267" s="14" t="s">
        <v>2605</v>
      </c>
      <c r="G267" s="17"/>
      <c r="H267" s="125" t="str">
        <f>Settings!$B$3&amp;".mit.bf.frt.ure.2"</f>
        <v>egy.mit.bf.frt.ure.2</v>
      </c>
      <c r="K267" s="136"/>
      <c r="L267" s="139">
        <f>Mitigation_Industry!$E$756</f>
        <v>0</v>
      </c>
      <c r="M267" s="139">
        <f>Mitigation_Industry!$E$756</f>
        <v>0</v>
      </c>
      <c r="N267" s="139">
        <f>Mitigation_Industry!$E$756</f>
        <v>0</v>
      </c>
      <c r="O267" s="139">
        <f>Mitigation_Industry!$E$756</f>
        <v>0</v>
      </c>
      <c r="P267" s="139">
        <f>Mitigation_Industry!$E$756</f>
        <v>0</v>
      </c>
      <c r="Q267" s="139">
        <f>Mitigation_Industry!$E$756</f>
        <v>0</v>
      </c>
      <c r="R267" s="139">
        <f>Mitigation_Industry!$E$756</f>
        <v>0</v>
      </c>
      <c r="S267" s="139">
        <f>Mitigation_Industry!$E$756</f>
        <v>0</v>
      </c>
      <c r="T267" s="139">
        <f>Mitigation_Industry!$E$756</f>
        <v>0</v>
      </c>
      <c r="U267" s="139">
        <f>Mitigation_Industry!$E$756</f>
        <v>0</v>
      </c>
      <c r="V267" s="139">
        <f>Mitigation_Industry!$E$756</f>
        <v>0</v>
      </c>
      <c r="W267" s="139">
        <f>Mitigation_Industry!$E$756</f>
        <v>0</v>
      </c>
      <c r="X267" s="139">
        <f>Mitigation_Industry!$E$756</f>
        <v>0</v>
      </c>
      <c r="Y267" s="139">
        <f>Mitigation_Industry!$E$756</f>
        <v>0</v>
      </c>
      <c r="Z267" s="139">
        <f>Mitigation_Industry!$E$756</f>
        <v>0</v>
      </c>
      <c r="AA267" s="139">
        <f>Mitigation_Industry!$E$756</f>
        <v>0</v>
      </c>
      <c r="AB267" s="139">
        <f>Mitigation_Industry!$E$756</f>
        <v>0</v>
      </c>
      <c r="AC267" s="139">
        <f>Mitigation_Industry!$E$756</f>
        <v>0</v>
      </c>
      <c r="AD267" s="139">
        <f>Mitigation_Industry!$E$756</f>
        <v>0</v>
      </c>
      <c r="AE267" s="139">
        <f>Mitigation_Industry!$E$756</f>
        <v>0</v>
      </c>
      <c r="AF267" s="138"/>
      <c r="AG267" s="138"/>
      <c r="AH267" s="138"/>
      <c r="AI267" s="138"/>
    </row>
    <row r="268" spans="1:35" customFormat="1" ht="15" x14ac:dyDescent="0.25">
      <c r="B268" s="14" t="s">
        <v>1453</v>
      </c>
      <c r="C268" s="14" t="s">
        <v>117</v>
      </c>
      <c r="D268" s="15" t="s">
        <v>2614</v>
      </c>
      <c r="E268" s="16" t="s">
        <v>2607</v>
      </c>
      <c r="F268" s="14" t="s">
        <v>2605</v>
      </c>
      <c r="G268" s="17"/>
      <c r="H268" s="125" t="str">
        <f>Settings!$B$3&amp;".mit.bf.frt.nit.2"</f>
        <v>egy.mit.bf.frt.nit.2</v>
      </c>
      <c r="K268" s="136"/>
      <c r="L268" s="139">
        <f>Mitigation_Industry!$E$757</f>
        <v>1.04982212449868E-2</v>
      </c>
      <c r="M268" s="139">
        <f>Mitigation_Industry!$E$757</f>
        <v>1.04982212449868E-2</v>
      </c>
      <c r="N268" s="139">
        <f>Mitigation_Industry!$E$757</f>
        <v>1.04982212449868E-2</v>
      </c>
      <c r="O268" s="139">
        <f>Mitigation_Industry!$E$757</f>
        <v>1.04982212449868E-2</v>
      </c>
      <c r="P268" s="139">
        <f>Mitigation_Industry!$E$757</f>
        <v>1.04982212449868E-2</v>
      </c>
      <c r="Q268" s="139">
        <f>Mitigation_Industry!$E$757</f>
        <v>1.04982212449868E-2</v>
      </c>
      <c r="R268" s="139">
        <f>Mitigation_Industry!$E$757</f>
        <v>1.04982212449868E-2</v>
      </c>
      <c r="S268" s="139">
        <f>Mitigation_Industry!$E$757</f>
        <v>1.04982212449868E-2</v>
      </c>
      <c r="T268" s="139">
        <f>Mitigation_Industry!$E$757</f>
        <v>1.04982212449868E-2</v>
      </c>
      <c r="U268" s="139">
        <f>Mitigation_Industry!$E$757</f>
        <v>1.04982212449868E-2</v>
      </c>
      <c r="V268" s="139">
        <f>Mitigation_Industry!$E$757</f>
        <v>1.04982212449868E-2</v>
      </c>
      <c r="W268" s="139">
        <f>Mitigation_Industry!$E$757</f>
        <v>1.04982212449868E-2</v>
      </c>
      <c r="X268" s="139">
        <f>Mitigation_Industry!$E$757</f>
        <v>1.04982212449868E-2</v>
      </c>
      <c r="Y268" s="139">
        <f>Mitigation_Industry!$E$757</f>
        <v>1.04982212449868E-2</v>
      </c>
      <c r="Z268" s="139">
        <f>Mitigation_Industry!$E$757</f>
        <v>1.04982212449868E-2</v>
      </c>
      <c r="AA268" s="139">
        <f>Mitigation_Industry!$E$757</f>
        <v>1.04982212449868E-2</v>
      </c>
      <c r="AB268" s="139">
        <f>Mitigation_Industry!$E$757</f>
        <v>1.04982212449868E-2</v>
      </c>
      <c r="AC268" s="139">
        <f>Mitigation_Industry!$E$757</f>
        <v>1.04982212449868E-2</v>
      </c>
      <c r="AD268" s="139">
        <f>Mitigation_Industry!$E$757</f>
        <v>1.04982212449868E-2</v>
      </c>
      <c r="AE268" s="139">
        <f>Mitigation_Industry!$E$757</f>
        <v>1.04982212449868E-2</v>
      </c>
      <c r="AF268" s="138"/>
      <c r="AG268" s="138"/>
      <c r="AH268" s="138"/>
      <c r="AI268" s="138"/>
    </row>
    <row r="269" spans="1:35" customFormat="1" ht="15" x14ac:dyDescent="0.25">
      <c r="B269" s="14" t="s">
        <v>1456</v>
      </c>
      <c r="C269" s="14" t="s">
        <v>115</v>
      </c>
      <c r="D269" s="15" t="s">
        <v>2615</v>
      </c>
      <c r="E269" s="16" t="s">
        <v>2607</v>
      </c>
      <c r="F269" s="14" t="s">
        <v>2605</v>
      </c>
      <c r="G269" s="17"/>
      <c r="H269" s="125" t="str">
        <f>Settings!$B$3&amp;".mit.bf.alu.prp.2"</f>
        <v>egy.mit.bf.alu.prp.2</v>
      </c>
      <c r="K269" s="136"/>
      <c r="L269" s="139">
        <f>Mitigation_Industry!$E$758</f>
        <v>8.3381608939051E-4</v>
      </c>
      <c r="M269" s="139">
        <f>Mitigation_Industry!$E$758</f>
        <v>8.3381608939051E-4</v>
      </c>
      <c r="N269" s="139">
        <f>Mitigation_Industry!$E$758</f>
        <v>8.3381608939051E-4</v>
      </c>
      <c r="O269" s="139">
        <f>Mitigation_Industry!$E$758</f>
        <v>8.3381608939051E-4</v>
      </c>
      <c r="P269" s="139">
        <f>Mitigation_Industry!$E$758</f>
        <v>8.3381608939051E-4</v>
      </c>
      <c r="Q269" s="139">
        <f>Mitigation_Industry!$E$758</f>
        <v>8.3381608939051E-4</v>
      </c>
      <c r="R269" s="139">
        <f>Mitigation_Industry!$E$758</f>
        <v>8.3381608939051E-4</v>
      </c>
      <c r="S269" s="139">
        <f>Mitigation_Industry!$E$758</f>
        <v>8.3381608939051E-4</v>
      </c>
      <c r="T269" s="139">
        <f>Mitigation_Industry!$E$758</f>
        <v>8.3381608939051E-4</v>
      </c>
      <c r="U269" s="139">
        <f>Mitigation_Industry!$E$758</f>
        <v>8.3381608939051E-4</v>
      </c>
      <c r="V269" s="139">
        <f>Mitigation_Industry!$E$758</f>
        <v>8.3381608939051E-4</v>
      </c>
      <c r="W269" s="139">
        <f>Mitigation_Industry!$E$758</f>
        <v>8.3381608939051E-4</v>
      </c>
      <c r="X269" s="139">
        <f>Mitigation_Industry!$E$758</f>
        <v>8.3381608939051E-4</v>
      </c>
      <c r="Y269" s="139">
        <f>Mitigation_Industry!$E$758</f>
        <v>8.3381608939051E-4</v>
      </c>
      <c r="Z269" s="139">
        <f>Mitigation_Industry!$E$758</f>
        <v>8.3381608939051E-4</v>
      </c>
      <c r="AA269" s="139">
        <f>Mitigation_Industry!$E$758</f>
        <v>8.3381608939051E-4</v>
      </c>
      <c r="AB269" s="139">
        <f>Mitigation_Industry!$E$758</f>
        <v>8.3381608939051E-4</v>
      </c>
      <c r="AC269" s="139">
        <f>Mitigation_Industry!$E$758</f>
        <v>8.3381608939051E-4</v>
      </c>
      <c r="AD269" s="139">
        <f>Mitigation_Industry!$E$758</f>
        <v>8.3381608939051E-4</v>
      </c>
      <c r="AE269" s="139">
        <f>Mitigation_Industry!$E$758</f>
        <v>8.3381608939051E-4</v>
      </c>
      <c r="AF269" s="138"/>
      <c r="AG269" s="138"/>
      <c r="AH269" s="138"/>
      <c r="AI269" s="138"/>
    </row>
    <row r="270" spans="1:35" x14ac:dyDescent="0.2"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</row>
    <row r="271" spans="1:35" customFormat="1" ht="15" x14ac:dyDescent="0.25">
      <c r="A271" s="11"/>
      <c r="B271" s="6"/>
      <c r="C271" s="7" t="s">
        <v>2616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4">
        <v>2021</v>
      </c>
      <c r="L271" s="135">
        <v>2022</v>
      </c>
      <c r="M271" s="134">
        <v>2023</v>
      </c>
      <c r="N271" s="134">
        <v>2024</v>
      </c>
      <c r="O271" s="134">
        <v>2025</v>
      </c>
      <c r="P271" s="134">
        <v>2026</v>
      </c>
      <c r="Q271" s="134">
        <v>2027</v>
      </c>
      <c r="R271" s="134">
        <v>2028</v>
      </c>
      <c r="S271" s="134">
        <v>2029</v>
      </c>
      <c r="T271" s="134">
        <v>2030</v>
      </c>
      <c r="U271" s="134">
        <v>2031</v>
      </c>
      <c r="V271" s="134">
        <v>2032</v>
      </c>
      <c r="W271" s="134">
        <v>2033</v>
      </c>
      <c r="X271" s="134">
        <v>2034</v>
      </c>
      <c r="Y271" s="134">
        <v>2035</v>
      </c>
      <c r="Z271" s="134">
        <v>2036</v>
      </c>
      <c r="AA271" s="134">
        <v>2037</v>
      </c>
      <c r="AB271" s="134">
        <v>2038</v>
      </c>
      <c r="AC271" s="134">
        <v>2039</v>
      </c>
      <c r="AD271" s="134">
        <v>2040</v>
      </c>
      <c r="AE271" s="134">
        <v>2041</v>
      </c>
      <c r="AF271" s="134">
        <v>2042</v>
      </c>
      <c r="AG271" s="134">
        <v>2043</v>
      </c>
      <c r="AH271" s="134">
        <v>2044</v>
      </c>
      <c r="AI271" s="134">
        <v>2045</v>
      </c>
    </row>
    <row r="272" spans="1:35" customFormat="1" ht="15" x14ac:dyDescent="0.25">
      <c r="B272" s="14" t="s">
        <v>2562</v>
      </c>
      <c r="C272" s="14" t="s">
        <v>43</v>
      </c>
      <c r="D272" s="15" t="s">
        <v>2617</v>
      </c>
      <c r="E272" s="16" t="s">
        <v>2607</v>
      </c>
      <c r="F272" s="14" t="s">
        <v>2616</v>
      </c>
      <c r="G272" s="17"/>
      <c r="H272" s="125" t="str">
        <f>Settings!$B$3&amp;".mit.bp.stl.drg.np.2"</f>
        <v>egy.mit.bp.stl.drg.np.2</v>
      </c>
      <c r="I272" t="s">
        <v>2618</v>
      </c>
      <c r="K272" s="136"/>
      <c r="L272" s="139">
        <f>Mitigation_Industry!$E$762</f>
        <v>3.4469507031574592E-3</v>
      </c>
      <c r="M272" s="139">
        <f>Mitigation_Industry!$E$762</f>
        <v>3.4469507031574592E-3</v>
      </c>
      <c r="N272" s="139">
        <f>Mitigation_Industry!$E$762</f>
        <v>3.4469507031574592E-3</v>
      </c>
      <c r="O272" s="139">
        <f>Mitigation_Industry!$E$762</f>
        <v>3.4469507031574592E-3</v>
      </c>
      <c r="P272" s="139">
        <f>Mitigation_Industry!$E$762</f>
        <v>3.4469507031574592E-3</v>
      </c>
      <c r="Q272" s="139">
        <f>Mitigation_Industry!$E$762</f>
        <v>3.4469507031574592E-3</v>
      </c>
      <c r="R272" s="139">
        <f>Mitigation_Industry!$E$762</f>
        <v>3.4469507031574592E-3</v>
      </c>
      <c r="S272" s="139">
        <f>Mitigation_Industry!$E$762</f>
        <v>3.4469507031574592E-3</v>
      </c>
      <c r="T272" s="139">
        <f>Mitigation_Industry!$E$762</f>
        <v>3.4469507031574592E-3</v>
      </c>
      <c r="U272" s="139">
        <f>Mitigation_Industry!$E$762</f>
        <v>3.4469507031574592E-3</v>
      </c>
      <c r="V272" s="139">
        <f>Mitigation_Industry!$E$762</f>
        <v>3.4469507031574592E-3</v>
      </c>
      <c r="W272" s="139">
        <f>Mitigation_Industry!$E$762</f>
        <v>3.4469507031574592E-3</v>
      </c>
      <c r="X272" s="139">
        <f>Mitigation_Industry!$E$762</f>
        <v>3.4469507031574592E-3</v>
      </c>
      <c r="Y272" s="139">
        <f>Mitigation_Industry!$E$762</f>
        <v>3.4469507031574592E-3</v>
      </c>
      <c r="Z272" s="139">
        <f>Mitigation_Industry!$E$762</f>
        <v>3.4469507031574592E-3</v>
      </c>
      <c r="AA272" s="139">
        <f>Mitigation_Industry!$E$762</f>
        <v>3.4469507031574592E-3</v>
      </c>
      <c r="AB272" s="139">
        <f>Mitigation_Industry!$E$762</f>
        <v>3.4469507031574592E-3</v>
      </c>
      <c r="AC272" s="139">
        <f>Mitigation_Industry!$E$762</f>
        <v>3.4469507031574592E-3</v>
      </c>
      <c r="AD272" s="139">
        <f>Mitigation_Industry!$E$762</f>
        <v>3.4469507031574592E-3</v>
      </c>
      <c r="AE272" s="139">
        <f>Mitigation_Industry!$E$762</f>
        <v>3.4469507031574592E-3</v>
      </c>
      <c r="AF272" s="138"/>
      <c r="AG272" s="138"/>
      <c r="AH272" s="138"/>
      <c r="AI272" s="138"/>
    </row>
    <row r="273" spans="2:35" customFormat="1" ht="15" x14ac:dyDescent="0.25">
      <c r="B273" s="14" t="s">
        <v>2565</v>
      </c>
      <c r="C273" s="14" t="s">
        <v>43</v>
      </c>
      <c r="D273" s="15" t="s">
        <v>2619</v>
      </c>
      <c r="E273" s="16" t="s">
        <v>2607</v>
      </c>
      <c r="F273" s="14" t="s">
        <v>2616</v>
      </c>
      <c r="G273" s="17"/>
      <c r="H273" s="125" t="str">
        <f>Settings!$B$3&amp;".mit.bp.stl.scr.np.2"</f>
        <v>egy.mit.bp.stl.scr.np.2</v>
      </c>
      <c r="K273" s="136"/>
      <c r="L273" s="139">
        <f>Mitigation_Industry!$E$763</f>
        <v>1.6366491404021942E-3</v>
      </c>
      <c r="M273" s="139">
        <f>Mitigation_Industry!$E$763</f>
        <v>1.6366491404021942E-3</v>
      </c>
      <c r="N273" s="139">
        <f>Mitigation_Industry!$E$763</f>
        <v>1.6366491404021942E-3</v>
      </c>
      <c r="O273" s="139">
        <f>Mitigation_Industry!$E$763</f>
        <v>1.6366491404021942E-3</v>
      </c>
      <c r="P273" s="139">
        <f>Mitigation_Industry!$E$763</f>
        <v>1.6366491404021942E-3</v>
      </c>
      <c r="Q273" s="139">
        <f>Mitigation_Industry!$E$763</f>
        <v>1.6366491404021942E-3</v>
      </c>
      <c r="R273" s="139">
        <f>Mitigation_Industry!$E$763</f>
        <v>1.6366491404021942E-3</v>
      </c>
      <c r="S273" s="139">
        <f>Mitigation_Industry!$E$763</f>
        <v>1.6366491404021942E-3</v>
      </c>
      <c r="T273" s="139">
        <f>Mitigation_Industry!$E$763</f>
        <v>1.6366491404021942E-3</v>
      </c>
      <c r="U273" s="139">
        <f>Mitigation_Industry!$E$763</f>
        <v>1.6366491404021942E-3</v>
      </c>
      <c r="V273" s="139">
        <f>Mitigation_Industry!$E$763</f>
        <v>1.6366491404021942E-3</v>
      </c>
      <c r="W273" s="139">
        <f>Mitigation_Industry!$E$763</f>
        <v>1.6366491404021942E-3</v>
      </c>
      <c r="X273" s="139">
        <f>Mitigation_Industry!$E$763</f>
        <v>1.6366491404021942E-3</v>
      </c>
      <c r="Y273" s="139">
        <f>Mitigation_Industry!$E$763</f>
        <v>1.6366491404021942E-3</v>
      </c>
      <c r="Z273" s="139">
        <f>Mitigation_Industry!$E$763</f>
        <v>1.6366491404021942E-3</v>
      </c>
      <c r="AA273" s="139">
        <f>Mitigation_Industry!$E$763</f>
        <v>1.6366491404021942E-3</v>
      </c>
      <c r="AB273" s="139">
        <f>Mitigation_Industry!$E$763</f>
        <v>1.6366491404021942E-3</v>
      </c>
      <c r="AC273" s="139">
        <f>Mitigation_Industry!$E$763</f>
        <v>1.6366491404021942E-3</v>
      </c>
      <c r="AD273" s="139">
        <f>Mitigation_Industry!$E$763</f>
        <v>1.6366491404021942E-3</v>
      </c>
      <c r="AE273" s="139">
        <f>Mitigation_Industry!$E$763</f>
        <v>1.6366491404021942E-3</v>
      </c>
      <c r="AF273" s="138"/>
      <c r="AG273" s="138"/>
      <c r="AH273" s="138"/>
      <c r="AI273" s="138"/>
    </row>
    <row r="274" spans="2:35" customFormat="1" ht="15" x14ac:dyDescent="0.25">
      <c r="B274" s="14" t="s">
        <v>2567</v>
      </c>
      <c r="C274" s="14" t="s">
        <v>43</v>
      </c>
      <c r="D274" s="15" t="s">
        <v>2620</v>
      </c>
      <c r="E274" s="16" t="s">
        <v>2607</v>
      </c>
      <c r="F274" s="14" t="s">
        <v>2616</v>
      </c>
      <c r="G274" s="17"/>
      <c r="H274" s="125" t="str">
        <f>Settings!$B$3&amp;".mit.bp.stl.bof.np.2"</f>
        <v>egy.mit.bp.stl.bof.np.2</v>
      </c>
      <c r="K274" s="136"/>
      <c r="L274" s="139">
        <f>Mitigation_Industry!$E$764</f>
        <v>2.6960722989211347E-3</v>
      </c>
      <c r="M274" s="139">
        <f>Mitigation_Industry!$E$764</f>
        <v>2.6960722989211347E-3</v>
      </c>
      <c r="N274" s="139">
        <f>Mitigation_Industry!$E$764</f>
        <v>2.6960722989211347E-3</v>
      </c>
      <c r="O274" s="139">
        <f>Mitigation_Industry!$E$764</f>
        <v>2.6960722989211347E-3</v>
      </c>
      <c r="P274" s="139">
        <f>Mitigation_Industry!$E$764</f>
        <v>2.6960722989211347E-3</v>
      </c>
      <c r="Q274" s="139">
        <f>Mitigation_Industry!$E$764</f>
        <v>2.6960722989211347E-3</v>
      </c>
      <c r="R274" s="139">
        <f>Mitigation_Industry!$E$764</f>
        <v>2.6960722989211347E-3</v>
      </c>
      <c r="S274" s="139">
        <f>Mitigation_Industry!$E$764</f>
        <v>2.6960722989211347E-3</v>
      </c>
      <c r="T274" s="139">
        <f>Mitigation_Industry!$E$764</f>
        <v>2.6960722989211347E-3</v>
      </c>
      <c r="U274" s="139">
        <f>Mitigation_Industry!$E$764</f>
        <v>2.6960722989211347E-3</v>
      </c>
      <c r="V274" s="139">
        <f>Mitigation_Industry!$E$764</f>
        <v>2.6960722989211347E-3</v>
      </c>
      <c r="W274" s="139">
        <f>Mitigation_Industry!$E$764</f>
        <v>2.6960722989211347E-3</v>
      </c>
      <c r="X274" s="139">
        <f>Mitigation_Industry!$E$764</f>
        <v>2.6960722989211347E-3</v>
      </c>
      <c r="Y274" s="139">
        <f>Mitigation_Industry!$E$764</f>
        <v>2.6960722989211347E-3</v>
      </c>
      <c r="Z274" s="139">
        <f>Mitigation_Industry!$E$764</f>
        <v>2.6960722989211347E-3</v>
      </c>
      <c r="AA274" s="139">
        <f>Mitigation_Industry!$E$764</f>
        <v>2.6960722989211347E-3</v>
      </c>
      <c r="AB274" s="139">
        <f>Mitigation_Industry!$E$764</f>
        <v>2.6960722989211347E-3</v>
      </c>
      <c r="AC274" s="139">
        <f>Mitigation_Industry!$E$764</f>
        <v>2.6960722989211347E-3</v>
      </c>
      <c r="AD274" s="139">
        <f>Mitigation_Industry!$E$764</f>
        <v>2.6960722989211347E-3</v>
      </c>
      <c r="AE274" s="139">
        <f>Mitigation_Industry!$E$764</f>
        <v>2.6960722989211347E-3</v>
      </c>
      <c r="AF274" s="138"/>
      <c r="AG274" s="138"/>
      <c r="AH274" s="138"/>
      <c r="AI274" s="138"/>
    </row>
    <row r="275" spans="2:35" customFormat="1" ht="15" x14ac:dyDescent="0.25">
      <c r="B275" s="14" t="s">
        <v>2569</v>
      </c>
      <c r="C275" s="14" t="s">
        <v>113</v>
      </c>
      <c r="D275" s="15" t="s">
        <v>2621</v>
      </c>
      <c r="E275" s="16" t="s">
        <v>2607</v>
      </c>
      <c r="F275" s="14" t="s">
        <v>2616</v>
      </c>
      <c r="G275" s="17"/>
      <c r="H275" s="125" t="str">
        <f>Settings!$B$3&amp;".mit.bp.cmt.dry.np.2"</f>
        <v>egy.mit.bp.cmt.dry.np.2</v>
      </c>
      <c r="K275" s="136"/>
      <c r="L275" s="139">
        <f>Mitigation_Industry!$E$765</f>
        <v>3.3464675036139224E-3</v>
      </c>
      <c r="M275" s="139">
        <f>Mitigation_Industry!$E$765</f>
        <v>3.3464675036139224E-3</v>
      </c>
      <c r="N275" s="139">
        <f>Mitigation_Industry!$E$765</f>
        <v>3.3464675036139224E-3</v>
      </c>
      <c r="O275" s="139">
        <f>Mitigation_Industry!$E$765</f>
        <v>3.3464675036139224E-3</v>
      </c>
      <c r="P275" s="139">
        <f>Mitigation_Industry!$E$765</f>
        <v>3.3464675036139224E-3</v>
      </c>
      <c r="Q275" s="139">
        <f>Mitigation_Industry!$E$765</f>
        <v>3.3464675036139224E-3</v>
      </c>
      <c r="R275" s="139">
        <f>Mitigation_Industry!$E$765</f>
        <v>3.3464675036139224E-3</v>
      </c>
      <c r="S275" s="139">
        <f>Mitigation_Industry!$E$765</f>
        <v>3.3464675036139224E-3</v>
      </c>
      <c r="T275" s="139">
        <f>Mitigation_Industry!$E$765</f>
        <v>3.3464675036139224E-3</v>
      </c>
      <c r="U275" s="139">
        <f>Mitigation_Industry!$E$765</f>
        <v>3.3464675036139224E-3</v>
      </c>
      <c r="V275" s="139">
        <f>Mitigation_Industry!$E$765</f>
        <v>3.3464675036139224E-3</v>
      </c>
      <c r="W275" s="139">
        <f>Mitigation_Industry!$E$765</f>
        <v>3.3464675036139224E-3</v>
      </c>
      <c r="X275" s="139">
        <f>Mitigation_Industry!$E$765</f>
        <v>3.3464675036139224E-3</v>
      </c>
      <c r="Y275" s="139">
        <f>Mitigation_Industry!$E$765</f>
        <v>3.3464675036139224E-3</v>
      </c>
      <c r="Z275" s="139">
        <f>Mitigation_Industry!$E$765</f>
        <v>3.3464675036139224E-3</v>
      </c>
      <c r="AA275" s="139">
        <f>Mitigation_Industry!$E$765</f>
        <v>3.3464675036139224E-3</v>
      </c>
      <c r="AB275" s="139">
        <f>Mitigation_Industry!$E$765</f>
        <v>3.3464675036139224E-3</v>
      </c>
      <c r="AC275" s="139">
        <f>Mitigation_Industry!$E$765</f>
        <v>3.3464675036139224E-3</v>
      </c>
      <c r="AD275" s="139">
        <f>Mitigation_Industry!$E$765</f>
        <v>3.3464675036139224E-3</v>
      </c>
      <c r="AE275" s="139">
        <f>Mitigation_Industry!$E$765</f>
        <v>3.3464675036139224E-3</v>
      </c>
      <c r="AF275" s="138"/>
      <c r="AG275" s="138"/>
      <c r="AH275" s="138"/>
      <c r="AI275" s="138"/>
    </row>
    <row r="276" spans="2:35" customFormat="1" ht="15" x14ac:dyDescent="0.25">
      <c r="B276" s="14" t="s">
        <v>2571</v>
      </c>
      <c r="C276" s="14" t="s">
        <v>117</v>
      </c>
      <c r="D276" s="15" t="s">
        <v>2622</v>
      </c>
      <c r="E276" s="16" t="s">
        <v>2607</v>
      </c>
      <c r="F276" s="14" t="s">
        <v>2616</v>
      </c>
      <c r="G276" s="17"/>
      <c r="H276" s="125" t="str">
        <f>Settings!$B$3&amp;".mit.bp.frt.amc.np.2"</f>
        <v>egy.mit.bp.frt.amc.np.2</v>
      </c>
      <c r="K276" s="136"/>
      <c r="L276" s="139">
        <f>Mitigation_Industry!$E$766</f>
        <v>0</v>
      </c>
      <c r="M276" s="139">
        <f>Mitigation_Industry!$E$766</f>
        <v>0</v>
      </c>
      <c r="N276" s="139">
        <f>Mitigation_Industry!$E$766</f>
        <v>0</v>
      </c>
      <c r="O276" s="139">
        <f>Mitigation_Industry!$E$766</f>
        <v>0</v>
      </c>
      <c r="P276" s="139">
        <f>Mitigation_Industry!$E$766</f>
        <v>0</v>
      </c>
      <c r="Q276" s="139">
        <f>Mitigation_Industry!$E$766</f>
        <v>0</v>
      </c>
      <c r="R276" s="139">
        <f>Mitigation_Industry!$E$766</f>
        <v>0</v>
      </c>
      <c r="S276" s="139">
        <f>Mitigation_Industry!$E$766</f>
        <v>0</v>
      </c>
      <c r="T276" s="139">
        <f>Mitigation_Industry!$E$766</f>
        <v>0</v>
      </c>
      <c r="U276" s="139">
        <f>Mitigation_Industry!$E$766</f>
        <v>0</v>
      </c>
      <c r="V276" s="139">
        <f>Mitigation_Industry!$E$766</f>
        <v>0</v>
      </c>
      <c r="W276" s="139">
        <f>Mitigation_Industry!$E$766</f>
        <v>0</v>
      </c>
      <c r="X276" s="139">
        <f>Mitigation_Industry!$E$766</f>
        <v>0</v>
      </c>
      <c r="Y276" s="139">
        <f>Mitigation_Industry!$E$766</f>
        <v>0</v>
      </c>
      <c r="Z276" s="139">
        <f>Mitigation_Industry!$E$766</f>
        <v>0</v>
      </c>
      <c r="AA276" s="139">
        <f>Mitigation_Industry!$E$766</f>
        <v>0</v>
      </c>
      <c r="AB276" s="139">
        <f>Mitigation_Industry!$E$766</f>
        <v>0</v>
      </c>
      <c r="AC276" s="139">
        <f>Mitigation_Industry!$E$766</f>
        <v>0</v>
      </c>
      <c r="AD276" s="139">
        <f>Mitigation_Industry!$E$766</f>
        <v>0</v>
      </c>
      <c r="AE276" s="139">
        <f>Mitigation_Industry!$E$766</f>
        <v>0</v>
      </c>
      <c r="AF276" s="138"/>
      <c r="AG276" s="138"/>
      <c r="AH276" s="138"/>
      <c r="AI276" s="138"/>
    </row>
    <row r="277" spans="2:35" customFormat="1" ht="15" x14ac:dyDescent="0.25">
      <c r="B277" s="14" t="s">
        <v>2573</v>
      </c>
      <c r="C277" s="14" t="s">
        <v>117</v>
      </c>
      <c r="D277" s="15" t="s">
        <v>2623</v>
      </c>
      <c r="E277" s="16" t="s">
        <v>2607</v>
      </c>
      <c r="F277" s="14" t="s">
        <v>2616</v>
      </c>
      <c r="G277" s="17"/>
      <c r="H277" s="125" t="str">
        <f>Settings!$B$3&amp;".mit.bp.frt.ure.np.2"</f>
        <v>egy.mit.bp.frt.ure.np.2</v>
      </c>
      <c r="K277" s="136"/>
      <c r="L277" s="139">
        <f>Mitigation_Industry!$E$767</f>
        <v>0</v>
      </c>
      <c r="M277" s="139">
        <f>Mitigation_Industry!$E$767</f>
        <v>0</v>
      </c>
      <c r="N277" s="139">
        <f>Mitigation_Industry!$E$767</f>
        <v>0</v>
      </c>
      <c r="O277" s="139">
        <f>Mitigation_Industry!$E$767</f>
        <v>0</v>
      </c>
      <c r="P277" s="139">
        <f>Mitigation_Industry!$E$767</f>
        <v>0</v>
      </c>
      <c r="Q277" s="139">
        <f>Mitigation_Industry!$E$767</f>
        <v>0</v>
      </c>
      <c r="R277" s="139">
        <f>Mitigation_Industry!$E$767</f>
        <v>0</v>
      </c>
      <c r="S277" s="139">
        <f>Mitigation_Industry!$E$767</f>
        <v>0</v>
      </c>
      <c r="T277" s="139">
        <f>Mitigation_Industry!$E$767</f>
        <v>0</v>
      </c>
      <c r="U277" s="139">
        <f>Mitigation_Industry!$E$767</f>
        <v>0</v>
      </c>
      <c r="V277" s="139">
        <f>Mitigation_Industry!$E$767</f>
        <v>0</v>
      </c>
      <c r="W277" s="139">
        <f>Mitigation_Industry!$E$767</f>
        <v>0</v>
      </c>
      <c r="X277" s="139">
        <f>Mitigation_Industry!$E$767</f>
        <v>0</v>
      </c>
      <c r="Y277" s="139">
        <f>Mitigation_Industry!$E$767</f>
        <v>0</v>
      </c>
      <c r="Z277" s="139">
        <f>Mitigation_Industry!$E$767</f>
        <v>0</v>
      </c>
      <c r="AA277" s="139">
        <f>Mitigation_Industry!$E$767</f>
        <v>0</v>
      </c>
      <c r="AB277" s="139">
        <f>Mitigation_Industry!$E$767</f>
        <v>0</v>
      </c>
      <c r="AC277" s="139">
        <f>Mitigation_Industry!$E$767</f>
        <v>0</v>
      </c>
      <c r="AD277" s="139">
        <f>Mitigation_Industry!$E$767</f>
        <v>0</v>
      </c>
      <c r="AE277" s="139">
        <f>Mitigation_Industry!$E$767</f>
        <v>0</v>
      </c>
      <c r="AF277" s="138"/>
      <c r="AG277" s="138"/>
      <c r="AH277" s="138"/>
      <c r="AI277" s="138"/>
    </row>
    <row r="278" spans="2:35" customFormat="1" ht="15" x14ac:dyDescent="0.25">
      <c r="B278" s="14" t="s">
        <v>2575</v>
      </c>
      <c r="C278" s="14" t="s">
        <v>117</v>
      </c>
      <c r="D278" s="15" t="s">
        <v>2624</v>
      </c>
      <c r="E278" s="16" t="s">
        <v>2607</v>
      </c>
      <c r="F278" s="14" t="s">
        <v>2616</v>
      </c>
      <c r="G278" s="17"/>
      <c r="H278" s="125" t="str">
        <f>Settings!$B$3&amp;".mit.bp.frt.nit.np.2"</f>
        <v>egy.mit.bp.frt.nit.np.2</v>
      </c>
      <c r="K278" s="136"/>
      <c r="L278" s="139">
        <f>Mitigation_Industry!$E$768</f>
        <v>0</v>
      </c>
      <c r="M278" s="139">
        <f>Mitigation_Industry!$E$768</f>
        <v>0</v>
      </c>
      <c r="N278" s="139">
        <f>Mitigation_Industry!$E$768</f>
        <v>0</v>
      </c>
      <c r="O278" s="139">
        <f>Mitigation_Industry!$E$768</f>
        <v>0</v>
      </c>
      <c r="P278" s="139">
        <f>Mitigation_Industry!$E$768</f>
        <v>0</v>
      </c>
      <c r="Q278" s="139">
        <f>Mitigation_Industry!$E$768</f>
        <v>0</v>
      </c>
      <c r="R278" s="139">
        <f>Mitigation_Industry!$E$768</f>
        <v>0</v>
      </c>
      <c r="S278" s="139">
        <f>Mitigation_Industry!$E$768</f>
        <v>0</v>
      </c>
      <c r="T278" s="139">
        <f>Mitigation_Industry!$E$768</f>
        <v>0</v>
      </c>
      <c r="U278" s="139">
        <f>Mitigation_Industry!$E$768</f>
        <v>0</v>
      </c>
      <c r="V278" s="139">
        <f>Mitigation_Industry!$E$768</f>
        <v>0</v>
      </c>
      <c r="W278" s="139">
        <f>Mitigation_Industry!$E$768</f>
        <v>0</v>
      </c>
      <c r="X278" s="139">
        <f>Mitigation_Industry!$E$768</f>
        <v>0</v>
      </c>
      <c r="Y278" s="139">
        <f>Mitigation_Industry!$E$768</f>
        <v>0</v>
      </c>
      <c r="Z278" s="139">
        <f>Mitigation_Industry!$E$768</f>
        <v>0</v>
      </c>
      <c r="AA278" s="139">
        <f>Mitigation_Industry!$E$768</f>
        <v>0</v>
      </c>
      <c r="AB278" s="139">
        <f>Mitigation_Industry!$E$768</f>
        <v>0</v>
      </c>
      <c r="AC278" s="139">
        <f>Mitigation_Industry!$E$768</f>
        <v>0</v>
      </c>
      <c r="AD278" s="139">
        <f>Mitigation_Industry!$E$768</f>
        <v>0</v>
      </c>
      <c r="AE278" s="139">
        <f>Mitigation_Industry!$E$768</f>
        <v>0</v>
      </c>
      <c r="AF278" s="138"/>
      <c r="AG278" s="138"/>
      <c r="AH278" s="138"/>
      <c r="AI278" s="138"/>
    </row>
    <row r="279" spans="2:35" customFormat="1" ht="15" x14ac:dyDescent="0.25">
      <c r="B279" s="14" t="s">
        <v>2577</v>
      </c>
      <c r="C279" s="14" t="s">
        <v>115</v>
      </c>
      <c r="D279" s="15" t="s">
        <v>2625</v>
      </c>
      <c r="E279" s="16" t="s">
        <v>2607</v>
      </c>
      <c r="F279" s="14" t="s">
        <v>2616</v>
      </c>
      <c r="G279" s="17"/>
      <c r="H279" s="125" t="str">
        <f>Settings!$B$3&amp;".mit.bp.alu.prp.np.2"</f>
        <v>egy.mit.bp.alu.prp.np.2</v>
      </c>
      <c r="K279" s="136"/>
      <c r="L279" s="139">
        <f>Mitigation_Industry!$E$769</f>
        <v>1.9988245320635362E-3</v>
      </c>
      <c r="M279" s="139">
        <f>Mitigation_Industry!$E$769</f>
        <v>1.9988245320635362E-3</v>
      </c>
      <c r="N279" s="139">
        <f>Mitigation_Industry!$E$769</f>
        <v>1.9988245320635362E-3</v>
      </c>
      <c r="O279" s="139">
        <f>Mitigation_Industry!$E$769</f>
        <v>1.9988245320635362E-3</v>
      </c>
      <c r="P279" s="139">
        <f>Mitigation_Industry!$E$769</f>
        <v>1.9988245320635362E-3</v>
      </c>
      <c r="Q279" s="139">
        <f>Mitigation_Industry!$E$769</f>
        <v>1.9988245320635362E-3</v>
      </c>
      <c r="R279" s="139">
        <f>Mitigation_Industry!$E$769</f>
        <v>1.9988245320635362E-3</v>
      </c>
      <c r="S279" s="139">
        <f>Mitigation_Industry!$E$769</f>
        <v>1.9988245320635362E-3</v>
      </c>
      <c r="T279" s="139">
        <f>Mitigation_Industry!$E$769</f>
        <v>1.9988245320635362E-3</v>
      </c>
      <c r="U279" s="139">
        <f>Mitigation_Industry!$E$769</f>
        <v>1.9988245320635362E-3</v>
      </c>
      <c r="V279" s="139">
        <f>Mitigation_Industry!$E$769</f>
        <v>1.9988245320635362E-3</v>
      </c>
      <c r="W279" s="139">
        <f>Mitigation_Industry!$E$769</f>
        <v>1.9988245320635362E-3</v>
      </c>
      <c r="X279" s="139">
        <f>Mitigation_Industry!$E$769</f>
        <v>1.9988245320635362E-3</v>
      </c>
      <c r="Y279" s="139">
        <f>Mitigation_Industry!$E$769</f>
        <v>1.9988245320635362E-3</v>
      </c>
      <c r="Z279" s="139">
        <f>Mitigation_Industry!$E$769</f>
        <v>1.9988245320635362E-3</v>
      </c>
      <c r="AA279" s="139">
        <f>Mitigation_Industry!$E$769</f>
        <v>1.9988245320635362E-3</v>
      </c>
      <c r="AB279" s="139">
        <f>Mitigation_Industry!$E$769</f>
        <v>1.9988245320635362E-3</v>
      </c>
      <c r="AC279" s="139">
        <f>Mitigation_Industry!$E$769</f>
        <v>1.9988245320635362E-3</v>
      </c>
      <c r="AD279" s="139">
        <f>Mitigation_Industry!$E$769</f>
        <v>1.9988245320635362E-3</v>
      </c>
      <c r="AE279" s="139">
        <f>Mitigation_Industry!$E$769</f>
        <v>1.9988245320635362E-3</v>
      </c>
      <c r="AF279" s="138"/>
      <c r="AG279" s="138"/>
      <c r="AH279" s="138"/>
      <c r="AI279" s="138"/>
    </row>
    <row r="280" spans="2:35" customFormat="1" ht="15" x14ac:dyDescent="0.25">
      <c r="B280" s="14" t="s">
        <v>2579</v>
      </c>
      <c r="C280" s="14" t="s">
        <v>43</v>
      </c>
      <c r="D280" s="15" t="s">
        <v>2626</v>
      </c>
      <c r="E280" s="16" t="s">
        <v>2607</v>
      </c>
      <c r="F280" s="14" t="s">
        <v>2616</v>
      </c>
      <c r="G280" s="17"/>
      <c r="H280" s="125" t="str">
        <f>Settings!$B$3&amp;".mit.bp.stl.drg.no.2"</f>
        <v>egy.mit.bp.stl.drg.no.2</v>
      </c>
      <c r="K280" s="136"/>
      <c r="L280" s="139">
        <f>Mitigation_Industry!$G$762</f>
        <v>0</v>
      </c>
      <c r="M280" s="139">
        <f>Mitigation_Industry!$G$762</f>
        <v>0</v>
      </c>
      <c r="N280" s="139">
        <f>Mitigation_Industry!$G$762</f>
        <v>0</v>
      </c>
      <c r="O280" s="139">
        <f>Mitigation_Industry!$G$762</f>
        <v>0</v>
      </c>
      <c r="P280" s="139">
        <f>Mitigation_Industry!$G$762</f>
        <v>0</v>
      </c>
      <c r="Q280" s="139">
        <f>Mitigation_Industry!$G$762</f>
        <v>0</v>
      </c>
      <c r="R280" s="139">
        <f>Mitigation_Industry!$G$762</f>
        <v>0</v>
      </c>
      <c r="S280" s="139">
        <f>Mitigation_Industry!$G$762</f>
        <v>0</v>
      </c>
      <c r="T280" s="139">
        <f>Mitigation_Industry!$G$762</f>
        <v>0</v>
      </c>
      <c r="U280" s="139">
        <f>Mitigation_Industry!$G$762</f>
        <v>0</v>
      </c>
      <c r="V280" s="139">
        <f>Mitigation_Industry!$G$762</f>
        <v>0</v>
      </c>
      <c r="W280" s="139">
        <f>Mitigation_Industry!$G$762</f>
        <v>0</v>
      </c>
      <c r="X280" s="139">
        <f>Mitigation_Industry!$G$762</f>
        <v>0</v>
      </c>
      <c r="Y280" s="139">
        <f>Mitigation_Industry!$G$762</f>
        <v>0</v>
      </c>
      <c r="Z280" s="139">
        <f>Mitigation_Industry!$G$762</f>
        <v>0</v>
      </c>
      <c r="AA280" s="139">
        <f>Mitigation_Industry!$G$762</f>
        <v>0</v>
      </c>
      <c r="AB280" s="139">
        <f>Mitigation_Industry!$G$762</f>
        <v>0</v>
      </c>
      <c r="AC280" s="139">
        <f>Mitigation_Industry!$G$762</f>
        <v>0</v>
      </c>
      <c r="AD280" s="139">
        <f>Mitigation_Industry!$G$762</f>
        <v>0</v>
      </c>
      <c r="AE280" s="139">
        <f>Mitigation_Industry!$G$762</f>
        <v>0</v>
      </c>
      <c r="AF280" s="138"/>
      <c r="AG280" s="138"/>
      <c r="AH280" s="138"/>
      <c r="AI280" s="138"/>
    </row>
    <row r="281" spans="2:35" customFormat="1" ht="15" x14ac:dyDescent="0.25">
      <c r="B281" s="14" t="s">
        <v>2581</v>
      </c>
      <c r="C281" s="14" t="s">
        <v>43</v>
      </c>
      <c r="D281" s="15" t="s">
        <v>2627</v>
      </c>
      <c r="E281" s="16" t="s">
        <v>2607</v>
      </c>
      <c r="F281" s="14" t="s">
        <v>2616</v>
      </c>
      <c r="G281" s="17"/>
      <c r="H281" s="125" t="str">
        <f>Settings!$B$3&amp;".mit.bp.stl.scr.no.2"</f>
        <v>egy.mit.bp.stl.scr.no.2</v>
      </c>
      <c r="K281" s="136"/>
      <c r="L281" s="139">
        <f>Mitigation_Industry!$G$763</f>
        <v>0</v>
      </c>
      <c r="M281" s="139">
        <f>Mitigation_Industry!$G$763</f>
        <v>0</v>
      </c>
      <c r="N281" s="139">
        <f>Mitigation_Industry!$G$763</f>
        <v>0</v>
      </c>
      <c r="O281" s="139">
        <f>Mitigation_Industry!$G$763</f>
        <v>0</v>
      </c>
      <c r="P281" s="139">
        <f>Mitigation_Industry!$G$763</f>
        <v>0</v>
      </c>
      <c r="Q281" s="139">
        <f>Mitigation_Industry!$G$763</f>
        <v>0</v>
      </c>
      <c r="R281" s="139">
        <f>Mitigation_Industry!$G$763</f>
        <v>0</v>
      </c>
      <c r="S281" s="139">
        <f>Mitigation_Industry!$G$763</f>
        <v>0</v>
      </c>
      <c r="T281" s="139">
        <f>Mitigation_Industry!$G$763</f>
        <v>0</v>
      </c>
      <c r="U281" s="139">
        <f>Mitigation_Industry!$G$763</f>
        <v>0</v>
      </c>
      <c r="V281" s="139">
        <f>Mitigation_Industry!$G$763</f>
        <v>0</v>
      </c>
      <c r="W281" s="139">
        <f>Mitigation_Industry!$G$763</f>
        <v>0</v>
      </c>
      <c r="X281" s="139">
        <f>Mitigation_Industry!$G$763</f>
        <v>0</v>
      </c>
      <c r="Y281" s="139">
        <f>Mitigation_Industry!$G$763</f>
        <v>0</v>
      </c>
      <c r="Z281" s="139">
        <f>Mitigation_Industry!$G$763</f>
        <v>0</v>
      </c>
      <c r="AA281" s="139">
        <f>Mitigation_Industry!$G$763</f>
        <v>0</v>
      </c>
      <c r="AB281" s="139">
        <f>Mitigation_Industry!$G$763</f>
        <v>0</v>
      </c>
      <c r="AC281" s="139">
        <f>Mitigation_Industry!$G$763</f>
        <v>0</v>
      </c>
      <c r="AD281" s="139">
        <f>Mitigation_Industry!$G$763</f>
        <v>0</v>
      </c>
      <c r="AE281" s="139">
        <f>Mitigation_Industry!$G$763</f>
        <v>0</v>
      </c>
      <c r="AF281" s="138"/>
      <c r="AG281" s="138"/>
      <c r="AH281" s="138"/>
      <c r="AI281" s="138"/>
    </row>
    <row r="282" spans="2:35" customFormat="1" ht="15" x14ac:dyDescent="0.25">
      <c r="B282" s="14" t="s">
        <v>2583</v>
      </c>
      <c r="C282" s="14" t="s">
        <v>43</v>
      </c>
      <c r="D282" s="15" t="s">
        <v>2628</v>
      </c>
      <c r="E282" s="16" t="s">
        <v>2607</v>
      </c>
      <c r="F282" s="14" t="s">
        <v>2616</v>
      </c>
      <c r="G282" s="17"/>
      <c r="H282" s="125" t="str">
        <f>Settings!$B$3&amp;".mit.bp.stl.bof.no.2"</f>
        <v>egy.mit.bp.stl.bof.no.2</v>
      </c>
      <c r="K282" s="136"/>
      <c r="L282" s="139">
        <f>Mitigation_Industry!$G$764</f>
        <v>0</v>
      </c>
      <c r="M282" s="139">
        <f>Mitigation_Industry!$G$764</f>
        <v>0</v>
      </c>
      <c r="N282" s="139">
        <f>Mitigation_Industry!$G$764</f>
        <v>0</v>
      </c>
      <c r="O282" s="139">
        <f>Mitigation_Industry!$G$764</f>
        <v>0</v>
      </c>
      <c r="P282" s="139">
        <f>Mitigation_Industry!$G$764</f>
        <v>0</v>
      </c>
      <c r="Q282" s="139">
        <f>Mitigation_Industry!$G$764</f>
        <v>0</v>
      </c>
      <c r="R282" s="139">
        <f>Mitigation_Industry!$G$764</f>
        <v>0</v>
      </c>
      <c r="S282" s="139">
        <f>Mitigation_Industry!$G$764</f>
        <v>0</v>
      </c>
      <c r="T282" s="139">
        <f>Mitigation_Industry!$G$764</f>
        <v>0</v>
      </c>
      <c r="U282" s="139">
        <f>Mitigation_Industry!$G$764</f>
        <v>0</v>
      </c>
      <c r="V282" s="139">
        <f>Mitigation_Industry!$G$764</f>
        <v>0</v>
      </c>
      <c r="W282" s="139">
        <f>Mitigation_Industry!$G$764</f>
        <v>0</v>
      </c>
      <c r="X282" s="139">
        <f>Mitigation_Industry!$G$764</f>
        <v>0</v>
      </c>
      <c r="Y282" s="139">
        <f>Mitigation_Industry!$G$764</f>
        <v>0</v>
      </c>
      <c r="Z282" s="139">
        <f>Mitigation_Industry!$G$764</f>
        <v>0</v>
      </c>
      <c r="AA282" s="139">
        <f>Mitigation_Industry!$G$764</f>
        <v>0</v>
      </c>
      <c r="AB282" s="139">
        <f>Mitigation_Industry!$G$764</f>
        <v>0</v>
      </c>
      <c r="AC282" s="139">
        <f>Mitigation_Industry!$G$764</f>
        <v>0</v>
      </c>
      <c r="AD282" s="139">
        <f>Mitigation_Industry!$G$764</f>
        <v>0</v>
      </c>
      <c r="AE282" s="139">
        <f>Mitigation_Industry!$G$764</f>
        <v>0</v>
      </c>
      <c r="AF282" s="138"/>
      <c r="AG282" s="138"/>
      <c r="AH282" s="138"/>
      <c r="AI282" s="138"/>
    </row>
    <row r="283" spans="2:35" customFormat="1" ht="15" x14ac:dyDescent="0.25">
      <c r="B283" s="14" t="s">
        <v>2585</v>
      </c>
      <c r="C283" s="14" t="s">
        <v>113</v>
      </c>
      <c r="D283" s="15" t="s">
        <v>2629</v>
      </c>
      <c r="E283" s="16" t="s">
        <v>2607</v>
      </c>
      <c r="F283" s="14" t="s">
        <v>2616</v>
      </c>
      <c r="G283" s="17"/>
      <c r="H283" s="125" t="str">
        <f>Settings!$B$3&amp;".mit.bp.cmt.dry.no.2"</f>
        <v>egy.mit.bp.cmt.dry.no.2</v>
      </c>
      <c r="K283" s="136"/>
      <c r="L283" s="139">
        <f>Mitigation_Industry!$G$765</f>
        <v>0</v>
      </c>
      <c r="M283" s="139">
        <f>Mitigation_Industry!$G$765</f>
        <v>0</v>
      </c>
      <c r="N283" s="139">
        <f>Mitigation_Industry!$G$765</f>
        <v>0</v>
      </c>
      <c r="O283" s="139">
        <f>Mitigation_Industry!$G$765</f>
        <v>0</v>
      </c>
      <c r="P283" s="139">
        <f>Mitigation_Industry!$G$765</f>
        <v>0</v>
      </c>
      <c r="Q283" s="139">
        <f>Mitigation_Industry!$G$765</f>
        <v>0</v>
      </c>
      <c r="R283" s="139">
        <f>Mitigation_Industry!$G$765</f>
        <v>0</v>
      </c>
      <c r="S283" s="139">
        <f>Mitigation_Industry!$G$765</f>
        <v>0</v>
      </c>
      <c r="T283" s="139">
        <f>Mitigation_Industry!$G$765</f>
        <v>0</v>
      </c>
      <c r="U283" s="139">
        <f>Mitigation_Industry!$G$765</f>
        <v>0</v>
      </c>
      <c r="V283" s="139">
        <f>Mitigation_Industry!$G$765</f>
        <v>0</v>
      </c>
      <c r="W283" s="139">
        <f>Mitigation_Industry!$G$765</f>
        <v>0</v>
      </c>
      <c r="X283" s="139">
        <f>Mitigation_Industry!$G$765</f>
        <v>0</v>
      </c>
      <c r="Y283" s="139">
        <f>Mitigation_Industry!$G$765</f>
        <v>0</v>
      </c>
      <c r="Z283" s="139">
        <f>Mitigation_Industry!$G$765</f>
        <v>0</v>
      </c>
      <c r="AA283" s="139">
        <f>Mitigation_Industry!$G$765</f>
        <v>0</v>
      </c>
      <c r="AB283" s="139">
        <f>Mitigation_Industry!$G$765</f>
        <v>0</v>
      </c>
      <c r="AC283" s="139">
        <f>Mitigation_Industry!$G$765</f>
        <v>0</v>
      </c>
      <c r="AD283" s="139">
        <f>Mitigation_Industry!$G$765</f>
        <v>0</v>
      </c>
      <c r="AE283" s="139">
        <f>Mitigation_Industry!$G$765</f>
        <v>0</v>
      </c>
      <c r="AF283" s="138"/>
      <c r="AG283" s="138"/>
      <c r="AH283" s="138"/>
      <c r="AI283" s="138"/>
    </row>
    <row r="284" spans="2:35" customFormat="1" ht="15" x14ac:dyDescent="0.25">
      <c r="B284" s="14" t="s">
        <v>2587</v>
      </c>
      <c r="C284" s="14" t="s">
        <v>117</v>
      </c>
      <c r="D284" s="15" t="s">
        <v>2630</v>
      </c>
      <c r="E284" s="16" t="s">
        <v>2607</v>
      </c>
      <c r="F284" s="14" t="s">
        <v>2616</v>
      </c>
      <c r="G284" s="17"/>
      <c r="H284" s="125" t="str">
        <f>Settings!$B$3&amp;".mit.bp.frt.amc.no.2"</f>
        <v>egy.mit.bp.frt.amc.no.2</v>
      </c>
      <c r="K284" s="136"/>
      <c r="L284" s="139">
        <f>Mitigation_Industry!$G$766</f>
        <v>0</v>
      </c>
      <c r="M284" s="139">
        <f>Mitigation_Industry!$G$766</f>
        <v>0</v>
      </c>
      <c r="N284" s="139">
        <f>Mitigation_Industry!$G$766</f>
        <v>0</v>
      </c>
      <c r="O284" s="139">
        <f>Mitigation_Industry!$G$766</f>
        <v>0</v>
      </c>
      <c r="P284" s="139">
        <f>Mitigation_Industry!$G$766</f>
        <v>0</v>
      </c>
      <c r="Q284" s="139">
        <f>Mitigation_Industry!$G$766</f>
        <v>0</v>
      </c>
      <c r="R284" s="139">
        <f>Mitigation_Industry!$G$766</f>
        <v>0</v>
      </c>
      <c r="S284" s="139">
        <f>Mitigation_Industry!$G$766</f>
        <v>0</v>
      </c>
      <c r="T284" s="139">
        <f>Mitigation_Industry!$G$766</f>
        <v>0</v>
      </c>
      <c r="U284" s="139">
        <f>Mitigation_Industry!$G$766</f>
        <v>0</v>
      </c>
      <c r="V284" s="139">
        <f>Mitigation_Industry!$G$766</f>
        <v>0</v>
      </c>
      <c r="W284" s="139">
        <f>Mitigation_Industry!$G$766</f>
        <v>0</v>
      </c>
      <c r="X284" s="139">
        <f>Mitigation_Industry!$G$766</f>
        <v>0</v>
      </c>
      <c r="Y284" s="139">
        <f>Mitigation_Industry!$G$766</f>
        <v>0</v>
      </c>
      <c r="Z284" s="139">
        <f>Mitigation_Industry!$G$766</f>
        <v>0</v>
      </c>
      <c r="AA284" s="139">
        <f>Mitigation_Industry!$G$766</f>
        <v>0</v>
      </c>
      <c r="AB284" s="139">
        <f>Mitigation_Industry!$G$766</f>
        <v>0</v>
      </c>
      <c r="AC284" s="139">
        <f>Mitigation_Industry!$G$766</f>
        <v>0</v>
      </c>
      <c r="AD284" s="139">
        <f>Mitigation_Industry!$G$766</f>
        <v>0</v>
      </c>
      <c r="AE284" s="139">
        <f>Mitigation_Industry!$G$766</f>
        <v>0</v>
      </c>
      <c r="AF284" s="138"/>
      <c r="AG284" s="138"/>
      <c r="AH284" s="138"/>
      <c r="AI284" s="138"/>
    </row>
    <row r="285" spans="2:35" customFormat="1" ht="15" x14ac:dyDescent="0.25">
      <c r="B285" s="14" t="s">
        <v>2589</v>
      </c>
      <c r="C285" s="14" t="s">
        <v>117</v>
      </c>
      <c r="D285" s="15" t="s">
        <v>2631</v>
      </c>
      <c r="E285" s="16" t="s">
        <v>2607</v>
      </c>
      <c r="F285" s="14" t="s">
        <v>2616</v>
      </c>
      <c r="G285" s="17"/>
      <c r="H285" s="125" t="str">
        <f>Settings!$B$3&amp;".mit.bp.frt.ure.no.2"</f>
        <v>egy.mit.bp.frt.ure.no.2</v>
      </c>
      <c r="K285" s="136"/>
      <c r="L285" s="139">
        <f>Mitigation_Industry!$G$767</f>
        <v>0</v>
      </c>
      <c r="M285" s="139">
        <f>Mitigation_Industry!$G$767</f>
        <v>0</v>
      </c>
      <c r="N285" s="139">
        <f>Mitigation_Industry!$G$767</f>
        <v>0</v>
      </c>
      <c r="O285" s="139">
        <f>Mitigation_Industry!$G$767</f>
        <v>0</v>
      </c>
      <c r="P285" s="139">
        <f>Mitigation_Industry!$G$767</f>
        <v>0</v>
      </c>
      <c r="Q285" s="139">
        <f>Mitigation_Industry!$G$767</f>
        <v>0</v>
      </c>
      <c r="R285" s="139">
        <f>Mitigation_Industry!$G$767</f>
        <v>0</v>
      </c>
      <c r="S285" s="139">
        <f>Mitigation_Industry!$G$767</f>
        <v>0</v>
      </c>
      <c r="T285" s="139">
        <f>Mitigation_Industry!$G$767</f>
        <v>0</v>
      </c>
      <c r="U285" s="139">
        <f>Mitigation_Industry!$G$767</f>
        <v>0</v>
      </c>
      <c r="V285" s="139">
        <f>Mitigation_Industry!$G$767</f>
        <v>0</v>
      </c>
      <c r="W285" s="139">
        <f>Mitigation_Industry!$G$767</f>
        <v>0</v>
      </c>
      <c r="X285" s="139">
        <f>Mitigation_Industry!$G$767</f>
        <v>0</v>
      </c>
      <c r="Y285" s="139">
        <f>Mitigation_Industry!$G$767</f>
        <v>0</v>
      </c>
      <c r="Z285" s="139">
        <f>Mitigation_Industry!$G$767</f>
        <v>0</v>
      </c>
      <c r="AA285" s="139">
        <f>Mitigation_Industry!$G$767</f>
        <v>0</v>
      </c>
      <c r="AB285" s="139">
        <f>Mitigation_Industry!$G$767</f>
        <v>0</v>
      </c>
      <c r="AC285" s="139">
        <f>Mitigation_Industry!$G$767</f>
        <v>0</v>
      </c>
      <c r="AD285" s="139">
        <f>Mitigation_Industry!$G$767</f>
        <v>0</v>
      </c>
      <c r="AE285" s="139">
        <f>Mitigation_Industry!$G$767</f>
        <v>0</v>
      </c>
      <c r="AF285" s="138"/>
      <c r="AG285" s="138"/>
      <c r="AH285" s="138"/>
      <c r="AI285" s="138"/>
    </row>
    <row r="286" spans="2:35" customFormat="1" ht="15" x14ac:dyDescent="0.25">
      <c r="B286" s="14" t="s">
        <v>2591</v>
      </c>
      <c r="C286" s="14" t="s">
        <v>117</v>
      </c>
      <c r="D286" s="15" t="s">
        <v>2632</v>
      </c>
      <c r="E286" s="16" t="s">
        <v>2607</v>
      </c>
      <c r="F286" s="14" t="s">
        <v>2616</v>
      </c>
      <c r="G286" s="17"/>
      <c r="H286" s="125" t="str">
        <f>Settings!$B$3&amp;".mit.bp.frt.nit.no.2"</f>
        <v>egy.mit.bp.frt.nit.no.2</v>
      </c>
      <c r="K286" s="136"/>
      <c r="L286" s="139">
        <f>Mitigation_Industry!$G$768</f>
        <v>7.8858436436826454E-3</v>
      </c>
      <c r="M286" s="139">
        <f>Mitigation_Industry!$G$768</f>
        <v>7.8858436436826454E-3</v>
      </c>
      <c r="N286" s="139">
        <f>Mitigation_Industry!$G$768</f>
        <v>7.8858436436826454E-3</v>
      </c>
      <c r="O286" s="139">
        <f>Mitigation_Industry!$G$768</f>
        <v>7.8858436436826454E-3</v>
      </c>
      <c r="P286" s="139">
        <f>Mitigation_Industry!$G$768</f>
        <v>7.8858436436826454E-3</v>
      </c>
      <c r="Q286" s="139">
        <f>Mitigation_Industry!$G$768</f>
        <v>7.8858436436826454E-3</v>
      </c>
      <c r="R286" s="139">
        <f>Mitigation_Industry!$G$768</f>
        <v>7.8858436436826454E-3</v>
      </c>
      <c r="S286" s="139">
        <f>Mitigation_Industry!$G$768</f>
        <v>7.8858436436826454E-3</v>
      </c>
      <c r="T286" s="139">
        <f>Mitigation_Industry!$G$768</f>
        <v>7.8858436436826454E-3</v>
      </c>
      <c r="U286" s="139">
        <f>Mitigation_Industry!$G$768</f>
        <v>7.8858436436826454E-3</v>
      </c>
      <c r="V286" s="139">
        <f>Mitigation_Industry!$G$768</f>
        <v>7.8858436436826454E-3</v>
      </c>
      <c r="W286" s="139">
        <f>Mitigation_Industry!$G$768</f>
        <v>7.8858436436826454E-3</v>
      </c>
      <c r="X286" s="139">
        <f>Mitigation_Industry!$G$768</f>
        <v>7.8858436436826454E-3</v>
      </c>
      <c r="Y286" s="139">
        <f>Mitigation_Industry!$G$768</f>
        <v>7.8858436436826454E-3</v>
      </c>
      <c r="Z286" s="139">
        <f>Mitigation_Industry!$G$768</f>
        <v>7.8858436436826454E-3</v>
      </c>
      <c r="AA286" s="139">
        <f>Mitigation_Industry!$G$768</f>
        <v>7.8858436436826454E-3</v>
      </c>
      <c r="AB286" s="139">
        <f>Mitigation_Industry!$G$768</f>
        <v>7.8858436436826454E-3</v>
      </c>
      <c r="AC286" s="139">
        <f>Mitigation_Industry!$G$768</f>
        <v>7.8858436436826454E-3</v>
      </c>
      <c r="AD286" s="139">
        <f>Mitigation_Industry!$G$768</f>
        <v>7.8858436436826454E-3</v>
      </c>
      <c r="AE286" s="139">
        <f>Mitigation_Industry!$G$768</f>
        <v>7.8858436436826454E-3</v>
      </c>
      <c r="AF286" s="138"/>
      <c r="AG286" s="138"/>
      <c r="AH286" s="138"/>
      <c r="AI286" s="138"/>
    </row>
    <row r="287" spans="2:35" customFormat="1" ht="15" x14ac:dyDescent="0.25">
      <c r="B287" s="14" t="s">
        <v>2593</v>
      </c>
      <c r="C287" s="14" t="s">
        <v>115</v>
      </c>
      <c r="D287" s="15" t="s">
        <v>2633</v>
      </c>
      <c r="E287" s="16" t="s">
        <v>2607</v>
      </c>
      <c r="F287" s="14" t="s">
        <v>2616</v>
      </c>
      <c r="G287" s="17"/>
      <c r="H287" s="125" t="str">
        <f>Settings!$B$3&amp;".mit.bp.alu.prp.no.2"</f>
        <v>egy.mit.bp.alu.prp.no.2</v>
      </c>
      <c r="K287" s="136"/>
      <c r="L287" s="139">
        <f>Mitigation_Industry!$G$769</f>
        <v>1.9988245320635362E-3</v>
      </c>
      <c r="M287" s="139">
        <f>Mitigation_Industry!$G$769</f>
        <v>1.9988245320635362E-3</v>
      </c>
      <c r="N287" s="139">
        <f>Mitigation_Industry!$G$769</f>
        <v>1.9988245320635362E-3</v>
      </c>
      <c r="O287" s="139">
        <f>Mitigation_Industry!$G$769</f>
        <v>1.9988245320635362E-3</v>
      </c>
      <c r="P287" s="139">
        <f>Mitigation_Industry!$G$769</f>
        <v>1.9988245320635362E-3</v>
      </c>
      <c r="Q287" s="139">
        <f>Mitigation_Industry!$G$769</f>
        <v>1.9988245320635362E-3</v>
      </c>
      <c r="R287" s="139">
        <f>Mitigation_Industry!$G$769</f>
        <v>1.9988245320635362E-3</v>
      </c>
      <c r="S287" s="139">
        <f>Mitigation_Industry!$G$769</f>
        <v>1.9988245320635362E-3</v>
      </c>
      <c r="T287" s="139">
        <f>Mitigation_Industry!$G$769</f>
        <v>1.9988245320635362E-3</v>
      </c>
      <c r="U287" s="139">
        <f>Mitigation_Industry!$G$769</f>
        <v>1.9988245320635362E-3</v>
      </c>
      <c r="V287" s="139">
        <f>Mitigation_Industry!$G$769</f>
        <v>1.9988245320635362E-3</v>
      </c>
      <c r="W287" s="139">
        <f>Mitigation_Industry!$G$769</f>
        <v>1.9988245320635362E-3</v>
      </c>
      <c r="X287" s="139">
        <f>Mitigation_Industry!$G$769</f>
        <v>1.9988245320635362E-3</v>
      </c>
      <c r="Y287" s="139">
        <f>Mitigation_Industry!$G$769</f>
        <v>1.9988245320635362E-3</v>
      </c>
      <c r="Z287" s="139">
        <f>Mitigation_Industry!$G$769</f>
        <v>1.9988245320635362E-3</v>
      </c>
      <c r="AA287" s="139">
        <f>Mitigation_Industry!$G$769</f>
        <v>1.9988245320635362E-3</v>
      </c>
      <c r="AB287" s="139">
        <f>Mitigation_Industry!$G$769</f>
        <v>1.9988245320635362E-3</v>
      </c>
      <c r="AC287" s="139">
        <f>Mitigation_Industry!$G$769</f>
        <v>1.9988245320635362E-3</v>
      </c>
      <c r="AD287" s="139">
        <f>Mitigation_Industry!$G$769</f>
        <v>1.9988245320635362E-3</v>
      </c>
      <c r="AE287" s="139">
        <f>Mitigation_Industry!$G$769</f>
        <v>1.9988245320635362E-3</v>
      </c>
      <c r="AF287" s="138"/>
      <c r="AG287" s="138"/>
      <c r="AH287" s="138"/>
      <c r="AI287" s="138"/>
    </row>
    <row r="288" spans="2:35" x14ac:dyDescent="0.2"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</row>
    <row r="289" spans="1:35" customFormat="1" ht="15" x14ac:dyDescent="0.25">
      <c r="A289" s="11"/>
      <c r="B289" s="6"/>
      <c r="C289" s="7" t="s">
        <v>2634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4">
        <v>2021</v>
      </c>
      <c r="L289" s="135">
        <v>2022</v>
      </c>
      <c r="M289" s="134">
        <v>2023</v>
      </c>
      <c r="N289" s="134">
        <v>2024</v>
      </c>
      <c r="O289" s="134">
        <v>2025</v>
      </c>
      <c r="P289" s="134">
        <v>2026</v>
      </c>
      <c r="Q289" s="134">
        <v>2027</v>
      </c>
      <c r="R289" s="134">
        <v>2028</v>
      </c>
      <c r="S289" s="134">
        <v>2029</v>
      </c>
      <c r="T289" s="134">
        <v>2030</v>
      </c>
      <c r="U289" s="134">
        <v>2031</v>
      </c>
      <c r="V289" s="134">
        <v>2032</v>
      </c>
      <c r="W289" s="134">
        <v>2033</v>
      </c>
      <c r="X289" s="134">
        <v>2034</v>
      </c>
      <c r="Y289" s="134">
        <v>2035</v>
      </c>
      <c r="Z289" s="134">
        <v>2036</v>
      </c>
      <c r="AA289" s="134">
        <v>2037</v>
      </c>
      <c r="AB289" s="134">
        <v>2038</v>
      </c>
      <c r="AC289" s="134">
        <v>2039</v>
      </c>
      <c r="AD289" s="134">
        <v>2040</v>
      </c>
      <c r="AE289" s="134">
        <v>2041</v>
      </c>
      <c r="AF289" s="134">
        <v>2042</v>
      </c>
      <c r="AG289" s="134">
        <v>2043</v>
      </c>
      <c r="AH289" s="134">
        <v>2044</v>
      </c>
      <c r="AI289" s="134">
        <v>2045</v>
      </c>
    </row>
    <row r="290" spans="1:35" customFormat="1" ht="15" x14ac:dyDescent="0.25">
      <c r="B290" s="14" t="s">
        <v>2562</v>
      </c>
      <c r="C290" s="14" t="s">
        <v>43</v>
      </c>
      <c r="D290" s="15" t="s">
        <v>2635</v>
      </c>
      <c r="E290" s="16" t="s">
        <v>2065</v>
      </c>
      <c r="F290" s="14" t="s">
        <v>2634</v>
      </c>
      <c r="G290" s="17"/>
      <c r="H290" s="125" t="str">
        <f>Settings!$B$3&amp;".mit.wm.stl.drg.np.2"</f>
        <v>egy.mit.wm.stl.drg.np.2</v>
      </c>
      <c r="I290" t="s">
        <v>2636</v>
      </c>
      <c r="K290" s="136"/>
      <c r="L290" s="137">
        <f>Mitigation_Industry!L$675*Mitigation_Industry!$J$672*MAX(Mitigation_Industry!$J$663,0)*Mitigation_Industry!$F$762/1000</f>
        <v>0.17734546065090059</v>
      </c>
      <c r="M290" s="137">
        <f>Mitigation_Industry!M$675*Mitigation_Industry!$J$672*MAX(Mitigation_Industry!$J$663,0)*Mitigation_Industry!$F$762/1000</f>
        <v>0.18514866091954021</v>
      </c>
      <c r="N290" s="137">
        <f>Mitigation_Industry!N$675*Mitigation_Industry!$J$672*MAX(Mitigation_Industry!$J$663,0)*Mitigation_Industry!$F$762/1000</f>
        <v>0.193295202</v>
      </c>
      <c r="O290" s="137">
        <f>Mitigation_Industry!O$675*Mitigation_Industry!$J$672*MAX(Mitigation_Industry!$J$663,0)*Mitigation_Industry!$F$762/1000</f>
        <v>0.20180019088800003</v>
      </c>
      <c r="P290" s="137">
        <f>Mitigation_Industry!P$675*Mitigation_Industry!$J$672*MAX(Mitigation_Industry!$J$663,0)*Mitigation_Industry!$F$762/1000</f>
        <v>0.21067939928707202</v>
      </c>
      <c r="Q290" s="137">
        <f>Mitigation_Industry!Q$675*Mitigation_Industry!$J$672*MAX(Mitigation_Industry!$J$663,0)*Mitigation_Industry!$F$762/1000</f>
        <v>0.21994929285570322</v>
      </c>
      <c r="R290" s="137">
        <f>Mitigation_Industry!R$675*Mitigation_Industry!$J$672*MAX(Mitigation_Industry!$J$663,0)*Mitigation_Industry!$F$762/1000</f>
        <v>0.22962706174135414</v>
      </c>
      <c r="S290" s="137">
        <f>Mitigation_Industry!S$675*Mitigation_Industry!$J$672*MAX(Mitigation_Industry!$J$663,0)*Mitigation_Industry!$F$762/1000</f>
        <v>0.2397306524579737</v>
      </c>
      <c r="T290" s="137">
        <f>Mitigation_Industry!T$675*Mitigation_Industry!$J$672*MAX(Mitigation_Industry!$J$663,0)*Mitigation_Industry!$F$762/1000</f>
        <v>0.25027880116612461</v>
      </c>
      <c r="U290" s="137">
        <f>Mitigation_Industry!U$675*Mitigation_Industry!$J$672*MAX(Mitigation_Industry!$J$663,0)*Mitigation_Industry!$F$762/1000</f>
        <v>0.2612910684174341</v>
      </c>
      <c r="V290" s="137">
        <f>Mitigation_Industry!V$675*Mitigation_Industry!$J$672*MAX(Mitigation_Industry!$J$663,0)*Mitigation_Industry!$F$762/1000</f>
        <v>0.27278787542780114</v>
      </c>
      <c r="W290" s="137">
        <f>Mitigation_Industry!W$675*Mitigation_Industry!$J$672*MAX(Mitigation_Industry!$J$663,0)*Mitigation_Industry!$F$762/1000</f>
        <v>0.28479054194662445</v>
      </c>
      <c r="X290" s="137">
        <f>Mitigation_Industry!X$675*Mitigation_Industry!$J$672*MAX(Mitigation_Industry!$J$663,0)*Mitigation_Industry!$F$762/1000</f>
        <v>0.29732132579227588</v>
      </c>
      <c r="Y290" s="137">
        <f>Mitigation_Industry!Y$675*Mitigation_Industry!$J$672*MAX(Mitigation_Industry!$J$663,0)*Mitigation_Industry!$F$762/1000</f>
        <v>0.3104034641271361</v>
      </c>
      <c r="Z290" s="137">
        <f>Mitigation_Industry!Z$675*Mitigation_Industry!$J$672*MAX(Mitigation_Industry!$J$663,0)*Mitigation_Industry!$F$762/1000</f>
        <v>0.32406121654872999</v>
      </c>
      <c r="AA290" s="137">
        <f>Mitigation_Industry!AA$675*Mitigation_Industry!$J$672*MAX(Mitigation_Industry!$J$663,0)*Mitigation_Industry!$F$762/1000</f>
        <v>0.33831991007687412</v>
      </c>
      <c r="AB290" s="137">
        <f>Mitigation_Industry!AB$675*Mitigation_Industry!$J$672*MAX(Mitigation_Industry!$J$663,0)*Mitigation_Industry!$F$762/1000</f>
        <v>0.35320598612025667</v>
      </c>
      <c r="AC290" s="137">
        <f>Mitigation_Industry!AC$675*Mitigation_Industry!$J$672*MAX(Mitigation_Industry!$J$663,0)*Mitigation_Industry!$F$762/1000</f>
        <v>0.36874704950954795</v>
      </c>
      <c r="AD290" s="137">
        <f>Mitigation_Industry!AD$675*Mitigation_Industry!$J$672*MAX(Mitigation_Industry!$J$663,0)*Mitigation_Industry!$F$762/1000</f>
        <v>0.38497191968796801</v>
      </c>
      <c r="AE290" s="137">
        <f>Mitigation_Industry!AE$675*Mitigation_Industry!$J$672*MAX(Mitigation_Industry!$J$663,0)*Mitigation_Industry!$F$762/1000</f>
        <v>0.40191068415423858</v>
      </c>
      <c r="AF290" s="138"/>
      <c r="AG290" s="138"/>
      <c r="AH290" s="138"/>
      <c r="AI290" s="138"/>
    </row>
    <row r="291" spans="1:35" customFormat="1" ht="15" x14ac:dyDescent="0.25">
      <c r="B291" s="14" t="s">
        <v>2565</v>
      </c>
      <c r="C291" s="14" t="s">
        <v>43</v>
      </c>
      <c r="D291" s="15" t="s">
        <v>2637</v>
      </c>
      <c r="E291" s="16" t="s">
        <v>2065</v>
      </c>
      <c r="F291" s="14" t="s">
        <v>2634</v>
      </c>
      <c r="G291" s="17"/>
      <c r="H291" s="125" t="str">
        <f>Settings!$B$3&amp;".mit.wm.stl.scr.np.2"</f>
        <v>egy.mit.wm.stl.scr.np.2</v>
      </c>
      <c r="K291" s="136"/>
      <c r="L291" s="137">
        <f>Mitigation_Industry!L$676*Mitigation_Industry!$J$672*MAX(Mitigation_Industry!$J$664,0)*Mitigation_Industry!$F$763/1000</f>
        <v>0.19368983132954593</v>
      </c>
      <c r="M291" s="137">
        <f>Mitigation_Industry!M$676*Mitigation_Industry!$J$672*MAX(Mitigation_Industry!$J$664,0)*Mitigation_Industry!$F$763/1000</f>
        <v>0.20221218390804596</v>
      </c>
      <c r="N291" s="137">
        <f>Mitigation_Industry!N$676*Mitigation_Industry!$J$672*MAX(Mitigation_Industry!$J$664,0)*Mitigation_Industry!$F$763/1000</f>
        <v>0.21110951999999997</v>
      </c>
      <c r="O291" s="137">
        <f>Mitigation_Industry!O$676*Mitigation_Industry!$J$672*MAX(Mitigation_Industry!$J$664,0)*Mitigation_Industry!$F$763/1000</f>
        <v>0.22039833887999999</v>
      </c>
      <c r="P291" s="137">
        <f>Mitigation_Industry!P$676*Mitigation_Industry!$J$672*MAX(Mitigation_Industry!$J$664,0)*Mitigation_Industry!$F$763/1000</f>
        <v>0.23009586579071997</v>
      </c>
      <c r="Q291" s="137">
        <f>Mitigation_Industry!Q$676*Mitigation_Industry!$J$672*MAX(Mitigation_Industry!$J$664,0)*Mitigation_Industry!$F$763/1000</f>
        <v>0.24022008388551169</v>
      </c>
      <c r="R291" s="137">
        <f>Mitigation_Industry!R$676*Mitigation_Industry!$J$672*MAX(Mitigation_Industry!$J$664,0)*Mitigation_Industry!$F$763/1000</f>
        <v>0.25078976757647414</v>
      </c>
      <c r="S291" s="137">
        <f>Mitigation_Industry!S$676*Mitigation_Industry!$J$672*MAX(Mitigation_Industry!$J$664,0)*Mitigation_Industry!$F$763/1000</f>
        <v>0.26182451734983908</v>
      </c>
      <c r="T291" s="137">
        <f>Mitigation_Industry!T$676*Mitigation_Industry!$J$672*MAX(Mitigation_Industry!$J$664,0)*Mitigation_Industry!$F$763/1000</f>
        <v>0.27334479611323198</v>
      </c>
      <c r="U291" s="137">
        <f>Mitigation_Industry!U$676*Mitigation_Industry!$J$672*MAX(Mitigation_Industry!$J$664,0)*Mitigation_Industry!$F$763/1000</f>
        <v>0.28537196714221424</v>
      </c>
      <c r="V291" s="137">
        <f>Mitigation_Industry!V$676*Mitigation_Industry!$J$672*MAX(Mitigation_Industry!$J$664,0)*Mitigation_Industry!$F$763/1000</f>
        <v>0.29792833369647159</v>
      </c>
      <c r="W291" s="137">
        <f>Mitigation_Industry!W$676*Mitigation_Industry!$J$672*MAX(Mitigation_Industry!$J$664,0)*Mitigation_Industry!$F$763/1000</f>
        <v>0.31103718037911643</v>
      </c>
      <c r="X291" s="137">
        <f>Mitigation_Industry!X$676*Mitigation_Industry!$J$672*MAX(Mitigation_Industry!$J$664,0)*Mitigation_Industry!$F$763/1000</f>
        <v>0.32472281631579752</v>
      </c>
      <c r="Y291" s="137">
        <f>Mitigation_Industry!Y$676*Mitigation_Industry!$J$672*MAX(Mitigation_Industry!$J$664,0)*Mitigation_Industry!$F$763/1000</f>
        <v>0.33901062023369266</v>
      </c>
      <c r="Z291" s="137">
        <f>Mitigation_Industry!Z$676*Mitigation_Industry!$J$672*MAX(Mitigation_Industry!$J$664,0)*Mitigation_Industry!$F$763/1000</f>
        <v>0.35392708752397511</v>
      </c>
      <c r="AA291" s="137">
        <f>Mitigation_Industry!AA$676*Mitigation_Industry!$J$672*MAX(Mitigation_Industry!$J$664,0)*Mitigation_Industry!$F$763/1000</f>
        <v>0.36949987937502998</v>
      </c>
      <c r="AB291" s="137">
        <f>Mitigation_Industry!AB$676*Mitigation_Industry!$J$672*MAX(Mitigation_Industry!$J$664,0)*Mitigation_Industry!$F$763/1000</f>
        <v>0.38575787406753137</v>
      </c>
      <c r="AC291" s="137">
        <f>Mitigation_Industry!AC$676*Mitigation_Industry!$J$672*MAX(Mitigation_Industry!$J$664,0)*Mitigation_Industry!$F$763/1000</f>
        <v>0.40273122052650273</v>
      </c>
      <c r="AD291" s="137">
        <f>Mitigation_Industry!AD$676*Mitigation_Industry!$J$672*MAX(Mitigation_Industry!$J$664,0)*Mitigation_Industry!$F$763/1000</f>
        <v>0.42045139422966882</v>
      </c>
      <c r="AE291" s="137">
        <f>Mitigation_Industry!AE$676*Mitigation_Industry!$J$672*MAX(Mitigation_Industry!$J$664,0)*Mitigation_Industry!$F$763/1000</f>
        <v>0.43895125557577425</v>
      </c>
      <c r="AF291" s="138"/>
      <c r="AG291" s="138"/>
      <c r="AH291" s="138"/>
      <c r="AI291" s="138"/>
    </row>
    <row r="292" spans="1:35" customFormat="1" ht="15" x14ac:dyDescent="0.25">
      <c r="B292" s="14" t="s">
        <v>2567</v>
      </c>
      <c r="C292" s="14" t="s">
        <v>43</v>
      </c>
      <c r="D292" s="15" t="s">
        <v>2638</v>
      </c>
      <c r="E292" s="16" t="s">
        <v>2065</v>
      </c>
      <c r="F292" s="14" t="s">
        <v>2634</v>
      </c>
      <c r="G292" s="17"/>
      <c r="H292" s="125" t="str">
        <f>Settings!$B$3&amp;".mit.wm.stl.bof.np.2"</f>
        <v>egy.mit.wm.stl.bof.np.2</v>
      </c>
      <c r="K292" s="136"/>
      <c r="L292" s="137">
        <f>Mitigation_Industry!L$677*Mitigation_Industry!$J$672*MAX(Mitigation_Industry!$J$665,0)*Mitigation_Industry!$F$764/1000</f>
        <v>0</v>
      </c>
      <c r="M292" s="137">
        <f>Mitigation_Industry!M$677*Mitigation_Industry!$J$672*MAX(Mitigation_Industry!$J$665,0)*Mitigation_Industry!$F$764/1000</f>
        <v>0</v>
      </c>
      <c r="N292" s="137">
        <f>Mitigation_Industry!N$677*Mitigation_Industry!$J$672*MAX(Mitigation_Industry!$J$665,0)*Mitigation_Industry!$F$764/1000</f>
        <v>0</v>
      </c>
      <c r="O292" s="137">
        <f>Mitigation_Industry!O$677*Mitigation_Industry!$J$672*MAX(Mitigation_Industry!$J$665,0)*Mitigation_Industry!$F$764/1000</f>
        <v>0</v>
      </c>
      <c r="P292" s="137">
        <f>Mitigation_Industry!P$677*Mitigation_Industry!$J$672*MAX(Mitigation_Industry!$J$665,0)*Mitigation_Industry!$F$764/1000</f>
        <v>0</v>
      </c>
      <c r="Q292" s="137">
        <f>Mitigation_Industry!Q$677*Mitigation_Industry!$J$672*MAX(Mitigation_Industry!$J$665,0)*Mitigation_Industry!$F$764/1000</f>
        <v>0</v>
      </c>
      <c r="R292" s="137">
        <f>Mitigation_Industry!R$677*Mitigation_Industry!$J$672*MAX(Mitigation_Industry!$J$665,0)*Mitigation_Industry!$F$764/1000</f>
        <v>0</v>
      </c>
      <c r="S292" s="137">
        <f>Mitigation_Industry!S$677*Mitigation_Industry!$J$672*MAX(Mitigation_Industry!$J$665,0)*Mitigation_Industry!$F$764/1000</f>
        <v>0</v>
      </c>
      <c r="T292" s="137">
        <f>Mitigation_Industry!T$677*Mitigation_Industry!$J$672*MAX(Mitigation_Industry!$J$665,0)*Mitigation_Industry!$F$764/1000</f>
        <v>0</v>
      </c>
      <c r="U292" s="137">
        <f>Mitigation_Industry!U$677*Mitigation_Industry!$J$672*MAX(Mitigation_Industry!$J$665,0)*Mitigation_Industry!$F$764/1000</f>
        <v>0</v>
      </c>
      <c r="V292" s="137">
        <f>Mitigation_Industry!V$677*Mitigation_Industry!$J$672*MAX(Mitigation_Industry!$J$665,0)*Mitigation_Industry!$F$764/1000</f>
        <v>0</v>
      </c>
      <c r="W292" s="137">
        <f>Mitigation_Industry!W$677*Mitigation_Industry!$J$672*MAX(Mitigation_Industry!$J$665,0)*Mitigation_Industry!$F$764/1000</f>
        <v>0</v>
      </c>
      <c r="X292" s="137">
        <f>Mitigation_Industry!X$677*Mitigation_Industry!$J$672*MAX(Mitigation_Industry!$J$665,0)*Mitigation_Industry!$F$764/1000</f>
        <v>0</v>
      </c>
      <c r="Y292" s="137">
        <f>Mitigation_Industry!Y$677*Mitigation_Industry!$J$672*MAX(Mitigation_Industry!$J$665,0)*Mitigation_Industry!$F$764/1000</f>
        <v>0</v>
      </c>
      <c r="Z292" s="137">
        <f>Mitigation_Industry!Z$677*Mitigation_Industry!$J$672*MAX(Mitigation_Industry!$J$665,0)*Mitigation_Industry!$F$764/1000</f>
        <v>0</v>
      </c>
      <c r="AA292" s="137">
        <f>Mitigation_Industry!AA$677*Mitigation_Industry!$J$672*MAX(Mitigation_Industry!$J$665,0)*Mitigation_Industry!$F$764/1000</f>
        <v>0</v>
      </c>
      <c r="AB292" s="137">
        <f>Mitigation_Industry!AB$677*Mitigation_Industry!$J$672*MAX(Mitigation_Industry!$J$665,0)*Mitigation_Industry!$F$764/1000</f>
        <v>0</v>
      </c>
      <c r="AC292" s="137">
        <f>Mitigation_Industry!AC$677*Mitigation_Industry!$J$672*MAX(Mitigation_Industry!$J$665,0)*Mitigation_Industry!$F$764/1000</f>
        <v>0</v>
      </c>
      <c r="AD292" s="137">
        <f>Mitigation_Industry!AD$677*Mitigation_Industry!$J$672*MAX(Mitigation_Industry!$J$665,0)*Mitigation_Industry!$F$764/1000</f>
        <v>0</v>
      </c>
      <c r="AE292" s="137">
        <f>Mitigation_Industry!AE$677*Mitigation_Industry!$J$672*MAX(Mitigation_Industry!$J$665,0)*Mitigation_Industry!$F$764/1000</f>
        <v>0</v>
      </c>
      <c r="AF292" s="138"/>
      <c r="AG292" s="138"/>
      <c r="AH292" s="138"/>
      <c r="AI292" s="138"/>
    </row>
    <row r="293" spans="1:35" customFormat="1" ht="15" x14ac:dyDescent="0.25">
      <c r="B293" s="14" t="s">
        <v>2569</v>
      </c>
      <c r="C293" s="14" t="s">
        <v>113</v>
      </c>
      <c r="D293" s="15" t="s">
        <v>2639</v>
      </c>
      <c r="E293" s="16" t="s">
        <v>2065</v>
      </c>
      <c r="F293" s="14" t="s">
        <v>2634</v>
      </c>
      <c r="G293" s="17"/>
      <c r="H293" s="125" t="str">
        <f>Settings!$B$3&amp;".mit.wm.cmt.dry.np.2"</f>
        <v>egy.mit.wm.cmt.dry.np.2</v>
      </c>
      <c r="K293" s="136"/>
      <c r="L293" s="137">
        <f>Mitigation_Industry!L$678*Mitigation_Industry!$J$672*MAX(Mitigation_Industry!$J$666,0)*Mitigation_Industry!$F$765/1000</f>
        <v>25.163138219961041</v>
      </c>
      <c r="M293" s="137">
        <f>Mitigation_Industry!M$678*Mitigation_Industry!$J$672*MAX(Mitigation_Industry!$J$666,0)*Mitigation_Industry!$F$765/1000</f>
        <v>25.993521781219755</v>
      </c>
      <c r="N293" s="137">
        <f>Mitigation_Industry!N$678*Mitigation_Industry!$J$672*MAX(Mitigation_Industry!$J$666,0)*Mitigation_Industry!$F$765/1000</f>
        <v>26.851308</v>
      </c>
      <c r="O293" s="137">
        <f>Mitigation_Industry!O$678*Mitigation_Industry!$J$672*MAX(Mitigation_Industry!$J$666,0)*Mitigation_Industry!$F$765/1000</f>
        <v>27.737401163999998</v>
      </c>
      <c r="P293" s="137">
        <f>Mitigation_Industry!P$678*Mitigation_Industry!$J$672*MAX(Mitigation_Industry!$J$666,0)*Mitigation_Industry!$F$765/1000</f>
        <v>28.652735402411995</v>
      </c>
      <c r="Q293" s="137">
        <f>Mitigation_Industry!Q$678*Mitigation_Industry!$J$672*MAX(Mitigation_Industry!$J$666,0)*Mitigation_Industry!$F$765/1000</f>
        <v>29.598275670691589</v>
      </c>
      <c r="R293" s="137">
        <f>Mitigation_Industry!R$678*Mitigation_Industry!$J$672*MAX(Mitigation_Industry!$J$666,0)*Mitigation_Industry!$F$765/1000</f>
        <v>30.575018767824407</v>
      </c>
      <c r="S293" s="137">
        <f>Mitigation_Industry!S$678*Mitigation_Industry!$J$672*MAX(Mitigation_Industry!$J$666,0)*Mitigation_Industry!$F$765/1000</f>
        <v>31.583994387162612</v>
      </c>
      <c r="T293" s="137">
        <f>Mitigation_Industry!T$678*Mitigation_Industry!$J$672*MAX(Mitigation_Industry!$J$666,0)*Mitigation_Industry!$F$765/1000</f>
        <v>32.626266201938975</v>
      </c>
      <c r="U293" s="137">
        <f>Mitigation_Industry!U$678*Mitigation_Industry!$J$672*MAX(Mitigation_Industry!$J$666,0)*Mitigation_Industry!$F$765/1000</f>
        <v>33.70293298660296</v>
      </c>
      <c r="V293" s="137">
        <f>Mitigation_Industry!V$678*Mitigation_Industry!$J$672*MAX(Mitigation_Industry!$J$666,0)*Mitigation_Industry!$F$765/1000</f>
        <v>34.815129775160841</v>
      </c>
      <c r="W293" s="137">
        <f>Mitigation_Industry!W$678*Mitigation_Industry!$J$672*MAX(Mitigation_Industry!$J$666,0)*Mitigation_Industry!$F$765/1000</f>
        <v>35.964029057741151</v>
      </c>
      <c r="X293" s="137">
        <f>Mitigation_Industry!X$678*Mitigation_Industry!$J$672*MAX(Mitigation_Industry!$J$666,0)*Mitigation_Industry!$F$765/1000</f>
        <v>37.150842016646592</v>
      </c>
      <c r="Y293" s="137">
        <f>Mitigation_Industry!Y$678*Mitigation_Industry!$J$672*MAX(Mitigation_Industry!$J$666,0)*Mitigation_Industry!$F$765/1000</f>
        <v>38.376819803195943</v>
      </c>
      <c r="Z293" s="137">
        <f>Mitigation_Industry!Z$678*Mitigation_Industry!$J$672*MAX(Mitigation_Industry!$J$666,0)*Mitigation_Industry!$F$765/1000</f>
        <v>39.643254856701404</v>
      </c>
      <c r="AA293" s="137">
        <f>Mitigation_Industry!AA$678*Mitigation_Industry!$J$672*MAX(Mitigation_Industry!$J$666,0)*Mitigation_Industry!$F$765/1000</f>
        <v>40.951482266972548</v>
      </c>
      <c r="AB293" s="137">
        <f>Mitigation_Industry!AB$678*Mitigation_Industry!$J$672*MAX(Mitigation_Industry!$J$666,0)*Mitigation_Industry!$F$765/1000</f>
        <v>42.302881181782631</v>
      </c>
      <c r="AC293" s="137">
        <f>Mitigation_Industry!AC$678*Mitigation_Industry!$J$672*MAX(Mitigation_Industry!$J$666,0)*Mitigation_Industry!$F$765/1000</f>
        <v>43.698876260781446</v>
      </c>
      <c r="AD293" s="137">
        <f>Mitigation_Industry!AD$678*Mitigation_Industry!$J$672*MAX(Mitigation_Industry!$J$666,0)*Mitigation_Industry!$F$765/1000</f>
        <v>45.140939177387231</v>
      </c>
      <c r="AE293" s="137">
        <f>Mitigation_Industry!AE$678*Mitigation_Industry!$J$672*MAX(Mitigation_Industry!$J$666,0)*Mitigation_Industry!$F$765/1000</f>
        <v>46.630590170241007</v>
      </c>
      <c r="AF293" s="138"/>
      <c r="AG293" s="138"/>
      <c r="AH293" s="138"/>
      <c r="AI293" s="138"/>
    </row>
    <row r="294" spans="1:35" customFormat="1" ht="15" x14ac:dyDescent="0.25">
      <c r="B294" s="14" t="s">
        <v>2571</v>
      </c>
      <c r="C294" s="14" t="s">
        <v>117</v>
      </c>
      <c r="D294" s="15" t="s">
        <v>2640</v>
      </c>
      <c r="E294" s="16" t="s">
        <v>2065</v>
      </c>
      <c r="F294" s="14" t="s">
        <v>2634</v>
      </c>
      <c r="G294" s="17"/>
      <c r="H294" s="125" t="str">
        <f>Settings!$B$3&amp;".mit.wm.frt.amc.np.2"</f>
        <v>egy.mit.wm.frt.amc.np.2</v>
      </c>
      <c r="K294" s="136"/>
      <c r="L294" s="137">
        <f>Mitigation_Industry!L$679*Mitigation_Industry!$J$672*MAX(Mitigation_Industry!$J$667,0)*Mitigation_Industry!$F$766/1000</f>
        <v>0</v>
      </c>
      <c r="M294" s="137">
        <f>Mitigation_Industry!M$679*Mitigation_Industry!$J$672*MAX(Mitigation_Industry!$J$667,0)*Mitigation_Industry!$F$766/1000</f>
        <v>0</v>
      </c>
      <c r="N294" s="137">
        <f>Mitigation_Industry!N$679*Mitigation_Industry!$J$672*MAX(Mitigation_Industry!$J$667,0)*Mitigation_Industry!$F$766/1000</f>
        <v>0</v>
      </c>
      <c r="O294" s="137">
        <f>Mitigation_Industry!O$679*Mitigation_Industry!$J$672*MAX(Mitigation_Industry!$J$667,0)*Mitigation_Industry!$F$766/1000</f>
        <v>0</v>
      </c>
      <c r="P294" s="137">
        <f>Mitigation_Industry!P$679*Mitigation_Industry!$J$672*MAX(Mitigation_Industry!$J$667,0)*Mitigation_Industry!$F$766/1000</f>
        <v>0</v>
      </c>
      <c r="Q294" s="137">
        <f>Mitigation_Industry!Q$679*Mitigation_Industry!$J$672*MAX(Mitigation_Industry!$J$667,0)*Mitigation_Industry!$F$766/1000</f>
        <v>0</v>
      </c>
      <c r="R294" s="137">
        <f>Mitigation_Industry!R$679*Mitigation_Industry!$J$672*MAX(Mitigation_Industry!$J$667,0)*Mitigation_Industry!$F$766/1000</f>
        <v>0</v>
      </c>
      <c r="S294" s="137">
        <f>Mitigation_Industry!S$679*Mitigation_Industry!$J$672*MAX(Mitigation_Industry!$J$667,0)*Mitigation_Industry!$F$766/1000</f>
        <v>0</v>
      </c>
      <c r="T294" s="137">
        <f>Mitigation_Industry!T$679*Mitigation_Industry!$J$672*MAX(Mitigation_Industry!$J$667,0)*Mitigation_Industry!$F$766/1000</f>
        <v>0</v>
      </c>
      <c r="U294" s="137">
        <f>Mitigation_Industry!U$679*Mitigation_Industry!$J$672*MAX(Mitigation_Industry!$J$667,0)*Mitigation_Industry!$F$766/1000</f>
        <v>0</v>
      </c>
      <c r="V294" s="137">
        <f>Mitigation_Industry!V$679*Mitigation_Industry!$J$672*MAX(Mitigation_Industry!$J$667,0)*Mitigation_Industry!$F$766/1000</f>
        <v>0</v>
      </c>
      <c r="W294" s="137">
        <f>Mitigation_Industry!W$679*Mitigation_Industry!$J$672*MAX(Mitigation_Industry!$J$667,0)*Mitigation_Industry!$F$766/1000</f>
        <v>0</v>
      </c>
      <c r="X294" s="137">
        <f>Mitigation_Industry!X$679*Mitigation_Industry!$J$672*MAX(Mitigation_Industry!$J$667,0)*Mitigation_Industry!$F$766/1000</f>
        <v>0</v>
      </c>
      <c r="Y294" s="137">
        <f>Mitigation_Industry!Y$679*Mitigation_Industry!$J$672*MAX(Mitigation_Industry!$J$667,0)*Mitigation_Industry!$F$766/1000</f>
        <v>0</v>
      </c>
      <c r="Z294" s="137">
        <f>Mitigation_Industry!Z$679*Mitigation_Industry!$J$672*MAX(Mitigation_Industry!$J$667,0)*Mitigation_Industry!$F$766/1000</f>
        <v>0</v>
      </c>
      <c r="AA294" s="137">
        <f>Mitigation_Industry!AA$679*Mitigation_Industry!$J$672*MAX(Mitigation_Industry!$J$667,0)*Mitigation_Industry!$F$766/1000</f>
        <v>0</v>
      </c>
      <c r="AB294" s="137">
        <f>Mitigation_Industry!AB$679*Mitigation_Industry!$J$672*MAX(Mitigation_Industry!$J$667,0)*Mitigation_Industry!$F$766/1000</f>
        <v>0</v>
      </c>
      <c r="AC294" s="137">
        <f>Mitigation_Industry!AC$679*Mitigation_Industry!$J$672*MAX(Mitigation_Industry!$J$667,0)*Mitigation_Industry!$F$766/1000</f>
        <v>0</v>
      </c>
      <c r="AD294" s="137">
        <f>Mitigation_Industry!AD$679*Mitigation_Industry!$J$672*MAX(Mitigation_Industry!$J$667,0)*Mitigation_Industry!$F$766/1000</f>
        <v>0</v>
      </c>
      <c r="AE294" s="137">
        <f>Mitigation_Industry!AE$679*Mitigation_Industry!$J$672*MAX(Mitigation_Industry!$J$667,0)*Mitigation_Industry!$F$766/1000</f>
        <v>0</v>
      </c>
      <c r="AF294" s="138"/>
      <c r="AG294" s="138"/>
      <c r="AH294" s="138"/>
      <c r="AI294" s="138"/>
    </row>
    <row r="295" spans="1:35" customFormat="1" ht="15" x14ac:dyDescent="0.25">
      <c r="B295" s="14" t="s">
        <v>2573</v>
      </c>
      <c r="C295" s="14" t="s">
        <v>117</v>
      </c>
      <c r="D295" s="15" t="s">
        <v>2641</v>
      </c>
      <c r="E295" s="16" t="s">
        <v>2065</v>
      </c>
      <c r="F295" s="14" t="s">
        <v>2634</v>
      </c>
      <c r="G295" s="17"/>
      <c r="H295" s="125" t="str">
        <f>Settings!$B$3&amp;".mit.wm.frt.ure.np.2"</f>
        <v>egy.mit.wm.frt.ure.np.2</v>
      </c>
      <c r="K295" s="136"/>
      <c r="L295" s="137">
        <f>Mitigation_Industry!L$680*Mitigation_Industry!$J$672*MAX(Mitigation_Industry!$J$668,0)*Mitigation_Industry!$F$767/1000</f>
        <v>0</v>
      </c>
      <c r="M295" s="137">
        <f>Mitigation_Industry!M$680*Mitigation_Industry!$J$672*MAX(Mitigation_Industry!$J$668,0)*Mitigation_Industry!$F$767/1000</f>
        <v>0</v>
      </c>
      <c r="N295" s="137">
        <f>Mitigation_Industry!N$680*Mitigation_Industry!$J$672*MAX(Mitigation_Industry!$J$668,0)*Mitigation_Industry!$F$767/1000</f>
        <v>0</v>
      </c>
      <c r="O295" s="137">
        <f>Mitigation_Industry!O$680*Mitigation_Industry!$J$672*MAX(Mitigation_Industry!$J$668,0)*Mitigation_Industry!$F$767/1000</f>
        <v>0</v>
      </c>
      <c r="P295" s="137">
        <f>Mitigation_Industry!P$680*Mitigation_Industry!$J$672*MAX(Mitigation_Industry!$J$668,0)*Mitigation_Industry!$F$767/1000</f>
        <v>0</v>
      </c>
      <c r="Q295" s="137">
        <f>Mitigation_Industry!Q$680*Mitigation_Industry!$J$672*MAX(Mitigation_Industry!$J$668,0)*Mitigation_Industry!$F$767/1000</f>
        <v>0</v>
      </c>
      <c r="R295" s="137">
        <f>Mitigation_Industry!R$680*Mitigation_Industry!$J$672*MAX(Mitigation_Industry!$J$668,0)*Mitigation_Industry!$F$767/1000</f>
        <v>0</v>
      </c>
      <c r="S295" s="137">
        <f>Mitigation_Industry!S$680*Mitigation_Industry!$J$672*MAX(Mitigation_Industry!$J$668,0)*Mitigation_Industry!$F$767/1000</f>
        <v>0</v>
      </c>
      <c r="T295" s="137">
        <f>Mitigation_Industry!T$680*Mitigation_Industry!$J$672*MAX(Mitigation_Industry!$J$668,0)*Mitigation_Industry!$F$767/1000</f>
        <v>0</v>
      </c>
      <c r="U295" s="137">
        <f>Mitigation_Industry!U$680*Mitigation_Industry!$J$672*MAX(Mitigation_Industry!$J$668,0)*Mitigation_Industry!$F$767/1000</f>
        <v>0</v>
      </c>
      <c r="V295" s="137">
        <f>Mitigation_Industry!V$680*Mitigation_Industry!$J$672*MAX(Mitigation_Industry!$J$668,0)*Mitigation_Industry!$F$767/1000</f>
        <v>0</v>
      </c>
      <c r="W295" s="137">
        <f>Mitigation_Industry!W$680*Mitigation_Industry!$J$672*MAX(Mitigation_Industry!$J$668,0)*Mitigation_Industry!$F$767/1000</f>
        <v>0</v>
      </c>
      <c r="X295" s="137">
        <f>Mitigation_Industry!X$680*Mitigation_Industry!$J$672*MAX(Mitigation_Industry!$J$668,0)*Mitigation_Industry!$F$767/1000</f>
        <v>0</v>
      </c>
      <c r="Y295" s="137">
        <f>Mitigation_Industry!Y$680*Mitigation_Industry!$J$672*MAX(Mitigation_Industry!$J$668,0)*Mitigation_Industry!$F$767/1000</f>
        <v>0</v>
      </c>
      <c r="Z295" s="137">
        <f>Mitigation_Industry!Z$680*Mitigation_Industry!$J$672*MAX(Mitigation_Industry!$J$668,0)*Mitigation_Industry!$F$767/1000</f>
        <v>0</v>
      </c>
      <c r="AA295" s="137">
        <f>Mitigation_Industry!AA$680*Mitigation_Industry!$J$672*MAX(Mitigation_Industry!$J$668,0)*Mitigation_Industry!$F$767/1000</f>
        <v>0</v>
      </c>
      <c r="AB295" s="137">
        <f>Mitigation_Industry!AB$680*Mitigation_Industry!$J$672*MAX(Mitigation_Industry!$J$668,0)*Mitigation_Industry!$F$767/1000</f>
        <v>0</v>
      </c>
      <c r="AC295" s="137">
        <f>Mitigation_Industry!AC$680*Mitigation_Industry!$J$672*MAX(Mitigation_Industry!$J$668,0)*Mitigation_Industry!$F$767/1000</f>
        <v>0</v>
      </c>
      <c r="AD295" s="137">
        <f>Mitigation_Industry!AD$680*Mitigation_Industry!$J$672*MAX(Mitigation_Industry!$J$668,0)*Mitigation_Industry!$F$767/1000</f>
        <v>0</v>
      </c>
      <c r="AE295" s="137">
        <f>Mitigation_Industry!AE$680*Mitigation_Industry!$J$672*MAX(Mitigation_Industry!$J$668,0)*Mitigation_Industry!$F$767/1000</f>
        <v>0</v>
      </c>
      <c r="AF295" s="138"/>
      <c r="AG295" s="138"/>
      <c r="AH295" s="138"/>
      <c r="AI295" s="138"/>
    </row>
    <row r="296" spans="1:35" customFormat="1" ht="15" x14ac:dyDescent="0.25">
      <c r="B296" s="14" t="s">
        <v>2575</v>
      </c>
      <c r="C296" s="14" t="s">
        <v>117</v>
      </c>
      <c r="D296" s="15" t="s">
        <v>2642</v>
      </c>
      <c r="E296" s="16" t="s">
        <v>2065</v>
      </c>
      <c r="F296" s="14" t="s">
        <v>2634</v>
      </c>
      <c r="G296" s="17"/>
      <c r="H296" s="125" t="str">
        <f>Settings!$B$3&amp;".mit.wm.frt.nit.np.2"</f>
        <v>egy.mit.wm.frt.nit.np.2</v>
      </c>
      <c r="K296" s="136"/>
      <c r="L296" s="137">
        <f>Mitigation_Industry!L$681*Mitigation_Industry!$J$672*MAX(Mitigation_Industry!$J$669,0)*Mitigation_Industry!$F$768/1000</f>
        <v>0</v>
      </c>
      <c r="M296" s="137">
        <f>Mitigation_Industry!M$681*Mitigation_Industry!$J$672*MAX(Mitigation_Industry!$J$669,0)*Mitigation_Industry!$F$768/1000</f>
        <v>0</v>
      </c>
      <c r="N296" s="137">
        <f>Mitigation_Industry!N$681*Mitigation_Industry!$J$672*MAX(Mitigation_Industry!$J$669,0)*Mitigation_Industry!$F$768/1000</f>
        <v>0</v>
      </c>
      <c r="O296" s="137">
        <f>Mitigation_Industry!O$681*Mitigation_Industry!$J$672*MAX(Mitigation_Industry!$J$669,0)*Mitigation_Industry!$F$768/1000</f>
        <v>0</v>
      </c>
      <c r="P296" s="137">
        <f>Mitigation_Industry!P$681*Mitigation_Industry!$J$672*MAX(Mitigation_Industry!$J$669,0)*Mitigation_Industry!$F$768/1000</f>
        <v>0</v>
      </c>
      <c r="Q296" s="137">
        <f>Mitigation_Industry!Q$681*Mitigation_Industry!$J$672*MAX(Mitigation_Industry!$J$669,0)*Mitigation_Industry!$F$768/1000</f>
        <v>0</v>
      </c>
      <c r="R296" s="137">
        <f>Mitigation_Industry!R$681*Mitigation_Industry!$J$672*MAX(Mitigation_Industry!$J$669,0)*Mitigation_Industry!$F$768/1000</f>
        <v>0</v>
      </c>
      <c r="S296" s="137">
        <f>Mitigation_Industry!S$681*Mitigation_Industry!$J$672*MAX(Mitigation_Industry!$J$669,0)*Mitigation_Industry!$F$768/1000</f>
        <v>0</v>
      </c>
      <c r="T296" s="137">
        <f>Mitigation_Industry!T$681*Mitigation_Industry!$J$672*MAX(Mitigation_Industry!$J$669,0)*Mitigation_Industry!$F$768/1000</f>
        <v>0</v>
      </c>
      <c r="U296" s="137">
        <f>Mitigation_Industry!U$681*Mitigation_Industry!$J$672*MAX(Mitigation_Industry!$J$669,0)*Mitigation_Industry!$F$768/1000</f>
        <v>0</v>
      </c>
      <c r="V296" s="137">
        <f>Mitigation_Industry!V$681*Mitigation_Industry!$J$672*MAX(Mitigation_Industry!$J$669,0)*Mitigation_Industry!$F$768/1000</f>
        <v>0</v>
      </c>
      <c r="W296" s="137">
        <f>Mitigation_Industry!W$681*Mitigation_Industry!$J$672*MAX(Mitigation_Industry!$J$669,0)*Mitigation_Industry!$F$768/1000</f>
        <v>0</v>
      </c>
      <c r="X296" s="137">
        <f>Mitigation_Industry!X$681*Mitigation_Industry!$J$672*MAX(Mitigation_Industry!$J$669,0)*Mitigation_Industry!$F$768/1000</f>
        <v>0</v>
      </c>
      <c r="Y296" s="137">
        <f>Mitigation_Industry!Y$681*Mitigation_Industry!$J$672*MAX(Mitigation_Industry!$J$669,0)*Mitigation_Industry!$F$768/1000</f>
        <v>0</v>
      </c>
      <c r="Z296" s="137">
        <f>Mitigation_Industry!Z$681*Mitigation_Industry!$J$672*MAX(Mitigation_Industry!$J$669,0)*Mitigation_Industry!$F$768/1000</f>
        <v>0</v>
      </c>
      <c r="AA296" s="137">
        <f>Mitigation_Industry!AA$681*Mitigation_Industry!$J$672*MAX(Mitigation_Industry!$J$669,0)*Mitigation_Industry!$F$768/1000</f>
        <v>0</v>
      </c>
      <c r="AB296" s="137">
        <f>Mitigation_Industry!AB$681*Mitigation_Industry!$J$672*MAX(Mitigation_Industry!$J$669,0)*Mitigation_Industry!$F$768/1000</f>
        <v>0</v>
      </c>
      <c r="AC296" s="137">
        <f>Mitigation_Industry!AC$681*Mitigation_Industry!$J$672*MAX(Mitigation_Industry!$J$669,0)*Mitigation_Industry!$F$768/1000</f>
        <v>0</v>
      </c>
      <c r="AD296" s="137">
        <f>Mitigation_Industry!AD$681*Mitigation_Industry!$J$672*MAX(Mitigation_Industry!$J$669,0)*Mitigation_Industry!$F$768/1000</f>
        <v>0</v>
      </c>
      <c r="AE296" s="137">
        <f>Mitigation_Industry!AE$681*Mitigation_Industry!$J$672*MAX(Mitigation_Industry!$J$669,0)*Mitigation_Industry!$F$768/1000</f>
        <v>0</v>
      </c>
      <c r="AF296" s="138"/>
      <c r="AG296" s="138"/>
      <c r="AH296" s="138"/>
      <c r="AI296" s="138"/>
    </row>
    <row r="297" spans="1:35" customFormat="1" ht="15" x14ac:dyDescent="0.25">
      <c r="B297" s="14" t="s">
        <v>2577</v>
      </c>
      <c r="C297" s="14" t="s">
        <v>115</v>
      </c>
      <c r="D297" s="15" t="s">
        <v>2643</v>
      </c>
      <c r="E297" s="16" t="s">
        <v>2065</v>
      </c>
      <c r="F297" s="14" t="s">
        <v>2634</v>
      </c>
      <c r="G297" s="17"/>
      <c r="H297" s="125" t="str">
        <f>Settings!$B$3&amp;".mit.wm.alu.prp.np.2"</f>
        <v>egy.mit.wm.alu.prp.np.2</v>
      </c>
      <c r="K297" s="136"/>
      <c r="L297" s="137">
        <f>Mitigation_Industry!L$682*Mitigation_Industry!$J$672*MAX(Mitigation_Industry!$J$670,0)*Mitigation_Industry!$F$769/1000</f>
        <v>0.43758937310482698</v>
      </c>
      <c r="M297" s="137">
        <f>Mitigation_Industry!M$682*Mitigation_Industry!$J$672*MAX(Mitigation_Industry!$J$670,0)*Mitigation_Industry!$F$769/1000</f>
        <v>0.4616567886255924</v>
      </c>
      <c r="N297" s="137">
        <f>Mitigation_Industry!N$682*Mitigation_Industry!$J$672*MAX(Mitigation_Industry!$J$670,0)*Mitigation_Industry!$F$769/1000</f>
        <v>0.48704791199999997</v>
      </c>
      <c r="O297" s="137">
        <f>Mitigation_Industry!O$682*Mitigation_Industry!$J$672*MAX(Mitigation_Industry!$J$670,0)*Mitigation_Industry!$F$769/1000</f>
        <v>0.51383554716000002</v>
      </c>
      <c r="P297" s="137">
        <f>Mitigation_Industry!P$682*Mitigation_Industry!$J$672*MAX(Mitigation_Industry!$J$670,0)*Mitigation_Industry!$F$769/1000</f>
        <v>0.54209650225379991</v>
      </c>
      <c r="Q297" s="137">
        <f>Mitigation_Industry!Q$682*Mitigation_Industry!$J$672*MAX(Mitigation_Industry!$J$670,0)*Mitigation_Industry!$F$769/1000</f>
        <v>0.5719118098777588</v>
      </c>
      <c r="R297" s="137">
        <f>Mitigation_Industry!R$682*Mitigation_Industry!$J$672*MAX(Mitigation_Industry!$J$670,0)*Mitigation_Industry!$F$769/1000</f>
        <v>0.6033669594210358</v>
      </c>
      <c r="S297" s="137">
        <f>Mitigation_Industry!S$682*Mitigation_Industry!$J$672*MAX(Mitigation_Industry!$J$670,0)*Mitigation_Industry!$F$769/1000</f>
        <v>0.63655214218919254</v>
      </c>
      <c r="T297" s="137">
        <f>Mitigation_Industry!T$682*Mitigation_Industry!$J$672*MAX(Mitigation_Industry!$J$670,0)*Mitigation_Industry!$F$769/1000</f>
        <v>0.6715625100095981</v>
      </c>
      <c r="U297" s="137">
        <f>Mitigation_Industry!U$682*Mitigation_Industry!$J$672*MAX(Mitigation_Industry!$J$670,0)*Mitigation_Industry!$F$769/1000</f>
        <v>0.70849844806012596</v>
      </c>
      <c r="V297" s="137">
        <f>Mitigation_Industry!V$682*Mitigation_Industry!$J$672*MAX(Mitigation_Industry!$J$670,0)*Mitigation_Industry!$F$769/1000</f>
        <v>0.74746586270343296</v>
      </c>
      <c r="W297" s="137">
        <f>Mitigation_Industry!W$682*Mitigation_Industry!$J$672*MAX(Mitigation_Industry!$J$670,0)*Mitigation_Industry!$F$769/1000</f>
        <v>0.78857648515212175</v>
      </c>
      <c r="X297" s="137">
        <f>Mitigation_Industry!X$682*Mitigation_Industry!$J$672*MAX(Mitigation_Industry!$J$670,0)*Mitigation_Industry!$F$769/1000</f>
        <v>0.83194819183548852</v>
      </c>
      <c r="Y297" s="137">
        <f>Mitigation_Industry!Y$682*Mitigation_Industry!$J$672*MAX(Mitigation_Industry!$J$670,0)*Mitigation_Industry!$F$769/1000</f>
        <v>0.87770534238644027</v>
      </c>
      <c r="Z297" s="137">
        <f>Mitigation_Industry!Z$682*Mitigation_Industry!$J$672*MAX(Mitigation_Industry!$J$670,0)*Mitigation_Industry!$F$769/1000</f>
        <v>0.92597913621769457</v>
      </c>
      <c r="AA297" s="137">
        <f>Mitigation_Industry!AA$682*Mitigation_Industry!$J$672*MAX(Mitigation_Industry!$J$670,0)*Mitigation_Industry!$F$769/1000</f>
        <v>0.97690798870966755</v>
      </c>
      <c r="AB297" s="137">
        <f>Mitigation_Industry!AB$682*Mitigation_Industry!$J$672*MAX(Mitigation_Industry!$J$670,0)*Mitigation_Industry!$F$769/1000</f>
        <v>1.0306379280886993</v>
      </c>
      <c r="AC297" s="137">
        <f>Mitigation_Industry!AC$682*Mitigation_Industry!$J$672*MAX(Mitigation_Industry!$J$670,0)*Mitigation_Industry!$F$769/1000</f>
        <v>1.0873230141335775</v>
      </c>
      <c r="AD297" s="137">
        <f>Mitigation_Industry!AD$682*Mitigation_Industry!$J$672*MAX(Mitigation_Industry!$J$670,0)*Mitigation_Industry!$F$769/1000</f>
        <v>1.1471257799109245</v>
      </c>
      <c r="AE297" s="137">
        <f>Mitigation_Industry!AE$682*Mitigation_Industry!$J$672*MAX(Mitigation_Industry!$J$670,0)*Mitigation_Industry!$F$769/1000</f>
        <v>1.2102176978060251</v>
      </c>
      <c r="AF297" s="138"/>
      <c r="AG297" s="138"/>
      <c r="AH297" s="138"/>
      <c r="AI297" s="138"/>
    </row>
    <row r="298" spans="1:35" customFormat="1" ht="15" x14ac:dyDescent="0.25">
      <c r="B298" s="14" t="s">
        <v>2579</v>
      </c>
      <c r="C298" s="14" t="s">
        <v>43</v>
      </c>
      <c r="D298" s="15" t="s">
        <v>2644</v>
      </c>
      <c r="E298" s="16" t="s">
        <v>2065</v>
      </c>
      <c r="F298" s="14" t="s">
        <v>2634</v>
      </c>
      <c r="G298" s="17"/>
      <c r="H298" s="125" t="str">
        <f>Settings!$B$3&amp;".mit.wm.stl.drg.no.2"</f>
        <v>egy.mit.wm.stl.drg.no.2</v>
      </c>
      <c r="K298" s="136"/>
      <c r="L298" s="137">
        <f>Mitigation_Industry!L$675*Mitigation_Industry!$K$672*MAX(Mitigation_Industry!$K$663,0)*Mitigation_Industry!$H$762/1000</f>
        <v>0</v>
      </c>
      <c r="M298" s="137">
        <f>Mitigation_Industry!M$675*Mitigation_Industry!$K$672*MAX(Mitigation_Industry!$K$663,0)*Mitigation_Industry!$H$762/1000</f>
        <v>0</v>
      </c>
      <c r="N298" s="137">
        <f>Mitigation_Industry!N$675*Mitigation_Industry!$K$672*MAX(Mitigation_Industry!$K$663,0)*Mitigation_Industry!$H$762/1000</f>
        <v>0</v>
      </c>
      <c r="O298" s="137">
        <f>Mitigation_Industry!O$675*Mitigation_Industry!$K$672*MAX(Mitigation_Industry!$K$663,0)*Mitigation_Industry!$H$762/1000</f>
        <v>0</v>
      </c>
      <c r="P298" s="137">
        <f>Mitigation_Industry!P$675*Mitigation_Industry!$K$672*MAX(Mitigation_Industry!$K$663,0)*Mitigation_Industry!$H$762/1000</f>
        <v>0</v>
      </c>
      <c r="Q298" s="137">
        <f>Mitigation_Industry!Q$675*Mitigation_Industry!$K$672*MAX(Mitigation_Industry!$K$663,0)*Mitigation_Industry!$H$762/1000</f>
        <v>0</v>
      </c>
      <c r="R298" s="137">
        <f>Mitigation_Industry!R$675*Mitigation_Industry!$K$672*MAX(Mitigation_Industry!$K$663,0)*Mitigation_Industry!$H$762/1000</f>
        <v>0</v>
      </c>
      <c r="S298" s="137">
        <f>Mitigation_Industry!S$675*Mitigation_Industry!$K$672*MAX(Mitigation_Industry!$K$663,0)*Mitigation_Industry!$H$762/1000</f>
        <v>0</v>
      </c>
      <c r="T298" s="137">
        <f>Mitigation_Industry!T$675*Mitigation_Industry!$K$672*MAX(Mitigation_Industry!$K$663,0)*Mitigation_Industry!$H$762/1000</f>
        <v>0</v>
      </c>
      <c r="U298" s="137">
        <f>Mitigation_Industry!U$675*Mitigation_Industry!$K$672*MAX(Mitigation_Industry!$K$663,0)*Mitigation_Industry!$H$762/1000</f>
        <v>0</v>
      </c>
      <c r="V298" s="137">
        <f>Mitigation_Industry!V$675*Mitigation_Industry!$K$672*MAX(Mitigation_Industry!$K$663,0)*Mitigation_Industry!$H$762/1000</f>
        <v>0</v>
      </c>
      <c r="W298" s="137">
        <f>Mitigation_Industry!W$675*Mitigation_Industry!$K$672*MAX(Mitigation_Industry!$K$663,0)*Mitigation_Industry!$H$762/1000</f>
        <v>0</v>
      </c>
      <c r="X298" s="137">
        <f>Mitigation_Industry!X$675*Mitigation_Industry!$K$672*MAX(Mitigation_Industry!$K$663,0)*Mitigation_Industry!$H$762/1000</f>
        <v>0</v>
      </c>
      <c r="Y298" s="137">
        <f>Mitigation_Industry!Y$675*Mitigation_Industry!$K$672*MAX(Mitigation_Industry!$K$663,0)*Mitigation_Industry!$H$762/1000</f>
        <v>0</v>
      </c>
      <c r="Z298" s="137">
        <f>Mitigation_Industry!Z$675*Mitigation_Industry!$K$672*MAX(Mitigation_Industry!$K$663,0)*Mitigation_Industry!$H$762/1000</f>
        <v>0</v>
      </c>
      <c r="AA298" s="137">
        <f>Mitigation_Industry!AA$675*Mitigation_Industry!$K$672*MAX(Mitigation_Industry!$K$663,0)*Mitigation_Industry!$H$762/1000</f>
        <v>0</v>
      </c>
      <c r="AB298" s="137">
        <f>Mitigation_Industry!AB$675*Mitigation_Industry!$K$672*MAX(Mitigation_Industry!$K$663,0)*Mitigation_Industry!$H$762/1000</f>
        <v>0</v>
      </c>
      <c r="AC298" s="137">
        <f>Mitigation_Industry!AC$675*Mitigation_Industry!$K$672*MAX(Mitigation_Industry!$K$663,0)*Mitigation_Industry!$H$762/1000</f>
        <v>0</v>
      </c>
      <c r="AD298" s="137">
        <f>Mitigation_Industry!AD$675*Mitigation_Industry!$K$672*MAX(Mitigation_Industry!$K$663,0)*Mitigation_Industry!$H$762/1000</f>
        <v>0</v>
      </c>
      <c r="AE298" s="137">
        <f>Mitigation_Industry!AE$675*Mitigation_Industry!$K$672*MAX(Mitigation_Industry!$K$663,0)*Mitigation_Industry!$H$762/1000</f>
        <v>0</v>
      </c>
      <c r="AF298" s="138"/>
      <c r="AG298" s="138"/>
      <c r="AH298" s="138"/>
      <c r="AI298" s="138"/>
    </row>
    <row r="299" spans="1:35" customFormat="1" ht="15" x14ac:dyDescent="0.25">
      <c r="B299" s="14" t="s">
        <v>2581</v>
      </c>
      <c r="C299" s="14" t="s">
        <v>43</v>
      </c>
      <c r="D299" s="15" t="s">
        <v>2645</v>
      </c>
      <c r="E299" s="16" t="s">
        <v>2065</v>
      </c>
      <c r="F299" s="14" t="s">
        <v>2634</v>
      </c>
      <c r="G299" s="17"/>
      <c r="H299" s="125" t="str">
        <f>Settings!$B$3&amp;".mit.wm.stl.scr.no.2"</f>
        <v>egy.mit.wm.stl.scr.no.2</v>
      </c>
      <c r="K299" s="136"/>
      <c r="L299" s="137">
        <f>Mitigation_Industry!L$676*Mitigation_Industry!$K$672*MAX(Mitigation_Industry!$K$664,0)*Mitigation_Industry!$H$763/1000</f>
        <v>0</v>
      </c>
      <c r="M299" s="137">
        <f>Mitigation_Industry!M$676*Mitigation_Industry!$K$672*MAX(Mitigation_Industry!$K$664,0)*Mitigation_Industry!$H$763/1000</f>
        <v>0</v>
      </c>
      <c r="N299" s="137">
        <f>Mitigation_Industry!N$676*Mitigation_Industry!$K$672*MAX(Mitigation_Industry!$K$664,0)*Mitigation_Industry!$H$763/1000</f>
        <v>0</v>
      </c>
      <c r="O299" s="137">
        <f>Mitigation_Industry!O$676*Mitigation_Industry!$K$672*MAX(Mitigation_Industry!$K$664,0)*Mitigation_Industry!$H$763/1000</f>
        <v>0</v>
      </c>
      <c r="P299" s="137">
        <f>Mitigation_Industry!P$676*Mitigation_Industry!$K$672*MAX(Mitigation_Industry!$K$664,0)*Mitigation_Industry!$H$763/1000</f>
        <v>0</v>
      </c>
      <c r="Q299" s="137">
        <f>Mitigation_Industry!Q$676*Mitigation_Industry!$K$672*MAX(Mitigation_Industry!$K$664,0)*Mitigation_Industry!$H$763/1000</f>
        <v>0</v>
      </c>
      <c r="R299" s="137">
        <f>Mitigation_Industry!R$676*Mitigation_Industry!$K$672*MAX(Mitigation_Industry!$K$664,0)*Mitigation_Industry!$H$763/1000</f>
        <v>0</v>
      </c>
      <c r="S299" s="137">
        <f>Mitigation_Industry!S$676*Mitigation_Industry!$K$672*MAX(Mitigation_Industry!$K$664,0)*Mitigation_Industry!$H$763/1000</f>
        <v>0</v>
      </c>
      <c r="T299" s="137">
        <f>Mitigation_Industry!T$676*Mitigation_Industry!$K$672*MAX(Mitigation_Industry!$K$664,0)*Mitigation_Industry!$H$763/1000</f>
        <v>0</v>
      </c>
      <c r="U299" s="137">
        <f>Mitigation_Industry!U$676*Mitigation_Industry!$K$672*MAX(Mitigation_Industry!$K$664,0)*Mitigation_Industry!$H$763/1000</f>
        <v>0</v>
      </c>
      <c r="V299" s="137">
        <f>Mitigation_Industry!V$676*Mitigation_Industry!$K$672*MAX(Mitigation_Industry!$K$664,0)*Mitigation_Industry!$H$763/1000</f>
        <v>0</v>
      </c>
      <c r="W299" s="137">
        <f>Mitigation_Industry!W$676*Mitigation_Industry!$K$672*MAX(Mitigation_Industry!$K$664,0)*Mitigation_Industry!$H$763/1000</f>
        <v>0</v>
      </c>
      <c r="X299" s="137">
        <f>Mitigation_Industry!X$676*Mitigation_Industry!$K$672*MAX(Mitigation_Industry!$K$664,0)*Mitigation_Industry!$H$763/1000</f>
        <v>0</v>
      </c>
      <c r="Y299" s="137">
        <f>Mitigation_Industry!Y$676*Mitigation_Industry!$K$672*MAX(Mitigation_Industry!$K$664,0)*Mitigation_Industry!$H$763/1000</f>
        <v>0</v>
      </c>
      <c r="Z299" s="137">
        <f>Mitigation_Industry!Z$676*Mitigation_Industry!$K$672*MAX(Mitigation_Industry!$K$664,0)*Mitigation_Industry!$H$763/1000</f>
        <v>0</v>
      </c>
      <c r="AA299" s="137">
        <f>Mitigation_Industry!AA$676*Mitigation_Industry!$K$672*MAX(Mitigation_Industry!$K$664,0)*Mitigation_Industry!$H$763/1000</f>
        <v>0</v>
      </c>
      <c r="AB299" s="137">
        <f>Mitigation_Industry!AB$676*Mitigation_Industry!$K$672*MAX(Mitigation_Industry!$K$664,0)*Mitigation_Industry!$H$763/1000</f>
        <v>0</v>
      </c>
      <c r="AC299" s="137">
        <f>Mitigation_Industry!AC$676*Mitigation_Industry!$K$672*MAX(Mitigation_Industry!$K$664,0)*Mitigation_Industry!$H$763/1000</f>
        <v>0</v>
      </c>
      <c r="AD299" s="137">
        <f>Mitigation_Industry!AD$676*Mitigation_Industry!$K$672*MAX(Mitigation_Industry!$K$664,0)*Mitigation_Industry!$H$763/1000</f>
        <v>0</v>
      </c>
      <c r="AE299" s="137">
        <f>Mitigation_Industry!AE$676*Mitigation_Industry!$K$672*MAX(Mitigation_Industry!$K$664,0)*Mitigation_Industry!$H$763/1000</f>
        <v>0</v>
      </c>
      <c r="AF299" s="138"/>
      <c r="AG299" s="138"/>
      <c r="AH299" s="138"/>
      <c r="AI299" s="138"/>
    </row>
    <row r="300" spans="1:35" customFormat="1" ht="15" x14ac:dyDescent="0.25">
      <c r="B300" s="14" t="s">
        <v>2583</v>
      </c>
      <c r="C300" s="14" t="s">
        <v>43</v>
      </c>
      <c r="D300" s="15" t="s">
        <v>2646</v>
      </c>
      <c r="E300" s="16" t="s">
        <v>2065</v>
      </c>
      <c r="F300" s="14" t="s">
        <v>2634</v>
      </c>
      <c r="G300" s="17"/>
      <c r="H300" s="125" t="str">
        <f>Settings!$B$3&amp;".mit.wm.stl.bof.no.2"</f>
        <v>egy.mit.wm.stl.bof.no.2</v>
      </c>
      <c r="K300" s="136"/>
      <c r="L300" s="137">
        <f>Mitigation_Industry!L$677*Mitigation_Industry!$K$672*MAX(Mitigation_Industry!$K$665,0)*Mitigation_Industry!$H$764/1000</f>
        <v>0</v>
      </c>
      <c r="M300" s="137">
        <f>Mitigation_Industry!M$677*Mitigation_Industry!$K$672*MAX(Mitigation_Industry!$K$665,0)*Mitigation_Industry!$H$764/1000</f>
        <v>0</v>
      </c>
      <c r="N300" s="137">
        <f>Mitigation_Industry!N$677*Mitigation_Industry!$K$672*MAX(Mitigation_Industry!$K$665,0)*Mitigation_Industry!$H$764/1000</f>
        <v>0</v>
      </c>
      <c r="O300" s="137">
        <f>Mitigation_Industry!O$677*Mitigation_Industry!$K$672*MAX(Mitigation_Industry!$K$665,0)*Mitigation_Industry!$H$764/1000</f>
        <v>0</v>
      </c>
      <c r="P300" s="137">
        <f>Mitigation_Industry!P$677*Mitigation_Industry!$K$672*MAX(Mitigation_Industry!$K$665,0)*Mitigation_Industry!$H$764/1000</f>
        <v>0</v>
      </c>
      <c r="Q300" s="137">
        <f>Mitigation_Industry!Q$677*Mitigation_Industry!$K$672*MAX(Mitigation_Industry!$K$665,0)*Mitigation_Industry!$H$764/1000</f>
        <v>0</v>
      </c>
      <c r="R300" s="137">
        <f>Mitigation_Industry!R$677*Mitigation_Industry!$K$672*MAX(Mitigation_Industry!$K$665,0)*Mitigation_Industry!$H$764/1000</f>
        <v>0</v>
      </c>
      <c r="S300" s="137">
        <f>Mitigation_Industry!S$677*Mitigation_Industry!$K$672*MAX(Mitigation_Industry!$K$665,0)*Mitigation_Industry!$H$764/1000</f>
        <v>0</v>
      </c>
      <c r="T300" s="137">
        <f>Mitigation_Industry!T$677*Mitigation_Industry!$K$672*MAX(Mitigation_Industry!$K$665,0)*Mitigation_Industry!$H$764/1000</f>
        <v>0</v>
      </c>
      <c r="U300" s="137">
        <f>Mitigation_Industry!U$677*Mitigation_Industry!$K$672*MAX(Mitigation_Industry!$K$665,0)*Mitigation_Industry!$H$764/1000</f>
        <v>0</v>
      </c>
      <c r="V300" s="137">
        <f>Mitigation_Industry!V$677*Mitigation_Industry!$K$672*MAX(Mitigation_Industry!$K$665,0)*Mitigation_Industry!$H$764/1000</f>
        <v>0</v>
      </c>
      <c r="W300" s="137">
        <f>Mitigation_Industry!W$677*Mitigation_Industry!$K$672*MAX(Mitigation_Industry!$K$665,0)*Mitigation_Industry!$H$764/1000</f>
        <v>0</v>
      </c>
      <c r="X300" s="137">
        <f>Mitigation_Industry!X$677*Mitigation_Industry!$K$672*MAX(Mitigation_Industry!$K$665,0)*Mitigation_Industry!$H$764/1000</f>
        <v>0</v>
      </c>
      <c r="Y300" s="137">
        <f>Mitigation_Industry!Y$677*Mitigation_Industry!$K$672*MAX(Mitigation_Industry!$K$665,0)*Mitigation_Industry!$H$764/1000</f>
        <v>0</v>
      </c>
      <c r="Z300" s="137">
        <f>Mitigation_Industry!Z$677*Mitigation_Industry!$K$672*MAX(Mitigation_Industry!$K$665,0)*Mitigation_Industry!$H$764/1000</f>
        <v>0</v>
      </c>
      <c r="AA300" s="137">
        <f>Mitigation_Industry!AA$677*Mitigation_Industry!$K$672*MAX(Mitigation_Industry!$K$665,0)*Mitigation_Industry!$H$764/1000</f>
        <v>0</v>
      </c>
      <c r="AB300" s="137">
        <f>Mitigation_Industry!AB$677*Mitigation_Industry!$K$672*MAX(Mitigation_Industry!$K$665,0)*Mitigation_Industry!$H$764/1000</f>
        <v>0</v>
      </c>
      <c r="AC300" s="137">
        <f>Mitigation_Industry!AC$677*Mitigation_Industry!$K$672*MAX(Mitigation_Industry!$K$665,0)*Mitigation_Industry!$H$764/1000</f>
        <v>0</v>
      </c>
      <c r="AD300" s="137">
        <f>Mitigation_Industry!AD$677*Mitigation_Industry!$K$672*MAX(Mitigation_Industry!$K$665,0)*Mitigation_Industry!$H$764/1000</f>
        <v>0</v>
      </c>
      <c r="AE300" s="137">
        <f>Mitigation_Industry!AE$677*Mitigation_Industry!$K$672*MAX(Mitigation_Industry!$K$665,0)*Mitigation_Industry!$H$764/1000</f>
        <v>0</v>
      </c>
      <c r="AF300" s="138"/>
      <c r="AG300" s="138"/>
      <c r="AH300" s="138"/>
      <c r="AI300" s="138"/>
    </row>
    <row r="301" spans="1:35" customFormat="1" ht="15" x14ac:dyDescent="0.25">
      <c r="B301" s="14" t="s">
        <v>2585</v>
      </c>
      <c r="C301" s="14" t="s">
        <v>113</v>
      </c>
      <c r="D301" s="15" t="s">
        <v>2647</v>
      </c>
      <c r="E301" s="16" t="s">
        <v>2065</v>
      </c>
      <c r="F301" s="14" t="s">
        <v>2634</v>
      </c>
      <c r="G301" s="17"/>
      <c r="H301" s="125" t="str">
        <f>Settings!$B$3&amp;".mit.wm.cmt.dry.no.2"</f>
        <v>egy.mit.wm.cmt.dry.no.2</v>
      </c>
      <c r="K301" s="136"/>
      <c r="L301" s="137">
        <f>Mitigation_Industry!L$678*Mitigation_Industry!$K$672*MAX(Mitigation_Industry!$K$666,0)*Mitigation_Industry!$H$765/1000</f>
        <v>0</v>
      </c>
      <c r="M301" s="137">
        <f>Mitigation_Industry!M$678*Mitigation_Industry!$K$672*MAX(Mitigation_Industry!$K$666,0)*Mitigation_Industry!$H$765/1000</f>
        <v>0</v>
      </c>
      <c r="N301" s="137">
        <f>Mitigation_Industry!N$678*Mitigation_Industry!$K$672*MAX(Mitigation_Industry!$K$666,0)*Mitigation_Industry!$H$765/1000</f>
        <v>0</v>
      </c>
      <c r="O301" s="137">
        <f>Mitigation_Industry!O$678*Mitigation_Industry!$K$672*MAX(Mitigation_Industry!$K$666,0)*Mitigation_Industry!$H$765/1000</f>
        <v>0</v>
      </c>
      <c r="P301" s="137">
        <f>Mitigation_Industry!P$678*Mitigation_Industry!$K$672*MAX(Mitigation_Industry!$K$666,0)*Mitigation_Industry!$H$765/1000</f>
        <v>0</v>
      </c>
      <c r="Q301" s="137">
        <f>Mitigation_Industry!Q$678*Mitigation_Industry!$K$672*MAX(Mitigation_Industry!$K$666,0)*Mitigation_Industry!$H$765/1000</f>
        <v>0</v>
      </c>
      <c r="R301" s="137">
        <f>Mitigation_Industry!R$678*Mitigation_Industry!$K$672*MAX(Mitigation_Industry!$K$666,0)*Mitigation_Industry!$H$765/1000</f>
        <v>0</v>
      </c>
      <c r="S301" s="137">
        <f>Mitigation_Industry!S$678*Mitigation_Industry!$K$672*MAX(Mitigation_Industry!$K$666,0)*Mitigation_Industry!$H$765/1000</f>
        <v>0</v>
      </c>
      <c r="T301" s="137">
        <f>Mitigation_Industry!T$678*Mitigation_Industry!$K$672*MAX(Mitigation_Industry!$K$666,0)*Mitigation_Industry!$H$765/1000</f>
        <v>0</v>
      </c>
      <c r="U301" s="137">
        <f>Mitigation_Industry!U$678*Mitigation_Industry!$K$672*MAX(Mitigation_Industry!$K$666,0)*Mitigation_Industry!$H$765/1000</f>
        <v>0</v>
      </c>
      <c r="V301" s="137">
        <f>Mitigation_Industry!V$678*Mitigation_Industry!$K$672*MAX(Mitigation_Industry!$K$666,0)*Mitigation_Industry!$H$765/1000</f>
        <v>0</v>
      </c>
      <c r="W301" s="137">
        <f>Mitigation_Industry!W$678*Mitigation_Industry!$K$672*MAX(Mitigation_Industry!$K$666,0)*Mitigation_Industry!$H$765/1000</f>
        <v>0</v>
      </c>
      <c r="X301" s="137">
        <f>Mitigation_Industry!X$678*Mitigation_Industry!$K$672*MAX(Mitigation_Industry!$K$666,0)*Mitigation_Industry!$H$765/1000</f>
        <v>0</v>
      </c>
      <c r="Y301" s="137">
        <f>Mitigation_Industry!Y$678*Mitigation_Industry!$K$672*MAX(Mitigation_Industry!$K$666,0)*Mitigation_Industry!$H$765/1000</f>
        <v>0</v>
      </c>
      <c r="Z301" s="137">
        <f>Mitigation_Industry!Z$678*Mitigation_Industry!$K$672*MAX(Mitigation_Industry!$K$666,0)*Mitigation_Industry!$H$765/1000</f>
        <v>0</v>
      </c>
      <c r="AA301" s="137">
        <f>Mitigation_Industry!AA$678*Mitigation_Industry!$K$672*MAX(Mitigation_Industry!$K$666,0)*Mitigation_Industry!$H$765/1000</f>
        <v>0</v>
      </c>
      <c r="AB301" s="137">
        <f>Mitigation_Industry!AB$678*Mitigation_Industry!$K$672*MAX(Mitigation_Industry!$K$666,0)*Mitigation_Industry!$H$765/1000</f>
        <v>0</v>
      </c>
      <c r="AC301" s="137">
        <f>Mitigation_Industry!AC$678*Mitigation_Industry!$K$672*MAX(Mitigation_Industry!$K$666,0)*Mitigation_Industry!$H$765/1000</f>
        <v>0</v>
      </c>
      <c r="AD301" s="137">
        <f>Mitigation_Industry!AD$678*Mitigation_Industry!$K$672*MAX(Mitigation_Industry!$K$666,0)*Mitigation_Industry!$H$765/1000</f>
        <v>0</v>
      </c>
      <c r="AE301" s="137">
        <f>Mitigation_Industry!AE$678*Mitigation_Industry!$K$672*MAX(Mitigation_Industry!$K$666,0)*Mitigation_Industry!$H$765/1000</f>
        <v>0</v>
      </c>
      <c r="AF301" s="138"/>
      <c r="AG301" s="138"/>
      <c r="AH301" s="138"/>
      <c r="AI301" s="138"/>
    </row>
    <row r="302" spans="1:35" customFormat="1" ht="15" x14ac:dyDescent="0.25">
      <c r="B302" s="14" t="s">
        <v>2587</v>
      </c>
      <c r="C302" s="14" t="s">
        <v>117</v>
      </c>
      <c r="D302" s="15" t="s">
        <v>2648</v>
      </c>
      <c r="E302" s="16" t="s">
        <v>2065</v>
      </c>
      <c r="F302" s="14" t="s">
        <v>2634</v>
      </c>
      <c r="G302" s="17"/>
      <c r="H302" s="125" t="str">
        <f>Settings!$B$3&amp;".mit.wm.frt.amc.no.2"</f>
        <v>egy.mit.wm.frt.amc.no.2</v>
      </c>
      <c r="K302" s="136"/>
      <c r="L302" s="137">
        <f>Mitigation_Industry!L$679*Mitigation_Industry!$K$672*MAX(Mitigation_Industry!$K$667,0)*Mitigation_Industry!$H$766/1000</f>
        <v>0</v>
      </c>
      <c r="M302" s="137">
        <f>Mitigation_Industry!M$679*Mitigation_Industry!$K$672*MAX(Mitigation_Industry!$K$667,0)*Mitigation_Industry!$H$766/1000</f>
        <v>0</v>
      </c>
      <c r="N302" s="137">
        <f>Mitigation_Industry!N$679*Mitigation_Industry!$K$672*MAX(Mitigation_Industry!$K$667,0)*Mitigation_Industry!$H$766/1000</f>
        <v>0</v>
      </c>
      <c r="O302" s="137">
        <f>Mitigation_Industry!O$679*Mitigation_Industry!$K$672*MAX(Mitigation_Industry!$K$667,0)*Mitigation_Industry!$H$766/1000</f>
        <v>0</v>
      </c>
      <c r="P302" s="137">
        <f>Mitigation_Industry!P$679*Mitigation_Industry!$K$672*MAX(Mitigation_Industry!$K$667,0)*Mitigation_Industry!$H$766/1000</f>
        <v>0</v>
      </c>
      <c r="Q302" s="137">
        <f>Mitigation_Industry!Q$679*Mitigation_Industry!$K$672*MAX(Mitigation_Industry!$K$667,0)*Mitigation_Industry!$H$766/1000</f>
        <v>0</v>
      </c>
      <c r="R302" s="137">
        <f>Mitigation_Industry!R$679*Mitigation_Industry!$K$672*MAX(Mitigation_Industry!$K$667,0)*Mitigation_Industry!$H$766/1000</f>
        <v>0</v>
      </c>
      <c r="S302" s="137">
        <f>Mitigation_Industry!S$679*Mitigation_Industry!$K$672*MAX(Mitigation_Industry!$K$667,0)*Mitigation_Industry!$H$766/1000</f>
        <v>0</v>
      </c>
      <c r="T302" s="137">
        <f>Mitigation_Industry!T$679*Mitigation_Industry!$K$672*MAX(Mitigation_Industry!$K$667,0)*Mitigation_Industry!$H$766/1000</f>
        <v>0</v>
      </c>
      <c r="U302" s="137">
        <f>Mitigation_Industry!U$679*Mitigation_Industry!$K$672*MAX(Mitigation_Industry!$K$667,0)*Mitigation_Industry!$H$766/1000</f>
        <v>0</v>
      </c>
      <c r="V302" s="137">
        <f>Mitigation_Industry!V$679*Mitigation_Industry!$K$672*MAX(Mitigation_Industry!$K$667,0)*Mitigation_Industry!$H$766/1000</f>
        <v>0</v>
      </c>
      <c r="W302" s="137">
        <f>Mitigation_Industry!W$679*Mitigation_Industry!$K$672*MAX(Mitigation_Industry!$K$667,0)*Mitigation_Industry!$H$766/1000</f>
        <v>0</v>
      </c>
      <c r="X302" s="137">
        <f>Mitigation_Industry!X$679*Mitigation_Industry!$K$672*MAX(Mitigation_Industry!$K$667,0)*Mitigation_Industry!$H$766/1000</f>
        <v>0</v>
      </c>
      <c r="Y302" s="137">
        <f>Mitigation_Industry!Y$679*Mitigation_Industry!$K$672*MAX(Mitigation_Industry!$K$667,0)*Mitigation_Industry!$H$766/1000</f>
        <v>0</v>
      </c>
      <c r="Z302" s="137">
        <f>Mitigation_Industry!Z$679*Mitigation_Industry!$K$672*MAX(Mitigation_Industry!$K$667,0)*Mitigation_Industry!$H$766/1000</f>
        <v>0</v>
      </c>
      <c r="AA302" s="137">
        <f>Mitigation_Industry!AA$679*Mitigation_Industry!$K$672*MAX(Mitigation_Industry!$K$667,0)*Mitigation_Industry!$H$766/1000</f>
        <v>0</v>
      </c>
      <c r="AB302" s="137">
        <f>Mitigation_Industry!AB$679*Mitigation_Industry!$K$672*MAX(Mitigation_Industry!$K$667,0)*Mitigation_Industry!$H$766/1000</f>
        <v>0</v>
      </c>
      <c r="AC302" s="137">
        <f>Mitigation_Industry!AC$679*Mitigation_Industry!$K$672*MAX(Mitigation_Industry!$K$667,0)*Mitigation_Industry!$H$766/1000</f>
        <v>0</v>
      </c>
      <c r="AD302" s="137">
        <f>Mitigation_Industry!AD$679*Mitigation_Industry!$K$672*MAX(Mitigation_Industry!$K$667,0)*Mitigation_Industry!$H$766/1000</f>
        <v>0</v>
      </c>
      <c r="AE302" s="137">
        <f>Mitigation_Industry!AE$679*Mitigation_Industry!$K$672*MAX(Mitigation_Industry!$K$667,0)*Mitigation_Industry!$H$766/1000</f>
        <v>0</v>
      </c>
      <c r="AF302" s="138"/>
      <c r="AG302" s="138"/>
      <c r="AH302" s="138"/>
      <c r="AI302" s="138"/>
    </row>
    <row r="303" spans="1:35" customFormat="1" ht="15" x14ac:dyDescent="0.25">
      <c r="B303" s="14" t="s">
        <v>2589</v>
      </c>
      <c r="C303" s="14" t="s">
        <v>117</v>
      </c>
      <c r="D303" s="15" t="s">
        <v>2649</v>
      </c>
      <c r="E303" s="16" t="s">
        <v>2065</v>
      </c>
      <c r="F303" s="14" t="s">
        <v>2634</v>
      </c>
      <c r="G303" s="17"/>
      <c r="H303" s="125" t="str">
        <f>Settings!$B$3&amp;".mit.wm.frt.ure.no.2"</f>
        <v>egy.mit.wm.frt.ure.no.2</v>
      </c>
      <c r="K303" s="136"/>
      <c r="L303" s="137">
        <f>Mitigation_Industry!L$680*Mitigation_Industry!$K$672*MAX(Mitigation_Industry!$K$668,0)*Mitigation_Industry!$H$767/1000</f>
        <v>0</v>
      </c>
      <c r="M303" s="137">
        <f>Mitigation_Industry!M$680*Mitigation_Industry!$K$672*MAX(Mitigation_Industry!$K$668,0)*Mitigation_Industry!$H$767/1000</f>
        <v>0</v>
      </c>
      <c r="N303" s="137">
        <f>Mitigation_Industry!N$680*Mitigation_Industry!$K$672*MAX(Mitigation_Industry!$K$668,0)*Mitigation_Industry!$H$767/1000</f>
        <v>0</v>
      </c>
      <c r="O303" s="137">
        <f>Mitigation_Industry!O$680*Mitigation_Industry!$K$672*MAX(Mitigation_Industry!$K$668,0)*Mitigation_Industry!$H$767/1000</f>
        <v>0</v>
      </c>
      <c r="P303" s="137">
        <f>Mitigation_Industry!P$680*Mitigation_Industry!$K$672*MAX(Mitigation_Industry!$K$668,0)*Mitigation_Industry!$H$767/1000</f>
        <v>0</v>
      </c>
      <c r="Q303" s="137">
        <f>Mitigation_Industry!Q$680*Mitigation_Industry!$K$672*MAX(Mitigation_Industry!$K$668,0)*Mitigation_Industry!$H$767/1000</f>
        <v>0</v>
      </c>
      <c r="R303" s="137">
        <f>Mitigation_Industry!R$680*Mitigation_Industry!$K$672*MAX(Mitigation_Industry!$K$668,0)*Mitigation_Industry!$H$767/1000</f>
        <v>0</v>
      </c>
      <c r="S303" s="137">
        <f>Mitigation_Industry!S$680*Mitigation_Industry!$K$672*MAX(Mitigation_Industry!$K$668,0)*Mitigation_Industry!$H$767/1000</f>
        <v>0</v>
      </c>
      <c r="T303" s="137">
        <f>Mitigation_Industry!T$680*Mitigation_Industry!$K$672*MAX(Mitigation_Industry!$K$668,0)*Mitigation_Industry!$H$767/1000</f>
        <v>0</v>
      </c>
      <c r="U303" s="137">
        <f>Mitigation_Industry!U$680*Mitigation_Industry!$K$672*MAX(Mitigation_Industry!$K$668,0)*Mitigation_Industry!$H$767/1000</f>
        <v>0</v>
      </c>
      <c r="V303" s="137">
        <f>Mitigation_Industry!V$680*Mitigation_Industry!$K$672*MAX(Mitigation_Industry!$K$668,0)*Mitigation_Industry!$H$767/1000</f>
        <v>0</v>
      </c>
      <c r="W303" s="137">
        <f>Mitigation_Industry!W$680*Mitigation_Industry!$K$672*MAX(Mitigation_Industry!$K$668,0)*Mitigation_Industry!$H$767/1000</f>
        <v>0</v>
      </c>
      <c r="X303" s="137">
        <f>Mitigation_Industry!X$680*Mitigation_Industry!$K$672*MAX(Mitigation_Industry!$K$668,0)*Mitigation_Industry!$H$767/1000</f>
        <v>0</v>
      </c>
      <c r="Y303" s="137">
        <f>Mitigation_Industry!Y$680*Mitigation_Industry!$K$672*MAX(Mitigation_Industry!$K$668,0)*Mitigation_Industry!$H$767/1000</f>
        <v>0</v>
      </c>
      <c r="Z303" s="137">
        <f>Mitigation_Industry!Z$680*Mitigation_Industry!$K$672*MAX(Mitigation_Industry!$K$668,0)*Mitigation_Industry!$H$767/1000</f>
        <v>0</v>
      </c>
      <c r="AA303" s="137">
        <f>Mitigation_Industry!AA$680*Mitigation_Industry!$K$672*MAX(Mitigation_Industry!$K$668,0)*Mitigation_Industry!$H$767/1000</f>
        <v>0</v>
      </c>
      <c r="AB303" s="137">
        <f>Mitigation_Industry!AB$680*Mitigation_Industry!$K$672*MAX(Mitigation_Industry!$K$668,0)*Mitigation_Industry!$H$767/1000</f>
        <v>0</v>
      </c>
      <c r="AC303" s="137">
        <f>Mitigation_Industry!AC$680*Mitigation_Industry!$K$672*MAX(Mitigation_Industry!$K$668,0)*Mitigation_Industry!$H$767/1000</f>
        <v>0</v>
      </c>
      <c r="AD303" s="137">
        <f>Mitigation_Industry!AD$680*Mitigation_Industry!$K$672*MAX(Mitigation_Industry!$K$668,0)*Mitigation_Industry!$H$767/1000</f>
        <v>0</v>
      </c>
      <c r="AE303" s="137">
        <f>Mitigation_Industry!AE$680*Mitigation_Industry!$K$672*MAX(Mitigation_Industry!$K$668,0)*Mitigation_Industry!$H$767/1000</f>
        <v>0</v>
      </c>
      <c r="AF303" s="138"/>
      <c r="AG303" s="138"/>
      <c r="AH303" s="138"/>
      <c r="AI303" s="138"/>
    </row>
    <row r="304" spans="1:35" customFormat="1" ht="15" x14ac:dyDescent="0.25">
      <c r="B304" s="14" t="s">
        <v>2591</v>
      </c>
      <c r="C304" s="14" t="s">
        <v>117</v>
      </c>
      <c r="D304" s="15" t="s">
        <v>2650</v>
      </c>
      <c r="E304" s="16" t="s">
        <v>2065</v>
      </c>
      <c r="F304" s="14" t="s">
        <v>2634</v>
      </c>
      <c r="G304" s="17"/>
      <c r="H304" s="125" t="str">
        <f>Settings!$B$3&amp;".mit.wm.frt.nit.no.2"</f>
        <v>egy.mit.wm.frt.nit.no.2</v>
      </c>
      <c r="K304" s="136"/>
      <c r="L304" s="137">
        <f>Mitigation_Industry!L$681*Mitigation_Industry!$K$672*MAX(Mitigation_Industry!$K$669,0)*Mitigation_Industry!$H$768/1000</f>
        <v>0.57123661061347031</v>
      </c>
      <c r="M304" s="137">
        <f>Mitigation_Industry!M$681*Mitigation_Industry!$K$672*MAX(Mitigation_Industry!$K$669,0)*Mitigation_Industry!$H$768/1000</f>
        <v>0.58380381604696674</v>
      </c>
      <c r="N304" s="137">
        <f>Mitigation_Industry!N$681*Mitigation_Industry!$K$672*MAX(Mitigation_Industry!$K$669,0)*Mitigation_Industry!$H$768/1000</f>
        <v>0.5966475</v>
      </c>
      <c r="O304" s="137">
        <f>Mitigation_Industry!O$681*Mitigation_Industry!$K$672*MAX(Mitigation_Industry!$K$669,0)*Mitigation_Industry!$H$768/1000</f>
        <v>0.60977374500000003</v>
      </c>
      <c r="P304" s="137">
        <f>Mitigation_Industry!P$681*Mitigation_Industry!$K$672*MAX(Mitigation_Industry!$K$669,0)*Mitigation_Industry!$H$768/1000</f>
        <v>0.62318876738999995</v>
      </c>
      <c r="Q304" s="137">
        <f>Mitigation_Industry!Q$681*Mitigation_Industry!$K$672*MAX(Mitigation_Industry!$K$669,0)*Mitigation_Industry!$H$768/1000</f>
        <v>0.6368989202725801</v>
      </c>
      <c r="R304" s="137">
        <f>Mitigation_Industry!R$681*Mitigation_Industry!$K$672*MAX(Mitigation_Industry!$K$669,0)*Mitigation_Industry!$H$768/1000</f>
        <v>0.65091069651857669</v>
      </c>
      <c r="S304" s="137">
        <f>Mitigation_Industry!S$681*Mitigation_Industry!$K$672*MAX(Mitigation_Industry!$K$669,0)*Mitigation_Industry!$H$768/1000</f>
        <v>0.66523073184198556</v>
      </c>
      <c r="T304" s="137">
        <f>Mitigation_Industry!T$681*Mitigation_Industry!$K$672*MAX(Mitigation_Industry!$K$669,0)*Mitigation_Industry!$H$768/1000</f>
        <v>0.67986580794250906</v>
      </c>
      <c r="U304" s="137">
        <f>Mitigation_Industry!U$681*Mitigation_Industry!$K$672*MAX(Mitigation_Industry!$K$669,0)*Mitigation_Industry!$H$768/1000</f>
        <v>0.69482285571724434</v>
      </c>
      <c r="V304" s="137">
        <f>Mitigation_Industry!V$681*Mitigation_Industry!$K$672*MAX(Mitigation_Industry!$K$669,0)*Mitigation_Industry!$H$768/1000</f>
        <v>0.7101089585430238</v>
      </c>
      <c r="W304" s="137">
        <f>Mitigation_Industry!W$681*Mitigation_Industry!$K$672*MAX(Mitigation_Industry!$K$669,0)*Mitigation_Industry!$H$768/1000</f>
        <v>0.72573135563097024</v>
      </c>
      <c r="X304" s="137">
        <f>Mitigation_Industry!X$681*Mitigation_Industry!$K$672*MAX(Mitigation_Industry!$K$669,0)*Mitigation_Industry!$H$768/1000</f>
        <v>0.74169744545485172</v>
      </c>
      <c r="Y304" s="137">
        <f>Mitigation_Industry!Y$681*Mitigation_Industry!$K$672*MAX(Mitigation_Industry!$K$669,0)*Mitigation_Industry!$H$768/1000</f>
        <v>0.75801478925485843</v>
      </c>
      <c r="Z304" s="137">
        <f>Mitigation_Industry!Z$681*Mitigation_Industry!$K$672*MAX(Mitigation_Industry!$K$669,0)*Mitigation_Industry!$H$768/1000</f>
        <v>0.7746911146184654</v>
      </c>
      <c r="AA304" s="137">
        <f>Mitigation_Industry!AA$681*Mitigation_Industry!$K$672*MAX(Mitigation_Industry!$K$669,0)*Mitigation_Industry!$H$768/1000</f>
        <v>0.79173431914007153</v>
      </c>
      <c r="AB304" s="137">
        <f>Mitigation_Industry!AB$681*Mitigation_Industry!$K$672*MAX(Mitigation_Industry!$K$669,0)*Mitigation_Industry!$H$768/1000</f>
        <v>0.8091524741611531</v>
      </c>
      <c r="AC304" s="137">
        <f>Mitigation_Industry!AC$681*Mitigation_Industry!$K$672*MAX(Mitigation_Industry!$K$669,0)*Mitigation_Industry!$H$768/1000</f>
        <v>0.8269538285926985</v>
      </c>
      <c r="AD304" s="137">
        <f>Mitigation_Industry!AD$681*Mitigation_Industry!$K$672*MAX(Mitigation_Industry!$K$669,0)*Mitigation_Industry!$H$768/1000</f>
        <v>0.84514681282173787</v>
      </c>
      <c r="AE304" s="137">
        <f>Mitigation_Industry!AE$681*Mitigation_Industry!$K$672*MAX(Mitigation_Industry!$K$669,0)*Mitigation_Industry!$H$768/1000</f>
        <v>0.8637400427038161</v>
      </c>
      <c r="AF304" s="138"/>
      <c r="AG304" s="138"/>
      <c r="AH304" s="138"/>
      <c r="AI304" s="138"/>
    </row>
    <row r="305" spans="1:35" customFormat="1" ht="15" x14ac:dyDescent="0.25">
      <c r="B305" s="14" t="s">
        <v>2593</v>
      </c>
      <c r="C305" s="14" t="s">
        <v>115</v>
      </c>
      <c r="D305" s="15" t="s">
        <v>2651</v>
      </c>
      <c r="E305" s="16" t="s">
        <v>2065</v>
      </c>
      <c r="F305" s="14" t="s">
        <v>2634</v>
      </c>
      <c r="G305" s="17"/>
      <c r="H305" s="125" t="str">
        <f>Settings!$B$3&amp;".mit.wm.alu.prp.no.2"</f>
        <v>egy.mit.wm.alu.prp.no.2</v>
      </c>
      <c r="K305" s="136"/>
      <c r="L305" s="137">
        <f>Mitigation_Industry!L$682*Mitigation_Industry!$K$672*MAX(Mitigation_Industry!$K$670,0)*Mitigation_Industry!$H$769/1000</f>
        <v>0.20862065092877519</v>
      </c>
      <c r="M305" s="137">
        <f>Mitigation_Industry!M$682*Mitigation_Industry!$K$672*MAX(Mitigation_Industry!$K$670,0)*Mitigation_Industry!$H$769/1000</f>
        <v>0.22009478672985783</v>
      </c>
      <c r="N305" s="137">
        <f>Mitigation_Industry!N$682*Mitigation_Industry!$K$672*MAX(Mitigation_Industry!$K$670,0)*Mitigation_Industry!$H$769/1000</f>
        <v>0.23220000000000002</v>
      </c>
      <c r="O305" s="137">
        <f>Mitigation_Industry!O$682*Mitigation_Industry!$K$672*MAX(Mitigation_Industry!$K$670,0)*Mitigation_Industry!$H$769/1000</f>
        <v>0.24497099999999999</v>
      </c>
      <c r="P305" s="137">
        <f>Mitigation_Industry!P$682*Mitigation_Industry!$K$672*MAX(Mitigation_Industry!$K$670,0)*Mitigation_Industry!$H$769/1000</f>
        <v>0.25844440499999999</v>
      </c>
      <c r="Q305" s="137">
        <f>Mitigation_Industry!Q$682*Mitigation_Industry!$K$672*MAX(Mitigation_Industry!$K$670,0)*Mitigation_Industry!$H$769/1000</f>
        <v>0.27265884727499995</v>
      </c>
      <c r="R305" s="137">
        <f>Mitigation_Industry!R$682*Mitigation_Industry!$K$672*MAX(Mitigation_Industry!$K$670,0)*Mitigation_Industry!$H$769/1000</f>
        <v>0.28765508387512501</v>
      </c>
      <c r="S305" s="137">
        <f>Mitigation_Industry!S$682*Mitigation_Industry!$K$672*MAX(Mitigation_Industry!$K$670,0)*Mitigation_Industry!$H$769/1000</f>
        <v>0.30347611348825682</v>
      </c>
      <c r="T305" s="137">
        <f>Mitigation_Industry!T$682*Mitigation_Industry!$K$672*MAX(Mitigation_Industry!$K$670,0)*Mitigation_Industry!$H$769/1000</f>
        <v>0.32016729973011093</v>
      </c>
      <c r="U305" s="137">
        <f>Mitigation_Industry!U$682*Mitigation_Industry!$K$672*MAX(Mitigation_Industry!$K$670,0)*Mitigation_Industry!$H$769/1000</f>
        <v>0.33777650121526698</v>
      </c>
      <c r="V305" s="137">
        <f>Mitigation_Industry!V$682*Mitigation_Industry!$K$672*MAX(Mitigation_Industry!$K$670,0)*Mitigation_Industry!$H$769/1000</f>
        <v>0.35635420878210672</v>
      </c>
      <c r="W305" s="137">
        <f>Mitigation_Industry!W$682*Mitigation_Industry!$K$672*MAX(Mitigation_Industry!$K$670,0)*Mitigation_Industry!$H$769/1000</f>
        <v>0.37595369026512254</v>
      </c>
      <c r="X305" s="137">
        <f>Mitigation_Industry!X$682*Mitigation_Industry!$K$672*MAX(Mitigation_Industry!$K$670,0)*Mitigation_Industry!$H$769/1000</f>
        <v>0.39663114322970433</v>
      </c>
      <c r="Y305" s="137">
        <f>Mitigation_Industry!Y$682*Mitigation_Industry!$K$672*MAX(Mitigation_Industry!$K$670,0)*Mitigation_Industry!$H$769/1000</f>
        <v>0.41844585610733798</v>
      </c>
      <c r="Z305" s="137">
        <f>Mitigation_Industry!Z$682*Mitigation_Industry!$K$672*MAX(Mitigation_Industry!$K$670,0)*Mitigation_Industry!$H$769/1000</f>
        <v>0.44146037819324158</v>
      </c>
      <c r="AA305" s="137">
        <f>Mitigation_Industry!AA$682*Mitigation_Industry!$K$672*MAX(Mitigation_Industry!$K$670,0)*Mitigation_Industry!$H$769/1000</f>
        <v>0.46574069899386977</v>
      </c>
      <c r="AB305" s="137">
        <f>Mitigation_Industry!AB$682*Mitigation_Industry!$K$672*MAX(Mitigation_Industry!$K$670,0)*Mitigation_Industry!$H$769/1000</f>
        <v>0.49135643743853269</v>
      </c>
      <c r="AC305" s="137">
        <f>Mitigation_Industry!AC$682*Mitigation_Industry!$K$672*MAX(Mitigation_Industry!$K$670,0)*Mitigation_Industry!$H$769/1000</f>
        <v>0.51838104149765185</v>
      </c>
      <c r="AD305" s="137">
        <f>Mitigation_Industry!AD$682*Mitigation_Industry!$K$672*MAX(Mitigation_Industry!$K$670,0)*Mitigation_Industry!$H$769/1000</f>
        <v>0.5468919987800227</v>
      </c>
      <c r="AE305" s="137">
        <f>Mitigation_Industry!AE$682*Mitigation_Industry!$K$672*MAX(Mitigation_Industry!$K$670,0)*Mitigation_Industry!$H$769/1000</f>
        <v>0.57697105871292398</v>
      </c>
      <c r="AF305" s="138"/>
      <c r="AG305" s="138"/>
      <c r="AH305" s="138"/>
      <c r="AI305" s="138"/>
    </row>
    <row r="306" spans="1:35" x14ac:dyDescent="0.2"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</row>
    <row r="307" spans="1:35" customFormat="1" ht="15" x14ac:dyDescent="0.25">
      <c r="A307" s="11"/>
      <c r="B307" s="6"/>
      <c r="C307" s="7" t="s">
        <v>2652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4">
        <v>2021</v>
      </c>
      <c r="L307" s="135">
        <v>2022</v>
      </c>
      <c r="M307" s="134">
        <v>2023</v>
      </c>
      <c r="N307" s="134">
        <v>2024</v>
      </c>
      <c r="O307" s="134">
        <v>2025</v>
      </c>
      <c r="P307" s="134">
        <v>2026</v>
      </c>
      <c r="Q307" s="134">
        <v>2027</v>
      </c>
      <c r="R307" s="134">
        <v>2028</v>
      </c>
      <c r="S307" s="134">
        <v>2029</v>
      </c>
      <c r="T307" s="134">
        <v>2030</v>
      </c>
      <c r="U307" s="134">
        <v>2031</v>
      </c>
      <c r="V307" s="134">
        <v>2032</v>
      </c>
      <c r="W307" s="134">
        <v>2033</v>
      </c>
      <c r="X307" s="134">
        <v>2034</v>
      </c>
      <c r="Y307" s="134">
        <v>2035</v>
      </c>
      <c r="Z307" s="134">
        <v>2036</v>
      </c>
      <c r="AA307" s="134">
        <v>2037</v>
      </c>
      <c r="AB307" s="134">
        <v>2038</v>
      </c>
      <c r="AC307" s="134">
        <v>2039</v>
      </c>
      <c r="AD307" s="134">
        <v>2040</v>
      </c>
      <c r="AE307" s="134">
        <v>2041</v>
      </c>
      <c r="AF307" s="134">
        <v>2042</v>
      </c>
      <c r="AG307" s="134">
        <v>2043</v>
      </c>
      <c r="AH307" s="134">
        <v>2044</v>
      </c>
      <c r="AI307" s="134">
        <v>2045</v>
      </c>
    </row>
    <row r="308" spans="1:35" customFormat="1" ht="15" x14ac:dyDescent="0.25">
      <c r="B308" s="14" t="s">
        <v>2562</v>
      </c>
      <c r="C308" s="14" t="s">
        <v>43</v>
      </c>
      <c r="D308" s="15" t="s">
        <v>2653</v>
      </c>
      <c r="E308" s="16" t="s">
        <v>2065</v>
      </c>
      <c r="F308" s="14" t="s">
        <v>2652</v>
      </c>
      <c r="G308" s="17"/>
      <c r="H308" s="125" t="str">
        <f>Settings!$B$3&amp;".mit.wp.stl.drg.np.2"</f>
        <v>egy.mit.wp.stl.drg.np.2</v>
      </c>
      <c r="I308" t="s">
        <v>2654</v>
      </c>
      <c r="K308" s="136"/>
      <c r="L308" s="137">
        <f t="shared" ref="L308:AE308" si="91">L$290*EXP(-L$272*L$234)</f>
        <v>0.17734546065090059</v>
      </c>
      <c r="M308" s="137">
        <f t="shared" si="91"/>
        <v>0.18514866091954021</v>
      </c>
      <c r="N308" s="137">
        <f t="shared" si="91"/>
        <v>0.193295202</v>
      </c>
      <c r="O308" s="137">
        <f t="shared" si="91"/>
        <v>0.20180019088800003</v>
      </c>
      <c r="P308" s="137">
        <f t="shared" si="91"/>
        <v>0.21067939928707202</v>
      </c>
      <c r="Q308" s="137">
        <f t="shared" si="91"/>
        <v>0.21994929285570322</v>
      </c>
      <c r="R308" s="137">
        <f t="shared" si="91"/>
        <v>0.22962706174135414</v>
      </c>
      <c r="S308" s="137">
        <f t="shared" si="91"/>
        <v>0.2397306524579737</v>
      </c>
      <c r="T308" s="137">
        <f t="shared" si="91"/>
        <v>0.25027880116612461</v>
      </c>
      <c r="U308" s="137">
        <f t="shared" si="91"/>
        <v>0.2612910684174341</v>
      </c>
      <c r="V308" s="137">
        <f t="shared" si="91"/>
        <v>0.27278787542780114</v>
      </c>
      <c r="W308" s="137">
        <f t="shared" si="91"/>
        <v>0.28479054194662445</v>
      </c>
      <c r="X308" s="137">
        <f t="shared" si="91"/>
        <v>0.29732132579227588</v>
      </c>
      <c r="Y308" s="137">
        <f t="shared" si="91"/>
        <v>0.3104034641271361</v>
      </c>
      <c r="Z308" s="137">
        <f t="shared" si="91"/>
        <v>0.32406121654872999</v>
      </c>
      <c r="AA308" s="137">
        <f t="shared" si="91"/>
        <v>0.33831991007687412</v>
      </c>
      <c r="AB308" s="137">
        <f t="shared" si="91"/>
        <v>0.35320598612025667</v>
      </c>
      <c r="AC308" s="137">
        <f t="shared" si="91"/>
        <v>0.36874704950954795</v>
      </c>
      <c r="AD308" s="137">
        <f t="shared" si="91"/>
        <v>0.38497191968796801</v>
      </c>
      <c r="AE308" s="137">
        <f t="shared" si="91"/>
        <v>0.40191068415423858</v>
      </c>
      <c r="AF308" s="138"/>
      <c r="AG308" s="138"/>
      <c r="AH308" s="138"/>
      <c r="AI308" s="138"/>
    </row>
    <row r="309" spans="1:35" customFormat="1" ht="15" x14ac:dyDescent="0.25">
      <c r="B309" s="14" t="s">
        <v>2565</v>
      </c>
      <c r="C309" s="14" t="s">
        <v>43</v>
      </c>
      <c r="D309" s="15" t="s">
        <v>2655</v>
      </c>
      <c r="E309" s="16" t="s">
        <v>2065</v>
      </c>
      <c r="F309" s="14" t="s">
        <v>2652</v>
      </c>
      <c r="G309" s="17"/>
      <c r="H309" s="125" t="str">
        <f>Settings!$B$3&amp;".mit.wp.stl.scr.np.2"</f>
        <v>egy.mit.wp.stl.scr.np.2</v>
      </c>
      <c r="K309" s="136"/>
      <c r="L309" s="137">
        <f t="shared" ref="L309:AE309" si="92">L$291*EXP(-L$273*L$235)</f>
        <v>0.19368983132954593</v>
      </c>
      <c r="M309" s="137">
        <f t="shared" si="92"/>
        <v>0.20221218390804596</v>
      </c>
      <c r="N309" s="137">
        <f t="shared" si="92"/>
        <v>0.21110951999999997</v>
      </c>
      <c r="O309" s="137">
        <f t="shared" si="92"/>
        <v>0.22039833887999999</v>
      </c>
      <c r="P309" s="137">
        <f t="shared" si="92"/>
        <v>0.23009586579071997</v>
      </c>
      <c r="Q309" s="137">
        <f t="shared" si="92"/>
        <v>0.24022008388551169</v>
      </c>
      <c r="R309" s="137">
        <f t="shared" si="92"/>
        <v>0.25078976757647414</v>
      </c>
      <c r="S309" s="137">
        <f t="shared" si="92"/>
        <v>0.26182451734983908</v>
      </c>
      <c r="T309" s="137">
        <f t="shared" si="92"/>
        <v>0.27334479611323198</v>
      </c>
      <c r="U309" s="137">
        <f t="shared" si="92"/>
        <v>0.28537196714221424</v>
      </c>
      <c r="V309" s="137">
        <f t="shared" si="92"/>
        <v>0.29792833369647159</v>
      </c>
      <c r="W309" s="137">
        <f t="shared" si="92"/>
        <v>0.31103718037911643</v>
      </c>
      <c r="X309" s="137">
        <f t="shared" si="92"/>
        <v>0.32472281631579752</v>
      </c>
      <c r="Y309" s="137">
        <f t="shared" si="92"/>
        <v>0.33901062023369266</v>
      </c>
      <c r="Z309" s="137">
        <f t="shared" si="92"/>
        <v>0.35392708752397511</v>
      </c>
      <c r="AA309" s="137">
        <f t="shared" si="92"/>
        <v>0.36949987937502998</v>
      </c>
      <c r="AB309" s="137">
        <f t="shared" si="92"/>
        <v>0.38575787406753137</v>
      </c>
      <c r="AC309" s="137">
        <f t="shared" si="92"/>
        <v>0.40273122052650273</v>
      </c>
      <c r="AD309" s="137">
        <f t="shared" si="92"/>
        <v>0.42045139422966882</v>
      </c>
      <c r="AE309" s="137">
        <f t="shared" si="92"/>
        <v>0.43895125557577425</v>
      </c>
      <c r="AF309" s="138"/>
      <c r="AG309" s="138"/>
      <c r="AH309" s="138"/>
      <c r="AI309" s="138"/>
    </row>
    <row r="310" spans="1:35" customFormat="1" ht="15" x14ac:dyDescent="0.25">
      <c r="B310" s="14" t="s">
        <v>2567</v>
      </c>
      <c r="C310" s="14" t="s">
        <v>43</v>
      </c>
      <c r="D310" s="15" t="s">
        <v>2656</v>
      </c>
      <c r="E310" s="16" t="s">
        <v>2065</v>
      </c>
      <c r="F310" s="14" t="s">
        <v>2652</v>
      </c>
      <c r="G310" s="17"/>
      <c r="H310" s="125" t="str">
        <f>Settings!$B$3&amp;".mit.wp.stl.bof.np.2"</f>
        <v>egy.mit.wp.stl.bof.np.2</v>
      </c>
      <c r="K310" s="136"/>
      <c r="L310" s="137">
        <f t="shared" ref="L310:AE310" si="93">L$292*EXP(-L$274*L$236)</f>
        <v>0</v>
      </c>
      <c r="M310" s="137">
        <f t="shared" si="93"/>
        <v>0</v>
      </c>
      <c r="N310" s="137">
        <f t="shared" si="93"/>
        <v>0</v>
      </c>
      <c r="O310" s="137">
        <f t="shared" si="93"/>
        <v>0</v>
      </c>
      <c r="P310" s="137">
        <f t="shared" si="93"/>
        <v>0</v>
      </c>
      <c r="Q310" s="137">
        <f t="shared" si="93"/>
        <v>0</v>
      </c>
      <c r="R310" s="137">
        <f t="shared" si="93"/>
        <v>0</v>
      </c>
      <c r="S310" s="137">
        <f t="shared" si="93"/>
        <v>0</v>
      </c>
      <c r="T310" s="137">
        <f t="shared" si="93"/>
        <v>0</v>
      </c>
      <c r="U310" s="137">
        <f t="shared" si="93"/>
        <v>0</v>
      </c>
      <c r="V310" s="137">
        <f t="shared" si="93"/>
        <v>0</v>
      </c>
      <c r="W310" s="137">
        <f t="shared" si="93"/>
        <v>0</v>
      </c>
      <c r="X310" s="137">
        <f t="shared" si="93"/>
        <v>0</v>
      </c>
      <c r="Y310" s="137">
        <f t="shared" si="93"/>
        <v>0</v>
      </c>
      <c r="Z310" s="137">
        <f t="shared" si="93"/>
        <v>0</v>
      </c>
      <c r="AA310" s="137">
        <f t="shared" si="93"/>
        <v>0</v>
      </c>
      <c r="AB310" s="137">
        <f t="shared" si="93"/>
        <v>0</v>
      </c>
      <c r="AC310" s="137">
        <f t="shared" si="93"/>
        <v>0</v>
      </c>
      <c r="AD310" s="137">
        <f t="shared" si="93"/>
        <v>0</v>
      </c>
      <c r="AE310" s="137">
        <f t="shared" si="93"/>
        <v>0</v>
      </c>
      <c r="AF310" s="138"/>
      <c r="AG310" s="138"/>
      <c r="AH310" s="138"/>
      <c r="AI310" s="138"/>
    </row>
    <row r="311" spans="1:35" customFormat="1" ht="15" x14ac:dyDescent="0.25">
      <c r="B311" s="14" t="s">
        <v>2569</v>
      </c>
      <c r="C311" s="14" t="s">
        <v>113</v>
      </c>
      <c r="D311" s="15" t="s">
        <v>2657</v>
      </c>
      <c r="E311" s="16" t="s">
        <v>2065</v>
      </c>
      <c r="F311" s="14" t="s">
        <v>2652</v>
      </c>
      <c r="G311" s="17"/>
      <c r="H311" s="125" t="str">
        <f>Settings!$B$3&amp;".mit.wp.cmt.dry.np.2"</f>
        <v>egy.mit.wp.cmt.dry.np.2</v>
      </c>
      <c r="K311" s="136"/>
      <c r="L311" s="137">
        <f t="shared" ref="L311:AE311" si="94">L$293*EXP(-L$275*L$237)</f>
        <v>25.163138219961041</v>
      </c>
      <c r="M311" s="137">
        <f t="shared" si="94"/>
        <v>25.993521781219755</v>
      </c>
      <c r="N311" s="137">
        <f t="shared" si="94"/>
        <v>26.851308</v>
      </c>
      <c r="O311" s="137">
        <f t="shared" si="94"/>
        <v>27.737401163999998</v>
      </c>
      <c r="P311" s="137">
        <f t="shared" si="94"/>
        <v>28.652735402411995</v>
      </c>
      <c r="Q311" s="137">
        <f t="shared" si="94"/>
        <v>29.598275670691589</v>
      </c>
      <c r="R311" s="137">
        <f t="shared" si="94"/>
        <v>30.575018767824407</v>
      </c>
      <c r="S311" s="137">
        <f t="shared" si="94"/>
        <v>31.583994387162612</v>
      </c>
      <c r="T311" s="137">
        <f t="shared" si="94"/>
        <v>32.626266201938975</v>
      </c>
      <c r="U311" s="137">
        <f t="shared" si="94"/>
        <v>33.70293298660296</v>
      </c>
      <c r="V311" s="137">
        <f t="shared" si="94"/>
        <v>34.815129775160841</v>
      </c>
      <c r="W311" s="137">
        <f t="shared" si="94"/>
        <v>35.964029057741151</v>
      </c>
      <c r="X311" s="137">
        <f t="shared" si="94"/>
        <v>37.150842016646592</v>
      </c>
      <c r="Y311" s="137">
        <f t="shared" si="94"/>
        <v>38.376819803195943</v>
      </c>
      <c r="Z311" s="137">
        <f t="shared" si="94"/>
        <v>39.643254856701404</v>
      </c>
      <c r="AA311" s="137">
        <f t="shared" si="94"/>
        <v>40.951482266972548</v>
      </c>
      <c r="AB311" s="137">
        <f t="shared" si="94"/>
        <v>42.302881181782631</v>
      </c>
      <c r="AC311" s="137">
        <f t="shared" si="94"/>
        <v>43.698876260781446</v>
      </c>
      <c r="AD311" s="137">
        <f t="shared" si="94"/>
        <v>45.140939177387231</v>
      </c>
      <c r="AE311" s="137">
        <f t="shared" si="94"/>
        <v>46.630590170241007</v>
      </c>
      <c r="AF311" s="138"/>
      <c r="AG311" s="138"/>
      <c r="AH311" s="138"/>
      <c r="AI311" s="138"/>
    </row>
    <row r="312" spans="1:35" customFormat="1" ht="15" x14ac:dyDescent="0.25">
      <c r="B312" s="14" t="s">
        <v>2571</v>
      </c>
      <c r="C312" s="14" t="s">
        <v>117</v>
      </c>
      <c r="D312" s="15" t="s">
        <v>2658</v>
      </c>
      <c r="E312" s="16" t="s">
        <v>2065</v>
      </c>
      <c r="F312" s="14" t="s">
        <v>2652</v>
      </c>
      <c r="G312" s="17"/>
      <c r="H312" s="125" t="str">
        <f>Settings!$B$3&amp;".mit.wp.frt.amc.np.2"</f>
        <v>egy.mit.wp.frt.amc.np.2</v>
      </c>
      <c r="K312" s="136"/>
      <c r="L312" s="137">
        <f t="shared" ref="L312:AE312" si="95">L$294*EXP(-L$276*L$238)</f>
        <v>0</v>
      </c>
      <c r="M312" s="137">
        <f t="shared" si="95"/>
        <v>0</v>
      </c>
      <c r="N312" s="137">
        <f t="shared" si="95"/>
        <v>0</v>
      </c>
      <c r="O312" s="137">
        <f t="shared" si="95"/>
        <v>0</v>
      </c>
      <c r="P312" s="137">
        <f t="shared" si="95"/>
        <v>0</v>
      </c>
      <c r="Q312" s="137">
        <f t="shared" si="95"/>
        <v>0</v>
      </c>
      <c r="R312" s="137">
        <f t="shared" si="95"/>
        <v>0</v>
      </c>
      <c r="S312" s="137">
        <f t="shared" si="95"/>
        <v>0</v>
      </c>
      <c r="T312" s="137">
        <f t="shared" si="95"/>
        <v>0</v>
      </c>
      <c r="U312" s="137">
        <f t="shared" si="95"/>
        <v>0</v>
      </c>
      <c r="V312" s="137">
        <f t="shared" si="95"/>
        <v>0</v>
      </c>
      <c r="W312" s="137">
        <f t="shared" si="95"/>
        <v>0</v>
      </c>
      <c r="X312" s="137">
        <f t="shared" si="95"/>
        <v>0</v>
      </c>
      <c r="Y312" s="137">
        <f t="shared" si="95"/>
        <v>0</v>
      </c>
      <c r="Z312" s="137">
        <f t="shared" si="95"/>
        <v>0</v>
      </c>
      <c r="AA312" s="137">
        <f t="shared" si="95"/>
        <v>0</v>
      </c>
      <c r="AB312" s="137">
        <f t="shared" si="95"/>
        <v>0</v>
      </c>
      <c r="AC312" s="137">
        <f t="shared" si="95"/>
        <v>0</v>
      </c>
      <c r="AD312" s="137">
        <f t="shared" si="95"/>
        <v>0</v>
      </c>
      <c r="AE312" s="137">
        <f t="shared" si="95"/>
        <v>0</v>
      </c>
      <c r="AF312" s="138"/>
      <c r="AG312" s="138"/>
      <c r="AH312" s="138"/>
      <c r="AI312" s="138"/>
    </row>
    <row r="313" spans="1:35" customFormat="1" ht="15" x14ac:dyDescent="0.25">
      <c r="B313" s="14" t="s">
        <v>2573</v>
      </c>
      <c r="C313" s="14" t="s">
        <v>117</v>
      </c>
      <c r="D313" s="15" t="s">
        <v>2659</v>
      </c>
      <c r="E313" s="16" t="s">
        <v>2065</v>
      </c>
      <c r="F313" s="14" t="s">
        <v>2652</v>
      </c>
      <c r="G313" s="17"/>
      <c r="H313" s="125" t="str">
        <f>Settings!$B$3&amp;".mit.wp.frt.ure.np.2"</f>
        <v>egy.mit.wp.frt.ure.np.2</v>
      </c>
      <c r="K313" s="136"/>
      <c r="L313" s="137">
        <f t="shared" ref="L313:AE313" si="96">L$295*EXP(-L$277*L$239)</f>
        <v>0</v>
      </c>
      <c r="M313" s="137">
        <f t="shared" si="96"/>
        <v>0</v>
      </c>
      <c r="N313" s="137">
        <f t="shared" si="96"/>
        <v>0</v>
      </c>
      <c r="O313" s="137">
        <f t="shared" si="96"/>
        <v>0</v>
      </c>
      <c r="P313" s="137">
        <f t="shared" si="96"/>
        <v>0</v>
      </c>
      <c r="Q313" s="137">
        <f t="shared" si="96"/>
        <v>0</v>
      </c>
      <c r="R313" s="137">
        <f t="shared" si="96"/>
        <v>0</v>
      </c>
      <c r="S313" s="137">
        <f t="shared" si="96"/>
        <v>0</v>
      </c>
      <c r="T313" s="137">
        <f t="shared" si="96"/>
        <v>0</v>
      </c>
      <c r="U313" s="137">
        <f t="shared" si="96"/>
        <v>0</v>
      </c>
      <c r="V313" s="137">
        <f t="shared" si="96"/>
        <v>0</v>
      </c>
      <c r="W313" s="137">
        <f t="shared" si="96"/>
        <v>0</v>
      </c>
      <c r="X313" s="137">
        <f t="shared" si="96"/>
        <v>0</v>
      </c>
      <c r="Y313" s="137">
        <f t="shared" si="96"/>
        <v>0</v>
      </c>
      <c r="Z313" s="137">
        <f t="shared" si="96"/>
        <v>0</v>
      </c>
      <c r="AA313" s="137">
        <f t="shared" si="96"/>
        <v>0</v>
      </c>
      <c r="AB313" s="137">
        <f t="shared" si="96"/>
        <v>0</v>
      </c>
      <c r="AC313" s="137">
        <f t="shared" si="96"/>
        <v>0</v>
      </c>
      <c r="AD313" s="137">
        <f t="shared" si="96"/>
        <v>0</v>
      </c>
      <c r="AE313" s="137">
        <f t="shared" si="96"/>
        <v>0</v>
      </c>
      <c r="AF313" s="138"/>
      <c r="AG313" s="138"/>
      <c r="AH313" s="138"/>
      <c r="AI313" s="138"/>
    </row>
    <row r="314" spans="1:35" customFormat="1" ht="15" x14ac:dyDescent="0.25">
      <c r="B314" s="14" t="s">
        <v>2575</v>
      </c>
      <c r="C314" s="14" t="s">
        <v>117</v>
      </c>
      <c r="D314" s="15" t="s">
        <v>2660</v>
      </c>
      <c r="E314" s="16" t="s">
        <v>2065</v>
      </c>
      <c r="F314" s="14" t="s">
        <v>2652</v>
      </c>
      <c r="G314" s="17"/>
      <c r="H314" s="125" t="str">
        <f>Settings!$B$3&amp;".mit.wp.frt.nit.np.2"</f>
        <v>egy.mit.wp.frt.nit.np.2</v>
      </c>
      <c r="K314" s="136"/>
      <c r="L314" s="137">
        <f t="shared" ref="L314:AE314" si="97">L$296*EXP(-L$278*L$240)</f>
        <v>0</v>
      </c>
      <c r="M314" s="137">
        <f t="shared" si="97"/>
        <v>0</v>
      </c>
      <c r="N314" s="137">
        <f t="shared" si="97"/>
        <v>0</v>
      </c>
      <c r="O314" s="137">
        <f t="shared" si="97"/>
        <v>0</v>
      </c>
      <c r="P314" s="137">
        <f t="shared" si="97"/>
        <v>0</v>
      </c>
      <c r="Q314" s="137">
        <f t="shared" si="97"/>
        <v>0</v>
      </c>
      <c r="R314" s="137">
        <f t="shared" si="97"/>
        <v>0</v>
      </c>
      <c r="S314" s="137">
        <f t="shared" si="97"/>
        <v>0</v>
      </c>
      <c r="T314" s="137">
        <f t="shared" si="97"/>
        <v>0</v>
      </c>
      <c r="U314" s="137">
        <f t="shared" si="97"/>
        <v>0</v>
      </c>
      <c r="V314" s="137">
        <f t="shared" si="97"/>
        <v>0</v>
      </c>
      <c r="W314" s="137">
        <f t="shared" si="97"/>
        <v>0</v>
      </c>
      <c r="X314" s="137">
        <f t="shared" si="97"/>
        <v>0</v>
      </c>
      <c r="Y314" s="137">
        <f t="shared" si="97"/>
        <v>0</v>
      </c>
      <c r="Z314" s="137">
        <f t="shared" si="97"/>
        <v>0</v>
      </c>
      <c r="AA314" s="137">
        <f t="shared" si="97"/>
        <v>0</v>
      </c>
      <c r="AB314" s="137">
        <f t="shared" si="97"/>
        <v>0</v>
      </c>
      <c r="AC314" s="137">
        <f t="shared" si="97"/>
        <v>0</v>
      </c>
      <c r="AD314" s="137">
        <f t="shared" si="97"/>
        <v>0</v>
      </c>
      <c r="AE314" s="137">
        <f t="shared" si="97"/>
        <v>0</v>
      </c>
      <c r="AF314" s="138"/>
      <c r="AG314" s="138"/>
      <c r="AH314" s="138"/>
      <c r="AI314" s="138"/>
    </row>
    <row r="315" spans="1:35" customFormat="1" ht="15" x14ac:dyDescent="0.25">
      <c r="B315" s="14" t="s">
        <v>2577</v>
      </c>
      <c r="C315" s="14" t="s">
        <v>115</v>
      </c>
      <c r="D315" s="15" t="s">
        <v>2661</v>
      </c>
      <c r="E315" s="16" t="s">
        <v>2065</v>
      </c>
      <c r="F315" s="14" t="s">
        <v>2652</v>
      </c>
      <c r="G315" s="17"/>
      <c r="H315" s="125" t="str">
        <f>Settings!$B$3&amp;".mit.wp.alu.prp.np.2"</f>
        <v>egy.mit.wp.alu.prp.np.2</v>
      </c>
      <c r="K315" s="136"/>
      <c r="L315" s="137">
        <f t="shared" ref="L315:AE315" si="98">L$297*EXP(-L$279*L$241)</f>
        <v>0.43758937310482698</v>
      </c>
      <c r="M315" s="137">
        <f t="shared" si="98"/>
        <v>0.4616567886255924</v>
      </c>
      <c r="N315" s="137">
        <f t="shared" si="98"/>
        <v>0.48704791199999997</v>
      </c>
      <c r="O315" s="137">
        <f t="shared" si="98"/>
        <v>0.51383554716000002</v>
      </c>
      <c r="P315" s="137">
        <f t="shared" si="98"/>
        <v>0.54209650225379991</v>
      </c>
      <c r="Q315" s="137">
        <f t="shared" si="98"/>
        <v>0.5719118098777588</v>
      </c>
      <c r="R315" s="137">
        <f t="shared" si="98"/>
        <v>0.6033669594210358</v>
      </c>
      <c r="S315" s="137">
        <f t="shared" si="98"/>
        <v>0.63655214218919254</v>
      </c>
      <c r="T315" s="137">
        <f t="shared" si="98"/>
        <v>0.6715625100095981</v>
      </c>
      <c r="U315" s="137">
        <f t="shared" si="98"/>
        <v>0.70849844806012596</v>
      </c>
      <c r="V315" s="137">
        <f t="shared" si="98"/>
        <v>0.74746586270343296</v>
      </c>
      <c r="W315" s="137">
        <f t="shared" si="98"/>
        <v>0.78857648515212175</v>
      </c>
      <c r="X315" s="137">
        <f t="shared" si="98"/>
        <v>0.83194819183548852</v>
      </c>
      <c r="Y315" s="137">
        <f t="shared" si="98"/>
        <v>0.87770534238644027</v>
      </c>
      <c r="Z315" s="137">
        <f t="shared" si="98"/>
        <v>0.92597913621769457</v>
      </c>
      <c r="AA315" s="137">
        <f t="shared" si="98"/>
        <v>0.97690798870966755</v>
      </c>
      <c r="AB315" s="137">
        <f t="shared" si="98"/>
        <v>1.0306379280886993</v>
      </c>
      <c r="AC315" s="137">
        <f t="shared" si="98"/>
        <v>1.0873230141335775</v>
      </c>
      <c r="AD315" s="137">
        <f t="shared" si="98"/>
        <v>1.1471257799109245</v>
      </c>
      <c r="AE315" s="137">
        <f t="shared" si="98"/>
        <v>1.2102176978060251</v>
      </c>
      <c r="AF315" s="138"/>
      <c r="AG315" s="138"/>
      <c r="AH315" s="138"/>
      <c r="AI315" s="138"/>
    </row>
    <row r="316" spans="1:35" customFormat="1" ht="15" x14ac:dyDescent="0.25">
      <c r="B316" s="14" t="s">
        <v>2579</v>
      </c>
      <c r="C316" s="14" t="s">
        <v>43</v>
      </c>
      <c r="D316" s="15" t="s">
        <v>2662</v>
      </c>
      <c r="E316" s="16" t="s">
        <v>2065</v>
      </c>
      <c r="F316" s="14" t="s">
        <v>2652</v>
      </c>
      <c r="G316" s="17"/>
      <c r="H316" s="125" t="str">
        <f>Settings!$B$3&amp;".mit.wp.stl.drg.no.2"</f>
        <v>egy.mit.wp.stl.drg.no.2</v>
      </c>
      <c r="K316" s="136"/>
      <c r="L316" s="137">
        <f t="shared" ref="L316:AE316" si="99">L$298*EXP(-L$280*L$242)</f>
        <v>0</v>
      </c>
      <c r="M316" s="137">
        <f t="shared" si="99"/>
        <v>0</v>
      </c>
      <c r="N316" s="137">
        <f t="shared" si="99"/>
        <v>0</v>
      </c>
      <c r="O316" s="137">
        <f t="shared" si="99"/>
        <v>0</v>
      </c>
      <c r="P316" s="137">
        <f t="shared" si="99"/>
        <v>0</v>
      </c>
      <c r="Q316" s="137">
        <f t="shared" si="99"/>
        <v>0</v>
      </c>
      <c r="R316" s="137">
        <f t="shared" si="99"/>
        <v>0</v>
      </c>
      <c r="S316" s="137">
        <f t="shared" si="99"/>
        <v>0</v>
      </c>
      <c r="T316" s="137">
        <f t="shared" si="99"/>
        <v>0</v>
      </c>
      <c r="U316" s="137">
        <f t="shared" si="99"/>
        <v>0</v>
      </c>
      <c r="V316" s="137">
        <f t="shared" si="99"/>
        <v>0</v>
      </c>
      <c r="W316" s="137">
        <f t="shared" si="99"/>
        <v>0</v>
      </c>
      <c r="X316" s="137">
        <f t="shared" si="99"/>
        <v>0</v>
      </c>
      <c r="Y316" s="137">
        <f t="shared" si="99"/>
        <v>0</v>
      </c>
      <c r="Z316" s="137">
        <f t="shared" si="99"/>
        <v>0</v>
      </c>
      <c r="AA316" s="137">
        <f t="shared" si="99"/>
        <v>0</v>
      </c>
      <c r="AB316" s="137">
        <f t="shared" si="99"/>
        <v>0</v>
      </c>
      <c r="AC316" s="137">
        <f t="shared" si="99"/>
        <v>0</v>
      </c>
      <c r="AD316" s="137">
        <f t="shared" si="99"/>
        <v>0</v>
      </c>
      <c r="AE316" s="137">
        <f t="shared" si="99"/>
        <v>0</v>
      </c>
      <c r="AF316" s="138"/>
      <c r="AG316" s="138"/>
      <c r="AH316" s="138"/>
      <c r="AI316" s="138"/>
    </row>
    <row r="317" spans="1:35" customFormat="1" ht="15" x14ac:dyDescent="0.25">
      <c r="B317" s="14" t="s">
        <v>2581</v>
      </c>
      <c r="C317" s="14" t="s">
        <v>43</v>
      </c>
      <c r="D317" s="15" t="s">
        <v>2663</v>
      </c>
      <c r="E317" s="16" t="s">
        <v>2065</v>
      </c>
      <c r="F317" s="14" t="s">
        <v>2652</v>
      </c>
      <c r="G317" s="17"/>
      <c r="H317" s="125" t="str">
        <f>Settings!$B$3&amp;".mit.wp.stl.scr.no.2"</f>
        <v>egy.mit.wp.stl.scr.no.2</v>
      </c>
      <c r="K317" s="136"/>
      <c r="L317" s="137">
        <f t="shared" ref="L317:AE317" si="100">L$299*EXP(-L$281*L$243)</f>
        <v>0</v>
      </c>
      <c r="M317" s="137">
        <f t="shared" si="100"/>
        <v>0</v>
      </c>
      <c r="N317" s="137">
        <f t="shared" si="100"/>
        <v>0</v>
      </c>
      <c r="O317" s="137">
        <f t="shared" si="100"/>
        <v>0</v>
      </c>
      <c r="P317" s="137">
        <f t="shared" si="100"/>
        <v>0</v>
      </c>
      <c r="Q317" s="137">
        <f t="shared" si="100"/>
        <v>0</v>
      </c>
      <c r="R317" s="137">
        <f t="shared" si="100"/>
        <v>0</v>
      </c>
      <c r="S317" s="137">
        <f t="shared" si="100"/>
        <v>0</v>
      </c>
      <c r="T317" s="137">
        <f t="shared" si="100"/>
        <v>0</v>
      </c>
      <c r="U317" s="137">
        <f t="shared" si="100"/>
        <v>0</v>
      </c>
      <c r="V317" s="137">
        <f t="shared" si="100"/>
        <v>0</v>
      </c>
      <c r="W317" s="137">
        <f t="shared" si="100"/>
        <v>0</v>
      </c>
      <c r="X317" s="137">
        <f t="shared" si="100"/>
        <v>0</v>
      </c>
      <c r="Y317" s="137">
        <f t="shared" si="100"/>
        <v>0</v>
      </c>
      <c r="Z317" s="137">
        <f t="shared" si="100"/>
        <v>0</v>
      </c>
      <c r="AA317" s="137">
        <f t="shared" si="100"/>
        <v>0</v>
      </c>
      <c r="AB317" s="137">
        <f t="shared" si="100"/>
        <v>0</v>
      </c>
      <c r="AC317" s="137">
        <f t="shared" si="100"/>
        <v>0</v>
      </c>
      <c r="AD317" s="137">
        <f t="shared" si="100"/>
        <v>0</v>
      </c>
      <c r="AE317" s="137">
        <f t="shared" si="100"/>
        <v>0</v>
      </c>
      <c r="AF317" s="138"/>
      <c r="AG317" s="138"/>
      <c r="AH317" s="138"/>
      <c r="AI317" s="138"/>
    </row>
    <row r="318" spans="1:35" customFormat="1" ht="15" x14ac:dyDescent="0.25">
      <c r="B318" s="14" t="s">
        <v>2583</v>
      </c>
      <c r="C318" s="14" t="s">
        <v>43</v>
      </c>
      <c r="D318" s="15" t="s">
        <v>2664</v>
      </c>
      <c r="E318" s="16" t="s">
        <v>2065</v>
      </c>
      <c r="F318" s="14" t="s">
        <v>2652</v>
      </c>
      <c r="G318" s="17"/>
      <c r="H318" s="125" t="str">
        <f>Settings!$B$3&amp;".mit.wp.stl.bof.no.2"</f>
        <v>egy.mit.wp.stl.bof.no.2</v>
      </c>
      <c r="K318" s="136"/>
      <c r="L318" s="137">
        <f t="shared" ref="L318:AE318" si="101">L$300*EXP(-L$282*L$244)</f>
        <v>0</v>
      </c>
      <c r="M318" s="137">
        <f t="shared" si="101"/>
        <v>0</v>
      </c>
      <c r="N318" s="137">
        <f t="shared" si="101"/>
        <v>0</v>
      </c>
      <c r="O318" s="137">
        <f t="shared" si="101"/>
        <v>0</v>
      </c>
      <c r="P318" s="137">
        <f t="shared" si="101"/>
        <v>0</v>
      </c>
      <c r="Q318" s="137">
        <f t="shared" si="101"/>
        <v>0</v>
      </c>
      <c r="R318" s="137">
        <f t="shared" si="101"/>
        <v>0</v>
      </c>
      <c r="S318" s="137">
        <f t="shared" si="101"/>
        <v>0</v>
      </c>
      <c r="T318" s="137">
        <f t="shared" si="101"/>
        <v>0</v>
      </c>
      <c r="U318" s="137">
        <f t="shared" si="101"/>
        <v>0</v>
      </c>
      <c r="V318" s="137">
        <f t="shared" si="101"/>
        <v>0</v>
      </c>
      <c r="W318" s="137">
        <f t="shared" si="101"/>
        <v>0</v>
      </c>
      <c r="X318" s="137">
        <f t="shared" si="101"/>
        <v>0</v>
      </c>
      <c r="Y318" s="137">
        <f t="shared" si="101"/>
        <v>0</v>
      </c>
      <c r="Z318" s="137">
        <f t="shared" si="101"/>
        <v>0</v>
      </c>
      <c r="AA318" s="137">
        <f t="shared" si="101"/>
        <v>0</v>
      </c>
      <c r="AB318" s="137">
        <f t="shared" si="101"/>
        <v>0</v>
      </c>
      <c r="AC318" s="137">
        <f t="shared" si="101"/>
        <v>0</v>
      </c>
      <c r="AD318" s="137">
        <f t="shared" si="101"/>
        <v>0</v>
      </c>
      <c r="AE318" s="137">
        <f t="shared" si="101"/>
        <v>0</v>
      </c>
      <c r="AF318" s="138"/>
      <c r="AG318" s="138"/>
      <c r="AH318" s="138"/>
      <c r="AI318" s="138"/>
    </row>
    <row r="319" spans="1:35" customFormat="1" ht="15" x14ac:dyDescent="0.25">
      <c r="B319" s="14" t="s">
        <v>2585</v>
      </c>
      <c r="C319" s="14" t="s">
        <v>113</v>
      </c>
      <c r="D319" s="15" t="s">
        <v>2665</v>
      </c>
      <c r="E319" s="16" t="s">
        <v>2065</v>
      </c>
      <c r="F319" s="14" t="s">
        <v>2652</v>
      </c>
      <c r="G319" s="17"/>
      <c r="H319" s="125" t="str">
        <f>Settings!$B$3&amp;".mit.wp.cmt.dry.no.2"</f>
        <v>egy.mit.wp.cmt.dry.no.2</v>
      </c>
      <c r="K319" s="136"/>
      <c r="L319" s="137">
        <f t="shared" ref="L319:AE319" si="102">L$301*EXP(-L$283*L$245)</f>
        <v>0</v>
      </c>
      <c r="M319" s="137">
        <f t="shared" si="102"/>
        <v>0</v>
      </c>
      <c r="N319" s="137">
        <f t="shared" si="102"/>
        <v>0</v>
      </c>
      <c r="O319" s="137">
        <f t="shared" si="102"/>
        <v>0</v>
      </c>
      <c r="P319" s="137">
        <f t="shared" si="102"/>
        <v>0</v>
      </c>
      <c r="Q319" s="137">
        <f t="shared" si="102"/>
        <v>0</v>
      </c>
      <c r="R319" s="137">
        <f t="shared" si="102"/>
        <v>0</v>
      </c>
      <c r="S319" s="137">
        <f t="shared" si="102"/>
        <v>0</v>
      </c>
      <c r="T319" s="137">
        <f t="shared" si="102"/>
        <v>0</v>
      </c>
      <c r="U319" s="137">
        <f t="shared" si="102"/>
        <v>0</v>
      </c>
      <c r="V319" s="137">
        <f t="shared" si="102"/>
        <v>0</v>
      </c>
      <c r="W319" s="137">
        <f t="shared" si="102"/>
        <v>0</v>
      </c>
      <c r="X319" s="137">
        <f t="shared" si="102"/>
        <v>0</v>
      </c>
      <c r="Y319" s="137">
        <f t="shared" si="102"/>
        <v>0</v>
      </c>
      <c r="Z319" s="137">
        <f t="shared" si="102"/>
        <v>0</v>
      </c>
      <c r="AA319" s="137">
        <f t="shared" si="102"/>
        <v>0</v>
      </c>
      <c r="AB319" s="137">
        <f t="shared" si="102"/>
        <v>0</v>
      </c>
      <c r="AC319" s="137">
        <f t="shared" si="102"/>
        <v>0</v>
      </c>
      <c r="AD319" s="137">
        <f t="shared" si="102"/>
        <v>0</v>
      </c>
      <c r="AE319" s="137">
        <f t="shared" si="102"/>
        <v>0</v>
      </c>
      <c r="AF319" s="138"/>
      <c r="AG319" s="138"/>
      <c r="AH319" s="138"/>
      <c r="AI319" s="138"/>
    </row>
    <row r="320" spans="1:35" customFormat="1" ht="15" x14ac:dyDescent="0.25">
      <c r="B320" s="14" t="s">
        <v>2587</v>
      </c>
      <c r="C320" s="14" t="s">
        <v>117</v>
      </c>
      <c r="D320" s="15" t="s">
        <v>2666</v>
      </c>
      <c r="E320" s="16" t="s">
        <v>2065</v>
      </c>
      <c r="F320" s="14" t="s">
        <v>2652</v>
      </c>
      <c r="G320" s="17"/>
      <c r="H320" s="125" t="str">
        <f>Settings!$B$3&amp;".mit.wp.frt.amc.no.2"</f>
        <v>egy.mit.wp.frt.amc.no.2</v>
      </c>
      <c r="K320" s="136"/>
      <c r="L320" s="137">
        <f t="shared" ref="L320:AE320" si="103">L$302*EXP(-L$284*L$246)</f>
        <v>0</v>
      </c>
      <c r="M320" s="137">
        <f t="shared" si="103"/>
        <v>0</v>
      </c>
      <c r="N320" s="137">
        <f t="shared" si="103"/>
        <v>0</v>
      </c>
      <c r="O320" s="137">
        <f t="shared" si="103"/>
        <v>0</v>
      </c>
      <c r="P320" s="137">
        <f t="shared" si="103"/>
        <v>0</v>
      </c>
      <c r="Q320" s="137">
        <f t="shared" si="103"/>
        <v>0</v>
      </c>
      <c r="R320" s="137">
        <f t="shared" si="103"/>
        <v>0</v>
      </c>
      <c r="S320" s="137">
        <f t="shared" si="103"/>
        <v>0</v>
      </c>
      <c r="T320" s="137">
        <f t="shared" si="103"/>
        <v>0</v>
      </c>
      <c r="U320" s="137">
        <f t="shared" si="103"/>
        <v>0</v>
      </c>
      <c r="V320" s="137">
        <f t="shared" si="103"/>
        <v>0</v>
      </c>
      <c r="W320" s="137">
        <f t="shared" si="103"/>
        <v>0</v>
      </c>
      <c r="X320" s="137">
        <f t="shared" si="103"/>
        <v>0</v>
      </c>
      <c r="Y320" s="137">
        <f t="shared" si="103"/>
        <v>0</v>
      </c>
      <c r="Z320" s="137">
        <f t="shared" si="103"/>
        <v>0</v>
      </c>
      <c r="AA320" s="137">
        <f t="shared" si="103"/>
        <v>0</v>
      </c>
      <c r="AB320" s="137">
        <f t="shared" si="103"/>
        <v>0</v>
      </c>
      <c r="AC320" s="137">
        <f t="shared" si="103"/>
        <v>0</v>
      </c>
      <c r="AD320" s="137">
        <f t="shared" si="103"/>
        <v>0</v>
      </c>
      <c r="AE320" s="137">
        <f t="shared" si="103"/>
        <v>0</v>
      </c>
      <c r="AF320" s="138"/>
      <c r="AG320" s="138"/>
      <c r="AH320" s="138"/>
      <c r="AI320" s="138"/>
    </row>
    <row r="321" spans="1:35" customFormat="1" ht="15" x14ac:dyDescent="0.25">
      <c r="B321" s="14" t="s">
        <v>2589</v>
      </c>
      <c r="C321" s="14" t="s">
        <v>117</v>
      </c>
      <c r="D321" s="15" t="s">
        <v>2667</v>
      </c>
      <c r="E321" s="16" t="s">
        <v>2065</v>
      </c>
      <c r="F321" s="14" t="s">
        <v>2652</v>
      </c>
      <c r="G321" s="17"/>
      <c r="H321" s="125" t="str">
        <f>Settings!$B$3&amp;".mit.wp.frt.ure.no.2"</f>
        <v>egy.mit.wp.frt.ure.no.2</v>
      </c>
      <c r="K321" s="136"/>
      <c r="L321" s="137">
        <f t="shared" ref="L321:AE321" si="104">L$303*EXP(-L$285*L$247)</f>
        <v>0</v>
      </c>
      <c r="M321" s="137">
        <f t="shared" si="104"/>
        <v>0</v>
      </c>
      <c r="N321" s="137">
        <f t="shared" si="104"/>
        <v>0</v>
      </c>
      <c r="O321" s="137">
        <f t="shared" si="104"/>
        <v>0</v>
      </c>
      <c r="P321" s="137">
        <f t="shared" si="104"/>
        <v>0</v>
      </c>
      <c r="Q321" s="137">
        <f t="shared" si="104"/>
        <v>0</v>
      </c>
      <c r="R321" s="137">
        <f t="shared" si="104"/>
        <v>0</v>
      </c>
      <c r="S321" s="137">
        <f t="shared" si="104"/>
        <v>0</v>
      </c>
      <c r="T321" s="137">
        <f t="shared" si="104"/>
        <v>0</v>
      </c>
      <c r="U321" s="137">
        <f t="shared" si="104"/>
        <v>0</v>
      </c>
      <c r="V321" s="137">
        <f t="shared" si="104"/>
        <v>0</v>
      </c>
      <c r="W321" s="137">
        <f t="shared" si="104"/>
        <v>0</v>
      </c>
      <c r="X321" s="137">
        <f t="shared" si="104"/>
        <v>0</v>
      </c>
      <c r="Y321" s="137">
        <f t="shared" si="104"/>
        <v>0</v>
      </c>
      <c r="Z321" s="137">
        <f t="shared" si="104"/>
        <v>0</v>
      </c>
      <c r="AA321" s="137">
        <f t="shared" si="104"/>
        <v>0</v>
      </c>
      <c r="AB321" s="137">
        <f t="shared" si="104"/>
        <v>0</v>
      </c>
      <c r="AC321" s="137">
        <f t="shared" si="104"/>
        <v>0</v>
      </c>
      <c r="AD321" s="137">
        <f t="shared" si="104"/>
        <v>0</v>
      </c>
      <c r="AE321" s="137">
        <f t="shared" si="104"/>
        <v>0</v>
      </c>
      <c r="AF321" s="138"/>
      <c r="AG321" s="138"/>
      <c r="AH321" s="138"/>
      <c r="AI321" s="138"/>
    </row>
    <row r="322" spans="1:35" customFormat="1" ht="15" x14ac:dyDescent="0.25">
      <c r="B322" s="14" t="s">
        <v>2591</v>
      </c>
      <c r="C322" s="14" t="s">
        <v>117</v>
      </c>
      <c r="D322" s="15" t="s">
        <v>2668</v>
      </c>
      <c r="E322" s="16" t="s">
        <v>2065</v>
      </c>
      <c r="F322" s="14" t="s">
        <v>2652</v>
      </c>
      <c r="G322" s="17"/>
      <c r="H322" s="125" t="str">
        <f>Settings!$B$3&amp;".mit.wp.frt.nit.no.2"</f>
        <v>egy.mit.wp.frt.nit.no.2</v>
      </c>
      <c r="K322" s="136"/>
      <c r="L322" s="137">
        <f t="shared" ref="L322:AE322" si="105">L$304*EXP(-L$286*L$248)</f>
        <v>0.57123661061347031</v>
      </c>
      <c r="M322" s="137">
        <f t="shared" si="105"/>
        <v>0.58380381604696674</v>
      </c>
      <c r="N322" s="137">
        <f t="shared" si="105"/>
        <v>0.5966475</v>
      </c>
      <c r="O322" s="137">
        <f t="shared" si="105"/>
        <v>0.60977374500000003</v>
      </c>
      <c r="P322" s="137">
        <f t="shared" si="105"/>
        <v>0.62318876738999995</v>
      </c>
      <c r="Q322" s="137">
        <f t="shared" si="105"/>
        <v>0.6368989202725801</v>
      </c>
      <c r="R322" s="137">
        <f t="shared" si="105"/>
        <v>0.65091069651857669</v>
      </c>
      <c r="S322" s="137">
        <f t="shared" si="105"/>
        <v>0.66523073184198556</v>
      </c>
      <c r="T322" s="137">
        <f t="shared" si="105"/>
        <v>0.67986580794250906</v>
      </c>
      <c r="U322" s="137">
        <f t="shared" si="105"/>
        <v>0.69482285571724434</v>
      </c>
      <c r="V322" s="137">
        <f t="shared" si="105"/>
        <v>0.7101089585430238</v>
      </c>
      <c r="W322" s="137">
        <f t="shared" si="105"/>
        <v>0.72573135563097024</v>
      </c>
      <c r="X322" s="137">
        <f t="shared" si="105"/>
        <v>0.74169744545485172</v>
      </c>
      <c r="Y322" s="137">
        <f t="shared" si="105"/>
        <v>0.75801478925485843</v>
      </c>
      <c r="Z322" s="137">
        <f t="shared" si="105"/>
        <v>0.7746911146184654</v>
      </c>
      <c r="AA322" s="137">
        <f t="shared" si="105"/>
        <v>0.79173431914007153</v>
      </c>
      <c r="AB322" s="137">
        <f t="shared" si="105"/>
        <v>0.8091524741611531</v>
      </c>
      <c r="AC322" s="137">
        <f t="shared" si="105"/>
        <v>0.8269538285926985</v>
      </c>
      <c r="AD322" s="137">
        <f t="shared" si="105"/>
        <v>0.84514681282173787</v>
      </c>
      <c r="AE322" s="137">
        <f t="shared" si="105"/>
        <v>0.8637400427038161</v>
      </c>
      <c r="AF322" s="138"/>
      <c r="AG322" s="138"/>
      <c r="AH322" s="138"/>
      <c r="AI322" s="138"/>
    </row>
    <row r="323" spans="1:35" customFormat="1" ht="15" x14ac:dyDescent="0.25">
      <c r="B323" s="14" t="s">
        <v>2593</v>
      </c>
      <c r="C323" s="14" t="s">
        <v>115</v>
      </c>
      <c r="D323" s="15" t="s">
        <v>2669</v>
      </c>
      <c r="E323" s="16" t="s">
        <v>2065</v>
      </c>
      <c r="F323" s="14" t="s">
        <v>2652</v>
      </c>
      <c r="G323" s="17"/>
      <c r="H323" s="125" t="str">
        <f>Settings!$B$3&amp;".mit.wp.alu.prp.no.2"</f>
        <v>egy.mit.wp.alu.prp.no.2</v>
      </c>
      <c r="K323" s="136"/>
      <c r="L323" s="137">
        <f t="shared" ref="L323:AE323" si="106">L$305*EXP(-L$287*L$249)</f>
        <v>0.20862065092877519</v>
      </c>
      <c r="M323" s="137">
        <f t="shared" si="106"/>
        <v>0.22009478672985783</v>
      </c>
      <c r="N323" s="137">
        <f t="shared" si="106"/>
        <v>0.23220000000000002</v>
      </c>
      <c r="O323" s="137">
        <f t="shared" si="106"/>
        <v>0.24497099999999999</v>
      </c>
      <c r="P323" s="137">
        <f t="shared" si="106"/>
        <v>0.25844440499999999</v>
      </c>
      <c r="Q323" s="137">
        <f t="shared" si="106"/>
        <v>0.27265884727499995</v>
      </c>
      <c r="R323" s="137">
        <f t="shared" si="106"/>
        <v>0.28765508387512501</v>
      </c>
      <c r="S323" s="137">
        <f t="shared" si="106"/>
        <v>0.30347611348825682</v>
      </c>
      <c r="T323" s="137">
        <f t="shared" si="106"/>
        <v>0.32016729973011093</v>
      </c>
      <c r="U323" s="137">
        <f t="shared" si="106"/>
        <v>0.33777650121526698</v>
      </c>
      <c r="V323" s="137">
        <f t="shared" si="106"/>
        <v>0.35635420878210672</v>
      </c>
      <c r="W323" s="137">
        <f t="shared" si="106"/>
        <v>0.37595369026512254</v>
      </c>
      <c r="X323" s="137">
        <f t="shared" si="106"/>
        <v>0.39663114322970433</v>
      </c>
      <c r="Y323" s="137">
        <f t="shared" si="106"/>
        <v>0.41844585610733798</v>
      </c>
      <c r="Z323" s="137">
        <f t="shared" si="106"/>
        <v>0.44146037819324158</v>
      </c>
      <c r="AA323" s="137">
        <f t="shared" si="106"/>
        <v>0.46574069899386977</v>
      </c>
      <c r="AB323" s="137">
        <f t="shared" si="106"/>
        <v>0.49135643743853269</v>
      </c>
      <c r="AC323" s="137">
        <f t="shared" si="106"/>
        <v>0.51838104149765185</v>
      </c>
      <c r="AD323" s="137">
        <f t="shared" si="106"/>
        <v>0.5468919987800227</v>
      </c>
      <c r="AE323" s="137">
        <f t="shared" si="106"/>
        <v>0.57697105871292398</v>
      </c>
      <c r="AF323" s="138"/>
      <c r="AG323" s="138"/>
      <c r="AH323" s="138"/>
      <c r="AI323" s="138"/>
    </row>
    <row r="324" spans="1:35" x14ac:dyDescent="0.2"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</row>
    <row r="325" spans="1:35" customFormat="1" ht="15" x14ac:dyDescent="0.25">
      <c r="A325" s="11"/>
      <c r="B325" s="6"/>
      <c r="C325" s="7" t="s">
        <v>2670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4">
        <v>2021</v>
      </c>
      <c r="L325" s="135">
        <v>2022</v>
      </c>
      <c r="M325" s="134">
        <v>2023</v>
      </c>
      <c r="N325" s="134">
        <v>2024</v>
      </c>
      <c r="O325" s="134">
        <v>2025</v>
      </c>
      <c r="P325" s="134">
        <v>2026</v>
      </c>
      <c r="Q325" s="134">
        <v>2027</v>
      </c>
      <c r="R325" s="134">
        <v>2028</v>
      </c>
      <c r="S325" s="134">
        <v>2029</v>
      </c>
      <c r="T325" s="134">
        <v>2030</v>
      </c>
      <c r="U325" s="134">
        <v>2031</v>
      </c>
      <c r="V325" s="134">
        <v>2032</v>
      </c>
      <c r="W325" s="134">
        <v>2033</v>
      </c>
      <c r="X325" s="134">
        <v>2034</v>
      </c>
      <c r="Y325" s="134">
        <v>2035</v>
      </c>
      <c r="Z325" s="134">
        <v>2036</v>
      </c>
      <c r="AA325" s="134">
        <v>2037</v>
      </c>
      <c r="AB325" s="134">
        <v>2038</v>
      </c>
      <c r="AC325" s="134">
        <v>2039</v>
      </c>
      <c r="AD325" s="134">
        <v>2040</v>
      </c>
      <c r="AE325" s="134">
        <v>2041</v>
      </c>
      <c r="AF325" s="134">
        <v>2042</v>
      </c>
      <c r="AG325" s="134">
        <v>2043</v>
      </c>
      <c r="AH325" s="134">
        <v>2044</v>
      </c>
      <c r="AI325" s="134">
        <v>2045</v>
      </c>
    </row>
    <row r="326" spans="1:35" customFormat="1" ht="15" x14ac:dyDescent="0.25">
      <c r="B326" s="14" t="s">
        <v>2671</v>
      </c>
      <c r="C326" s="14" t="s">
        <v>2672</v>
      </c>
      <c r="D326" s="15" t="s">
        <v>2673</v>
      </c>
      <c r="E326" s="16" t="s">
        <v>1854</v>
      </c>
      <c r="F326" s="14" t="s">
        <v>2671</v>
      </c>
      <c r="G326" s="17"/>
      <c r="H326" s="125" t="str">
        <f>Settings!$B$3&amp;".mit.revf0.cbam.tot.2"</f>
        <v>egy.mit.revf0.cbam.tot.2</v>
      </c>
      <c r="I326" t="s">
        <v>2674</v>
      </c>
      <c r="K326" s="136"/>
      <c r="L326" s="140">
        <f>SUMPRODUCT(L$252:L$259*Mitigation_Industry!$I$729:$I$736*L$224:L$231)</f>
        <v>0</v>
      </c>
      <c r="M326" s="140">
        <f>SUMPRODUCT(M$252:M$259*Mitigation_Industry!$I$729:$I$736*M$224:M$231)</f>
        <v>0</v>
      </c>
      <c r="N326" s="140">
        <f>SUMPRODUCT(N$252:N$259*Mitigation_Industry!$I$729:$I$736*N$224:N$231)</f>
        <v>0</v>
      </c>
      <c r="O326" s="140">
        <f>SUMPRODUCT(O$252:O$259*Mitigation_Industry!$I$729:$I$736*O$224:O$231)</f>
        <v>0</v>
      </c>
      <c r="P326" s="140">
        <f>SUMPRODUCT(P$252:P$259*Mitigation_Industry!$I$729:$I$736*P$224:P$231)</f>
        <v>0</v>
      </c>
      <c r="Q326" s="140">
        <f>SUMPRODUCT(Q$252:Q$259*Mitigation_Industry!$I$729:$I$736*Q$224:Q$231)</f>
        <v>313.18092912945133</v>
      </c>
      <c r="R326" s="140">
        <f>SUMPRODUCT(R$252:R$259*Mitigation_Industry!$I$729:$I$736*R$224:R$231)</f>
        <v>646.88764494852489</v>
      </c>
      <c r="S326" s="140">
        <f>SUMPRODUCT(S$252:S$259*Mitigation_Industry!$I$729:$I$736*S$224:S$231)</f>
        <v>1002.1648959865571</v>
      </c>
      <c r="T326" s="140">
        <f>SUMPRODUCT(T$252:T$259*Mitigation_Industry!$I$729:$I$736*T$224:T$231)</f>
        <v>1380.1062236958546</v>
      </c>
      <c r="U326" s="140">
        <f>SUMPRODUCT(U$252:U$259*Mitigation_Industry!$I$729:$I$736*U$224:U$231)</f>
        <v>1781.8561629939895</v>
      </c>
      <c r="V326" s="140">
        <f>SUMPRODUCT(V$252:V$259*Mitigation_Industry!$I$729:$I$736*V$224:V$231)</f>
        <v>2208.6125408023772</v>
      </c>
      <c r="W326" s="140">
        <f>SUMPRODUCT(W$252:W$259*Mitigation_Industry!$I$729:$I$736*W$224:W$231)</f>
        <v>2661.6288769403232</v>
      </c>
      <c r="X326" s="140">
        <f>SUMPRODUCT(X$252:X$259*Mitigation_Industry!$I$729:$I$736*X$224:X$231)</f>
        <v>3142.2168919286596</v>
      </c>
      <c r="Y326" s="140">
        <f>SUMPRODUCT(Y$252:Y$259*Mitigation_Industry!$I$729:$I$736*Y$224:Y$231)</f>
        <v>3651.7491264608011</v>
      </c>
      <c r="Z326" s="140">
        <f>SUMPRODUCT(Z$252:Z$259*Mitigation_Industry!$I$729:$I$736*Z$224:Z$231)</f>
        <v>4191.6616775120128</v>
      </c>
      <c r="AA326" s="140">
        <f>SUMPRODUCT(AA$252:AA$259*Mitigation_Industry!$I$729:$I$736*AA$224:AA$231)</f>
        <v>4763.45705628019</v>
      </c>
      <c r="AB326" s="140">
        <f>SUMPRODUCT(AB$252:AB$259*Mitigation_Industry!$I$729:$I$736*AB$224:AB$231)</f>
        <v>5368.7071733840539</v>
      </c>
      <c r="AC326" s="140">
        <f>SUMPRODUCT(AC$252:AC$259*Mitigation_Industry!$I$729:$I$736*AC$224:AC$231)</f>
        <v>6009.0564569877843</v>
      </c>
      <c r="AD326" s="140">
        <f>SUMPRODUCT(AD$252:AD$259*Mitigation_Industry!$I$729:$I$736*AD$224:AD$231)</f>
        <v>6686.2251097751796</v>
      </c>
      <c r="AE326" s="140">
        <f>SUMPRODUCT(AE$252:AE$259*Mitigation_Industry!$I$729:$I$736*AE$224:AE$231)</f>
        <v>7402.012510962054</v>
      </c>
      <c r="AF326" s="138"/>
      <c r="AG326" s="138"/>
      <c r="AH326" s="138"/>
      <c r="AI326" s="138"/>
    </row>
    <row r="327" spans="1:35" customFormat="1" ht="15" x14ac:dyDescent="0.25">
      <c r="B327" s="14" t="s">
        <v>2675</v>
      </c>
      <c r="C327" s="14" t="s">
        <v>2672</v>
      </c>
      <c r="D327" s="15" t="s">
        <v>2676</v>
      </c>
      <c r="E327" s="16" t="s">
        <v>1854</v>
      </c>
      <c r="F327" s="14" t="s">
        <v>2675</v>
      </c>
      <c r="G327" s="17"/>
      <c r="H327" s="125" t="str">
        <f>Settings!$B$3&amp;".mit.revp0.cbam.tot.2"</f>
        <v>egy.mit.revp0.cbam.tot.2</v>
      </c>
      <c r="I327" t="s">
        <v>2677</v>
      </c>
      <c r="K327" s="136"/>
      <c r="L327" s="140">
        <f>SUMPRODUCT(Mitigation_Industry!L$740:L$747*Mitigation_Industry!$J$729:$J$736*L$234:L$241)-SUMPRODUCT((L$290:L$305-L$308:L$323)*L$234:L$249)</f>
        <v>0</v>
      </c>
      <c r="M327" s="140">
        <f>SUMPRODUCT(Mitigation_Industry!M$740:M$747*Mitigation_Industry!$J$729:$J$736*M$234:M$241)-SUMPRODUCT((M$290:M$305-M$308:M$323)*M$234:M$249)</f>
        <v>0</v>
      </c>
      <c r="N327" s="140">
        <f>SUMPRODUCT(Mitigation_Industry!N$740:N$747*Mitigation_Industry!$J$729:$J$736*N$234:N$241)-SUMPRODUCT((N$290:N$305-N$308:N$323)*N$234:N$249)</f>
        <v>0</v>
      </c>
      <c r="O327" s="140">
        <f>SUMPRODUCT(Mitigation_Industry!O$740:O$747*Mitigation_Industry!$J$729:$J$736*O$234:O$241)-SUMPRODUCT((O$290:O$305-O$308:O$323)*O$234:O$249)</f>
        <v>0</v>
      </c>
      <c r="P327" s="140">
        <f>SUMPRODUCT(Mitigation_Industry!P$740:P$747*Mitigation_Industry!$J$729:$J$736*P$234:P$241)-SUMPRODUCT((P$290:P$305-P$308:P$323)*P$234:P$249)</f>
        <v>0</v>
      </c>
      <c r="Q327" s="140">
        <f>SUMPRODUCT(Mitigation_Industry!Q$740:Q$747*Mitigation_Industry!$J$729:$J$736*Q$234:Q$241)-SUMPRODUCT((Q$290:Q$305-Q$308:Q$323)*Q$234:Q$249)</f>
        <v>0</v>
      </c>
      <c r="R327" s="140">
        <f>SUMPRODUCT(Mitigation_Industry!R$740:R$747*Mitigation_Industry!$J$729:$J$736*R$234:R$241)-SUMPRODUCT((R$290:R$305-R$308:R$323)*R$234:R$249)</f>
        <v>0</v>
      </c>
      <c r="S327" s="140">
        <f>SUMPRODUCT(Mitigation_Industry!S$740:S$747*Mitigation_Industry!$J$729:$J$736*S$234:S$241)-SUMPRODUCT((S$290:S$305-S$308:S$323)*S$234:S$249)</f>
        <v>0</v>
      </c>
      <c r="T327" s="140">
        <f>SUMPRODUCT(Mitigation_Industry!T$740:T$747*Mitigation_Industry!$J$729:$J$736*T$234:T$241)-SUMPRODUCT((T$290:T$305-T$308:T$323)*T$234:T$249)</f>
        <v>0</v>
      </c>
      <c r="U327" s="140">
        <f>SUMPRODUCT(Mitigation_Industry!U$740:U$747*Mitigation_Industry!$J$729:$J$736*U$234:U$241)-SUMPRODUCT((U$290:U$305-U$308:U$323)*U$234:U$249)</f>
        <v>0</v>
      </c>
      <c r="V327" s="140">
        <f>SUMPRODUCT(Mitigation_Industry!V$740:V$747*Mitigation_Industry!$J$729:$J$736*V$234:V$241)-SUMPRODUCT((V$290:V$305-V$308:V$323)*V$234:V$249)</f>
        <v>0</v>
      </c>
      <c r="W327" s="140">
        <f>SUMPRODUCT(Mitigation_Industry!W$740:W$747*Mitigation_Industry!$J$729:$J$736*W$234:W$241)-SUMPRODUCT((W$290:W$305-W$308:W$323)*W$234:W$249)</f>
        <v>0</v>
      </c>
      <c r="X327" s="140">
        <f>SUMPRODUCT(Mitigation_Industry!X$740:X$747*Mitigation_Industry!$J$729:$J$736*X$234:X$241)-SUMPRODUCT((X$290:X$305-X$308:X$323)*X$234:X$249)</f>
        <v>0</v>
      </c>
      <c r="Y327" s="140">
        <f>SUMPRODUCT(Mitigation_Industry!Y$740:Y$747*Mitigation_Industry!$J$729:$J$736*Y$234:Y$241)-SUMPRODUCT((Y$290:Y$305-Y$308:Y$323)*Y$234:Y$249)</f>
        <v>0</v>
      </c>
      <c r="Z327" s="140">
        <f>SUMPRODUCT(Mitigation_Industry!Z$740:Z$747*Mitigation_Industry!$J$729:$J$736*Z$234:Z$241)-SUMPRODUCT((Z$290:Z$305-Z$308:Z$323)*Z$234:Z$249)</f>
        <v>0</v>
      </c>
      <c r="AA327" s="140">
        <f>SUMPRODUCT(Mitigation_Industry!AA$740:AA$747*Mitigation_Industry!$J$729:$J$736*AA$234:AA$241)-SUMPRODUCT((AA$290:AA$305-AA$308:AA$323)*AA$234:AA$249)</f>
        <v>0</v>
      </c>
      <c r="AB327" s="140">
        <f>SUMPRODUCT(Mitigation_Industry!AB$740:AB$747*Mitigation_Industry!$J$729:$J$736*AB$234:AB$241)-SUMPRODUCT((AB$290:AB$305-AB$308:AB$323)*AB$234:AB$249)</f>
        <v>0</v>
      </c>
      <c r="AC327" s="140">
        <f>SUMPRODUCT(Mitigation_Industry!AC$740:AC$747*Mitigation_Industry!$J$729:$J$736*AC$234:AC$241)-SUMPRODUCT((AC$290:AC$305-AC$308:AC$323)*AC$234:AC$249)</f>
        <v>0</v>
      </c>
      <c r="AD327" s="140">
        <f>SUMPRODUCT(Mitigation_Industry!AD$740:AD$747*Mitigation_Industry!$J$729:$J$736*AD$234:AD$241)-SUMPRODUCT((AD$290:AD$305-AD$308:AD$323)*AD$234:AD$249)</f>
        <v>0</v>
      </c>
      <c r="AE327" s="140">
        <f>SUMPRODUCT(Mitigation_Industry!AE$740:AE$747*Mitigation_Industry!$J$729:$J$736*AE$234:AE$241)-SUMPRODUCT((AE$290:AE$305-AE$308:AE$323)*AE$234:AE$249)</f>
        <v>0</v>
      </c>
      <c r="AF327" s="138"/>
      <c r="AG327" s="138"/>
      <c r="AH327" s="138"/>
      <c r="AI327" s="138"/>
    </row>
    <row r="328" spans="1:35" customFormat="1" ht="15" x14ac:dyDescent="0.25">
      <c r="B328" s="14" t="s">
        <v>2678</v>
      </c>
      <c r="C328" s="14" t="s">
        <v>2672</v>
      </c>
      <c r="D328" s="15" t="s">
        <v>2679</v>
      </c>
      <c r="E328" s="16" t="s">
        <v>1854</v>
      </c>
      <c r="F328" s="14" t="s">
        <v>2678</v>
      </c>
      <c r="G328" s="17"/>
      <c r="H328" s="125" t="str">
        <f>Settings!$B$3&amp;".mit.rev0.cbam.tot.2"</f>
        <v>egy.mit.rev0.cbam.tot.2</v>
      </c>
      <c r="I328" t="s">
        <v>2680</v>
      </c>
      <c r="K328" s="136"/>
      <c r="L328" s="140">
        <f t="shared" ref="L328:AE328" si="107">L326+L327</f>
        <v>0</v>
      </c>
      <c r="M328" s="140">
        <f t="shared" si="107"/>
        <v>0</v>
      </c>
      <c r="N328" s="140">
        <f t="shared" si="107"/>
        <v>0</v>
      </c>
      <c r="O328" s="140">
        <f t="shared" si="107"/>
        <v>0</v>
      </c>
      <c r="P328" s="140">
        <f t="shared" si="107"/>
        <v>0</v>
      </c>
      <c r="Q328" s="140">
        <f t="shared" si="107"/>
        <v>313.18092912945133</v>
      </c>
      <c r="R328" s="140">
        <f t="shared" si="107"/>
        <v>646.88764494852489</v>
      </c>
      <c r="S328" s="140">
        <f t="shared" si="107"/>
        <v>1002.1648959865571</v>
      </c>
      <c r="T328" s="140">
        <f t="shared" si="107"/>
        <v>1380.1062236958546</v>
      </c>
      <c r="U328" s="140">
        <f t="shared" si="107"/>
        <v>1781.8561629939895</v>
      </c>
      <c r="V328" s="140">
        <f t="shared" si="107"/>
        <v>2208.6125408023772</v>
      </c>
      <c r="W328" s="140">
        <f t="shared" si="107"/>
        <v>2661.6288769403232</v>
      </c>
      <c r="X328" s="140">
        <f t="shared" si="107"/>
        <v>3142.2168919286596</v>
      </c>
      <c r="Y328" s="140">
        <f t="shared" si="107"/>
        <v>3651.7491264608011</v>
      </c>
      <c r="Z328" s="140">
        <f t="shared" si="107"/>
        <v>4191.6616775120128</v>
      </c>
      <c r="AA328" s="140">
        <f t="shared" si="107"/>
        <v>4763.45705628019</v>
      </c>
      <c r="AB328" s="140">
        <f t="shared" si="107"/>
        <v>5368.7071733840539</v>
      </c>
      <c r="AC328" s="140">
        <f t="shared" si="107"/>
        <v>6009.0564569877843</v>
      </c>
      <c r="AD328" s="140">
        <f t="shared" si="107"/>
        <v>6686.2251097751796</v>
      </c>
      <c r="AE328" s="140">
        <f t="shared" si="107"/>
        <v>7402.012510962054</v>
      </c>
      <c r="AF328" s="138"/>
      <c r="AG328" s="138"/>
      <c r="AH328" s="138"/>
      <c r="AI328" s="138"/>
    </row>
    <row r="329" spans="1:35" customFormat="1" ht="15" x14ac:dyDescent="0.25">
      <c r="B329" s="14" t="s">
        <v>2670</v>
      </c>
      <c r="C329" s="14" t="s">
        <v>2672</v>
      </c>
      <c r="D329" s="15" t="s">
        <v>3665</v>
      </c>
      <c r="E329" s="16" t="s">
        <v>1854</v>
      </c>
      <c r="F329" s="14" t="s">
        <v>2670</v>
      </c>
      <c r="G329" s="17"/>
      <c r="H329" s="125" t="str">
        <f>Settings!$B$3&amp;".mit.fund.cbam.tot.2"</f>
        <v>egy.mit.fund.cbam.tot.2</v>
      </c>
      <c r="I329" t="s">
        <v>2863</v>
      </c>
      <c r="K329" s="136"/>
      <c r="L329" s="140">
        <f>L$218*INDEX(L$427:L$433,MATCH(Settings!$B$10,$B$427:$B$433,0))</f>
        <v>0</v>
      </c>
      <c r="M329" s="140">
        <f>M$218*INDEX(M$427:M$433,MATCH(Settings!$B$10,$B$427:$B$433,0))</f>
        <v>0</v>
      </c>
      <c r="N329" s="140">
        <f>N$218*INDEX(N$427:N$433,MATCH(Settings!$B$10,$B$427:$B$433,0))</f>
        <v>0</v>
      </c>
      <c r="O329" s="140">
        <f>O$218*INDEX(O$427:O$433,MATCH(Settings!$B$10,$B$427:$B$433,0))</f>
        <v>0</v>
      </c>
      <c r="P329" s="140">
        <f>P$218*INDEX(P$427:P$433,MATCH(Settings!$B$10,$B$427:$B$433,0))</f>
        <v>0</v>
      </c>
      <c r="Q329" s="140">
        <f>Q$218*INDEX(Q$427:Q$433,MATCH(Settings!$B$10,$B$427:$B$433,0))</f>
        <v>0</v>
      </c>
      <c r="R329" s="140">
        <f>R$218*INDEX(R$427:R$433,MATCH(Settings!$B$10,$B$427:$B$433,0))</f>
        <v>0</v>
      </c>
      <c r="S329" s="140">
        <f>S$218*INDEX(S$427:S$433,MATCH(Settings!$B$10,$B$427:$B$433,0))</f>
        <v>0</v>
      </c>
      <c r="T329" s="140">
        <f>T$218*INDEX(T$427:T$433,MATCH(Settings!$B$10,$B$427:$B$433,0))</f>
        <v>0</v>
      </c>
      <c r="U329" s="140">
        <f>U$218*INDEX(U$427:U$433,MATCH(Settings!$B$10,$B$427:$B$433,0))</f>
        <v>0</v>
      </c>
      <c r="V329" s="140">
        <f>V$218*INDEX(V$427:V$433,MATCH(Settings!$B$10,$B$427:$B$433,0))</f>
        <v>0</v>
      </c>
      <c r="W329" s="140">
        <f>W$218*INDEX(W$427:W$433,MATCH(Settings!$B$10,$B$427:$B$433,0))</f>
        <v>0</v>
      </c>
      <c r="X329" s="140">
        <f>X$218*INDEX(X$427:X$433,MATCH(Settings!$B$10,$B$427:$B$433,0))</f>
        <v>0</v>
      </c>
      <c r="Y329" s="140">
        <f>Y$218*INDEX(Y$427:Y$433,MATCH(Settings!$B$10,$B$427:$B$433,0))</f>
        <v>0</v>
      </c>
      <c r="Z329" s="140">
        <f>Z$218*INDEX(Z$427:Z$433,MATCH(Settings!$B$10,$B$427:$B$433,0))</f>
        <v>0</v>
      </c>
      <c r="AA329" s="140">
        <f>AA$218*INDEX(AA$427:AA$433,MATCH(Settings!$B$10,$B$427:$B$433,0))</f>
        <v>0</v>
      </c>
      <c r="AB329" s="140">
        <f>AB$218*INDEX(AB$427:AB$433,MATCH(Settings!$B$10,$B$427:$B$433,0))</f>
        <v>0</v>
      </c>
      <c r="AC329" s="140">
        <f>AC$218*INDEX(AC$427:AC$433,MATCH(Settings!$B$10,$B$427:$B$433,0))</f>
        <v>0</v>
      </c>
      <c r="AD329" s="140">
        <f>AD$218*INDEX(AD$427:AD$433,MATCH(Settings!$B$10,$B$427:$B$433,0))</f>
        <v>0</v>
      </c>
      <c r="AE329" s="140">
        <f>AE$218*INDEX(AE$427:AE$433,MATCH(Settings!$B$10,$B$427:$B$433,0))</f>
        <v>0</v>
      </c>
      <c r="AF329" s="138"/>
      <c r="AG329" s="138"/>
      <c r="AH329" s="138"/>
      <c r="AI329" s="138"/>
    </row>
    <row r="330" spans="1:35" customFormat="1" ht="15" x14ac:dyDescent="0.25">
      <c r="B330" s="14" t="s">
        <v>2683</v>
      </c>
      <c r="C330" s="14" t="s">
        <v>2672</v>
      </c>
      <c r="D330" s="15" t="s">
        <v>2684</v>
      </c>
      <c r="E330" s="16" t="s">
        <v>2065</v>
      </c>
      <c r="F330" s="14" t="s">
        <v>2683</v>
      </c>
      <c r="G330" s="17"/>
      <c r="H330" s="125" t="str">
        <f>Settings!$B$3&amp;".mit.emrp0.cbam.tot.2"</f>
        <v>egy.mit.emrp0.cbam.tot.2</v>
      </c>
      <c r="I330" t="s">
        <v>2685</v>
      </c>
      <c r="K330" s="136"/>
      <c r="L330" s="137">
        <f t="shared" ref="L330:AE330" si="108">SUM(L$308:L$323)-SUM(L$290:L$305)</f>
        <v>0</v>
      </c>
      <c r="M330" s="137">
        <f t="shared" si="108"/>
        <v>0</v>
      </c>
      <c r="N330" s="137">
        <f t="shared" si="108"/>
        <v>0</v>
      </c>
      <c r="O330" s="137">
        <f t="shared" si="108"/>
        <v>0</v>
      </c>
      <c r="P330" s="137">
        <f t="shared" si="108"/>
        <v>0</v>
      </c>
      <c r="Q330" s="137">
        <f t="shared" si="108"/>
        <v>0</v>
      </c>
      <c r="R330" s="137">
        <f t="shared" si="108"/>
        <v>0</v>
      </c>
      <c r="S330" s="137">
        <f t="shared" si="108"/>
        <v>0</v>
      </c>
      <c r="T330" s="137">
        <f t="shared" si="108"/>
        <v>0</v>
      </c>
      <c r="U330" s="137">
        <f t="shared" si="108"/>
        <v>0</v>
      </c>
      <c r="V330" s="137">
        <f t="shared" si="108"/>
        <v>0</v>
      </c>
      <c r="W330" s="137">
        <f t="shared" si="108"/>
        <v>0</v>
      </c>
      <c r="X330" s="137">
        <f t="shared" si="108"/>
        <v>0</v>
      </c>
      <c r="Y330" s="137">
        <f t="shared" si="108"/>
        <v>0</v>
      </c>
      <c r="Z330" s="137">
        <f t="shared" si="108"/>
        <v>0</v>
      </c>
      <c r="AA330" s="137">
        <f t="shared" si="108"/>
        <v>0</v>
      </c>
      <c r="AB330" s="137">
        <f t="shared" si="108"/>
        <v>0</v>
      </c>
      <c r="AC330" s="137">
        <f t="shared" si="108"/>
        <v>0</v>
      </c>
      <c r="AD330" s="137">
        <f t="shared" si="108"/>
        <v>0</v>
      </c>
      <c r="AE330" s="137">
        <f t="shared" si="108"/>
        <v>0</v>
      </c>
      <c r="AF330" s="138"/>
      <c r="AG330" s="138"/>
      <c r="AH330" s="138"/>
      <c r="AI330" s="138"/>
    </row>
    <row r="331" spans="1:35" customFormat="1" ht="15" x14ac:dyDescent="0.25">
      <c r="B331" s="14" t="s">
        <v>2686</v>
      </c>
      <c r="C331" s="14" t="s">
        <v>2672</v>
      </c>
      <c r="D331" s="15" t="s">
        <v>2687</v>
      </c>
      <c r="E331" s="16" t="s">
        <v>2688</v>
      </c>
      <c r="F331" s="14" t="s">
        <v>2686</v>
      </c>
      <c r="G331" s="17"/>
      <c r="H331" s="17"/>
      <c r="I331" t="s">
        <v>2689</v>
      </c>
      <c r="K331" s="136"/>
      <c r="L331" s="139">
        <f t="shared" ref="L331:AE331" si="109">SUMPRODUCT(L$252:L$259*L$262:L$269)+SUMPRODUCT(L$308:L$323*L$272:L$287)</f>
        <v>0.11343980799323071</v>
      </c>
      <c r="M331" s="139">
        <f t="shared" si="109"/>
        <v>0.11712329976149224</v>
      </c>
      <c r="N331" s="139">
        <f t="shared" si="109"/>
        <v>0.12092889969856549</v>
      </c>
      <c r="O331" s="139">
        <f t="shared" si="109"/>
        <v>0.12486074250600086</v>
      </c>
      <c r="P331" s="139">
        <f t="shared" si="109"/>
        <v>0.1289231063134835</v>
      </c>
      <c r="Q331" s="139">
        <f t="shared" si="109"/>
        <v>0.13312041780294456</v>
      </c>
      <c r="R331" s="139">
        <f t="shared" si="109"/>
        <v>0.13745725752256618</v>
      </c>
      <c r="S331" s="139">
        <f t="shared" si="109"/>
        <v>0.14193836539803825</v>
      </c>
      <c r="T331" s="139">
        <f t="shared" si="109"/>
        <v>0.14656864644872269</v>
      </c>
      <c r="U331" s="139">
        <f t="shared" si="109"/>
        <v>0.15135317671669662</v>
      </c>
      <c r="V331" s="139">
        <f t="shared" si="109"/>
        <v>0.1562972094169694</v>
      </c>
      <c r="W331" s="139">
        <f t="shared" si="109"/>
        <v>0.1614061813175115</v>
      </c>
      <c r="X331" s="139">
        <f t="shared" si="109"/>
        <v>0.16668571935808552</v>
      </c>
      <c r="Y331" s="139">
        <f t="shared" si="109"/>
        <v>0.17214164751724373</v>
      </c>
      <c r="Z331" s="139">
        <f t="shared" si="109"/>
        <v>0.17777999393723931</v>
      </c>
      <c r="AA331" s="139">
        <f t="shared" si="109"/>
        <v>0.18360699831700622</v>
      </c>
      <c r="AB331" s="139">
        <f t="shared" si="109"/>
        <v>0.18962911958377954</v>
      </c>
      <c r="AC331" s="139">
        <f t="shared" si="109"/>
        <v>0.19585304385437208</v>
      </c>
      <c r="AD331" s="139">
        <f t="shared" si="109"/>
        <v>0.20228569269757843</v>
      </c>
      <c r="AE331" s="139">
        <f t="shared" si="109"/>
        <v>0.20893423170965852</v>
      </c>
      <c r="AF331" s="138"/>
      <c r="AG331" s="138"/>
      <c r="AH331" s="138"/>
      <c r="AI331" s="138"/>
    </row>
    <row r="332" spans="1:35" customFormat="1" ht="15" x14ac:dyDescent="0.25">
      <c r="B332" s="14" t="s">
        <v>2690</v>
      </c>
      <c r="C332" s="14" t="s">
        <v>2672</v>
      </c>
      <c r="D332" s="15" t="s">
        <v>2691</v>
      </c>
      <c r="E332" s="16" t="s">
        <v>1398</v>
      </c>
      <c r="F332" s="14" t="s">
        <v>2690</v>
      </c>
      <c r="G332" s="17"/>
      <c r="H332" s="17"/>
      <c r="K332" s="136"/>
      <c r="L332" s="137">
        <f t="shared" ref="L332:AE332" si="110">IF(OR(L$329&lt;=0,L$331&lt;=0),0,MIN($F$5,SQRT(L$329/L$331*IF($F$4="COST",2,1))))</f>
        <v>0</v>
      </c>
      <c r="M332" s="137">
        <f t="shared" si="110"/>
        <v>0</v>
      </c>
      <c r="N332" s="137">
        <f t="shared" si="110"/>
        <v>0</v>
      </c>
      <c r="O332" s="137">
        <f t="shared" si="110"/>
        <v>0</v>
      </c>
      <c r="P332" s="137">
        <f t="shared" si="110"/>
        <v>0</v>
      </c>
      <c r="Q332" s="137">
        <f t="shared" si="110"/>
        <v>0</v>
      </c>
      <c r="R332" s="137">
        <f t="shared" si="110"/>
        <v>0</v>
      </c>
      <c r="S332" s="137">
        <f t="shared" si="110"/>
        <v>0</v>
      </c>
      <c r="T332" s="137">
        <f t="shared" si="110"/>
        <v>0</v>
      </c>
      <c r="U332" s="137">
        <f t="shared" si="110"/>
        <v>0</v>
      </c>
      <c r="V332" s="137">
        <f t="shared" si="110"/>
        <v>0</v>
      </c>
      <c r="W332" s="137">
        <f t="shared" si="110"/>
        <v>0</v>
      </c>
      <c r="X332" s="137">
        <f t="shared" si="110"/>
        <v>0</v>
      </c>
      <c r="Y332" s="137">
        <f t="shared" si="110"/>
        <v>0</v>
      </c>
      <c r="Z332" s="137">
        <f t="shared" si="110"/>
        <v>0</v>
      </c>
      <c r="AA332" s="137">
        <f t="shared" si="110"/>
        <v>0</v>
      </c>
      <c r="AB332" s="137">
        <f t="shared" si="110"/>
        <v>0</v>
      </c>
      <c r="AC332" s="137">
        <f t="shared" si="110"/>
        <v>0</v>
      </c>
      <c r="AD332" s="137">
        <f t="shared" si="110"/>
        <v>0</v>
      </c>
      <c r="AE332" s="137">
        <f t="shared" si="110"/>
        <v>0</v>
      </c>
      <c r="AF332" s="138"/>
      <c r="AG332" s="138"/>
      <c r="AH332" s="138"/>
      <c r="AI332" s="138"/>
    </row>
    <row r="333" spans="1:35" x14ac:dyDescent="0.2"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</row>
    <row r="334" spans="1:35" customFormat="1" ht="15" x14ac:dyDescent="0.25">
      <c r="A334" s="11"/>
      <c r="B334" s="6"/>
      <c r="C334" s="7" t="s">
        <v>2692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2693</v>
      </c>
      <c r="J334" s="48">
        <v>2</v>
      </c>
      <c r="K334" s="134">
        <v>2021</v>
      </c>
      <c r="L334" s="135">
        <v>2022</v>
      </c>
      <c r="M334" s="134">
        <v>2023</v>
      </c>
      <c r="N334" s="134">
        <v>2024</v>
      </c>
      <c r="O334" s="134">
        <v>2025</v>
      </c>
      <c r="P334" s="134">
        <v>2026</v>
      </c>
      <c r="Q334" s="134">
        <v>2027</v>
      </c>
      <c r="R334" s="134">
        <v>2028</v>
      </c>
      <c r="S334" s="134">
        <v>2029</v>
      </c>
      <c r="T334" s="134">
        <v>2030</v>
      </c>
      <c r="U334" s="134">
        <v>2031</v>
      </c>
      <c r="V334" s="134">
        <v>2032</v>
      </c>
      <c r="W334" s="134">
        <v>2033</v>
      </c>
      <c r="X334" s="134">
        <v>2034</v>
      </c>
      <c r="Y334" s="134">
        <v>2035</v>
      </c>
      <c r="Z334" s="134">
        <v>2036</v>
      </c>
      <c r="AA334" s="134">
        <v>2037</v>
      </c>
      <c r="AB334" s="134">
        <v>2038</v>
      </c>
      <c r="AC334" s="134">
        <v>2039</v>
      </c>
      <c r="AD334" s="134">
        <v>2040</v>
      </c>
      <c r="AE334" s="134">
        <v>2041</v>
      </c>
      <c r="AF334" s="134">
        <v>2042</v>
      </c>
      <c r="AG334" s="134">
        <v>2043</v>
      </c>
      <c r="AH334" s="134">
        <v>2044</v>
      </c>
      <c r="AI334" s="134">
        <v>2045</v>
      </c>
    </row>
    <row r="335" spans="1:35" customFormat="1" ht="15" x14ac:dyDescent="0.25">
      <c r="B335" s="14" t="s">
        <v>2694</v>
      </c>
      <c r="C335" s="14" t="s">
        <v>2672</v>
      </c>
      <c r="D335" s="15" t="s">
        <v>2695</v>
      </c>
      <c r="E335" s="16" t="s">
        <v>2065</v>
      </c>
      <c r="F335" s="14" t="s">
        <v>2696</v>
      </c>
      <c r="G335" s="17"/>
      <c r="H335" s="17"/>
      <c r="K335" s="136"/>
      <c r="L335" s="139">
        <f t="shared" ref="L335:AE335" si="111">SUMPRODUCT(L$252:L$259*(1-EXP(-L$262:L$269*L$332)))+SUMPRODUCT(L$308:L$323*(1-EXP(-L$272:L$287*L$332)))</f>
        <v>0</v>
      </c>
      <c r="M335" s="139">
        <f t="shared" si="111"/>
        <v>0</v>
      </c>
      <c r="N335" s="139">
        <f t="shared" si="111"/>
        <v>0</v>
      </c>
      <c r="O335" s="139">
        <f t="shared" si="111"/>
        <v>0</v>
      </c>
      <c r="P335" s="139">
        <f t="shared" si="111"/>
        <v>0</v>
      </c>
      <c r="Q335" s="139">
        <f t="shared" si="111"/>
        <v>0</v>
      </c>
      <c r="R335" s="139">
        <f t="shared" si="111"/>
        <v>0</v>
      </c>
      <c r="S335" s="139">
        <f t="shared" si="111"/>
        <v>0</v>
      </c>
      <c r="T335" s="139">
        <f t="shared" si="111"/>
        <v>0</v>
      </c>
      <c r="U335" s="139">
        <f t="shared" si="111"/>
        <v>0</v>
      </c>
      <c r="V335" s="139">
        <f t="shared" si="111"/>
        <v>0</v>
      </c>
      <c r="W335" s="139">
        <f t="shared" si="111"/>
        <v>0</v>
      </c>
      <c r="X335" s="139">
        <f t="shared" si="111"/>
        <v>0</v>
      </c>
      <c r="Y335" s="139">
        <f t="shared" si="111"/>
        <v>0</v>
      </c>
      <c r="Z335" s="139">
        <f t="shared" si="111"/>
        <v>0</v>
      </c>
      <c r="AA335" s="139">
        <f t="shared" si="111"/>
        <v>0</v>
      </c>
      <c r="AB335" s="139">
        <f t="shared" si="111"/>
        <v>0</v>
      </c>
      <c r="AC335" s="139">
        <f t="shared" si="111"/>
        <v>0</v>
      </c>
      <c r="AD335" s="139">
        <f t="shared" si="111"/>
        <v>0</v>
      </c>
      <c r="AE335" s="139">
        <f t="shared" si="111"/>
        <v>0</v>
      </c>
      <c r="AF335" s="138"/>
      <c r="AG335" s="138"/>
      <c r="AH335" s="138"/>
      <c r="AI335" s="138"/>
    </row>
    <row r="336" spans="1:35" customFormat="1" ht="15" x14ac:dyDescent="0.25">
      <c r="B336" s="14" t="s">
        <v>2697</v>
      </c>
      <c r="C336" s="14" t="s">
        <v>2672</v>
      </c>
      <c r="D336" s="15" t="s">
        <v>2698</v>
      </c>
      <c r="E336" s="16" t="s">
        <v>1854</v>
      </c>
      <c r="F336" s="14" t="s">
        <v>2699</v>
      </c>
      <c r="G336" s="17"/>
      <c r="H336" s="17"/>
      <c r="K336" s="136"/>
      <c r="L336" s="137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37">
        <f t="shared" si="112"/>
        <v>0</v>
      </c>
      <c r="N336" s="137">
        <f t="shared" si="112"/>
        <v>0</v>
      </c>
      <c r="O336" s="137">
        <f t="shared" si="112"/>
        <v>0</v>
      </c>
      <c r="P336" s="137">
        <f t="shared" si="112"/>
        <v>0</v>
      </c>
      <c r="Q336" s="137">
        <f t="shared" si="112"/>
        <v>0</v>
      </c>
      <c r="R336" s="137">
        <f t="shared" si="112"/>
        <v>0</v>
      </c>
      <c r="S336" s="137">
        <f t="shared" si="112"/>
        <v>0</v>
      </c>
      <c r="T336" s="137">
        <f t="shared" si="112"/>
        <v>0</v>
      </c>
      <c r="U336" s="137">
        <f t="shared" si="112"/>
        <v>0</v>
      </c>
      <c r="V336" s="137">
        <f t="shared" si="112"/>
        <v>0</v>
      </c>
      <c r="W336" s="137">
        <f t="shared" si="112"/>
        <v>0</v>
      </c>
      <c r="X336" s="137">
        <f t="shared" si="112"/>
        <v>0</v>
      </c>
      <c r="Y336" s="137">
        <f t="shared" si="112"/>
        <v>0</v>
      </c>
      <c r="Z336" s="137">
        <f t="shared" si="112"/>
        <v>0</v>
      </c>
      <c r="AA336" s="137">
        <f t="shared" si="112"/>
        <v>0</v>
      </c>
      <c r="AB336" s="137">
        <f t="shared" si="112"/>
        <v>0</v>
      </c>
      <c r="AC336" s="137">
        <f t="shared" si="112"/>
        <v>0</v>
      </c>
      <c r="AD336" s="137">
        <f t="shared" si="112"/>
        <v>0</v>
      </c>
      <c r="AE336" s="137">
        <f t="shared" si="112"/>
        <v>0</v>
      </c>
      <c r="AF336" s="138"/>
      <c r="AG336" s="138"/>
      <c r="AH336" s="138"/>
      <c r="AI336" s="138"/>
    </row>
    <row r="337" spans="2:35" customFormat="1" ht="15" x14ac:dyDescent="0.25">
      <c r="B337" s="14" t="s">
        <v>2700</v>
      </c>
      <c r="C337" s="14" t="s">
        <v>2672</v>
      </c>
      <c r="D337" s="15" t="s">
        <v>2701</v>
      </c>
      <c r="E337" s="16" t="s">
        <v>2702</v>
      </c>
      <c r="F337" s="14" t="s">
        <v>2703</v>
      </c>
      <c r="G337" s="17"/>
      <c r="H337" s="17"/>
      <c r="K337" s="136"/>
      <c r="L337" s="139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39">
        <f t="shared" si="113"/>
        <v>0</v>
      </c>
      <c r="N337" s="139">
        <f t="shared" si="113"/>
        <v>0</v>
      </c>
      <c r="O337" s="139">
        <f t="shared" si="113"/>
        <v>0</v>
      </c>
      <c r="P337" s="139">
        <f t="shared" si="113"/>
        <v>0</v>
      </c>
      <c r="Q337" s="139">
        <f t="shared" si="113"/>
        <v>0</v>
      </c>
      <c r="R337" s="139">
        <f t="shared" si="113"/>
        <v>0</v>
      </c>
      <c r="S337" s="139">
        <f t="shared" si="113"/>
        <v>0</v>
      </c>
      <c r="T337" s="139">
        <f t="shared" si="113"/>
        <v>0</v>
      </c>
      <c r="U337" s="139">
        <f t="shared" si="113"/>
        <v>0</v>
      </c>
      <c r="V337" s="139">
        <f t="shared" si="113"/>
        <v>0</v>
      </c>
      <c r="W337" s="139">
        <f t="shared" si="113"/>
        <v>0</v>
      </c>
      <c r="X337" s="139">
        <f t="shared" si="113"/>
        <v>0</v>
      </c>
      <c r="Y337" s="139">
        <f t="shared" si="113"/>
        <v>0</v>
      </c>
      <c r="Z337" s="139">
        <f t="shared" si="113"/>
        <v>0</v>
      </c>
      <c r="AA337" s="139">
        <f t="shared" si="113"/>
        <v>0</v>
      </c>
      <c r="AB337" s="139">
        <f t="shared" si="113"/>
        <v>0</v>
      </c>
      <c r="AC337" s="139">
        <f t="shared" si="113"/>
        <v>0</v>
      </c>
      <c r="AD337" s="139">
        <f t="shared" si="113"/>
        <v>0</v>
      </c>
      <c r="AE337" s="139">
        <f t="shared" si="113"/>
        <v>0</v>
      </c>
      <c r="AF337" s="138"/>
      <c r="AG337" s="138"/>
      <c r="AH337" s="138"/>
      <c r="AI337" s="138"/>
    </row>
    <row r="338" spans="2:35" customFormat="1" ht="15" x14ac:dyDescent="0.25">
      <c r="B338" s="14" t="s">
        <v>2704</v>
      </c>
      <c r="C338" s="14" t="s">
        <v>2672</v>
      </c>
      <c r="D338" s="15" t="s">
        <v>2705</v>
      </c>
      <c r="E338" s="16" t="s">
        <v>1398</v>
      </c>
      <c r="F338" s="14" t="s">
        <v>2706</v>
      </c>
      <c r="G338" s="17"/>
      <c r="H338" s="17"/>
      <c r="K338" s="136"/>
      <c r="L338" s="137">
        <f t="shared" ref="L338:AE338" si="114">IF(L$329&lt;=0,0,IF(L$337&lt;=0,L$332,MIN($F$5,IF(L$332-(L$336-L$329)/L$337&lt;=0,L$332/2,L$332-(L$336-L$329)/L$337))))</f>
        <v>0</v>
      </c>
      <c r="M338" s="137">
        <f t="shared" si="114"/>
        <v>0</v>
      </c>
      <c r="N338" s="137">
        <f t="shared" si="114"/>
        <v>0</v>
      </c>
      <c r="O338" s="137">
        <f t="shared" si="114"/>
        <v>0</v>
      </c>
      <c r="P338" s="137">
        <f t="shared" si="114"/>
        <v>0</v>
      </c>
      <c r="Q338" s="137">
        <f t="shared" si="114"/>
        <v>0</v>
      </c>
      <c r="R338" s="137">
        <f t="shared" si="114"/>
        <v>0</v>
      </c>
      <c r="S338" s="137">
        <f t="shared" si="114"/>
        <v>0</v>
      </c>
      <c r="T338" s="137">
        <f t="shared" si="114"/>
        <v>0</v>
      </c>
      <c r="U338" s="137">
        <f t="shared" si="114"/>
        <v>0</v>
      </c>
      <c r="V338" s="137">
        <f t="shared" si="114"/>
        <v>0</v>
      </c>
      <c r="W338" s="137">
        <f t="shared" si="114"/>
        <v>0</v>
      </c>
      <c r="X338" s="137">
        <f t="shared" si="114"/>
        <v>0</v>
      </c>
      <c r="Y338" s="137">
        <f t="shared" si="114"/>
        <v>0</v>
      </c>
      <c r="Z338" s="137">
        <f t="shared" si="114"/>
        <v>0</v>
      </c>
      <c r="AA338" s="137">
        <f t="shared" si="114"/>
        <v>0</v>
      </c>
      <c r="AB338" s="137">
        <f t="shared" si="114"/>
        <v>0</v>
      </c>
      <c r="AC338" s="137">
        <f t="shared" si="114"/>
        <v>0</v>
      </c>
      <c r="AD338" s="137">
        <f t="shared" si="114"/>
        <v>0</v>
      </c>
      <c r="AE338" s="137">
        <f t="shared" si="114"/>
        <v>0</v>
      </c>
      <c r="AF338" s="138"/>
      <c r="AG338" s="138"/>
      <c r="AH338" s="138"/>
      <c r="AI338" s="138"/>
    </row>
    <row r="339" spans="2:35" customFormat="1" ht="15" x14ac:dyDescent="0.25">
      <c r="B339" s="14" t="s">
        <v>2707</v>
      </c>
      <c r="C339" s="14" t="s">
        <v>2672</v>
      </c>
      <c r="D339" s="15" t="s">
        <v>2708</v>
      </c>
      <c r="E339" s="16" t="s">
        <v>2065</v>
      </c>
      <c r="F339" s="14" t="s">
        <v>2696</v>
      </c>
      <c r="G339" s="17"/>
      <c r="H339" s="17"/>
      <c r="K339" s="136"/>
      <c r="L339" s="139">
        <f t="shared" ref="L339:AE339" si="115">SUMPRODUCT(L$252:L$259*(1-EXP(-L$262:L$269*L$338)))+SUMPRODUCT(L$308:L$323*(1-EXP(-L$272:L$287*L$338)))</f>
        <v>0</v>
      </c>
      <c r="M339" s="139">
        <f t="shared" si="115"/>
        <v>0</v>
      </c>
      <c r="N339" s="139">
        <f t="shared" si="115"/>
        <v>0</v>
      </c>
      <c r="O339" s="139">
        <f t="shared" si="115"/>
        <v>0</v>
      </c>
      <c r="P339" s="139">
        <f t="shared" si="115"/>
        <v>0</v>
      </c>
      <c r="Q339" s="139">
        <f t="shared" si="115"/>
        <v>0</v>
      </c>
      <c r="R339" s="139">
        <f t="shared" si="115"/>
        <v>0</v>
      </c>
      <c r="S339" s="139">
        <f t="shared" si="115"/>
        <v>0</v>
      </c>
      <c r="T339" s="139">
        <f t="shared" si="115"/>
        <v>0</v>
      </c>
      <c r="U339" s="139">
        <f t="shared" si="115"/>
        <v>0</v>
      </c>
      <c r="V339" s="139">
        <f t="shared" si="115"/>
        <v>0</v>
      </c>
      <c r="W339" s="139">
        <f t="shared" si="115"/>
        <v>0</v>
      </c>
      <c r="X339" s="139">
        <f t="shared" si="115"/>
        <v>0</v>
      </c>
      <c r="Y339" s="139">
        <f t="shared" si="115"/>
        <v>0</v>
      </c>
      <c r="Z339" s="139">
        <f t="shared" si="115"/>
        <v>0</v>
      </c>
      <c r="AA339" s="139">
        <f t="shared" si="115"/>
        <v>0</v>
      </c>
      <c r="AB339" s="139">
        <f t="shared" si="115"/>
        <v>0</v>
      </c>
      <c r="AC339" s="139">
        <f t="shared" si="115"/>
        <v>0</v>
      </c>
      <c r="AD339" s="139">
        <f t="shared" si="115"/>
        <v>0</v>
      </c>
      <c r="AE339" s="139">
        <f t="shared" si="115"/>
        <v>0</v>
      </c>
      <c r="AF339" s="138"/>
      <c r="AG339" s="138"/>
      <c r="AH339" s="138"/>
      <c r="AI339" s="138"/>
    </row>
    <row r="340" spans="2:35" customFormat="1" ht="15" x14ac:dyDescent="0.25">
      <c r="B340" s="14" t="s">
        <v>2709</v>
      </c>
      <c r="C340" s="14" t="s">
        <v>2672</v>
      </c>
      <c r="D340" s="15" t="s">
        <v>2710</v>
      </c>
      <c r="E340" s="16" t="s">
        <v>1854</v>
      </c>
      <c r="F340" s="14" t="s">
        <v>2699</v>
      </c>
      <c r="G340" s="17"/>
      <c r="H340" s="17"/>
      <c r="K340" s="136"/>
      <c r="L340" s="137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37">
        <f t="shared" si="116"/>
        <v>0</v>
      </c>
      <c r="N340" s="137">
        <f t="shared" si="116"/>
        <v>0</v>
      </c>
      <c r="O340" s="137">
        <f t="shared" si="116"/>
        <v>0</v>
      </c>
      <c r="P340" s="137">
        <f t="shared" si="116"/>
        <v>0</v>
      </c>
      <c r="Q340" s="137">
        <f t="shared" si="116"/>
        <v>0</v>
      </c>
      <c r="R340" s="137">
        <f t="shared" si="116"/>
        <v>0</v>
      </c>
      <c r="S340" s="137">
        <f t="shared" si="116"/>
        <v>0</v>
      </c>
      <c r="T340" s="137">
        <f t="shared" si="116"/>
        <v>0</v>
      </c>
      <c r="U340" s="137">
        <f t="shared" si="116"/>
        <v>0</v>
      </c>
      <c r="V340" s="137">
        <f t="shared" si="116"/>
        <v>0</v>
      </c>
      <c r="W340" s="137">
        <f t="shared" si="116"/>
        <v>0</v>
      </c>
      <c r="X340" s="137">
        <f t="shared" si="116"/>
        <v>0</v>
      </c>
      <c r="Y340" s="137">
        <f t="shared" si="116"/>
        <v>0</v>
      </c>
      <c r="Z340" s="137">
        <f t="shared" si="116"/>
        <v>0</v>
      </c>
      <c r="AA340" s="137">
        <f t="shared" si="116"/>
        <v>0</v>
      </c>
      <c r="AB340" s="137">
        <f t="shared" si="116"/>
        <v>0</v>
      </c>
      <c r="AC340" s="137">
        <f t="shared" si="116"/>
        <v>0</v>
      </c>
      <c r="AD340" s="137">
        <f t="shared" si="116"/>
        <v>0</v>
      </c>
      <c r="AE340" s="137">
        <f t="shared" si="116"/>
        <v>0</v>
      </c>
      <c r="AF340" s="138"/>
      <c r="AG340" s="138"/>
      <c r="AH340" s="138"/>
      <c r="AI340" s="138"/>
    </row>
    <row r="341" spans="2:35" customFormat="1" ht="15" x14ac:dyDescent="0.25">
      <c r="B341" s="14" t="s">
        <v>2711</v>
      </c>
      <c r="C341" s="14" t="s">
        <v>2672</v>
      </c>
      <c r="D341" s="15" t="s">
        <v>2712</v>
      </c>
      <c r="E341" s="16" t="s">
        <v>2702</v>
      </c>
      <c r="F341" s="14" t="s">
        <v>2703</v>
      </c>
      <c r="G341" s="17"/>
      <c r="H341" s="17"/>
      <c r="K341" s="136"/>
      <c r="L341" s="139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39">
        <f t="shared" si="117"/>
        <v>0</v>
      </c>
      <c r="N341" s="139">
        <f t="shared" si="117"/>
        <v>0</v>
      </c>
      <c r="O341" s="139">
        <f t="shared" si="117"/>
        <v>0</v>
      </c>
      <c r="P341" s="139">
        <f t="shared" si="117"/>
        <v>0</v>
      </c>
      <c r="Q341" s="139">
        <f t="shared" si="117"/>
        <v>0</v>
      </c>
      <c r="R341" s="139">
        <f t="shared" si="117"/>
        <v>0</v>
      </c>
      <c r="S341" s="139">
        <f t="shared" si="117"/>
        <v>0</v>
      </c>
      <c r="T341" s="139">
        <f t="shared" si="117"/>
        <v>0</v>
      </c>
      <c r="U341" s="139">
        <f t="shared" si="117"/>
        <v>0</v>
      </c>
      <c r="V341" s="139">
        <f t="shared" si="117"/>
        <v>0</v>
      </c>
      <c r="W341" s="139">
        <f t="shared" si="117"/>
        <v>0</v>
      </c>
      <c r="X341" s="139">
        <f t="shared" si="117"/>
        <v>0</v>
      </c>
      <c r="Y341" s="139">
        <f t="shared" si="117"/>
        <v>0</v>
      </c>
      <c r="Z341" s="139">
        <f t="shared" si="117"/>
        <v>0</v>
      </c>
      <c r="AA341" s="139">
        <f t="shared" si="117"/>
        <v>0</v>
      </c>
      <c r="AB341" s="139">
        <f t="shared" si="117"/>
        <v>0</v>
      </c>
      <c r="AC341" s="139">
        <f t="shared" si="117"/>
        <v>0</v>
      </c>
      <c r="AD341" s="139">
        <f t="shared" si="117"/>
        <v>0</v>
      </c>
      <c r="AE341" s="139">
        <f t="shared" si="117"/>
        <v>0</v>
      </c>
      <c r="AF341" s="138"/>
      <c r="AG341" s="138"/>
      <c r="AH341" s="138"/>
      <c r="AI341" s="138"/>
    </row>
    <row r="342" spans="2:35" customFormat="1" ht="15" x14ac:dyDescent="0.25">
      <c r="B342" s="14" t="s">
        <v>2713</v>
      </c>
      <c r="C342" s="14" t="s">
        <v>2672</v>
      </c>
      <c r="D342" s="15" t="s">
        <v>2714</v>
      </c>
      <c r="E342" s="16" t="s">
        <v>1398</v>
      </c>
      <c r="F342" s="14" t="s">
        <v>2706</v>
      </c>
      <c r="G342" s="17"/>
      <c r="H342" s="17"/>
      <c r="K342" s="136"/>
      <c r="L342" s="137">
        <f t="shared" ref="L342:AE342" si="118">IF(L$329&lt;=0,0,IF(L$341&lt;=0,L$338,MIN($F$5,IF(L$338-(L$340-L$329)/L$341&lt;=0,L$338/2,L$338-(L$340-L$329)/L$341))))</f>
        <v>0</v>
      </c>
      <c r="M342" s="137">
        <f t="shared" si="118"/>
        <v>0</v>
      </c>
      <c r="N342" s="137">
        <f t="shared" si="118"/>
        <v>0</v>
      </c>
      <c r="O342" s="137">
        <f t="shared" si="118"/>
        <v>0</v>
      </c>
      <c r="P342" s="137">
        <f t="shared" si="118"/>
        <v>0</v>
      </c>
      <c r="Q342" s="137">
        <f t="shared" si="118"/>
        <v>0</v>
      </c>
      <c r="R342" s="137">
        <f t="shared" si="118"/>
        <v>0</v>
      </c>
      <c r="S342" s="137">
        <f t="shared" si="118"/>
        <v>0</v>
      </c>
      <c r="T342" s="137">
        <f t="shared" si="118"/>
        <v>0</v>
      </c>
      <c r="U342" s="137">
        <f t="shared" si="118"/>
        <v>0</v>
      </c>
      <c r="V342" s="137">
        <f t="shared" si="118"/>
        <v>0</v>
      </c>
      <c r="W342" s="137">
        <f t="shared" si="118"/>
        <v>0</v>
      </c>
      <c r="X342" s="137">
        <f t="shared" si="118"/>
        <v>0</v>
      </c>
      <c r="Y342" s="137">
        <f t="shared" si="118"/>
        <v>0</v>
      </c>
      <c r="Z342" s="137">
        <f t="shared" si="118"/>
        <v>0</v>
      </c>
      <c r="AA342" s="137">
        <f t="shared" si="118"/>
        <v>0</v>
      </c>
      <c r="AB342" s="137">
        <f t="shared" si="118"/>
        <v>0</v>
      </c>
      <c r="AC342" s="137">
        <f t="shared" si="118"/>
        <v>0</v>
      </c>
      <c r="AD342" s="137">
        <f t="shared" si="118"/>
        <v>0</v>
      </c>
      <c r="AE342" s="137">
        <f t="shared" si="118"/>
        <v>0</v>
      </c>
      <c r="AF342" s="138"/>
      <c r="AG342" s="138"/>
      <c r="AH342" s="138"/>
      <c r="AI342" s="138"/>
    </row>
    <row r="343" spans="2:35" customFormat="1" ht="15" x14ac:dyDescent="0.25">
      <c r="B343" s="14" t="s">
        <v>2715</v>
      </c>
      <c r="C343" s="14" t="s">
        <v>2672</v>
      </c>
      <c r="D343" s="15" t="s">
        <v>2716</v>
      </c>
      <c r="E343" s="16" t="s">
        <v>2065</v>
      </c>
      <c r="F343" s="14" t="s">
        <v>2696</v>
      </c>
      <c r="G343" s="17"/>
      <c r="H343" s="17"/>
      <c r="K343" s="136"/>
      <c r="L343" s="139">
        <f t="shared" ref="L343:AE343" si="119">SUMPRODUCT(L$252:L$259*(1-EXP(-L$262:L$269*L$342)))+SUMPRODUCT(L$308:L$323*(1-EXP(-L$272:L$287*L$342)))</f>
        <v>0</v>
      </c>
      <c r="M343" s="139">
        <f t="shared" si="119"/>
        <v>0</v>
      </c>
      <c r="N343" s="139">
        <f t="shared" si="119"/>
        <v>0</v>
      </c>
      <c r="O343" s="139">
        <f t="shared" si="119"/>
        <v>0</v>
      </c>
      <c r="P343" s="139">
        <f t="shared" si="119"/>
        <v>0</v>
      </c>
      <c r="Q343" s="139">
        <f t="shared" si="119"/>
        <v>0</v>
      </c>
      <c r="R343" s="139">
        <f t="shared" si="119"/>
        <v>0</v>
      </c>
      <c r="S343" s="139">
        <f t="shared" si="119"/>
        <v>0</v>
      </c>
      <c r="T343" s="139">
        <f t="shared" si="119"/>
        <v>0</v>
      </c>
      <c r="U343" s="139">
        <f t="shared" si="119"/>
        <v>0</v>
      </c>
      <c r="V343" s="139">
        <f t="shared" si="119"/>
        <v>0</v>
      </c>
      <c r="W343" s="139">
        <f t="shared" si="119"/>
        <v>0</v>
      </c>
      <c r="X343" s="139">
        <f t="shared" si="119"/>
        <v>0</v>
      </c>
      <c r="Y343" s="139">
        <f t="shared" si="119"/>
        <v>0</v>
      </c>
      <c r="Z343" s="139">
        <f t="shared" si="119"/>
        <v>0</v>
      </c>
      <c r="AA343" s="139">
        <f t="shared" si="119"/>
        <v>0</v>
      </c>
      <c r="AB343" s="139">
        <f t="shared" si="119"/>
        <v>0</v>
      </c>
      <c r="AC343" s="139">
        <f t="shared" si="119"/>
        <v>0</v>
      </c>
      <c r="AD343" s="139">
        <f t="shared" si="119"/>
        <v>0</v>
      </c>
      <c r="AE343" s="139">
        <f t="shared" si="119"/>
        <v>0</v>
      </c>
      <c r="AF343" s="138"/>
      <c r="AG343" s="138"/>
      <c r="AH343" s="138"/>
      <c r="AI343" s="138"/>
    </row>
    <row r="344" spans="2:35" customFormat="1" ht="15" x14ac:dyDescent="0.25">
      <c r="B344" s="14" t="s">
        <v>2717</v>
      </c>
      <c r="C344" s="14" t="s">
        <v>2672</v>
      </c>
      <c r="D344" s="15" t="s">
        <v>2718</v>
      </c>
      <c r="E344" s="16" t="s">
        <v>1854</v>
      </c>
      <c r="F344" s="14" t="s">
        <v>2699</v>
      </c>
      <c r="G344" s="17"/>
      <c r="H344" s="17"/>
      <c r="K344" s="136"/>
      <c r="L344" s="137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37">
        <f t="shared" si="120"/>
        <v>0</v>
      </c>
      <c r="N344" s="137">
        <f t="shared" si="120"/>
        <v>0</v>
      </c>
      <c r="O344" s="137">
        <f t="shared" si="120"/>
        <v>0</v>
      </c>
      <c r="P344" s="137">
        <f t="shared" si="120"/>
        <v>0</v>
      </c>
      <c r="Q344" s="137">
        <f t="shared" si="120"/>
        <v>0</v>
      </c>
      <c r="R344" s="137">
        <f t="shared" si="120"/>
        <v>0</v>
      </c>
      <c r="S344" s="137">
        <f t="shared" si="120"/>
        <v>0</v>
      </c>
      <c r="T344" s="137">
        <f t="shared" si="120"/>
        <v>0</v>
      </c>
      <c r="U344" s="137">
        <f t="shared" si="120"/>
        <v>0</v>
      </c>
      <c r="V344" s="137">
        <f t="shared" si="120"/>
        <v>0</v>
      </c>
      <c r="W344" s="137">
        <f t="shared" si="120"/>
        <v>0</v>
      </c>
      <c r="X344" s="137">
        <f t="shared" si="120"/>
        <v>0</v>
      </c>
      <c r="Y344" s="137">
        <f t="shared" si="120"/>
        <v>0</v>
      </c>
      <c r="Z344" s="137">
        <f t="shared" si="120"/>
        <v>0</v>
      </c>
      <c r="AA344" s="137">
        <f t="shared" si="120"/>
        <v>0</v>
      </c>
      <c r="AB344" s="137">
        <f t="shared" si="120"/>
        <v>0</v>
      </c>
      <c r="AC344" s="137">
        <f t="shared" si="120"/>
        <v>0</v>
      </c>
      <c r="AD344" s="137">
        <f t="shared" si="120"/>
        <v>0</v>
      </c>
      <c r="AE344" s="137">
        <f t="shared" si="120"/>
        <v>0</v>
      </c>
      <c r="AF344" s="138"/>
      <c r="AG344" s="138"/>
      <c r="AH344" s="138"/>
      <c r="AI344" s="138"/>
    </row>
    <row r="345" spans="2:35" customFormat="1" ht="15" x14ac:dyDescent="0.25">
      <c r="B345" s="14" t="s">
        <v>2719</v>
      </c>
      <c r="C345" s="14" t="s">
        <v>2672</v>
      </c>
      <c r="D345" s="15" t="s">
        <v>2720</v>
      </c>
      <c r="E345" s="16" t="s">
        <v>2702</v>
      </c>
      <c r="F345" s="14" t="s">
        <v>2703</v>
      </c>
      <c r="G345" s="17"/>
      <c r="H345" s="17"/>
      <c r="K345" s="136"/>
      <c r="L345" s="139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39">
        <f t="shared" si="121"/>
        <v>0</v>
      </c>
      <c r="N345" s="139">
        <f t="shared" si="121"/>
        <v>0</v>
      </c>
      <c r="O345" s="139">
        <f t="shared" si="121"/>
        <v>0</v>
      </c>
      <c r="P345" s="139">
        <f t="shared" si="121"/>
        <v>0</v>
      </c>
      <c r="Q345" s="139">
        <f t="shared" si="121"/>
        <v>0</v>
      </c>
      <c r="R345" s="139">
        <f t="shared" si="121"/>
        <v>0</v>
      </c>
      <c r="S345" s="139">
        <f t="shared" si="121"/>
        <v>0</v>
      </c>
      <c r="T345" s="139">
        <f t="shared" si="121"/>
        <v>0</v>
      </c>
      <c r="U345" s="139">
        <f t="shared" si="121"/>
        <v>0</v>
      </c>
      <c r="V345" s="139">
        <f t="shared" si="121"/>
        <v>0</v>
      </c>
      <c r="W345" s="139">
        <f t="shared" si="121"/>
        <v>0</v>
      </c>
      <c r="X345" s="139">
        <f t="shared" si="121"/>
        <v>0</v>
      </c>
      <c r="Y345" s="139">
        <f t="shared" si="121"/>
        <v>0</v>
      </c>
      <c r="Z345" s="139">
        <f t="shared" si="121"/>
        <v>0</v>
      </c>
      <c r="AA345" s="139">
        <f t="shared" si="121"/>
        <v>0</v>
      </c>
      <c r="AB345" s="139">
        <f t="shared" si="121"/>
        <v>0</v>
      </c>
      <c r="AC345" s="139">
        <f t="shared" si="121"/>
        <v>0</v>
      </c>
      <c r="AD345" s="139">
        <f t="shared" si="121"/>
        <v>0</v>
      </c>
      <c r="AE345" s="139">
        <f t="shared" si="121"/>
        <v>0</v>
      </c>
      <c r="AF345" s="138"/>
      <c r="AG345" s="138"/>
      <c r="AH345" s="138"/>
      <c r="AI345" s="138"/>
    </row>
    <row r="346" spans="2:35" customFormat="1" ht="15" x14ac:dyDescent="0.25">
      <c r="B346" s="14" t="s">
        <v>2721</v>
      </c>
      <c r="C346" s="14" t="s">
        <v>2672</v>
      </c>
      <c r="D346" s="15" t="s">
        <v>2722</v>
      </c>
      <c r="E346" s="16" t="s">
        <v>1398</v>
      </c>
      <c r="F346" s="14" t="s">
        <v>2706</v>
      </c>
      <c r="G346" s="17"/>
      <c r="H346" s="17"/>
      <c r="K346" s="136"/>
      <c r="L346" s="137">
        <f t="shared" ref="L346:AE346" si="122">IF(L$329&lt;=0,0,IF(L$345&lt;=0,L$342,MIN($F$5,IF(L$342-(L$344-L$329)/L$345&lt;=0,L$342/2,L$342-(L$344-L$329)/L$345))))</f>
        <v>0</v>
      </c>
      <c r="M346" s="137">
        <f t="shared" si="122"/>
        <v>0</v>
      </c>
      <c r="N346" s="137">
        <f t="shared" si="122"/>
        <v>0</v>
      </c>
      <c r="O346" s="137">
        <f t="shared" si="122"/>
        <v>0</v>
      </c>
      <c r="P346" s="137">
        <f t="shared" si="122"/>
        <v>0</v>
      </c>
      <c r="Q346" s="137">
        <f t="shared" si="122"/>
        <v>0</v>
      </c>
      <c r="R346" s="137">
        <f t="shared" si="122"/>
        <v>0</v>
      </c>
      <c r="S346" s="137">
        <f t="shared" si="122"/>
        <v>0</v>
      </c>
      <c r="T346" s="137">
        <f t="shared" si="122"/>
        <v>0</v>
      </c>
      <c r="U346" s="137">
        <f t="shared" si="122"/>
        <v>0</v>
      </c>
      <c r="V346" s="137">
        <f t="shared" si="122"/>
        <v>0</v>
      </c>
      <c r="W346" s="137">
        <f t="shared" si="122"/>
        <v>0</v>
      </c>
      <c r="X346" s="137">
        <f t="shared" si="122"/>
        <v>0</v>
      </c>
      <c r="Y346" s="137">
        <f t="shared" si="122"/>
        <v>0</v>
      </c>
      <c r="Z346" s="137">
        <f t="shared" si="122"/>
        <v>0</v>
      </c>
      <c r="AA346" s="137">
        <f t="shared" si="122"/>
        <v>0</v>
      </c>
      <c r="AB346" s="137">
        <f t="shared" si="122"/>
        <v>0</v>
      </c>
      <c r="AC346" s="137">
        <f t="shared" si="122"/>
        <v>0</v>
      </c>
      <c r="AD346" s="137">
        <f t="shared" si="122"/>
        <v>0</v>
      </c>
      <c r="AE346" s="137">
        <f t="shared" si="122"/>
        <v>0</v>
      </c>
      <c r="AF346" s="138"/>
      <c r="AG346" s="138"/>
      <c r="AH346" s="138"/>
      <c r="AI346" s="138"/>
    </row>
    <row r="347" spans="2:35" customFormat="1" ht="15" x14ac:dyDescent="0.25">
      <c r="B347" s="14" t="s">
        <v>2723</v>
      </c>
      <c r="C347" s="14" t="s">
        <v>2672</v>
      </c>
      <c r="D347" s="15" t="s">
        <v>2724</v>
      </c>
      <c r="E347" s="16" t="s">
        <v>2065</v>
      </c>
      <c r="F347" s="14" t="s">
        <v>2696</v>
      </c>
      <c r="G347" s="17"/>
      <c r="H347" s="17"/>
      <c r="K347" s="136"/>
      <c r="L347" s="139">
        <f t="shared" ref="L347:AE347" si="123">SUMPRODUCT(L$252:L$259*(1-EXP(-L$262:L$269*L$346)))+SUMPRODUCT(L$308:L$323*(1-EXP(-L$272:L$287*L$346)))</f>
        <v>0</v>
      </c>
      <c r="M347" s="139">
        <f t="shared" si="123"/>
        <v>0</v>
      </c>
      <c r="N347" s="139">
        <f t="shared" si="123"/>
        <v>0</v>
      </c>
      <c r="O347" s="139">
        <f t="shared" si="123"/>
        <v>0</v>
      </c>
      <c r="P347" s="139">
        <f t="shared" si="123"/>
        <v>0</v>
      </c>
      <c r="Q347" s="139">
        <f t="shared" si="123"/>
        <v>0</v>
      </c>
      <c r="R347" s="139">
        <f t="shared" si="123"/>
        <v>0</v>
      </c>
      <c r="S347" s="139">
        <f t="shared" si="123"/>
        <v>0</v>
      </c>
      <c r="T347" s="139">
        <f t="shared" si="123"/>
        <v>0</v>
      </c>
      <c r="U347" s="139">
        <f t="shared" si="123"/>
        <v>0</v>
      </c>
      <c r="V347" s="139">
        <f t="shared" si="123"/>
        <v>0</v>
      </c>
      <c r="W347" s="139">
        <f t="shared" si="123"/>
        <v>0</v>
      </c>
      <c r="X347" s="139">
        <f t="shared" si="123"/>
        <v>0</v>
      </c>
      <c r="Y347" s="139">
        <f t="shared" si="123"/>
        <v>0</v>
      </c>
      <c r="Z347" s="139">
        <f t="shared" si="123"/>
        <v>0</v>
      </c>
      <c r="AA347" s="139">
        <f t="shared" si="123"/>
        <v>0</v>
      </c>
      <c r="AB347" s="139">
        <f t="shared" si="123"/>
        <v>0</v>
      </c>
      <c r="AC347" s="139">
        <f t="shared" si="123"/>
        <v>0</v>
      </c>
      <c r="AD347" s="139">
        <f t="shared" si="123"/>
        <v>0</v>
      </c>
      <c r="AE347" s="139">
        <f t="shared" si="123"/>
        <v>0</v>
      </c>
      <c r="AF347" s="138"/>
      <c r="AG347" s="138"/>
      <c r="AH347" s="138"/>
      <c r="AI347" s="138"/>
    </row>
    <row r="348" spans="2:35" customFormat="1" ht="15" x14ac:dyDescent="0.25">
      <c r="B348" s="14" t="s">
        <v>2725</v>
      </c>
      <c r="C348" s="14" t="s">
        <v>2672</v>
      </c>
      <c r="D348" s="15" t="s">
        <v>2726</v>
      </c>
      <c r="E348" s="16" t="s">
        <v>1854</v>
      </c>
      <c r="F348" s="14" t="s">
        <v>2699</v>
      </c>
      <c r="G348" s="17"/>
      <c r="H348" s="17"/>
      <c r="K348" s="136"/>
      <c r="L348" s="137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37">
        <f t="shared" si="124"/>
        <v>0</v>
      </c>
      <c r="N348" s="137">
        <f t="shared" si="124"/>
        <v>0</v>
      </c>
      <c r="O348" s="137">
        <f t="shared" si="124"/>
        <v>0</v>
      </c>
      <c r="P348" s="137">
        <f t="shared" si="124"/>
        <v>0</v>
      </c>
      <c r="Q348" s="137">
        <f t="shared" si="124"/>
        <v>0</v>
      </c>
      <c r="R348" s="137">
        <f t="shared" si="124"/>
        <v>0</v>
      </c>
      <c r="S348" s="137">
        <f t="shared" si="124"/>
        <v>0</v>
      </c>
      <c r="T348" s="137">
        <f t="shared" si="124"/>
        <v>0</v>
      </c>
      <c r="U348" s="137">
        <f t="shared" si="124"/>
        <v>0</v>
      </c>
      <c r="V348" s="137">
        <f t="shared" si="124"/>
        <v>0</v>
      </c>
      <c r="W348" s="137">
        <f t="shared" si="124"/>
        <v>0</v>
      </c>
      <c r="X348" s="137">
        <f t="shared" si="124"/>
        <v>0</v>
      </c>
      <c r="Y348" s="137">
        <f t="shared" si="124"/>
        <v>0</v>
      </c>
      <c r="Z348" s="137">
        <f t="shared" si="124"/>
        <v>0</v>
      </c>
      <c r="AA348" s="137">
        <f t="shared" si="124"/>
        <v>0</v>
      </c>
      <c r="AB348" s="137">
        <f t="shared" si="124"/>
        <v>0</v>
      </c>
      <c r="AC348" s="137">
        <f t="shared" si="124"/>
        <v>0</v>
      </c>
      <c r="AD348" s="137">
        <f t="shared" si="124"/>
        <v>0</v>
      </c>
      <c r="AE348" s="137">
        <f t="shared" si="124"/>
        <v>0</v>
      </c>
      <c r="AF348" s="138"/>
      <c r="AG348" s="138"/>
      <c r="AH348" s="138"/>
      <c r="AI348" s="138"/>
    </row>
    <row r="349" spans="2:35" customFormat="1" ht="15" x14ac:dyDescent="0.25">
      <c r="B349" s="14" t="s">
        <v>2727</v>
      </c>
      <c r="C349" s="14" t="s">
        <v>2672</v>
      </c>
      <c r="D349" s="15" t="s">
        <v>2728</v>
      </c>
      <c r="E349" s="16" t="s">
        <v>2702</v>
      </c>
      <c r="F349" s="14" t="s">
        <v>2703</v>
      </c>
      <c r="G349" s="17"/>
      <c r="H349" s="17"/>
      <c r="K349" s="136"/>
      <c r="L349" s="139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39">
        <f t="shared" si="125"/>
        <v>0</v>
      </c>
      <c r="N349" s="139">
        <f t="shared" si="125"/>
        <v>0</v>
      </c>
      <c r="O349" s="139">
        <f t="shared" si="125"/>
        <v>0</v>
      </c>
      <c r="P349" s="139">
        <f t="shared" si="125"/>
        <v>0</v>
      </c>
      <c r="Q349" s="139">
        <f t="shared" si="125"/>
        <v>0</v>
      </c>
      <c r="R349" s="139">
        <f t="shared" si="125"/>
        <v>0</v>
      </c>
      <c r="S349" s="139">
        <f t="shared" si="125"/>
        <v>0</v>
      </c>
      <c r="T349" s="139">
        <f t="shared" si="125"/>
        <v>0</v>
      </c>
      <c r="U349" s="139">
        <f t="shared" si="125"/>
        <v>0</v>
      </c>
      <c r="V349" s="139">
        <f t="shared" si="125"/>
        <v>0</v>
      </c>
      <c r="W349" s="139">
        <f t="shared" si="125"/>
        <v>0</v>
      </c>
      <c r="X349" s="139">
        <f t="shared" si="125"/>
        <v>0</v>
      </c>
      <c r="Y349" s="139">
        <f t="shared" si="125"/>
        <v>0</v>
      </c>
      <c r="Z349" s="139">
        <f t="shared" si="125"/>
        <v>0</v>
      </c>
      <c r="AA349" s="139">
        <f t="shared" si="125"/>
        <v>0</v>
      </c>
      <c r="AB349" s="139">
        <f t="shared" si="125"/>
        <v>0</v>
      </c>
      <c r="AC349" s="139">
        <f t="shared" si="125"/>
        <v>0</v>
      </c>
      <c r="AD349" s="139">
        <f t="shared" si="125"/>
        <v>0</v>
      </c>
      <c r="AE349" s="139">
        <f t="shared" si="125"/>
        <v>0</v>
      </c>
      <c r="AF349" s="138"/>
      <c r="AG349" s="138"/>
      <c r="AH349" s="138"/>
      <c r="AI349" s="138"/>
    </row>
    <row r="350" spans="2:35" customFormat="1" ht="15" x14ac:dyDescent="0.25">
      <c r="B350" s="14" t="s">
        <v>2729</v>
      </c>
      <c r="C350" s="14" t="s">
        <v>2672</v>
      </c>
      <c r="D350" s="15" t="s">
        <v>2730</v>
      </c>
      <c r="E350" s="16" t="s">
        <v>1398</v>
      </c>
      <c r="F350" s="14" t="s">
        <v>2706</v>
      </c>
      <c r="G350" s="17"/>
      <c r="H350" s="17"/>
      <c r="K350" s="136"/>
      <c r="L350" s="137">
        <f t="shared" ref="L350:AE350" si="126">IF(L$329&lt;=0,0,IF(L$349&lt;=0,L$346,MIN($F$5,IF(L$346-(L$348-L$329)/L$349&lt;=0,L$346/2,L$346-(L$348-L$329)/L$349))))</f>
        <v>0</v>
      </c>
      <c r="M350" s="137">
        <f t="shared" si="126"/>
        <v>0</v>
      </c>
      <c r="N350" s="137">
        <f t="shared" si="126"/>
        <v>0</v>
      </c>
      <c r="O350" s="137">
        <f t="shared" si="126"/>
        <v>0</v>
      </c>
      <c r="P350" s="137">
        <f t="shared" si="126"/>
        <v>0</v>
      </c>
      <c r="Q350" s="137">
        <f t="shared" si="126"/>
        <v>0</v>
      </c>
      <c r="R350" s="137">
        <f t="shared" si="126"/>
        <v>0</v>
      </c>
      <c r="S350" s="137">
        <f t="shared" si="126"/>
        <v>0</v>
      </c>
      <c r="T350" s="137">
        <f t="shared" si="126"/>
        <v>0</v>
      </c>
      <c r="U350" s="137">
        <f t="shared" si="126"/>
        <v>0</v>
      </c>
      <c r="V350" s="137">
        <f t="shared" si="126"/>
        <v>0</v>
      </c>
      <c r="W350" s="137">
        <f t="shared" si="126"/>
        <v>0</v>
      </c>
      <c r="X350" s="137">
        <f t="shared" si="126"/>
        <v>0</v>
      </c>
      <c r="Y350" s="137">
        <f t="shared" si="126"/>
        <v>0</v>
      </c>
      <c r="Z350" s="137">
        <f t="shared" si="126"/>
        <v>0</v>
      </c>
      <c r="AA350" s="137">
        <f t="shared" si="126"/>
        <v>0</v>
      </c>
      <c r="AB350" s="137">
        <f t="shared" si="126"/>
        <v>0</v>
      </c>
      <c r="AC350" s="137">
        <f t="shared" si="126"/>
        <v>0</v>
      </c>
      <c r="AD350" s="137">
        <f t="shared" si="126"/>
        <v>0</v>
      </c>
      <c r="AE350" s="137">
        <f t="shared" si="126"/>
        <v>0</v>
      </c>
      <c r="AF350" s="138"/>
      <c r="AG350" s="138"/>
      <c r="AH350" s="138"/>
      <c r="AI350" s="138"/>
    </row>
    <row r="351" spans="2:35" customFormat="1" ht="15" x14ac:dyDescent="0.25">
      <c r="B351" s="14" t="s">
        <v>2731</v>
      </c>
      <c r="C351" s="14" t="s">
        <v>2672</v>
      </c>
      <c r="D351" s="15" t="s">
        <v>2732</v>
      </c>
      <c r="E351" s="16" t="s">
        <v>2065</v>
      </c>
      <c r="F351" s="14" t="s">
        <v>2696</v>
      </c>
      <c r="G351" s="17"/>
      <c r="H351" s="17"/>
      <c r="K351" s="136"/>
      <c r="L351" s="139">
        <f t="shared" ref="L351:AE351" si="127">SUMPRODUCT(L$252:L$259*(1-EXP(-L$262:L$269*L$350)))+SUMPRODUCT(L$308:L$323*(1-EXP(-L$272:L$287*L$350)))</f>
        <v>0</v>
      </c>
      <c r="M351" s="139">
        <f t="shared" si="127"/>
        <v>0</v>
      </c>
      <c r="N351" s="139">
        <f t="shared" si="127"/>
        <v>0</v>
      </c>
      <c r="O351" s="139">
        <f t="shared" si="127"/>
        <v>0</v>
      </c>
      <c r="P351" s="139">
        <f t="shared" si="127"/>
        <v>0</v>
      </c>
      <c r="Q351" s="139">
        <f t="shared" si="127"/>
        <v>0</v>
      </c>
      <c r="R351" s="139">
        <f t="shared" si="127"/>
        <v>0</v>
      </c>
      <c r="S351" s="139">
        <f t="shared" si="127"/>
        <v>0</v>
      </c>
      <c r="T351" s="139">
        <f t="shared" si="127"/>
        <v>0</v>
      </c>
      <c r="U351" s="139">
        <f t="shared" si="127"/>
        <v>0</v>
      </c>
      <c r="V351" s="139">
        <f t="shared" si="127"/>
        <v>0</v>
      </c>
      <c r="W351" s="139">
        <f t="shared" si="127"/>
        <v>0</v>
      </c>
      <c r="X351" s="139">
        <f t="shared" si="127"/>
        <v>0</v>
      </c>
      <c r="Y351" s="139">
        <f t="shared" si="127"/>
        <v>0</v>
      </c>
      <c r="Z351" s="139">
        <f t="shared" si="127"/>
        <v>0</v>
      </c>
      <c r="AA351" s="139">
        <f t="shared" si="127"/>
        <v>0</v>
      </c>
      <c r="AB351" s="139">
        <f t="shared" si="127"/>
        <v>0</v>
      </c>
      <c r="AC351" s="139">
        <f t="shared" si="127"/>
        <v>0</v>
      </c>
      <c r="AD351" s="139">
        <f t="shared" si="127"/>
        <v>0</v>
      </c>
      <c r="AE351" s="139">
        <f t="shared" si="127"/>
        <v>0</v>
      </c>
      <c r="AF351" s="138"/>
      <c r="AG351" s="138"/>
      <c r="AH351" s="138"/>
      <c r="AI351" s="138"/>
    </row>
    <row r="352" spans="2:35" customFormat="1" ht="15" x14ac:dyDescent="0.25">
      <c r="B352" s="14" t="s">
        <v>2733</v>
      </c>
      <c r="C352" s="14" t="s">
        <v>2672</v>
      </c>
      <c r="D352" s="15" t="s">
        <v>2734</v>
      </c>
      <c r="E352" s="16" t="s">
        <v>1854</v>
      </c>
      <c r="F352" s="14" t="s">
        <v>2699</v>
      </c>
      <c r="G352" s="17"/>
      <c r="H352" s="17"/>
      <c r="K352" s="136"/>
      <c r="L352" s="137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37">
        <f t="shared" si="128"/>
        <v>0</v>
      </c>
      <c r="N352" s="137">
        <f t="shared" si="128"/>
        <v>0</v>
      </c>
      <c r="O352" s="137">
        <f t="shared" si="128"/>
        <v>0</v>
      </c>
      <c r="P352" s="137">
        <f t="shared" si="128"/>
        <v>0</v>
      </c>
      <c r="Q352" s="137">
        <f t="shared" si="128"/>
        <v>0</v>
      </c>
      <c r="R352" s="137">
        <f t="shared" si="128"/>
        <v>0</v>
      </c>
      <c r="S352" s="137">
        <f t="shared" si="128"/>
        <v>0</v>
      </c>
      <c r="T352" s="137">
        <f t="shared" si="128"/>
        <v>0</v>
      </c>
      <c r="U352" s="137">
        <f t="shared" si="128"/>
        <v>0</v>
      </c>
      <c r="V352" s="137">
        <f t="shared" si="128"/>
        <v>0</v>
      </c>
      <c r="W352" s="137">
        <f t="shared" si="128"/>
        <v>0</v>
      </c>
      <c r="X352" s="137">
        <f t="shared" si="128"/>
        <v>0</v>
      </c>
      <c r="Y352" s="137">
        <f t="shared" si="128"/>
        <v>0</v>
      </c>
      <c r="Z352" s="137">
        <f t="shared" si="128"/>
        <v>0</v>
      </c>
      <c r="AA352" s="137">
        <f t="shared" si="128"/>
        <v>0</v>
      </c>
      <c r="AB352" s="137">
        <f t="shared" si="128"/>
        <v>0</v>
      </c>
      <c r="AC352" s="137">
        <f t="shared" si="128"/>
        <v>0</v>
      </c>
      <c r="AD352" s="137">
        <f t="shared" si="128"/>
        <v>0</v>
      </c>
      <c r="AE352" s="137">
        <f t="shared" si="128"/>
        <v>0</v>
      </c>
      <c r="AF352" s="138"/>
      <c r="AG352" s="138"/>
      <c r="AH352" s="138"/>
      <c r="AI352" s="138"/>
    </row>
    <row r="353" spans="2:35" customFormat="1" ht="15" x14ac:dyDescent="0.25">
      <c r="B353" s="14" t="s">
        <v>2735</v>
      </c>
      <c r="C353" s="14" t="s">
        <v>2672</v>
      </c>
      <c r="D353" s="15" t="s">
        <v>2736</v>
      </c>
      <c r="E353" s="16" t="s">
        <v>2702</v>
      </c>
      <c r="F353" s="14" t="s">
        <v>2703</v>
      </c>
      <c r="G353" s="17"/>
      <c r="H353" s="17"/>
      <c r="K353" s="136"/>
      <c r="L353" s="139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39">
        <f t="shared" si="129"/>
        <v>0</v>
      </c>
      <c r="N353" s="139">
        <f t="shared" si="129"/>
        <v>0</v>
      </c>
      <c r="O353" s="139">
        <f t="shared" si="129"/>
        <v>0</v>
      </c>
      <c r="P353" s="139">
        <f t="shared" si="129"/>
        <v>0</v>
      </c>
      <c r="Q353" s="139">
        <f t="shared" si="129"/>
        <v>0</v>
      </c>
      <c r="R353" s="139">
        <f t="shared" si="129"/>
        <v>0</v>
      </c>
      <c r="S353" s="139">
        <f t="shared" si="129"/>
        <v>0</v>
      </c>
      <c r="T353" s="139">
        <f t="shared" si="129"/>
        <v>0</v>
      </c>
      <c r="U353" s="139">
        <f t="shared" si="129"/>
        <v>0</v>
      </c>
      <c r="V353" s="139">
        <f t="shared" si="129"/>
        <v>0</v>
      </c>
      <c r="W353" s="139">
        <f t="shared" si="129"/>
        <v>0</v>
      </c>
      <c r="X353" s="139">
        <f t="shared" si="129"/>
        <v>0</v>
      </c>
      <c r="Y353" s="139">
        <f t="shared" si="129"/>
        <v>0</v>
      </c>
      <c r="Z353" s="139">
        <f t="shared" si="129"/>
        <v>0</v>
      </c>
      <c r="AA353" s="139">
        <f t="shared" si="129"/>
        <v>0</v>
      </c>
      <c r="AB353" s="139">
        <f t="shared" si="129"/>
        <v>0</v>
      </c>
      <c r="AC353" s="139">
        <f t="shared" si="129"/>
        <v>0</v>
      </c>
      <c r="AD353" s="139">
        <f t="shared" si="129"/>
        <v>0</v>
      </c>
      <c r="AE353" s="139">
        <f t="shared" si="129"/>
        <v>0</v>
      </c>
      <c r="AF353" s="138"/>
      <c r="AG353" s="138"/>
      <c r="AH353" s="138"/>
      <c r="AI353" s="138"/>
    </row>
    <row r="354" spans="2:35" customFormat="1" ht="15" x14ac:dyDescent="0.25">
      <c r="B354" s="14" t="s">
        <v>2737</v>
      </c>
      <c r="C354" s="14" t="s">
        <v>2672</v>
      </c>
      <c r="D354" s="15" t="s">
        <v>2738</v>
      </c>
      <c r="E354" s="16" t="s">
        <v>1398</v>
      </c>
      <c r="F354" s="14" t="s">
        <v>2706</v>
      </c>
      <c r="G354" s="17"/>
      <c r="H354" s="17"/>
      <c r="K354" s="136"/>
      <c r="L354" s="137">
        <f t="shared" ref="L354:AE354" si="130">IF(L$329&lt;=0,0,IF(L$353&lt;=0,L$350,MIN($F$5,IF(L$350-(L$352-L$329)/L$353&lt;=0,L$350/2,L$350-(L$352-L$329)/L$353))))</f>
        <v>0</v>
      </c>
      <c r="M354" s="137">
        <f t="shared" si="130"/>
        <v>0</v>
      </c>
      <c r="N354" s="137">
        <f t="shared" si="130"/>
        <v>0</v>
      </c>
      <c r="O354" s="137">
        <f t="shared" si="130"/>
        <v>0</v>
      </c>
      <c r="P354" s="137">
        <f t="shared" si="130"/>
        <v>0</v>
      </c>
      <c r="Q354" s="137">
        <f t="shared" si="130"/>
        <v>0</v>
      </c>
      <c r="R354" s="137">
        <f t="shared" si="130"/>
        <v>0</v>
      </c>
      <c r="S354" s="137">
        <f t="shared" si="130"/>
        <v>0</v>
      </c>
      <c r="T354" s="137">
        <f t="shared" si="130"/>
        <v>0</v>
      </c>
      <c r="U354" s="137">
        <f t="shared" si="130"/>
        <v>0</v>
      </c>
      <c r="V354" s="137">
        <f t="shared" si="130"/>
        <v>0</v>
      </c>
      <c r="W354" s="137">
        <f t="shared" si="130"/>
        <v>0</v>
      </c>
      <c r="X354" s="137">
        <f t="shared" si="130"/>
        <v>0</v>
      </c>
      <c r="Y354" s="137">
        <f t="shared" si="130"/>
        <v>0</v>
      </c>
      <c r="Z354" s="137">
        <f t="shared" si="130"/>
        <v>0</v>
      </c>
      <c r="AA354" s="137">
        <f t="shared" si="130"/>
        <v>0</v>
      </c>
      <c r="AB354" s="137">
        <f t="shared" si="130"/>
        <v>0</v>
      </c>
      <c r="AC354" s="137">
        <f t="shared" si="130"/>
        <v>0</v>
      </c>
      <c r="AD354" s="137">
        <f t="shared" si="130"/>
        <v>0</v>
      </c>
      <c r="AE354" s="137">
        <f t="shared" si="130"/>
        <v>0</v>
      </c>
      <c r="AF354" s="138"/>
      <c r="AG354" s="138"/>
      <c r="AH354" s="138"/>
      <c r="AI354" s="138"/>
    </row>
    <row r="355" spans="2:35" customFormat="1" ht="15" x14ac:dyDescent="0.25">
      <c r="B355" s="14" t="s">
        <v>2739</v>
      </c>
      <c r="C355" s="14" t="s">
        <v>2672</v>
      </c>
      <c r="D355" s="15" t="s">
        <v>2740</v>
      </c>
      <c r="E355" s="16" t="s">
        <v>2065</v>
      </c>
      <c r="F355" s="14" t="s">
        <v>2696</v>
      </c>
      <c r="G355" s="17"/>
      <c r="H355" s="17"/>
      <c r="K355" s="136"/>
      <c r="L355" s="139">
        <f t="shared" ref="L355:AE355" si="131">SUMPRODUCT(L$252:L$259*(1-EXP(-L$262:L$269*L$354)))+SUMPRODUCT(L$308:L$323*(1-EXP(-L$272:L$287*L$354)))</f>
        <v>0</v>
      </c>
      <c r="M355" s="139">
        <f t="shared" si="131"/>
        <v>0</v>
      </c>
      <c r="N355" s="139">
        <f t="shared" si="131"/>
        <v>0</v>
      </c>
      <c r="O355" s="139">
        <f t="shared" si="131"/>
        <v>0</v>
      </c>
      <c r="P355" s="139">
        <f t="shared" si="131"/>
        <v>0</v>
      </c>
      <c r="Q355" s="139">
        <f t="shared" si="131"/>
        <v>0</v>
      </c>
      <c r="R355" s="139">
        <f t="shared" si="131"/>
        <v>0</v>
      </c>
      <c r="S355" s="139">
        <f t="shared" si="131"/>
        <v>0</v>
      </c>
      <c r="T355" s="139">
        <f t="shared" si="131"/>
        <v>0</v>
      </c>
      <c r="U355" s="139">
        <f t="shared" si="131"/>
        <v>0</v>
      </c>
      <c r="V355" s="139">
        <f t="shared" si="131"/>
        <v>0</v>
      </c>
      <c r="W355" s="139">
        <f t="shared" si="131"/>
        <v>0</v>
      </c>
      <c r="X355" s="139">
        <f t="shared" si="131"/>
        <v>0</v>
      </c>
      <c r="Y355" s="139">
        <f t="shared" si="131"/>
        <v>0</v>
      </c>
      <c r="Z355" s="139">
        <f t="shared" si="131"/>
        <v>0</v>
      </c>
      <c r="AA355" s="139">
        <f t="shared" si="131"/>
        <v>0</v>
      </c>
      <c r="AB355" s="139">
        <f t="shared" si="131"/>
        <v>0</v>
      </c>
      <c r="AC355" s="139">
        <f t="shared" si="131"/>
        <v>0</v>
      </c>
      <c r="AD355" s="139">
        <f t="shared" si="131"/>
        <v>0</v>
      </c>
      <c r="AE355" s="139">
        <f t="shared" si="131"/>
        <v>0</v>
      </c>
      <c r="AF355" s="138"/>
      <c r="AG355" s="138"/>
      <c r="AH355" s="138"/>
      <c r="AI355" s="138"/>
    </row>
    <row r="356" spans="2:35" customFormat="1" ht="15" x14ac:dyDescent="0.25">
      <c r="B356" s="14" t="s">
        <v>2741</v>
      </c>
      <c r="C356" s="14" t="s">
        <v>2672</v>
      </c>
      <c r="D356" s="15" t="s">
        <v>2742</v>
      </c>
      <c r="E356" s="16" t="s">
        <v>1854</v>
      </c>
      <c r="F356" s="14" t="s">
        <v>2699</v>
      </c>
      <c r="G356" s="17"/>
      <c r="H356" s="17"/>
      <c r="K356" s="136"/>
      <c r="L356" s="137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37">
        <f t="shared" si="132"/>
        <v>0</v>
      </c>
      <c r="N356" s="137">
        <f t="shared" si="132"/>
        <v>0</v>
      </c>
      <c r="O356" s="137">
        <f t="shared" si="132"/>
        <v>0</v>
      </c>
      <c r="P356" s="137">
        <f t="shared" si="132"/>
        <v>0</v>
      </c>
      <c r="Q356" s="137">
        <f t="shared" si="132"/>
        <v>0</v>
      </c>
      <c r="R356" s="137">
        <f t="shared" si="132"/>
        <v>0</v>
      </c>
      <c r="S356" s="137">
        <f t="shared" si="132"/>
        <v>0</v>
      </c>
      <c r="T356" s="137">
        <f t="shared" si="132"/>
        <v>0</v>
      </c>
      <c r="U356" s="137">
        <f t="shared" si="132"/>
        <v>0</v>
      </c>
      <c r="V356" s="137">
        <f t="shared" si="132"/>
        <v>0</v>
      </c>
      <c r="W356" s="137">
        <f t="shared" si="132"/>
        <v>0</v>
      </c>
      <c r="X356" s="137">
        <f t="shared" si="132"/>
        <v>0</v>
      </c>
      <c r="Y356" s="137">
        <f t="shared" si="132"/>
        <v>0</v>
      </c>
      <c r="Z356" s="137">
        <f t="shared" si="132"/>
        <v>0</v>
      </c>
      <c r="AA356" s="137">
        <f t="shared" si="132"/>
        <v>0</v>
      </c>
      <c r="AB356" s="137">
        <f t="shared" si="132"/>
        <v>0</v>
      </c>
      <c r="AC356" s="137">
        <f t="shared" si="132"/>
        <v>0</v>
      </c>
      <c r="AD356" s="137">
        <f t="shared" si="132"/>
        <v>0</v>
      </c>
      <c r="AE356" s="137">
        <f t="shared" si="132"/>
        <v>0</v>
      </c>
      <c r="AF356" s="138"/>
      <c r="AG356" s="138"/>
      <c r="AH356" s="138"/>
      <c r="AI356" s="138"/>
    </row>
    <row r="357" spans="2:35" customFormat="1" ht="15" x14ac:dyDescent="0.25">
      <c r="B357" s="14" t="s">
        <v>2743</v>
      </c>
      <c r="C357" s="14" t="s">
        <v>2672</v>
      </c>
      <c r="D357" s="15" t="s">
        <v>2744</v>
      </c>
      <c r="E357" s="16" t="s">
        <v>2702</v>
      </c>
      <c r="F357" s="14" t="s">
        <v>2703</v>
      </c>
      <c r="G357" s="17"/>
      <c r="H357" s="17"/>
      <c r="K357" s="136"/>
      <c r="L357" s="139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39">
        <f t="shared" si="133"/>
        <v>0</v>
      </c>
      <c r="N357" s="139">
        <f t="shared" si="133"/>
        <v>0</v>
      </c>
      <c r="O357" s="139">
        <f t="shared" si="133"/>
        <v>0</v>
      </c>
      <c r="P357" s="139">
        <f t="shared" si="133"/>
        <v>0</v>
      </c>
      <c r="Q357" s="139">
        <f t="shared" si="133"/>
        <v>0</v>
      </c>
      <c r="R357" s="139">
        <f t="shared" si="133"/>
        <v>0</v>
      </c>
      <c r="S357" s="139">
        <f t="shared" si="133"/>
        <v>0</v>
      </c>
      <c r="T357" s="139">
        <f t="shared" si="133"/>
        <v>0</v>
      </c>
      <c r="U357" s="139">
        <f t="shared" si="133"/>
        <v>0</v>
      </c>
      <c r="V357" s="139">
        <f t="shared" si="133"/>
        <v>0</v>
      </c>
      <c r="W357" s="139">
        <f t="shared" si="133"/>
        <v>0</v>
      </c>
      <c r="X357" s="139">
        <f t="shared" si="133"/>
        <v>0</v>
      </c>
      <c r="Y357" s="139">
        <f t="shared" si="133"/>
        <v>0</v>
      </c>
      <c r="Z357" s="139">
        <f t="shared" si="133"/>
        <v>0</v>
      </c>
      <c r="AA357" s="139">
        <f t="shared" si="133"/>
        <v>0</v>
      </c>
      <c r="AB357" s="139">
        <f t="shared" si="133"/>
        <v>0</v>
      </c>
      <c r="AC357" s="139">
        <f t="shared" si="133"/>
        <v>0</v>
      </c>
      <c r="AD357" s="139">
        <f t="shared" si="133"/>
        <v>0</v>
      </c>
      <c r="AE357" s="139">
        <f t="shared" si="133"/>
        <v>0</v>
      </c>
      <c r="AF357" s="138"/>
      <c r="AG357" s="138"/>
      <c r="AH357" s="138"/>
      <c r="AI357" s="138"/>
    </row>
    <row r="358" spans="2:35" customFormat="1" ht="15" x14ac:dyDescent="0.25">
      <c r="B358" s="14" t="s">
        <v>2745</v>
      </c>
      <c r="C358" s="14" t="s">
        <v>2672</v>
      </c>
      <c r="D358" s="15" t="s">
        <v>2746</v>
      </c>
      <c r="E358" s="16" t="s">
        <v>1398</v>
      </c>
      <c r="F358" s="14" t="s">
        <v>2706</v>
      </c>
      <c r="G358" s="17"/>
      <c r="H358" s="17"/>
      <c r="K358" s="136"/>
      <c r="L358" s="137">
        <f t="shared" ref="L358:AE358" si="134">IF(L$329&lt;=0,0,IF(L$357&lt;=0,L$354,MIN($F$5,IF(L$354-(L$356-L$329)/L$357&lt;=0,L$354/2,L$354-(L$356-L$329)/L$357))))</f>
        <v>0</v>
      </c>
      <c r="M358" s="137">
        <f t="shared" si="134"/>
        <v>0</v>
      </c>
      <c r="N358" s="137">
        <f t="shared" si="134"/>
        <v>0</v>
      </c>
      <c r="O358" s="137">
        <f t="shared" si="134"/>
        <v>0</v>
      </c>
      <c r="P358" s="137">
        <f t="shared" si="134"/>
        <v>0</v>
      </c>
      <c r="Q358" s="137">
        <f t="shared" si="134"/>
        <v>0</v>
      </c>
      <c r="R358" s="137">
        <f t="shared" si="134"/>
        <v>0</v>
      </c>
      <c r="S358" s="137">
        <f t="shared" si="134"/>
        <v>0</v>
      </c>
      <c r="T358" s="137">
        <f t="shared" si="134"/>
        <v>0</v>
      </c>
      <c r="U358" s="137">
        <f t="shared" si="134"/>
        <v>0</v>
      </c>
      <c r="V358" s="137">
        <f t="shared" si="134"/>
        <v>0</v>
      </c>
      <c r="W358" s="137">
        <f t="shared" si="134"/>
        <v>0</v>
      </c>
      <c r="X358" s="137">
        <f t="shared" si="134"/>
        <v>0</v>
      </c>
      <c r="Y358" s="137">
        <f t="shared" si="134"/>
        <v>0</v>
      </c>
      <c r="Z358" s="137">
        <f t="shared" si="134"/>
        <v>0</v>
      </c>
      <c r="AA358" s="137">
        <f t="shared" si="134"/>
        <v>0</v>
      </c>
      <c r="AB358" s="137">
        <f t="shared" si="134"/>
        <v>0</v>
      </c>
      <c r="AC358" s="137">
        <f t="shared" si="134"/>
        <v>0</v>
      </c>
      <c r="AD358" s="137">
        <f t="shared" si="134"/>
        <v>0</v>
      </c>
      <c r="AE358" s="137">
        <f t="shared" si="134"/>
        <v>0</v>
      </c>
      <c r="AF358" s="138"/>
      <c r="AG358" s="138"/>
      <c r="AH358" s="138"/>
      <c r="AI358" s="138"/>
    </row>
    <row r="359" spans="2:35" customFormat="1" ht="15" x14ac:dyDescent="0.25">
      <c r="B359" s="14" t="s">
        <v>2747</v>
      </c>
      <c r="C359" s="14" t="s">
        <v>2672</v>
      </c>
      <c r="D359" s="15" t="s">
        <v>2748</v>
      </c>
      <c r="E359" s="16" t="s">
        <v>2065</v>
      </c>
      <c r="F359" s="14" t="s">
        <v>2696</v>
      </c>
      <c r="G359" s="17"/>
      <c r="H359" s="17"/>
      <c r="K359" s="136"/>
      <c r="L359" s="139">
        <f t="shared" ref="L359:AE359" si="135">SUMPRODUCT(L$252:L$259*(1-EXP(-L$262:L$269*L$358)))+SUMPRODUCT(L$308:L$323*(1-EXP(-L$272:L$287*L$358)))</f>
        <v>0</v>
      </c>
      <c r="M359" s="139">
        <f t="shared" si="135"/>
        <v>0</v>
      </c>
      <c r="N359" s="139">
        <f t="shared" si="135"/>
        <v>0</v>
      </c>
      <c r="O359" s="139">
        <f t="shared" si="135"/>
        <v>0</v>
      </c>
      <c r="P359" s="139">
        <f t="shared" si="135"/>
        <v>0</v>
      </c>
      <c r="Q359" s="139">
        <f t="shared" si="135"/>
        <v>0</v>
      </c>
      <c r="R359" s="139">
        <f t="shared" si="135"/>
        <v>0</v>
      </c>
      <c r="S359" s="139">
        <f t="shared" si="135"/>
        <v>0</v>
      </c>
      <c r="T359" s="139">
        <f t="shared" si="135"/>
        <v>0</v>
      </c>
      <c r="U359" s="139">
        <f t="shared" si="135"/>
        <v>0</v>
      </c>
      <c r="V359" s="139">
        <f t="shared" si="135"/>
        <v>0</v>
      </c>
      <c r="W359" s="139">
        <f t="shared" si="135"/>
        <v>0</v>
      </c>
      <c r="X359" s="139">
        <f t="shared" si="135"/>
        <v>0</v>
      </c>
      <c r="Y359" s="139">
        <f t="shared" si="135"/>
        <v>0</v>
      </c>
      <c r="Z359" s="139">
        <f t="shared" si="135"/>
        <v>0</v>
      </c>
      <c r="AA359" s="139">
        <f t="shared" si="135"/>
        <v>0</v>
      </c>
      <c r="AB359" s="139">
        <f t="shared" si="135"/>
        <v>0</v>
      </c>
      <c r="AC359" s="139">
        <f t="shared" si="135"/>
        <v>0</v>
      </c>
      <c r="AD359" s="139">
        <f t="shared" si="135"/>
        <v>0</v>
      </c>
      <c r="AE359" s="139">
        <f t="shared" si="135"/>
        <v>0</v>
      </c>
      <c r="AF359" s="138"/>
      <c r="AG359" s="138"/>
      <c r="AH359" s="138"/>
      <c r="AI359" s="138"/>
    </row>
    <row r="360" spans="2:35" customFormat="1" ht="15" x14ac:dyDescent="0.25">
      <c r="B360" s="14" t="s">
        <v>2749</v>
      </c>
      <c r="C360" s="14" t="s">
        <v>2672</v>
      </c>
      <c r="D360" s="15" t="s">
        <v>2750</v>
      </c>
      <c r="E360" s="16" t="s">
        <v>1854</v>
      </c>
      <c r="F360" s="14" t="s">
        <v>2699</v>
      </c>
      <c r="G360" s="17"/>
      <c r="H360" s="17"/>
      <c r="K360" s="136"/>
      <c r="L360" s="137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37">
        <f t="shared" si="136"/>
        <v>0</v>
      </c>
      <c r="N360" s="137">
        <f t="shared" si="136"/>
        <v>0</v>
      </c>
      <c r="O360" s="137">
        <f t="shared" si="136"/>
        <v>0</v>
      </c>
      <c r="P360" s="137">
        <f t="shared" si="136"/>
        <v>0</v>
      </c>
      <c r="Q360" s="137">
        <f t="shared" si="136"/>
        <v>0</v>
      </c>
      <c r="R360" s="137">
        <f t="shared" si="136"/>
        <v>0</v>
      </c>
      <c r="S360" s="137">
        <f t="shared" si="136"/>
        <v>0</v>
      </c>
      <c r="T360" s="137">
        <f t="shared" si="136"/>
        <v>0</v>
      </c>
      <c r="U360" s="137">
        <f t="shared" si="136"/>
        <v>0</v>
      </c>
      <c r="V360" s="137">
        <f t="shared" si="136"/>
        <v>0</v>
      </c>
      <c r="W360" s="137">
        <f t="shared" si="136"/>
        <v>0</v>
      </c>
      <c r="X360" s="137">
        <f t="shared" si="136"/>
        <v>0</v>
      </c>
      <c r="Y360" s="137">
        <f t="shared" si="136"/>
        <v>0</v>
      </c>
      <c r="Z360" s="137">
        <f t="shared" si="136"/>
        <v>0</v>
      </c>
      <c r="AA360" s="137">
        <f t="shared" si="136"/>
        <v>0</v>
      </c>
      <c r="AB360" s="137">
        <f t="shared" si="136"/>
        <v>0</v>
      </c>
      <c r="AC360" s="137">
        <f t="shared" si="136"/>
        <v>0</v>
      </c>
      <c r="AD360" s="137">
        <f t="shared" si="136"/>
        <v>0</v>
      </c>
      <c r="AE360" s="137">
        <f t="shared" si="136"/>
        <v>0</v>
      </c>
      <c r="AF360" s="138"/>
      <c r="AG360" s="138"/>
      <c r="AH360" s="138"/>
      <c r="AI360" s="138"/>
    </row>
    <row r="361" spans="2:35" customFormat="1" ht="15" x14ac:dyDescent="0.25">
      <c r="B361" s="14" t="s">
        <v>2751</v>
      </c>
      <c r="C361" s="14" t="s">
        <v>2672</v>
      </c>
      <c r="D361" s="15" t="s">
        <v>2752</v>
      </c>
      <c r="E361" s="16" t="s">
        <v>2702</v>
      </c>
      <c r="F361" s="14" t="s">
        <v>2703</v>
      </c>
      <c r="G361" s="17"/>
      <c r="H361" s="17"/>
      <c r="K361" s="136"/>
      <c r="L361" s="139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39">
        <f t="shared" si="137"/>
        <v>0</v>
      </c>
      <c r="N361" s="139">
        <f t="shared" si="137"/>
        <v>0</v>
      </c>
      <c r="O361" s="139">
        <f t="shared" si="137"/>
        <v>0</v>
      </c>
      <c r="P361" s="139">
        <f t="shared" si="137"/>
        <v>0</v>
      </c>
      <c r="Q361" s="139">
        <f t="shared" si="137"/>
        <v>0</v>
      </c>
      <c r="R361" s="139">
        <f t="shared" si="137"/>
        <v>0</v>
      </c>
      <c r="S361" s="139">
        <f t="shared" si="137"/>
        <v>0</v>
      </c>
      <c r="T361" s="139">
        <f t="shared" si="137"/>
        <v>0</v>
      </c>
      <c r="U361" s="139">
        <f t="shared" si="137"/>
        <v>0</v>
      </c>
      <c r="V361" s="139">
        <f t="shared" si="137"/>
        <v>0</v>
      </c>
      <c r="W361" s="139">
        <f t="shared" si="137"/>
        <v>0</v>
      </c>
      <c r="X361" s="139">
        <f t="shared" si="137"/>
        <v>0</v>
      </c>
      <c r="Y361" s="139">
        <f t="shared" si="137"/>
        <v>0</v>
      </c>
      <c r="Z361" s="139">
        <f t="shared" si="137"/>
        <v>0</v>
      </c>
      <c r="AA361" s="139">
        <f t="shared" si="137"/>
        <v>0</v>
      </c>
      <c r="AB361" s="139">
        <f t="shared" si="137"/>
        <v>0</v>
      </c>
      <c r="AC361" s="139">
        <f t="shared" si="137"/>
        <v>0</v>
      </c>
      <c r="AD361" s="139">
        <f t="shared" si="137"/>
        <v>0</v>
      </c>
      <c r="AE361" s="139">
        <f t="shared" si="137"/>
        <v>0</v>
      </c>
      <c r="AF361" s="138"/>
      <c r="AG361" s="138"/>
      <c r="AH361" s="138"/>
      <c r="AI361" s="138"/>
    </row>
    <row r="362" spans="2:35" customFormat="1" ht="15" x14ac:dyDescent="0.25">
      <c r="B362" s="14" t="s">
        <v>2753</v>
      </c>
      <c r="C362" s="14" t="s">
        <v>2672</v>
      </c>
      <c r="D362" s="15" t="s">
        <v>2754</v>
      </c>
      <c r="E362" s="16" t="s">
        <v>1398</v>
      </c>
      <c r="F362" s="14" t="s">
        <v>2706</v>
      </c>
      <c r="G362" s="17"/>
      <c r="H362" s="17"/>
      <c r="K362" s="136"/>
      <c r="L362" s="137">
        <f t="shared" ref="L362:AE362" si="138">IF(L$329&lt;=0,0,IF(L$361&lt;=0,L$358,MIN($F$5,IF(L$358-(L$360-L$329)/L$361&lt;=0,L$358/2,L$358-(L$360-L$329)/L$361))))</f>
        <v>0</v>
      </c>
      <c r="M362" s="137">
        <f t="shared" si="138"/>
        <v>0</v>
      </c>
      <c r="N362" s="137">
        <f t="shared" si="138"/>
        <v>0</v>
      </c>
      <c r="O362" s="137">
        <f t="shared" si="138"/>
        <v>0</v>
      </c>
      <c r="P362" s="137">
        <f t="shared" si="138"/>
        <v>0</v>
      </c>
      <c r="Q362" s="137">
        <f t="shared" si="138"/>
        <v>0</v>
      </c>
      <c r="R362" s="137">
        <f t="shared" si="138"/>
        <v>0</v>
      </c>
      <c r="S362" s="137">
        <f t="shared" si="138"/>
        <v>0</v>
      </c>
      <c r="T362" s="137">
        <f t="shared" si="138"/>
        <v>0</v>
      </c>
      <c r="U362" s="137">
        <f t="shared" si="138"/>
        <v>0</v>
      </c>
      <c r="V362" s="137">
        <f t="shared" si="138"/>
        <v>0</v>
      </c>
      <c r="W362" s="137">
        <f t="shared" si="138"/>
        <v>0</v>
      </c>
      <c r="X362" s="137">
        <f t="shared" si="138"/>
        <v>0</v>
      </c>
      <c r="Y362" s="137">
        <f t="shared" si="138"/>
        <v>0</v>
      </c>
      <c r="Z362" s="137">
        <f t="shared" si="138"/>
        <v>0</v>
      </c>
      <c r="AA362" s="137">
        <f t="shared" si="138"/>
        <v>0</v>
      </c>
      <c r="AB362" s="137">
        <f t="shared" si="138"/>
        <v>0</v>
      </c>
      <c r="AC362" s="137">
        <f t="shared" si="138"/>
        <v>0</v>
      </c>
      <c r="AD362" s="137">
        <f t="shared" si="138"/>
        <v>0</v>
      </c>
      <c r="AE362" s="137">
        <f t="shared" si="138"/>
        <v>0</v>
      </c>
      <c r="AF362" s="138"/>
      <c r="AG362" s="138"/>
      <c r="AH362" s="138"/>
      <c r="AI362" s="138"/>
    </row>
    <row r="363" spans="2:35" customFormat="1" ht="15" x14ac:dyDescent="0.25">
      <c r="B363" s="14" t="s">
        <v>2755</v>
      </c>
      <c r="C363" s="14" t="s">
        <v>2672</v>
      </c>
      <c r="D363" s="15" t="s">
        <v>2756</v>
      </c>
      <c r="E363" s="16" t="s">
        <v>2065</v>
      </c>
      <c r="F363" s="14" t="s">
        <v>2696</v>
      </c>
      <c r="G363" s="17"/>
      <c r="H363" s="17"/>
      <c r="K363" s="136"/>
      <c r="L363" s="139">
        <f t="shared" ref="L363:AE363" si="139">SUMPRODUCT(L$252:L$259*(1-EXP(-L$262:L$269*L$362)))+SUMPRODUCT(L$308:L$323*(1-EXP(-L$272:L$287*L$362)))</f>
        <v>0</v>
      </c>
      <c r="M363" s="139">
        <f t="shared" si="139"/>
        <v>0</v>
      </c>
      <c r="N363" s="139">
        <f t="shared" si="139"/>
        <v>0</v>
      </c>
      <c r="O363" s="139">
        <f t="shared" si="139"/>
        <v>0</v>
      </c>
      <c r="P363" s="139">
        <f t="shared" si="139"/>
        <v>0</v>
      </c>
      <c r="Q363" s="139">
        <f t="shared" si="139"/>
        <v>0</v>
      </c>
      <c r="R363" s="139">
        <f t="shared" si="139"/>
        <v>0</v>
      </c>
      <c r="S363" s="139">
        <f t="shared" si="139"/>
        <v>0</v>
      </c>
      <c r="T363" s="139">
        <f t="shared" si="139"/>
        <v>0</v>
      </c>
      <c r="U363" s="139">
        <f t="shared" si="139"/>
        <v>0</v>
      </c>
      <c r="V363" s="139">
        <f t="shared" si="139"/>
        <v>0</v>
      </c>
      <c r="W363" s="139">
        <f t="shared" si="139"/>
        <v>0</v>
      </c>
      <c r="X363" s="139">
        <f t="shared" si="139"/>
        <v>0</v>
      </c>
      <c r="Y363" s="139">
        <f t="shared" si="139"/>
        <v>0</v>
      </c>
      <c r="Z363" s="139">
        <f t="shared" si="139"/>
        <v>0</v>
      </c>
      <c r="AA363" s="139">
        <f t="shared" si="139"/>
        <v>0</v>
      </c>
      <c r="AB363" s="139">
        <f t="shared" si="139"/>
        <v>0</v>
      </c>
      <c r="AC363" s="139">
        <f t="shared" si="139"/>
        <v>0</v>
      </c>
      <c r="AD363" s="139">
        <f t="shared" si="139"/>
        <v>0</v>
      </c>
      <c r="AE363" s="139">
        <f t="shared" si="139"/>
        <v>0</v>
      </c>
      <c r="AF363" s="138"/>
      <c r="AG363" s="138"/>
      <c r="AH363" s="138"/>
      <c r="AI363" s="138"/>
    </row>
    <row r="364" spans="2:35" customFormat="1" ht="15" x14ac:dyDescent="0.25">
      <c r="B364" s="14" t="s">
        <v>2757</v>
      </c>
      <c r="C364" s="14" t="s">
        <v>2672</v>
      </c>
      <c r="D364" s="15" t="s">
        <v>2758</v>
      </c>
      <c r="E364" s="16" t="s">
        <v>1854</v>
      </c>
      <c r="F364" s="14" t="s">
        <v>2699</v>
      </c>
      <c r="G364" s="17"/>
      <c r="H364" s="17"/>
      <c r="K364" s="136"/>
      <c r="L364" s="137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37">
        <f t="shared" si="140"/>
        <v>0</v>
      </c>
      <c r="N364" s="137">
        <f t="shared" si="140"/>
        <v>0</v>
      </c>
      <c r="O364" s="137">
        <f t="shared" si="140"/>
        <v>0</v>
      </c>
      <c r="P364" s="137">
        <f t="shared" si="140"/>
        <v>0</v>
      </c>
      <c r="Q364" s="137">
        <f t="shared" si="140"/>
        <v>0</v>
      </c>
      <c r="R364" s="137">
        <f t="shared" si="140"/>
        <v>0</v>
      </c>
      <c r="S364" s="137">
        <f t="shared" si="140"/>
        <v>0</v>
      </c>
      <c r="T364" s="137">
        <f t="shared" si="140"/>
        <v>0</v>
      </c>
      <c r="U364" s="137">
        <f t="shared" si="140"/>
        <v>0</v>
      </c>
      <c r="V364" s="137">
        <f t="shared" si="140"/>
        <v>0</v>
      </c>
      <c r="W364" s="137">
        <f t="shared" si="140"/>
        <v>0</v>
      </c>
      <c r="X364" s="137">
        <f t="shared" si="140"/>
        <v>0</v>
      </c>
      <c r="Y364" s="137">
        <f t="shared" si="140"/>
        <v>0</v>
      </c>
      <c r="Z364" s="137">
        <f t="shared" si="140"/>
        <v>0</v>
      </c>
      <c r="AA364" s="137">
        <f t="shared" si="140"/>
        <v>0</v>
      </c>
      <c r="AB364" s="137">
        <f t="shared" si="140"/>
        <v>0</v>
      </c>
      <c r="AC364" s="137">
        <f t="shared" si="140"/>
        <v>0</v>
      </c>
      <c r="AD364" s="137">
        <f t="shared" si="140"/>
        <v>0</v>
      </c>
      <c r="AE364" s="137">
        <f t="shared" si="140"/>
        <v>0</v>
      </c>
      <c r="AF364" s="138"/>
      <c r="AG364" s="138"/>
      <c r="AH364" s="138"/>
      <c r="AI364" s="138"/>
    </row>
    <row r="365" spans="2:35" customFormat="1" ht="15" x14ac:dyDescent="0.25">
      <c r="B365" s="14" t="s">
        <v>2759</v>
      </c>
      <c r="C365" s="14" t="s">
        <v>2672</v>
      </c>
      <c r="D365" s="15" t="s">
        <v>2760</v>
      </c>
      <c r="E365" s="16" t="s">
        <v>2702</v>
      </c>
      <c r="F365" s="14" t="s">
        <v>2703</v>
      </c>
      <c r="G365" s="17"/>
      <c r="H365" s="17"/>
      <c r="K365" s="136"/>
      <c r="L365" s="139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39">
        <f t="shared" si="141"/>
        <v>0</v>
      </c>
      <c r="N365" s="139">
        <f t="shared" si="141"/>
        <v>0</v>
      </c>
      <c r="O365" s="139">
        <f t="shared" si="141"/>
        <v>0</v>
      </c>
      <c r="P365" s="139">
        <f t="shared" si="141"/>
        <v>0</v>
      </c>
      <c r="Q365" s="139">
        <f t="shared" si="141"/>
        <v>0</v>
      </c>
      <c r="R365" s="139">
        <f t="shared" si="141"/>
        <v>0</v>
      </c>
      <c r="S365" s="139">
        <f t="shared" si="141"/>
        <v>0</v>
      </c>
      <c r="T365" s="139">
        <f t="shared" si="141"/>
        <v>0</v>
      </c>
      <c r="U365" s="139">
        <f t="shared" si="141"/>
        <v>0</v>
      </c>
      <c r="V365" s="139">
        <f t="shared" si="141"/>
        <v>0</v>
      </c>
      <c r="W365" s="139">
        <f t="shared" si="141"/>
        <v>0</v>
      </c>
      <c r="X365" s="139">
        <f t="shared" si="141"/>
        <v>0</v>
      </c>
      <c r="Y365" s="139">
        <f t="shared" si="141"/>
        <v>0</v>
      </c>
      <c r="Z365" s="139">
        <f t="shared" si="141"/>
        <v>0</v>
      </c>
      <c r="AA365" s="139">
        <f t="shared" si="141"/>
        <v>0</v>
      </c>
      <c r="AB365" s="139">
        <f t="shared" si="141"/>
        <v>0</v>
      </c>
      <c r="AC365" s="139">
        <f t="shared" si="141"/>
        <v>0</v>
      </c>
      <c r="AD365" s="139">
        <f t="shared" si="141"/>
        <v>0</v>
      </c>
      <c r="AE365" s="139">
        <f t="shared" si="141"/>
        <v>0</v>
      </c>
      <c r="AF365" s="138"/>
      <c r="AG365" s="138"/>
      <c r="AH365" s="138"/>
      <c r="AI365" s="138"/>
    </row>
    <row r="366" spans="2:35" customFormat="1" ht="15" x14ac:dyDescent="0.25">
      <c r="B366" s="14" t="s">
        <v>2761</v>
      </c>
      <c r="C366" s="14" t="s">
        <v>2672</v>
      </c>
      <c r="D366" s="15" t="s">
        <v>2762</v>
      </c>
      <c r="E366" s="16" t="s">
        <v>1398</v>
      </c>
      <c r="F366" s="14" t="s">
        <v>2706</v>
      </c>
      <c r="G366" s="17"/>
      <c r="H366" s="17"/>
      <c r="K366" s="136"/>
      <c r="L366" s="137">
        <f t="shared" ref="L366:AE366" si="142">IF(L$329&lt;=0,0,IF(L$365&lt;=0,L$362,MIN($F$5,IF(L$362-(L$364-L$329)/L$365&lt;=0,L$362/2,L$362-(L$364-L$329)/L$365))))</f>
        <v>0</v>
      </c>
      <c r="M366" s="137">
        <f t="shared" si="142"/>
        <v>0</v>
      </c>
      <c r="N366" s="137">
        <f t="shared" si="142"/>
        <v>0</v>
      </c>
      <c r="O366" s="137">
        <f t="shared" si="142"/>
        <v>0</v>
      </c>
      <c r="P366" s="137">
        <f t="shared" si="142"/>
        <v>0</v>
      </c>
      <c r="Q366" s="137">
        <f t="shared" si="142"/>
        <v>0</v>
      </c>
      <c r="R366" s="137">
        <f t="shared" si="142"/>
        <v>0</v>
      </c>
      <c r="S366" s="137">
        <f t="shared" si="142"/>
        <v>0</v>
      </c>
      <c r="T366" s="137">
        <f t="shared" si="142"/>
        <v>0</v>
      </c>
      <c r="U366" s="137">
        <f t="shared" si="142"/>
        <v>0</v>
      </c>
      <c r="V366" s="137">
        <f t="shared" si="142"/>
        <v>0</v>
      </c>
      <c r="W366" s="137">
        <f t="shared" si="142"/>
        <v>0</v>
      </c>
      <c r="X366" s="137">
        <f t="shared" si="142"/>
        <v>0</v>
      </c>
      <c r="Y366" s="137">
        <f t="shared" si="142"/>
        <v>0</v>
      </c>
      <c r="Z366" s="137">
        <f t="shared" si="142"/>
        <v>0</v>
      </c>
      <c r="AA366" s="137">
        <f t="shared" si="142"/>
        <v>0</v>
      </c>
      <c r="AB366" s="137">
        <f t="shared" si="142"/>
        <v>0</v>
      </c>
      <c r="AC366" s="137">
        <f t="shared" si="142"/>
        <v>0</v>
      </c>
      <c r="AD366" s="137">
        <f t="shared" si="142"/>
        <v>0</v>
      </c>
      <c r="AE366" s="137">
        <f t="shared" si="142"/>
        <v>0</v>
      </c>
      <c r="AF366" s="138"/>
      <c r="AG366" s="138"/>
      <c r="AH366" s="138"/>
      <c r="AI366" s="138"/>
    </row>
    <row r="367" spans="2:35" customFormat="1" ht="15" x14ac:dyDescent="0.25">
      <c r="B367" s="14" t="s">
        <v>2763</v>
      </c>
      <c r="C367" s="14" t="s">
        <v>2672</v>
      </c>
      <c r="D367" s="15" t="s">
        <v>2764</v>
      </c>
      <c r="E367" s="16" t="s">
        <v>2065</v>
      </c>
      <c r="F367" s="14" t="s">
        <v>2696</v>
      </c>
      <c r="G367" s="17"/>
      <c r="H367" s="17"/>
      <c r="K367" s="136"/>
      <c r="L367" s="139">
        <f t="shared" ref="L367:AE367" si="143">SUMPRODUCT(L$252:L$259*(1-EXP(-L$262:L$269*L$366)))+SUMPRODUCT(L$308:L$323*(1-EXP(-L$272:L$287*L$366)))</f>
        <v>0</v>
      </c>
      <c r="M367" s="139">
        <f t="shared" si="143"/>
        <v>0</v>
      </c>
      <c r="N367" s="139">
        <f t="shared" si="143"/>
        <v>0</v>
      </c>
      <c r="O367" s="139">
        <f t="shared" si="143"/>
        <v>0</v>
      </c>
      <c r="P367" s="139">
        <f t="shared" si="143"/>
        <v>0</v>
      </c>
      <c r="Q367" s="139">
        <f t="shared" si="143"/>
        <v>0</v>
      </c>
      <c r="R367" s="139">
        <f t="shared" si="143"/>
        <v>0</v>
      </c>
      <c r="S367" s="139">
        <f t="shared" si="143"/>
        <v>0</v>
      </c>
      <c r="T367" s="139">
        <f t="shared" si="143"/>
        <v>0</v>
      </c>
      <c r="U367" s="139">
        <f t="shared" si="143"/>
        <v>0</v>
      </c>
      <c r="V367" s="139">
        <f t="shared" si="143"/>
        <v>0</v>
      </c>
      <c r="W367" s="139">
        <f t="shared" si="143"/>
        <v>0</v>
      </c>
      <c r="X367" s="139">
        <f t="shared" si="143"/>
        <v>0</v>
      </c>
      <c r="Y367" s="139">
        <f t="shared" si="143"/>
        <v>0</v>
      </c>
      <c r="Z367" s="139">
        <f t="shared" si="143"/>
        <v>0</v>
      </c>
      <c r="AA367" s="139">
        <f t="shared" si="143"/>
        <v>0</v>
      </c>
      <c r="AB367" s="139">
        <f t="shared" si="143"/>
        <v>0</v>
      </c>
      <c r="AC367" s="139">
        <f t="shared" si="143"/>
        <v>0</v>
      </c>
      <c r="AD367" s="139">
        <f t="shared" si="143"/>
        <v>0</v>
      </c>
      <c r="AE367" s="139">
        <f t="shared" si="143"/>
        <v>0</v>
      </c>
      <c r="AF367" s="138"/>
      <c r="AG367" s="138"/>
      <c r="AH367" s="138"/>
      <c r="AI367" s="138"/>
    </row>
    <row r="368" spans="2:35" customFormat="1" ht="15" x14ac:dyDescent="0.25">
      <c r="B368" s="14" t="s">
        <v>2765</v>
      </c>
      <c r="C368" s="14" t="s">
        <v>2672</v>
      </c>
      <c r="D368" s="15" t="s">
        <v>2766</v>
      </c>
      <c r="E368" s="16" t="s">
        <v>1854</v>
      </c>
      <c r="F368" s="14" t="s">
        <v>2699</v>
      </c>
      <c r="G368" s="17"/>
      <c r="H368" s="17"/>
      <c r="K368" s="136"/>
      <c r="L368" s="137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37">
        <f t="shared" si="144"/>
        <v>0</v>
      </c>
      <c r="N368" s="137">
        <f t="shared" si="144"/>
        <v>0</v>
      </c>
      <c r="O368" s="137">
        <f t="shared" si="144"/>
        <v>0</v>
      </c>
      <c r="P368" s="137">
        <f t="shared" si="144"/>
        <v>0</v>
      </c>
      <c r="Q368" s="137">
        <f t="shared" si="144"/>
        <v>0</v>
      </c>
      <c r="R368" s="137">
        <f t="shared" si="144"/>
        <v>0</v>
      </c>
      <c r="S368" s="137">
        <f t="shared" si="144"/>
        <v>0</v>
      </c>
      <c r="T368" s="137">
        <f t="shared" si="144"/>
        <v>0</v>
      </c>
      <c r="U368" s="137">
        <f t="shared" si="144"/>
        <v>0</v>
      </c>
      <c r="V368" s="137">
        <f t="shared" si="144"/>
        <v>0</v>
      </c>
      <c r="W368" s="137">
        <f t="shared" si="144"/>
        <v>0</v>
      </c>
      <c r="X368" s="137">
        <f t="shared" si="144"/>
        <v>0</v>
      </c>
      <c r="Y368" s="137">
        <f t="shared" si="144"/>
        <v>0</v>
      </c>
      <c r="Z368" s="137">
        <f t="shared" si="144"/>
        <v>0</v>
      </c>
      <c r="AA368" s="137">
        <f t="shared" si="144"/>
        <v>0</v>
      </c>
      <c r="AB368" s="137">
        <f t="shared" si="144"/>
        <v>0</v>
      </c>
      <c r="AC368" s="137">
        <f t="shared" si="144"/>
        <v>0</v>
      </c>
      <c r="AD368" s="137">
        <f t="shared" si="144"/>
        <v>0</v>
      </c>
      <c r="AE368" s="137">
        <f t="shared" si="144"/>
        <v>0</v>
      </c>
      <c r="AF368" s="138"/>
      <c r="AG368" s="138"/>
      <c r="AH368" s="138"/>
      <c r="AI368" s="138"/>
    </row>
    <row r="369" spans="2:35" customFormat="1" ht="15" x14ac:dyDescent="0.25">
      <c r="B369" s="14" t="s">
        <v>2767</v>
      </c>
      <c r="C369" s="14" t="s">
        <v>2672</v>
      </c>
      <c r="D369" s="15" t="s">
        <v>2768</v>
      </c>
      <c r="E369" s="16" t="s">
        <v>2702</v>
      </c>
      <c r="F369" s="14" t="s">
        <v>2703</v>
      </c>
      <c r="G369" s="17"/>
      <c r="H369" s="17"/>
      <c r="K369" s="136"/>
      <c r="L369" s="139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39">
        <f t="shared" si="145"/>
        <v>0</v>
      </c>
      <c r="N369" s="139">
        <f t="shared" si="145"/>
        <v>0</v>
      </c>
      <c r="O369" s="139">
        <f t="shared" si="145"/>
        <v>0</v>
      </c>
      <c r="P369" s="139">
        <f t="shared" si="145"/>
        <v>0</v>
      </c>
      <c r="Q369" s="139">
        <f t="shared" si="145"/>
        <v>0</v>
      </c>
      <c r="R369" s="139">
        <f t="shared" si="145"/>
        <v>0</v>
      </c>
      <c r="S369" s="139">
        <f t="shared" si="145"/>
        <v>0</v>
      </c>
      <c r="T369" s="139">
        <f t="shared" si="145"/>
        <v>0</v>
      </c>
      <c r="U369" s="139">
        <f t="shared" si="145"/>
        <v>0</v>
      </c>
      <c r="V369" s="139">
        <f t="shared" si="145"/>
        <v>0</v>
      </c>
      <c r="W369" s="139">
        <f t="shared" si="145"/>
        <v>0</v>
      </c>
      <c r="X369" s="139">
        <f t="shared" si="145"/>
        <v>0</v>
      </c>
      <c r="Y369" s="139">
        <f t="shared" si="145"/>
        <v>0</v>
      </c>
      <c r="Z369" s="139">
        <f t="shared" si="145"/>
        <v>0</v>
      </c>
      <c r="AA369" s="139">
        <f t="shared" si="145"/>
        <v>0</v>
      </c>
      <c r="AB369" s="139">
        <f t="shared" si="145"/>
        <v>0</v>
      </c>
      <c r="AC369" s="139">
        <f t="shared" si="145"/>
        <v>0</v>
      </c>
      <c r="AD369" s="139">
        <f t="shared" si="145"/>
        <v>0</v>
      </c>
      <c r="AE369" s="139">
        <f t="shared" si="145"/>
        <v>0</v>
      </c>
      <c r="AF369" s="138"/>
      <c r="AG369" s="138"/>
      <c r="AH369" s="138"/>
      <c r="AI369" s="138"/>
    </row>
    <row r="370" spans="2:35" customFormat="1" ht="15" x14ac:dyDescent="0.25">
      <c r="B370" s="14" t="s">
        <v>2769</v>
      </c>
      <c r="C370" s="14" t="s">
        <v>2672</v>
      </c>
      <c r="D370" s="15" t="s">
        <v>2770</v>
      </c>
      <c r="E370" s="16" t="s">
        <v>1398</v>
      </c>
      <c r="F370" s="14" t="s">
        <v>2706</v>
      </c>
      <c r="G370" s="17"/>
      <c r="H370" s="17"/>
      <c r="K370" s="136"/>
      <c r="L370" s="137">
        <f t="shared" ref="L370:AE370" si="146">IF(L$329&lt;=0,0,IF(L$369&lt;=0,L$366,MIN($F$5,IF(L$366-(L$368-L$329)/L$369&lt;=0,L$366/2,L$366-(L$368-L$329)/L$369))))</f>
        <v>0</v>
      </c>
      <c r="M370" s="137">
        <f t="shared" si="146"/>
        <v>0</v>
      </c>
      <c r="N370" s="137">
        <f t="shared" si="146"/>
        <v>0</v>
      </c>
      <c r="O370" s="137">
        <f t="shared" si="146"/>
        <v>0</v>
      </c>
      <c r="P370" s="137">
        <f t="shared" si="146"/>
        <v>0</v>
      </c>
      <c r="Q370" s="137">
        <f t="shared" si="146"/>
        <v>0</v>
      </c>
      <c r="R370" s="137">
        <f t="shared" si="146"/>
        <v>0</v>
      </c>
      <c r="S370" s="137">
        <f t="shared" si="146"/>
        <v>0</v>
      </c>
      <c r="T370" s="137">
        <f t="shared" si="146"/>
        <v>0</v>
      </c>
      <c r="U370" s="137">
        <f t="shared" si="146"/>
        <v>0</v>
      </c>
      <c r="V370" s="137">
        <f t="shared" si="146"/>
        <v>0</v>
      </c>
      <c r="W370" s="137">
        <f t="shared" si="146"/>
        <v>0</v>
      </c>
      <c r="X370" s="137">
        <f t="shared" si="146"/>
        <v>0</v>
      </c>
      <c r="Y370" s="137">
        <f t="shared" si="146"/>
        <v>0</v>
      </c>
      <c r="Z370" s="137">
        <f t="shared" si="146"/>
        <v>0</v>
      </c>
      <c r="AA370" s="137">
        <f t="shared" si="146"/>
        <v>0</v>
      </c>
      <c r="AB370" s="137">
        <f t="shared" si="146"/>
        <v>0</v>
      </c>
      <c r="AC370" s="137">
        <f t="shared" si="146"/>
        <v>0</v>
      </c>
      <c r="AD370" s="137">
        <f t="shared" si="146"/>
        <v>0</v>
      </c>
      <c r="AE370" s="137">
        <f t="shared" si="146"/>
        <v>0</v>
      </c>
      <c r="AF370" s="138"/>
      <c r="AG370" s="138"/>
      <c r="AH370" s="138"/>
      <c r="AI370" s="138"/>
    </row>
    <row r="371" spans="2:35" customFormat="1" ht="15" x14ac:dyDescent="0.25">
      <c r="B371" s="14" t="s">
        <v>2771</v>
      </c>
      <c r="C371" s="14" t="s">
        <v>2672</v>
      </c>
      <c r="D371" s="15" t="s">
        <v>2772</v>
      </c>
      <c r="E371" s="16" t="s">
        <v>2065</v>
      </c>
      <c r="F371" s="14" t="s">
        <v>2696</v>
      </c>
      <c r="G371" s="17"/>
      <c r="H371" s="17"/>
      <c r="K371" s="136"/>
      <c r="L371" s="139">
        <f t="shared" ref="L371:AE371" si="147">SUMPRODUCT(L$252:L$259*(1-EXP(-L$262:L$269*L$370)))+SUMPRODUCT(L$308:L$323*(1-EXP(-L$272:L$287*L$370)))</f>
        <v>0</v>
      </c>
      <c r="M371" s="139">
        <f t="shared" si="147"/>
        <v>0</v>
      </c>
      <c r="N371" s="139">
        <f t="shared" si="147"/>
        <v>0</v>
      </c>
      <c r="O371" s="139">
        <f t="shared" si="147"/>
        <v>0</v>
      </c>
      <c r="P371" s="139">
        <f t="shared" si="147"/>
        <v>0</v>
      </c>
      <c r="Q371" s="139">
        <f t="shared" si="147"/>
        <v>0</v>
      </c>
      <c r="R371" s="139">
        <f t="shared" si="147"/>
        <v>0</v>
      </c>
      <c r="S371" s="139">
        <f t="shared" si="147"/>
        <v>0</v>
      </c>
      <c r="T371" s="139">
        <f t="shared" si="147"/>
        <v>0</v>
      </c>
      <c r="U371" s="139">
        <f t="shared" si="147"/>
        <v>0</v>
      </c>
      <c r="V371" s="139">
        <f t="shared" si="147"/>
        <v>0</v>
      </c>
      <c r="W371" s="139">
        <f t="shared" si="147"/>
        <v>0</v>
      </c>
      <c r="X371" s="139">
        <f t="shared" si="147"/>
        <v>0</v>
      </c>
      <c r="Y371" s="139">
        <f t="shared" si="147"/>
        <v>0</v>
      </c>
      <c r="Z371" s="139">
        <f t="shared" si="147"/>
        <v>0</v>
      </c>
      <c r="AA371" s="139">
        <f t="shared" si="147"/>
        <v>0</v>
      </c>
      <c r="AB371" s="139">
        <f t="shared" si="147"/>
        <v>0</v>
      </c>
      <c r="AC371" s="139">
        <f t="shared" si="147"/>
        <v>0</v>
      </c>
      <c r="AD371" s="139">
        <f t="shared" si="147"/>
        <v>0</v>
      </c>
      <c r="AE371" s="139">
        <f t="shared" si="147"/>
        <v>0</v>
      </c>
      <c r="AF371" s="138"/>
      <c r="AG371" s="138"/>
      <c r="AH371" s="138"/>
      <c r="AI371" s="138"/>
    </row>
    <row r="372" spans="2:35" customFormat="1" ht="15" x14ac:dyDescent="0.25">
      <c r="B372" s="14" t="s">
        <v>2773</v>
      </c>
      <c r="C372" s="14" t="s">
        <v>2672</v>
      </c>
      <c r="D372" s="15" t="s">
        <v>2774</v>
      </c>
      <c r="E372" s="16" t="s">
        <v>1854</v>
      </c>
      <c r="F372" s="14" t="s">
        <v>2699</v>
      </c>
      <c r="G372" s="17"/>
      <c r="H372" s="17"/>
      <c r="K372" s="136"/>
      <c r="L372" s="137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37">
        <f t="shared" si="148"/>
        <v>0</v>
      </c>
      <c r="N372" s="137">
        <f t="shared" si="148"/>
        <v>0</v>
      </c>
      <c r="O372" s="137">
        <f t="shared" si="148"/>
        <v>0</v>
      </c>
      <c r="P372" s="137">
        <f t="shared" si="148"/>
        <v>0</v>
      </c>
      <c r="Q372" s="137">
        <f t="shared" si="148"/>
        <v>0</v>
      </c>
      <c r="R372" s="137">
        <f t="shared" si="148"/>
        <v>0</v>
      </c>
      <c r="S372" s="137">
        <f t="shared" si="148"/>
        <v>0</v>
      </c>
      <c r="T372" s="137">
        <f t="shared" si="148"/>
        <v>0</v>
      </c>
      <c r="U372" s="137">
        <f t="shared" si="148"/>
        <v>0</v>
      </c>
      <c r="V372" s="137">
        <f t="shared" si="148"/>
        <v>0</v>
      </c>
      <c r="W372" s="137">
        <f t="shared" si="148"/>
        <v>0</v>
      </c>
      <c r="X372" s="137">
        <f t="shared" si="148"/>
        <v>0</v>
      </c>
      <c r="Y372" s="137">
        <f t="shared" si="148"/>
        <v>0</v>
      </c>
      <c r="Z372" s="137">
        <f t="shared" si="148"/>
        <v>0</v>
      </c>
      <c r="AA372" s="137">
        <f t="shared" si="148"/>
        <v>0</v>
      </c>
      <c r="AB372" s="137">
        <f t="shared" si="148"/>
        <v>0</v>
      </c>
      <c r="AC372" s="137">
        <f t="shared" si="148"/>
        <v>0</v>
      </c>
      <c r="AD372" s="137">
        <f t="shared" si="148"/>
        <v>0</v>
      </c>
      <c r="AE372" s="137">
        <f t="shared" si="148"/>
        <v>0</v>
      </c>
      <c r="AF372" s="138"/>
      <c r="AG372" s="138"/>
      <c r="AH372" s="138"/>
      <c r="AI372" s="138"/>
    </row>
    <row r="373" spans="2:35" customFormat="1" ht="15" x14ac:dyDescent="0.25">
      <c r="B373" s="14" t="s">
        <v>2775</v>
      </c>
      <c r="C373" s="14" t="s">
        <v>2672</v>
      </c>
      <c r="D373" s="15" t="s">
        <v>2776</v>
      </c>
      <c r="E373" s="16" t="s">
        <v>2702</v>
      </c>
      <c r="F373" s="14" t="s">
        <v>2703</v>
      </c>
      <c r="G373" s="17"/>
      <c r="H373" s="17"/>
      <c r="K373" s="136"/>
      <c r="L373" s="139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39">
        <f t="shared" si="149"/>
        <v>0</v>
      </c>
      <c r="N373" s="139">
        <f t="shared" si="149"/>
        <v>0</v>
      </c>
      <c r="O373" s="139">
        <f t="shared" si="149"/>
        <v>0</v>
      </c>
      <c r="P373" s="139">
        <f t="shared" si="149"/>
        <v>0</v>
      </c>
      <c r="Q373" s="139">
        <f t="shared" si="149"/>
        <v>0</v>
      </c>
      <c r="R373" s="139">
        <f t="shared" si="149"/>
        <v>0</v>
      </c>
      <c r="S373" s="139">
        <f t="shared" si="149"/>
        <v>0</v>
      </c>
      <c r="T373" s="139">
        <f t="shared" si="149"/>
        <v>0</v>
      </c>
      <c r="U373" s="139">
        <f t="shared" si="149"/>
        <v>0</v>
      </c>
      <c r="V373" s="139">
        <f t="shared" si="149"/>
        <v>0</v>
      </c>
      <c r="W373" s="139">
        <f t="shared" si="149"/>
        <v>0</v>
      </c>
      <c r="X373" s="139">
        <f t="shared" si="149"/>
        <v>0</v>
      </c>
      <c r="Y373" s="139">
        <f t="shared" si="149"/>
        <v>0</v>
      </c>
      <c r="Z373" s="139">
        <f t="shared" si="149"/>
        <v>0</v>
      </c>
      <c r="AA373" s="139">
        <f t="shared" si="149"/>
        <v>0</v>
      </c>
      <c r="AB373" s="139">
        <f t="shared" si="149"/>
        <v>0</v>
      </c>
      <c r="AC373" s="139">
        <f t="shared" si="149"/>
        <v>0</v>
      </c>
      <c r="AD373" s="139">
        <f t="shared" si="149"/>
        <v>0</v>
      </c>
      <c r="AE373" s="139">
        <f t="shared" si="149"/>
        <v>0</v>
      </c>
      <c r="AF373" s="138"/>
      <c r="AG373" s="138"/>
      <c r="AH373" s="138"/>
      <c r="AI373" s="138"/>
    </row>
    <row r="374" spans="2:35" customFormat="1" ht="15" x14ac:dyDescent="0.25">
      <c r="B374" s="14" t="s">
        <v>2777</v>
      </c>
      <c r="C374" s="14" t="s">
        <v>2672</v>
      </c>
      <c r="D374" s="15" t="s">
        <v>2778</v>
      </c>
      <c r="E374" s="16" t="s">
        <v>1398</v>
      </c>
      <c r="F374" s="14" t="s">
        <v>2706</v>
      </c>
      <c r="G374" s="17"/>
      <c r="H374" s="17"/>
      <c r="K374" s="136"/>
      <c r="L374" s="137">
        <f t="shared" ref="L374:AE374" si="150">IF(L$329&lt;=0,0,IF(L$373&lt;=0,L$370,MIN($F$5,IF(L$370-(L$372-L$329)/L$373&lt;=0,L$370/2,L$370-(L$372-L$329)/L$373))))</f>
        <v>0</v>
      </c>
      <c r="M374" s="137">
        <f t="shared" si="150"/>
        <v>0</v>
      </c>
      <c r="N374" s="137">
        <f t="shared" si="150"/>
        <v>0</v>
      </c>
      <c r="O374" s="137">
        <f t="shared" si="150"/>
        <v>0</v>
      </c>
      <c r="P374" s="137">
        <f t="shared" si="150"/>
        <v>0</v>
      </c>
      <c r="Q374" s="137">
        <f t="shared" si="150"/>
        <v>0</v>
      </c>
      <c r="R374" s="137">
        <f t="shared" si="150"/>
        <v>0</v>
      </c>
      <c r="S374" s="137">
        <f t="shared" si="150"/>
        <v>0</v>
      </c>
      <c r="T374" s="137">
        <f t="shared" si="150"/>
        <v>0</v>
      </c>
      <c r="U374" s="137">
        <f t="shared" si="150"/>
        <v>0</v>
      </c>
      <c r="V374" s="137">
        <f t="shared" si="150"/>
        <v>0</v>
      </c>
      <c r="W374" s="137">
        <f t="shared" si="150"/>
        <v>0</v>
      </c>
      <c r="X374" s="137">
        <f t="shared" si="150"/>
        <v>0</v>
      </c>
      <c r="Y374" s="137">
        <f t="shared" si="150"/>
        <v>0</v>
      </c>
      <c r="Z374" s="137">
        <f t="shared" si="150"/>
        <v>0</v>
      </c>
      <c r="AA374" s="137">
        <f t="shared" si="150"/>
        <v>0</v>
      </c>
      <c r="AB374" s="137">
        <f t="shared" si="150"/>
        <v>0</v>
      </c>
      <c r="AC374" s="137">
        <f t="shared" si="150"/>
        <v>0</v>
      </c>
      <c r="AD374" s="137">
        <f t="shared" si="150"/>
        <v>0</v>
      </c>
      <c r="AE374" s="137">
        <f t="shared" si="150"/>
        <v>0</v>
      </c>
      <c r="AF374" s="138"/>
      <c r="AG374" s="138"/>
      <c r="AH374" s="138"/>
      <c r="AI374" s="138"/>
    </row>
    <row r="375" spans="2:35" customFormat="1" ht="15" x14ac:dyDescent="0.25">
      <c r="B375" s="14" t="s">
        <v>2779</v>
      </c>
      <c r="C375" s="14" t="s">
        <v>2672</v>
      </c>
      <c r="D375" s="15" t="s">
        <v>2780</v>
      </c>
      <c r="E375" s="16" t="s">
        <v>2065</v>
      </c>
      <c r="F375" s="14" t="s">
        <v>2696</v>
      </c>
      <c r="G375" s="17"/>
      <c r="H375" s="17"/>
      <c r="K375" s="136"/>
      <c r="L375" s="139">
        <f t="shared" ref="L375:AE375" si="151">SUMPRODUCT(L$252:L$259*(1-EXP(-L$262:L$269*L$374)))+SUMPRODUCT(L$308:L$323*(1-EXP(-L$272:L$287*L$374)))</f>
        <v>0</v>
      </c>
      <c r="M375" s="139">
        <f t="shared" si="151"/>
        <v>0</v>
      </c>
      <c r="N375" s="139">
        <f t="shared" si="151"/>
        <v>0</v>
      </c>
      <c r="O375" s="139">
        <f t="shared" si="151"/>
        <v>0</v>
      </c>
      <c r="P375" s="139">
        <f t="shared" si="151"/>
        <v>0</v>
      </c>
      <c r="Q375" s="139">
        <f t="shared" si="151"/>
        <v>0</v>
      </c>
      <c r="R375" s="139">
        <f t="shared" si="151"/>
        <v>0</v>
      </c>
      <c r="S375" s="139">
        <f t="shared" si="151"/>
        <v>0</v>
      </c>
      <c r="T375" s="139">
        <f t="shared" si="151"/>
        <v>0</v>
      </c>
      <c r="U375" s="139">
        <f t="shared" si="151"/>
        <v>0</v>
      </c>
      <c r="V375" s="139">
        <f t="shared" si="151"/>
        <v>0</v>
      </c>
      <c r="W375" s="139">
        <f t="shared" si="151"/>
        <v>0</v>
      </c>
      <c r="X375" s="139">
        <f t="shared" si="151"/>
        <v>0</v>
      </c>
      <c r="Y375" s="139">
        <f t="shared" si="151"/>
        <v>0</v>
      </c>
      <c r="Z375" s="139">
        <f t="shared" si="151"/>
        <v>0</v>
      </c>
      <c r="AA375" s="139">
        <f t="shared" si="151"/>
        <v>0</v>
      </c>
      <c r="AB375" s="139">
        <f t="shared" si="151"/>
        <v>0</v>
      </c>
      <c r="AC375" s="139">
        <f t="shared" si="151"/>
        <v>0</v>
      </c>
      <c r="AD375" s="139">
        <f t="shared" si="151"/>
        <v>0</v>
      </c>
      <c r="AE375" s="139">
        <f t="shared" si="151"/>
        <v>0</v>
      </c>
      <c r="AF375" s="138"/>
      <c r="AG375" s="138"/>
      <c r="AH375" s="138"/>
      <c r="AI375" s="138"/>
    </row>
    <row r="376" spans="2:35" customFormat="1" ht="15" x14ac:dyDescent="0.25">
      <c r="B376" s="14" t="s">
        <v>2781</v>
      </c>
      <c r="C376" s="14" t="s">
        <v>2672</v>
      </c>
      <c r="D376" s="15" t="s">
        <v>2782</v>
      </c>
      <c r="E376" s="16" t="s">
        <v>1854</v>
      </c>
      <c r="F376" s="14" t="s">
        <v>2699</v>
      </c>
      <c r="G376" s="17"/>
      <c r="H376" s="17"/>
      <c r="K376" s="136"/>
      <c r="L376" s="137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37">
        <f t="shared" si="152"/>
        <v>0</v>
      </c>
      <c r="N376" s="137">
        <f t="shared" si="152"/>
        <v>0</v>
      </c>
      <c r="O376" s="137">
        <f t="shared" si="152"/>
        <v>0</v>
      </c>
      <c r="P376" s="137">
        <f t="shared" si="152"/>
        <v>0</v>
      </c>
      <c r="Q376" s="137">
        <f t="shared" si="152"/>
        <v>0</v>
      </c>
      <c r="R376" s="137">
        <f t="shared" si="152"/>
        <v>0</v>
      </c>
      <c r="S376" s="137">
        <f t="shared" si="152"/>
        <v>0</v>
      </c>
      <c r="T376" s="137">
        <f t="shared" si="152"/>
        <v>0</v>
      </c>
      <c r="U376" s="137">
        <f t="shared" si="152"/>
        <v>0</v>
      </c>
      <c r="V376" s="137">
        <f t="shared" si="152"/>
        <v>0</v>
      </c>
      <c r="W376" s="137">
        <f t="shared" si="152"/>
        <v>0</v>
      </c>
      <c r="X376" s="137">
        <f t="shared" si="152"/>
        <v>0</v>
      </c>
      <c r="Y376" s="137">
        <f t="shared" si="152"/>
        <v>0</v>
      </c>
      <c r="Z376" s="137">
        <f t="shared" si="152"/>
        <v>0</v>
      </c>
      <c r="AA376" s="137">
        <f t="shared" si="152"/>
        <v>0</v>
      </c>
      <c r="AB376" s="137">
        <f t="shared" si="152"/>
        <v>0</v>
      </c>
      <c r="AC376" s="137">
        <f t="shared" si="152"/>
        <v>0</v>
      </c>
      <c r="AD376" s="137">
        <f t="shared" si="152"/>
        <v>0</v>
      </c>
      <c r="AE376" s="137">
        <f t="shared" si="152"/>
        <v>0</v>
      </c>
      <c r="AF376" s="138"/>
      <c r="AG376" s="138"/>
      <c r="AH376" s="138"/>
      <c r="AI376" s="138"/>
    </row>
    <row r="377" spans="2:35" customFormat="1" ht="15" x14ac:dyDescent="0.25">
      <c r="B377" s="14" t="s">
        <v>2783</v>
      </c>
      <c r="C377" s="14" t="s">
        <v>2672</v>
      </c>
      <c r="D377" s="15" t="s">
        <v>2784</v>
      </c>
      <c r="E377" s="16" t="s">
        <v>2702</v>
      </c>
      <c r="F377" s="14" t="s">
        <v>2703</v>
      </c>
      <c r="G377" s="17"/>
      <c r="H377" s="17"/>
      <c r="K377" s="136"/>
      <c r="L377" s="139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39">
        <f t="shared" si="153"/>
        <v>0</v>
      </c>
      <c r="N377" s="139">
        <f t="shared" si="153"/>
        <v>0</v>
      </c>
      <c r="O377" s="139">
        <f t="shared" si="153"/>
        <v>0</v>
      </c>
      <c r="P377" s="139">
        <f t="shared" si="153"/>
        <v>0</v>
      </c>
      <c r="Q377" s="139">
        <f t="shared" si="153"/>
        <v>0</v>
      </c>
      <c r="R377" s="139">
        <f t="shared" si="153"/>
        <v>0</v>
      </c>
      <c r="S377" s="139">
        <f t="shared" si="153"/>
        <v>0</v>
      </c>
      <c r="T377" s="139">
        <f t="shared" si="153"/>
        <v>0</v>
      </c>
      <c r="U377" s="139">
        <f t="shared" si="153"/>
        <v>0</v>
      </c>
      <c r="V377" s="139">
        <f t="shared" si="153"/>
        <v>0</v>
      </c>
      <c r="W377" s="139">
        <f t="shared" si="153"/>
        <v>0</v>
      </c>
      <c r="X377" s="139">
        <f t="shared" si="153"/>
        <v>0</v>
      </c>
      <c r="Y377" s="139">
        <f t="shared" si="153"/>
        <v>0</v>
      </c>
      <c r="Z377" s="139">
        <f t="shared" si="153"/>
        <v>0</v>
      </c>
      <c r="AA377" s="139">
        <f t="shared" si="153"/>
        <v>0</v>
      </c>
      <c r="AB377" s="139">
        <f t="shared" si="153"/>
        <v>0</v>
      </c>
      <c r="AC377" s="139">
        <f t="shared" si="153"/>
        <v>0</v>
      </c>
      <c r="AD377" s="139">
        <f t="shared" si="153"/>
        <v>0</v>
      </c>
      <c r="AE377" s="139">
        <f t="shared" si="153"/>
        <v>0</v>
      </c>
      <c r="AF377" s="138"/>
      <c r="AG377" s="138"/>
      <c r="AH377" s="138"/>
      <c r="AI377" s="138"/>
    </row>
    <row r="378" spans="2:35" customFormat="1" ht="15" x14ac:dyDescent="0.25">
      <c r="B378" s="14" t="s">
        <v>2785</v>
      </c>
      <c r="C378" s="14" t="s">
        <v>2672</v>
      </c>
      <c r="D378" s="15" t="s">
        <v>2786</v>
      </c>
      <c r="E378" s="16" t="s">
        <v>1398</v>
      </c>
      <c r="F378" s="14" t="s">
        <v>2706</v>
      </c>
      <c r="G378" s="17"/>
      <c r="H378" s="17"/>
      <c r="K378" s="136"/>
      <c r="L378" s="137">
        <f t="shared" ref="L378:AE378" si="154">IF(L$329&lt;=0,0,IF(L$377&lt;=0,L$374,MIN($F$5,IF(L$374-(L$376-L$329)/L$377&lt;=0,L$374/2,L$374-(L$376-L$329)/L$377))))</f>
        <v>0</v>
      </c>
      <c r="M378" s="137">
        <f t="shared" si="154"/>
        <v>0</v>
      </c>
      <c r="N378" s="137">
        <f t="shared" si="154"/>
        <v>0</v>
      </c>
      <c r="O378" s="137">
        <f t="shared" si="154"/>
        <v>0</v>
      </c>
      <c r="P378" s="137">
        <f t="shared" si="154"/>
        <v>0</v>
      </c>
      <c r="Q378" s="137">
        <f t="shared" si="154"/>
        <v>0</v>
      </c>
      <c r="R378" s="137">
        <f t="shared" si="154"/>
        <v>0</v>
      </c>
      <c r="S378" s="137">
        <f t="shared" si="154"/>
        <v>0</v>
      </c>
      <c r="T378" s="137">
        <f t="shared" si="154"/>
        <v>0</v>
      </c>
      <c r="U378" s="137">
        <f t="shared" si="154"/>
        <v>0</v>
      </c>
      <c r="V378" s="137">
        <f t="shared" si="154"/>
        <v>0</v>
      </c>
      <c r="W378" s="137">
        <f t="shared" si="154"/>
        <v>0</v>
      </c>
      <c r="X378" s="137">
        <f t="shared" si="154"/>
        <v>0</v>
      </c>
      <c r="Y378" s="137">
        <f t="shared" si="154"/>
        <v>0</v>
      </c>
      <c r="Z378" s="137">
        <f t="shared" si="154"/>
        <v>0</v>
      </c>
      <c r="AA378" s="137">
        <f t="shared" si="154"/>
        <v>0</v>
      </c>
      <c r="AB378" s="137">
        <f t="shared" si="154"/>
        <v>0</v>
      </c>
      <c r="AC378" s="137">
        <f t="shared" si="154"/>
        <v>0</v>
      </c>
      <c r="AD378" s="137">
        <f t="shared" si="154"/>
        <v>0</v>
      </c>
      <c r="AE378" s="137">
        <f t="shared" si="154"/>
        <v>0</v>
      </c>
      <c r="AF378" s="138"/>
      <c r="AG378" s="138"/>
      <c r="AH378" s="138"/>
      <c r="AI378" s="138"/>
    </row>
    <row r="379" spans="2:35" customFormat="1" ht="15" x14ac:dyDescent="0.25">
      <c r="B379" s="14" t="s">
        <v>2787</v>
      </c>
      <c r="C379" s="14" t="s">
        <v>2672</v>
      </c>
      <c r="D379" s="15" t="s">
        <v>2788</v>
      </c>
      <c r="E379" s="16" t="s">
        <v>2065</v>
      </c>
      <c r="F379" s="14" t="s">
        <v>2696</v>
      </c>
      <c r="G379" s="17"/>
      <c r="H379" s="17"/>
      <c r="K379" s="136"/>
      <c r="L379" s="139">
        <f t="shared" ref="L379:AE379" si="155">SUMPRODUCT(L$252:L$259*(1-EXP(-L$262:L$269*L$378)))+SUMPRODUCT(L$308:L$323*(1-EXP(-L$272:L$287*L$378)))</f>
        <v>0</v>
      </c>
      <c r="M379" s="139">
        <f t="shared" si="155"/>
        <v>0</v>
      </c>
      <c r="N379" s="139">
        <f t="shared" si="155"/>
        <v>0</v>
      </c>
      <c r="O379" s="139">
        <f t="shared" si="155"/>
        <v>0</v>
      </c>
      <c r="P379" s="139">
        <f t="shared" si="155"/>
        <v>0</v>
      </c>
      <c r="Q379" s="139">
        <f t="shared" si="155"/>
        <v>0</v>
      </c>
      <c r="R379" s="139">
        <f t="shared" si="155"/>
        <v>0</v>
      </c>
      <c r="S379" s="139">
        <f t="shared" si="155"/>
        <v>0</v>
      </c>
      <c r="T379" s="139">
        <f t="shared" si="155"/>
        <v>0</v>
      </c>
      <c r="U379" s="139">
        <f t="shared" si="155"/>
        <v>0</v>
      </c>
      <c r="V379" s="139">
        <f t="shared" si="155"/>
        <v>0</v>
      </c>
      <c r="W379" s="139">
        <f t="shared" si="155"/>
        <v>0</v>
      </c>
      <c r="X379" s="139">
        <f t="shared" si="155"/>
        <v>0</v>
      </c>
      <c r="Y379" s="139">
        <f t="shared" si="155"/>
        <v>0</v>
      </c>
      <c r="Z379" s="139">
        <f t="shared" si="155"/>
        <v>0</v>
      </c>
      <c r="AA379" s="139">
        <f t="shared" si="155"/>
        <v>0</v>
      </c>
      <c r="AB379" s="139">
        <f t="shared" si="155"/>
        <v>0</v>
      </c>
      <c r="AC379" s="139">
        <f t="shared" si="155"/>
        <v>0</v>
      </c>
      <c r="AD379" s="139">
        <f t="shared" si="155"/>
        <v>0</v>
      </c>
      <c r="AE379" s="139">
        <f t="shared" si="155"/>
        <v>0</v>
      </c>
      <c r="AF379" s="138"/>
      <c r="AG379" s="138"/>
      <c r="AH379" s="138"/>
      <c r="AI379" s="138"/>
    </row>
    <row r="380" spans="2:35" customFormat="1" ht="15" x14ac:dyDescent="0.25">
      <c r="B380" s="14" t="s">
        <v>2789</v>
      </c>
      <c r="C380" s="14" t="s">
        <v>2672</v>
      </c>
      <c r="D380" s="15" t="s">
        <v>2790</v>
      </c>
      <c r="E380" s="16" t="s">
        <v>1854</v>
      </c>
      <c r="F380" s="14" t="s">
        <v>2699</v>
      </c>
      <c r="G380" s="17"/>
      <c r="H380" s="17"/>
      <c r="K380" s="136"/>
      <c r="L380" s="137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37">
        <f t="shared" si="156"/>
        <v>0</v>
      </c>
      <c r="N380" s="137">
        <f t="shared" si="156"/>
        <v>0</v>
      </c>
      <c r="O380" s="137">
        <f t="shared" si="156"/>
        <v>0</v>
      </c>
      <c r="P380" s="137">
        <f t="shared" si="156"/>
        <v>0</v>
      </c>
      <c r="Q380" s="137">
        <f t="shared" si="156"/>
        <v>0</v>
      </c>
      <c r="R380" s="137">
        <f t="shared" si="156"/>
        <v>0</v>
      </c>
      <c r="S380" s="137">
        <f t="shared" si="156"/>
        <v>0</v>
      </c>
      <c r="T380" s="137">
        <f t="shared" si="156"/>
        <v>0</v>
      </c>
      <c r="U380" s="137">
        <f t="shared" si="156"/>
        <v>0</v>
      </c>
      <c r="V380" s="137">
        <f t="shared" si="156"/>
        <v>0</v>
      </c>
      <c r="W380" s="137">
        <f t="shared" si="156"/>
        <v>0</v>
      </c>
      <c r="X380" s="137">
        <f t="shared" si="156"/>
        <v>0</v>
      </c>
      <c r="Y380" s="137">
        <f t="shared" si="156"/>
        <v>0</v>
      </c>
      <c r="Z380" s="137">
        <f t="shared" si="156"/>
        <v>0</v>
      </c>
      <c r="AA380" s="137">
        <f t="shared" si="156"/>
        <v>0</v>
      </c>
      <c r="AB380" s="137">
        <f t="shared" si="156"/>
        <v>0</v>
      </c>
      <c r="AC380" s="137">
        <f t="shared" si="156"/>
        <v>0</v>
      </c>
      <c r="AD380" s="137">
        <f t="shared" si="156"/>
        <v>0</v>
      </c>
      <c r="AE380" s="137">
        <f t="shared" si="156"/>
        <v>0</v>
      </c>
      <c r="AF380" s="138"/>
      <c r="AG380" s="138"/>
      <c r="AH380" s="138"/>
      <c r="AI380" s="138"/>
    </row>
    <row r="381" spans="2:35" customFormat="1" ht="15" x14ac:dyDescent="0.25">
      <c r="B381" s="14" t="s">
        <v>2791</v>
      </c>
      <c r="C381" s="14" t="s">
        <v>2672</v>
      </c>
      <c r="D381" s="15" t="s">
        <v>2792</v>
      </c>
      <c r="E381" s="16" t="s">
        <v>2702</v>
      </c>
      <c r="F381" s="14" t="s">
        <v>2703</v>
      </c>
      <c r="G381" s="17"/>
      <c r="H381" s="17"/>
      <c r="K381" s="136"/>
      <c r="L381" s="139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39">
        <f t="shared" si="157"/>
        <v>0</v>
      </c>
      <c r="N381" s="139">
        <f t="shared" si="157"/>
        <v>0</v>
      </c>
      <c r="O381" s="139">
        <f t="shared" si="157"/>
        <v>0</v>
      </c>
      <c r="P381" s="139">
        <f t="shared" si="157"/>
        <v>0</v>
      </c>
      <c r="Q381" s="139">
        <f t="shared" si="157"/>
        <v>0</v>
      </c>
      <c r="R381" s="139">
        <f t="shared" si="157"/>
        <v>0</v>
      </c>
      <c r="S381" s="139">
        <f t="shared" si="157"/>
        <v>0</v>
      </c>
      <c r="T381" s="139">
        <f t="shared" si="157"/>
        <v>0</v>
      </c>
      <c r="U381" s="139">
        <f t="shared" si="157"/>
        <v>0</v>
      </c>
      <c r="V381" s="139">
        <f t="shared" si="157"/>
        <v>0</v>
      </c>
      <c r="W381" s="139">
        <f t="shared" si="157"/>
        <v>0</v>
      </c>
      <c r="X381" s="139">
        <f t="shared" si="157"/>
        <v>0</v>
      </c>
      <c r="Y381" s="139">
        <f t="shared" si="157"/>
        <v>0</v>
      </c>
      <c r="Z381" s="139">
        <f t="shared" si="157"/>
        <v>0</v>
      </c>
      <c r="AA381" s="139">
        <f t="shared" si="157"/>
        <v>0</v>
      </c>
      <c r="AB381" s="139">
        <f t="shared" si="157"/>
        <v>0</v>
      </c>
      <c r="AC381" s="139">
        <f t="shared" si="157"/>
        <v>0</v>
      </c>
      <c r="AD381" s="139">
        <f t="shared" si="157"/>
        <v>0</v>
      </c>
      <c r="AE381" s="139">
        <f t="shared" si="157"/>
        <v>0</v>
      </c>
      <c r="AF381" s="138"/>
      <c r="AG381" s="138"/>
      <c r="AH381" s="138"/>
      <c r="AI381" s="138"/>
    </row>
    <row r="382" spans="2:35" customFormat="1" ht="15" x14ac:dyDescent="0.25">
      <c r="B382" s="14" t="s">
        <v>2793</v>
      </c>
      <c r="C382" s="14" t="s">
        <v>2672</v>
      </c>
      <c r="D382" s="15" t="s">
        <v>2794</v>
      </c>
      <c r="E382" s="16" t="s">
        <v>1398</v>
      </c>
      <c r="F382" s="14" t="s">
        <v>2706</v>
      </c>
      <c r="G382" s="17"/>
      <c r="H382" s="17"/>
      <c r="K382" s="136"/>
      <c r="L382" s="137">
        <f t="shared" ref="L382:AE382" si="158">IF(L$329&lt;=0,0,IF(L$381&lt;=0,L$378,MIN($F$5,IF(L$378-(L$380-L$329)/L$381&lt;=0,L$378/2,L$378-(L$380-L$329)/L$381))))</f>
        <v>0</v>
      </c>
      <c r="M382" s="137">
        <f t="shared" si="158"/>
        <v>0</v>
      </c>
      <c r="N382" s="137">
        <f t="shared" si="158"/>
        <v>0</v>
      </c>
      <c r="O382" s="137">
        <f t="shared" si="158"/>
        <v>0</v>
      </c>
      <c r="P382" s="137">
        <f t="shared" si="158"/>
        <v>0</v>
      </c>
      <c r="Q382" s="137">
        <f t="shared" si="158"/>
        <v>0</v>
      </c>
      <c r="R382" s="137">
        <f t="shared" si="158"/>
        <v>0</v>
      </c>
      <c r="S382" s="137">
        <f t="shared" si="158"/>
        <v>0</v>
      </c>
      <c r="T382" s="137">
        <f t="shared" si="158"/>
        <v>0</v>
      </c>
      <c r="U382" s="137">
        <f t="shared" si="158"/>
        <v>0</v>
      </c>
      <c r="V382" s="137">
        <f t="shared" si="158"/>
        <v>0</v>
      </c>
      <c r="W382" s="137">
        <f t="shared" si="158"/>
        <v>0</v>
      </c>
      <c r="X382" s="137">
        <f t="shared" si="158"/>
        <v>0</v>
      </c>
      <c r="Y382" s="137">
        <f t="shared" si="158"/>
        <v>0</v>
      </c>
      <c r="Z382" s="137">
        <f t="shared" si="158"/>
        <v>0</v>
      </c>
      <c r="AA382" s="137">
        <f t="shared" si="158"/>
        <v>0</v>
      </c>
      <c r="AB382" s="137">
        <f t="shared" si="158"/>
        <v>0</v>
      </c>
      <c r="AC382" s="137">
        <f t="shared" si="158"/>
        <v>0</v>
      </c>
      <c r="AD382" s="137">
        <f t="shared" si="158"/>
        <v>0</v>
      </c>
      <c r="AE382" s="137">
        <f t="shared" si="158"/>
        <v>0</v>
      </c>
      <c r="AF382" s="138"/>
      <c r="AG382" s="138"/>
      <c r="AH382" s="138"/>
      <c r="AI382" s="138"/>
    </row>
    <row r="383" spans="2:35" customFormat="1" ht="15" x14ac:dyDescent="0.25">
      <c r="B383" s="14" t="s">
        <v>2795</v>
      </c>
      <c r="C383" s="14" t="s">
        <v>2672</v>
      </c>
      <c r="D383" s="15" t="s">
        <v>2796</v>
      </c>
      <c r="E383" s="16" t="s">
        <v>2065</v>
      </c>
      <c r="F383" s="14" t="s">
        <v>2696</v>
      </c>
      <c r="G383" s="17"/>
      <c r="H383" s="17"/>
      <c r="K383" s="136"/>
      <c r="L383" s="139">
        <f t="shared" ref="L383:AE383" si="159">SUMPRODUCT(L$252:L$259*(1-EXP(-L$262:L$269*L$382)))+SUMPRODUCT(L$308:L$323*(1-EXP(-L$272:L$287*L$382)))</f>
        <v>0</v>
      </c>
      <c r="M383" s="139">
        <f t="shared" si="159"/>
        <v>0</v>
      </c>
      <c r="N383" s="139">
        <f t="shared" si="159"/>
        <v>0</v>
      </c>
      <c r="O383" s="139">
        <f t="shared" si="159"/>
        <v>0</v>
      </c>
      <c r="P383" s="139">
        <f t="shared" si="159"/>
        <v>0</v>
      </c>
      <c r="Q383" s="139">
        <f t="shared" si="159"/>
        <v>0</v>
      </c>
      <c r="R383" s="139">
        <f t="shared" si="159"/>
        <v>0</v>
      </c>
      <c r="S383" s="139">
        <f t="shared" si="159"/>
        <v>0</v>
      </c>
      <c r="T383" s="139">
        <f t="shared" si="159"/>
        <v>0</v>
      </c>
      <c r="U383" s="139">
        <f t="shared" si="159"/>
        <v>0</v>
      </c>
      <c r="V383" s="139">
        <f t="shared" si="159"/>
        <v>0</v>
      </c>
      <c r="W383" s="139">
        <f t="shared" si="159"/>
        <v>0</v>
      </c>
      <c r="X383" s="139">
        <f t="shared" si="159"/>
        <v>0</v>
      </c>
      <c r="Y383" s="139">
        <f t="shared" si="159"/>
        <v>0</v>
      </c>
      <c r="Z383" s="139">
        <f t="shared" si="159"/>
        <v>0</v>
      </c>
      <c r="AA383" s="139">
        <f t="shared" si="159"/>
        <v>0</v>
      </c>
      <c r="AB383" s="139">
        <f t="shared" si="159"/>
        <v>0</v>
      </c>
      <c r="AC383" s="139">
        <f t="shared" si="159"/>
        <v>0</v>
      </c>
      <c r="AD383" s="139">
        <f t="shared" si="159"/>
        <v>0</v>
      </c>
      <c r="AE383" s="139">
        <f t="shared" si="159"/>
        <v>0</v>
      </c>
      <c r="AF383" s="138"/>
      <c r="AG383" s="138"/>
      <c r="AH383" s="138"/>
      <c r="AI383" s="138"/>
    </row>
    <row r="384" spans="2:35" customFormat="1" ht="15" x14ac:dyDescent="0.25">
      <c r="B384" s="14" t="s">
        <v>2797</v>
      </c>
      <c r="C384" s="14" t="s">
        <v>2672</v>
      </c>
      <c r="D384" s="15" t="s">
        <v>2798</v>
      </c>
      <c r="E384" s="16" t="s">
        <v>1854</v>
      </c>
      <c r="F384" s="14" t="s">
        <v>2699</v>
      </c>
      <c r="G384" s="17"/>
      <c r="H384" s="17"/>
      <c r="K384" s="136"/>
      <c r="L384" s="137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37">
        <f t="shared" si="160"/>
        <v>0</v>
      </c>
      <c r="N384" s="137">
        <f t="shared" si="160"/>
        <v>0</v>
      </c>
      <c r="O384" s="137">
        <f t="shared" si="160"/>
        <v>0</v>
      </c>
      <c r="P384" s="137">
        <f t="shared" si="160"/>
        <v>0</v>
      </c>
      <c r="Q384" s="137">
        <f t="shared" si="160"/>
        <v>0</v>
      </c>
      <c r="R384" s="137">
        <f t="shared" si="160"/>
        <v>0</v>
      </c>
      <c r="S384" s="137">
        <f t="shared" si="160"/>
        <v>0</v>
      </c>
      <c r="T384" s="137">
        <f t="shared" si="160"/>
        <v>0</v>
      </c>
      <c r="U384" s="137">
        <f t="shared" si="160"/>
        <v>0</v>
      </c>
      <c r="V384" s="137">
        <f t="shared" si="160"/>
        <v>0</v>
      </c>
      <c r="W384" s="137">
        <f t="shared" si="160"/>
        <v>0</v>
      </c>
      <c r="X384" s="137">
        <f t="shared" si="160"/>
        <v>0</v>
      </c>
      <c r="Y384" s="137">
        <f t="shared" si="160"/>
        <v>0</v>
      </c>
      <c r="Z384" s="137">
        <f t="shared" si="160"/>
        <v>0</v>
      </c>
      <c r="AA384" s="137">
        <f t="shared" si="160"/>
        <v>0</v>
      </c>
      <c r="AB384" s="137">
        <f t="shared" si="160"/>
        <v>0</v>
      </c>
      <c r="AC384" s="137">
        <f t="shared" si="160"/>
        <v>0</v>
      </c>
      <c r="AD384" s="137">
        <f t="shared" si="160"/>
        <v>0</v>
      </c>
      <c r="AE384" s="137">
        <f t="shared" si="160"/>
        <v>0</v>
      </c>
      <c r="AF384" s="138"/>
      <c r="AG384" s="138"/>
      <c r="AH384" s="138"/>
      <c r="AI384" s="138"/>
    </row>
    <row r="385" spans="1:35" customFormat="1" ht="15" x14ac:dyDescent="0.25">
      <c r="B385" s="14" t="s">
        <v>2799</v>
      </c>
      <c r="C385" s="14" t="s">
        <v>2672</v>
      </c>
      <c r="D385" s="15" t="s">
        <v>2800</v>
      </c>
      <c r="E385" s="16" t="s">
        <v>2702</v>
      </c>
      <c r="F385" s="14" t="s">
        <v>2703</v>
      </c>
      <c r="G385" s="17"/>
      <c r="H385" s="17"/>
      <c r="K385" s="136"/>
      <c r="L385" s="139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39">
        <f t="shared" si="161"/>
        <v>0</v>
      </c>
      <c r="N385" s="139">
        <f t="shared" si="161"/>
        <v>0</v>
      </c>
      <c r="O385" s="139">
        <f t="shared" si="161"/>
        <v>0</v>
      </c>
      <c r="P385" s="139">
        <f t="shared" si="161"/>
        <v>0</v>
      </c>
      <c r="Q385" s="139">
        <f t="shared" si="161"/>
        <v>0</v>
      </c>
      <c r="R385" s="139">
        <f t="shared" si="161"/>
        <v>0</v>
      </c>
      <c r="S385" s="139">
        <f t="shared" si="161"/>
        <v>0</v>
      </c>
      <c r="T385" s="139">
        <f t="shared" si="161"/>
        <v>0</v>
      </c>
      <c r="U385" s="139">
        <f t="shared" si="161"/>
        <v>0</v>
      </c>
      <c r="V385" s="139">
        <f t="shared" si="161"/>
        <v>0</v>
      </c>
      <c r="W385" s="139">
        <f t="shared" si="161"/>
        <v>0</v>
      </c>
      <c r="X385" s="139">
        <f t="shared" si="161"/>
        <v>0</v>
      </c>
      <c r="Y385" s="139">
        <f t="shared" si="161"/>
        <v>0</v>
      </c>
      <c r="Z385" s="139">
        <f t="shared" si="161"/>
        <v>0</v>
      </c>
      <c r="AA385" s="139">
        <f t="shared" si="161"/>
        <v>0</v>
      </c>
      <c r="AB385" s="139">
        <f t="shared" si="161"/>
        <v>0</v>
      </c>
      <c r="AC385" s="139">
        <f t="shared" si="161"/>
        <v>0</v>
      </c>
      <c r="AD385" s="139">
        <f t="shared" si="161"/>
        <v>0</v>
      </c>
      <c r="AE385" s="139">
        <f t="shared" si="161"/>
        <v>0</v>
      </c>
      <c r="AF385" s="138"/>
      <c r="AG385" s="138"/>
      <c r="AH385" s="138"/>
      <c r="AI385" s="138"/>
    </row>
    <row r="386" spans="1:35" customFormat="1" ht="15" x14ac:dyDescent="0.25">
      <c r="B386" s="14" t="s">
        <v>2801</v>
      </c>
      <c r="C386" s="14" t="s">
        <v>2672</v>
      </c>
      <c r="D386" s="15" t="s">
        <v>2802</v>
      </c>
      <c r="E386" s="16" t="s">
        <v>1398</v>
      </c>
      <c r="F386" s="14" t="s">
        <v>2706</v>
      </c>
      <c r="G386" s="17"/>
      <c r="H386" s="17"/>
      <c r="K386" s="136"/>
      <c r="L386" s="137">
        <f t="shared" ref="L386:AE386" si="162">IF(L$329&lt;=0,0,IF(L$385&lt;=0,L$382,MIN($F$5,IF(L$382-(L$384-L$329)/L$385&lt;=0,L$382/2,L$382-(L$384-L$329)/L$385))))</f>
        <v>0</v>
      </c>
      <c r="M386" s="137">
        <f t="shared" si="162"/>
        <v>0</v>
      </c>
      <c r="N386" s="137">
        <f t="shared" si="162"/>
        <v>0</v>
      </c>
      <c r="O386" s="137">
        <f t="shared" si="162"/>
        <v>0</v>
      </c>
      <c r="P386" s="137">
        <f t="shared" si="162"/>
        <v>0</v>
      </c>
      <c r="Q386" s="137">
        <f t="shared" si="162"/>
        <v>0</v>
      </c>
      <c r="R386" s="137">
        <f t="shared" si="162"/>
        <v>0</v>
      </c>
      <c r="S386" s="137">
        <f t="shared" si="162"/>
        <v>0</v>
      </c>
      <c r="T386" s="137">
        <f t="shared" si="162"/>
        <v>0</v>
      </c>
      <c r="U386" s="137">
        <f t="shared" si="162"/>
        <v>0</v>
      </c>
      <c r="V386" s="137">
        <f t="shared" si="162"/>
        <v>0</v>
      </c>
      <c r="W386" s="137">
        <f t="shared" si="162"/>
        <v>0</v>
      </c>
      <c r="X386" s="137">
        <f t="shared" si="162"/>
        <v>0</v>
      </c>
      <c r="Y386" s="137">
        <f t="shared" si="162"/>
        <v>0</v>
      </c>
      <c r="Z386" s="137">
        <f t="shared" si="162"/>
        <v>0</v>
      </c>
      <c r="AA386" s="137">
        <f t="shared" si="162"/>
        <v>0</v>
      </c>
      <c r="AB386" s="137">
        <f t="shared" si="162"/>
        <v>0</v>
      </c>
      <c r="AC386" s="137">
        <f t="shared" si="162"/>
        <v>0</v>
      </c>
      <c r="AD386" s="137">
        <f t="shared" si="162"/>
        <v>0</v>
      </c>
      <c r="AE386" s="137">
        <f t="shared" si="162"/>
        <v>0</v>
      </c>
      <c r="AF386" s="138"/>
      <c r="AG386" s="138"/>
      <c r="AH386" s="138"/>
      <c r="AI386" s="138"/>
    </row>
    <row r="387" spans="1:35" customFormat="1" ht="15" x14ac:dyDescent="0.25">
      <c r="B387" s="14" t="s">
        <v>2803</v>
      </c>
      <c r="C387" s="14" t="s">
        <v>2672</v>
      </c>
      <c r="D387" s="15" t="s">
        <v>2804</v>
      </c>
      <c r="E387" s="16" t="s">
        <v>2065</v>
      </c>
      <c r="F387" s="14" t="s">
        <v>2696</v>
      </c>
      <c r="G387" s="17"/>
      <c r="H387" s="17"/>
      <c r="K387" s="136"/>
      <c r="L387" s="139">
        <f t="shared" ref="L387:AE387" si="163">SUMPRODUCT(L$252:L$259*(1-EXP(-L$262:L$269*L$386)))+SUMPRODUCT(L$308:L$323*(1-EXP(-L$272:L$287*L$386)))</f>
        <v>0</v>
      </c>
      <c r="M387" s="139">
        <f t="shared" si="163"/>
        <v>0</v>
      </c>
      <c r="N387" s="139">
        <f t="shared" si="163"/>
        <v>0</v>
      </c>
      <c r="O387" s="139">
        <f t="shared" si="163"/>
        <v>0</v>
      </c>
      <c r="P387" s="139">
        <f t="shared" si="163"/>
        <v>0</v>
      </c>
      <c r="Q387" s="139">
        <f t="shared" si="163"/>
        <v>0</v>
      </c>
      <c r="R387" s="139">
        <f t="shared" si="163"/>
        <v>0</v>
      </c>
      <c r="S387" s="139">
        <f t="shared" si="163"/>
        <v>0</v>
      </c>
      <c r="T387" s="139">
        <f t="shared" si="163"/>
        <v>0</v>
      </c>
      <c r="U387" s="139">
        <f t="shared" si="163"/>
        <v>0</v>
      </c>
      <c r="V387" s="139">
        <f t="shared" si="163"/>
        <v>0</v>
      </c>
      <c r="W387" s="139">
        <f t="shared" si="163"/>
        <v>0</v>
      </c>
      <c r="X387" s="139">
        <f t="shared" si="163"/>
        <v>0</v>
      </c>
      <c r="Y387" s="139">
        <f t="shared" si="163"/>
        <v>0</v>
      </c>
      <c r="Z387" s="139">
        <f t="shared" si="163"/>
        <v>0</v>
      </c>
      <c r="AA387" s="139">
        <f t="shared" si="163"/>
        <v>0</v>
      </c>
      <c r="AB387" s="139">
        <f t="shared" si="163"/>
        <v>0</v>
      </c>
      <c r="AC387" s="139">
        <f t="shared" si="163"/>
        <v>0</v>
      </c>
      <c r="AD387" s="139">
        <f t="shared" si="163"/>
        <v>0</v>
      </c>
      <c r="AE387" s="139">
        <f t="shared" si="163"/>
        <v>0</v>
      </c>
      <c r="AF387" s="138"/>
      <c r="AG387" s="138"/>
      <c r="AH387" s="138"/>
      <c r="AI387" s="138"/>
    </row>
    <row r="388" spans="1:35" customFormat="1" ht="15" x14ac:dyDescent="0.25">
      <c r="B388" s="14" t="s">
        <v>2805</v>
      </c>
      <c r="C388" s="14" t="s">
        <v>2672</v>
      </c>
      <c r="D388" s="15" t="s">
        <v>2806</v>
      </c>
      <c r="E388" s="16" t="s">
        <v>1854</v>
      </c>
      <c r="F388" s="14" t="s">
        <v>2699</v>
      </c>
      <c r="G388" s="17"/>
      <c r="H388" s="17"/>
      <c r="K388" s="136"/>
      <c r="L388" s="137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37">
        <f t="shared" si="164"/>
        <v>0</v>
      </c>
      <c r="N388" s="137">
        <f t="shared" si="164"/>
        <v>0</v>
      </c>
      <c r="O388" s="137">
        <f t="shared" si="164"/>
        <v>0</v>
      </c>
      <c r="P388" s="137">
        <f t="shared" si="164"/>
        <v>0</v>
      </c>
      <c r="Q388" s="137">
        <f t="shared" si="164"/>
        <v>0</v>
      </c>
      <c r="R388" s="137">
        <f t="shared" si="164"/>
        <v>0</v>
      </c>
      <c r="S388" s="137">
        <f t="shared" si="164"/>
        <v>0</v>
      </c>
      <c r="T388" s="137">
        <f t="shared" si="164"/>
        <v>0</v>
      </c>
      <c r="U388" s="137">
        <f t="shared" si="164"/>
        <v>0</v>
      </c>
      <c r="V388" s="137">
        <f t="shared" si="164"/>
        <v>0</v>
      </c>
      <c r="W388" s="137">
        <f t="shared" si="164"/>
        <v>0</v>
      </c>
      <c r="X388" s="137">
        <f t="shared" si="164"/>
        <v>0</v>
      </c>
      <c r="Y388" s="137">
        <f t="shared" si="164"/>
        <v>0</v>
      </c>
      <c r="Z388" s="137">
        <f t="shared" si="164"/>
        <v>0</v>
      </c>
      <c r="AA388" s="137">
        <f t="shared" si="164"/>
        <v>0</v>
      </c>
      <c r="AB388" s="137">
        <f t="shared" si="164"/>
        <v>0</v>
      </c>
      <c r="AC388" s="137">
        <f t="shared" si="164"/>
        <v>0</v>
      </c>
      <c r="AD388" s="137">
        <f t="shared" si="164"/>
        <v>0</v>
      </c>
      <c r="AE388" s="137">
        <f t="shared" si="164"/>
        <v>0</v>
      </c>
      <c r="AF388" s="138"/>
      <c r="AG388" s="138"/>
      <c r="AH388" s="138"/>
      <c r="AI388" s="138"/>
    </row>
    <row r="389" spans="1:35" customFormat="1" ht="15" x14ac:dyDescent="0.25">
      <c r="B389" s="14" t="s">
        <v>2807</v>
      </c>
      <c r="C389" s="14" t="s">
        <v>2672</v>
      </c>
      <c r="D389" s="15" t="s">
        <v>2808</v>
      </c>
      <c r="E389" s="16" t="s">
        <v>2702</v>
      </c>
      <c r="F389" s="14" t="s">
        <v>2703</v>
      </c>
      <c r="G389" s="17"/>
      <c r="H389" s="17"/>
      <c r="K389" s="136"/>
      <c r="L389" s="139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39">
        <f t="shared" si="165"/>
        <v>0</v>
      </c>
      <c r="N389" s="139">
        <f t="shared" si="165"/>
        <v>0</v>
      </c>
      <c r="O389" s="139">
        <f t="shared" si="165"/>
        <v>0</v>
      </c>
      <c r="P389" s="139">
        <f t="shared" si="165"/>
        <v>0</v>
      </c>
      <c r="Q389" s="139">
        <f t="shared" si="165"/>
        <v>0</v>
      </c>
      <c r="R389" s="139">
        <f t="shared" si="165"/>
        <v>0</v>
      </c>
      <c r="S389" s="139">
        <f t="shared" si="165"/>
        <v>0</v>
      </c>
      <c r="T389" s="139">
        <f t="shared" si="165"/>
        <v>0</v>
      </c>
      <c r="U389" s="139">
        <f t="shared" si="165"/>
        <v>0</v>
      </c>
      <c r="V389" s="139">
        <f t="shared" si="165"/>
        <v>0</v>
      </c>
      <c r="W389" s="139">
        <f t="shared" si="165"/>
        <v>0</v>
      </c>
      <c r="X389" s="139">
        <f t="shared" si="165"/>
        <v>0</v>
      </c>
      <c r="Y389" s="139">
        <f t="shared" si="165"/>
        <v>0</v>
      </c>
      <c r="Z389" s="139">
        <f t="shared" si="165"/>
        <v>0</v>
      </c>
      <c r="AA389" s="139">
        <f t="shared" si="165"/>
        <v>0</v>
      </c>
      <c r="AB389" s="139">
        <f t="shared" si="165"/>
        <v>0</v>
      </c>
      <c r="AC389" s="139">
        <f t="shared" si="165"/>
        <v>0</v>
      </c>
      <c r="AD389" s="139">
        <f t="shared" si="165"/>
        <v>0</v>
      </c>
      <c r="AE389" s="139">
        <f t="shared" si="165"/>
        <v>0</v>
      </c>
      <c r="AF389" s="138"/>
      <c r="AG389" s="138"/>
      <c r="AH389" s="138"/>
      <c r="AI389" s="138"/>
    </row>
    <row r="390" spans="1:35" customFormat="1" ht="15" x14ac:dyDescent="0.25">
      <c r="B390" s="14" t="s">
        <v>2809</v>
      </c>
      <c r="C390" s="14" t="s">
        <v>2672</v>
      </c>
      <c r="D390" s="15" t="s">
        <v>2810</v>
      </c>
      <c r="E390" s="16" t="s">
        <v>1398</v>
      </c>
      <c r="F390" s="14" t="s">
        <v>2706</v>
      </c>
      <c r="G390" s="17"/>
      <c r="H390" s="17"/>
      <c r="K390" s="136"/>
      <c r="L390" s="137">
        <f t="shared" ref="L390:AE390" si="166">IF(L$329&lt;=0,0,IF(L$389&lt;=0,L$386,MIN($F$5,IF(L$386-(L$388-L$329)/L$389&lt;=0,L$386/2,L$386-(L$388-L$329)/L$389))))</f>
        <v>0</v>
      </c>
      <c r="M390" s="137">
        <f t="shared" si="166"/>
        <v>0</v>
      </c>
      <c r="N390" s="137">
        <f t="shared" si="166"/>
        <v>0</v>
      </c>
      <c r="O390" s="137">
        <f t="shared" si="166"/>
        <v>0</v>
      </c>
      <c r="P390" s="137">
        <f t="shared" si="166"/>
        <v>0</v>
      </c>
      <c r="Q390" s="137">
        <f t="shared" si="166"/>
        <v>0</v>
      </c>
      <c r="R390" s="137">
        <f t="shared" si="166"/>
        <v>0</v>
      </c>
      <c r="S390" s="137">
        <f t="shared" si="166"/>
        <v>0</v>
      </c>
      <c r="T390" s="137">
        <f t="shared" si="166"/>
        <v>0</v>
      </c>
      <c r="U390" s="137">
        <f t="shared" si="166"/>
        <v>0</v>
      </c>
      <c r="V390" s="137">
        <f t="shared" si="166"/>
        <v>0</v>
      </c>
      <c r="W390" s="137">
        <f t="shared" si="166"/>
        <v>0</v>
      </c>
      <c r="X390" s="137">
        <f t="shared" si="166"/>
        <v>0</v>
      </c>
      <c r="Y390" s="137">
        <f t="shared" si="166"/>
        <v>0</v>
      </c>
      <c r="Z390" s="137">
        <f t="shared" si="166"/>
        <v>0</v>
      </c>
      <c r="AA390" s="137">
        <f t="shared" si="166"/>
        <v>0</v>
      </c>
      <c r="AB390" s="137">
        <f t="shared" si="166"/>
        <v>0</v>
      </c>
      <c r="AC390" s="137">
        <f t="shared" si="166"/>
        <v>0</v>
      </c>
      <c r="AD390" s="137">
        <f t="shared" si="166"/>
        <v>0</v>
      </c>
      <c r="AE390" s="137">
        <f t="shared" si="166"/>
        <v>0</v>
      </c>
      <c r="AF390" s="138"/>
      <c r="AG390" s="138"/>
      <c r="AH390" s="138"/>
      <c r="AI390" s="138"/>
    </row>
    <row r="391" spans="1:35" customFormat="1" ht="15" x14ac:dyDescent="0.25">
      <c r="B391" s="14" t="s">
        <v>2811</v>
      </c>
      <c r="C391" s="14" t="s">
        <v>2672</v>
      </c>
      <c r="D391" s="15" t="s">
        <v>2812</v>
      </c>
      <c r="E391" s="16" t="s">
        <v>2065</v>
      </c>
      <c r="F391" s="14" t="s">
        <v>2696</v>
      </c>
      <c r="G391" s="17"/>
      <c r="H391" s="17"/>
      <c r="K391" s="136"/>
      <c r="L391" s="139">
        <f t="shared" ref="L391:AE391" si="167">SUMPRODUCT(L$252:L$259*(1-EXP(-L$262:L$269*L$390)))+SUMPRODUCT(L$308:L$323*(1-EXP(-L$272:L$287*L$390)))</f>
        <v>0</v>
      </c>
      <c r="M391" s="139">
        <f t="shared" si="167"/>
        <v>0</v>
      </c>
      <c r="N391" s="139">
        <f t="shared" si="167"/>
        <v>0</v>
      </c>
      <c r="O391" s="139">
        <f t="shared" si="167"/>
        <v>0</v>
      </c>
      <c r="P391" s="139">
        <f t="shared" si="167"/>
        <v>0</v>
      </c>
      <c r="Q391" s="139">
        <f t="shared" si="167"/>
        <v>0</v>
      </c>
      <c r="R391" s="139">
        <f t="shared" si="167"/>
        <v>0</v>
      </c>
      <c r="S391" s="139">
        <f t="shared" si="167"/>
        <v>0</v>
      </c>
      <c r="T391" s="139">
        <f t="shared" si="167"/>
        <v>0</v>
      </c>
      <c r="U391" s="139">
        <f t="shared" si="167"/>
        <v>0</v>
      </c>
      <c r="V391" s="139">
        <f t="shared" si="167"/>
        <v>0</v>
      </c>
      <c r="W391" s="139">
        <f t="shared" si="167"/>
        <v>0</v>
      </c>
      <c r="X391" s="139">
        <f t="shared" si="167"/>
        <v>0</v>
      </c>
      <c r="Y391" s="139">
        <f t="shared" si="167"/>
        <v>0</v>
      </c>
      <c r="Z391" s="139">
        <f t="shared" si="167"/>
        <v>0</v>
      </c>
      <c r="AA391" s="139">
        <f t="shared" si="167"/>
        <v>0</v>
      </c>
      <c r="AB391" s="139">
        <f t="shared" si="167"/>
        <v>0</v>
      </c>
      <c r="AC391" s="139">
        <f t="shared" si="167"/>
        <v>0</v>
      </c>
      <c r="AD391" s="139">
        <f t="shared" si="167"/>
        <v>0</v>
      </c>
      <c r="AE391" s="139">
        <f t="shared" si="167"/>
        <v>0</v>
      </c>
      <c r="AF391" s="138"/>
      <c r="AG391" s="138"/>
      <c r="AH391" s="138"/>
      <c r="AI391" s="138"/>
    </row>
    <row r="392" spans="1:35" customFormat="1" ht="15" x14ac:dyDescent="0.25">
      <c r="B392" s="14" t="s">
        <v>2813</v>
      </c>
      <c r="C392" s="14" t="s">
        <v>2672</v>
      </c>
      <c r="D392" s="15" t="s">
        <v>2814</v>
      </c>
      <c r="E392" s="16" t="s">
        <v>1854</v>
      </c>
      <c r="F392" s="14" t="s">
        <v>2699</v>
      </c>
      <c r="G392" s="17"/>
      <c r="H392" s="17"/>
      <c r="K392" s="136"/>
      <c r="L392" s="137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37">
        <f t="shared" si="168"/>
        <v>0</v>
      </c>
      <c r="N392" s="137">
        <f t="shared" si="168"/>
        <v>0</v>
      </c>
      <c r="O392" s="137">
        <f t="shared" si="168"/>
        <v>0</v>
      </c>
      <c r="P392" s="137">
        <f t="shared" si="168"/>
        <v>0</v>
      </c>
      <c r="Q392" s="137">
        <f t="shared" si="168"/>
        <v>0</v>
      </c>
      <c r="R392" s="137">
        <f t="shared" si="168"/>
        <v>0</v>
      </c>
      <c r="S392" s="137">
        <f t="shared" si="168"/>
        <v>0</v>
      </c>
      <c r="T392" s="137">
        <f t="shared" si="168"/>
        <v>0</v>
      </c>
      <c r="U392" s="137">
        <f t="shared" si="168"/>
        <v>0</v>
      </c>
      <c r="V392" s="137">
        <f t="shared" si="168"/>
        <v>0</v>
      </c>
      <c r="W392" s="137">
        <f t="shared" si="168"/>
        <v>0</v>
      </c>
      <c r="X392" s="137">
        <f t="shared" si="168"/>
        <v>0</v>
      </c>
      <c r="Y392" s="137">
        <f t="shared" si="168"/>
        <v>0</v>
      </c>
      <c r="Z392" s="137">
        <f t="shared" si="168"/>
        <v>0</v>
      </c>
      <c r="AA392" s="137">
        <f t="shared" si="168"/>
        <v>0</v>
      </c>
      <c r="AB392" s="137">
        <f t="shared" si="168"/>
        <v>0</v>
      </c>
      <c r="AC392" s="137">
        <f t="shared" si="168"/>
        <v>0</v>
      </c>
      <c r="AD392" s="137">
        <f t="shared" si="168"/>
        <v>0</v>
      </c>
      <c r="AE392" s="137">
        <f t="shared" si="168"/>
        <v>0</v>
      </c>
      <c r="AF392" s="138"/>
      <c r="AG392" s="138"/>
      <c r="AH392" s="138"/>
      <c r="AI392" s="138"/>
    </row>
    <row r="393" spans="1:35" customFormat="1" ht="15" x14ac:dyDescent="0.25">
      <c r="B393" s="14" t="s">
        <v>2815</v>
      </c>
      <c r="C393" s="14" t="s">
        <v>2672</v>
      </c>
      <c r="D393" s="15" t="s">
        <v>2816</v>
      </c>
      <c r="E393" s="16" t="s">
        <v>2702</v>
      </c>
      <c r="F393" s="14" t="s">
        <v>2703</v>
      </c>
      <c r="G393" s="17"/>
      <c r="H393" s="17"/>
      <c r="K393" s="136"/>
      <c r="L393" s="139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39">
        <f t="shared" si="169"/>
        <v>0</v>
      </c>
      <c r="N393" s="139">
        <f t="shared" si="169"/>
        <v>0</v>
      </c>
      <c r="O393" s="139">
        <f t="shared" si="169"/>
        <v>0</v>
      </c>
      <c r="P393" s="139">
        <f t="shared" si="169"/>
        <v>0</v>
      </c>
      <c r="Q393" s="139">
        <f t="shared" si="169"/>
        <v>0</v>
      </c>
      <c r="R393" s="139">
        <f t="shared" si="169"/>
        <v>0</v>
      </c>
      <c r="S393" s="139">
        <f t="shared" si="169"/>
        <v>0</v>
      </c>
      <c r="T393" s="139">
        <f t="shared" si="169"/>
        <v>0</v>
      </c>
      <c r="U393" s="139">
        <f t="shared" si="169"/>
        <v>0</v>
      </c>
      <c r="V393" s="139">
        <f t="shared" si="169"/>
        <v>0</v>
      </c>
      <c r="W393" s="139">
        <f t="shared" si="169"/>
        <v>0</v>
      </c>
      <c r="X393" s="139">
        <f t="shared" si="169"/>
        <v>0</v>
      </c>
      <c r="Y393" s="139">
        <f t="shared" si="169"/>
        <v>0</v>
      </c>
      <c r="Z393" s="139">
        <f t="shared" si="169"/>
        <v>0</v>
      </c>
      <c r="AA393" s="139">
        <f t="shared" si="169"/>
        <v>0</v>
      </c>
      <c r="AB393" s="139">
        <f t="shared" si="169"/>
        <v>0</v>
      </c>
      <c r="AC393" s="139">
        <f t="shared" si="169"/>
        <v>0</v>
      </c>
      <c r="AD393" s="139">
        <f t="shared" si="169"/>
        <v>0</v>
      </c>
      <c r="AE393" s="139">
        <f t="shared" si="169"/>
        <v>0</v>
      </c>
      <c r="AF393" s="138"/>
      <c r="AG393" s="138"/>
      <c r="AH393" s="138"/>
      <c r="AI393" s="138"/>
    </row>
    <row r="394" spans="1:35" customFormat="1" ht="15" x14ac:dyDescent="0.25">
      <c r="B394" s="14" t="s">
        <v>2817</v>
      </c>
      <c r="C394" s="14" t="s">
        <v>2672</v>
      </c>
      <c r="D394" s="15" t="s">
        <v>2818</v>
      </c>
      <c r="E394" s="16" t="s">
        <v>1398</v>
      </c>
      <c r="F394" s="14" t="s">
        <v>2706</v>
      </c>
      <c r="G394" s="17"/>
      <c r="H394" s="17"/>
      <c r="K394" s="136"/>
      <c r="L394" s="137">
        <f t="shared" ref="L394:AE394" si="170">IF(L$329&lt;=0,0,IF(L$393&lt;=0,L$390,MIN($F$5,IF(L$390-(L$392-L$329)/L$393&lt;=0,L$390/2,L$390-(L$392-L$329)/L$393))))</f>
        <v>0</v>
      </c>
      <c r="M394" s="137">
        <f t="shared" si="170"/>
        <v>0</v>
      </c>
      <c r="N394" s="137">
        <f t="shared" si="170"/>
        <v>0</v>
      </c>
      <c r="O394" s="137">
        <f t="shared" si="170"/>
        <v>0</v>
      </c>
      <c r="P394" s="137">
        <f t="shared" si="170"/>
        <v>0</v>
      </c>
      <c r="Q394" s="137">
        <f t="shared" si="170"/>
        <v>0</v>
      </c>
      <c r="R394" s="137">
        <f t="shared" si="170"/>
        <v>0</v>
      </c>
      <c r="S394" s="137">
        <f t="shared" si="170"/>
        <v>0</v>
      </c>
      <c r="T394" s="137">
        <f t="shared" si="170"/>
        <v>0</v>
      </c>
      <c r="U394" s="137">
        <f t="shared" si="170"/>
        <v>0</v>
      </c>
      <c r="V394" s="137">
        <f t="shared" si="170"/>
        <v>0</v>
      </c>
      <c r="W394" s="137">
        <f t="shared" si="170"/>
        <v>0</v>
      </c>
      <c r="X394" s="137">
        <f t="shared" si="170"/>
        <v>0</v>
      </c>
      <c r="Y394" s="137">
        <f t="shared" si="170"/>
        <v>0</v>
      </c>
      <c r="Z394" s="137">
        <f t="shared" si="170"/>
        <v>0</v>
      </c>
      <c r="AA394" s="137">
        <f t="shared" si="170"/>
        <v>0</v>
      </c>
      <c r="AB394" s="137">
        <f t="shared" si="170"/>
        <v>0</v>
      </c>
      <c r="AC394" s="137">
        <f t="shared" si="170"/>
        <v>0</v>
      </c>
      <c r="AD394" s="137">
        <f t="shared" si="170"/>
        <v>0</v>
      </c>
      <c r="AE394" s="137">
        <f t="shared" si="170"/>
        <v>0</v>
      </c>
      <c r="AF394" s="138"/>
      <c r="AG394" s="138"/>
      <c r="AH394" s="138"/>
      <c r="AI394" s="138"/>
    </row>
    <row r="395" spans="1:35" x14ac:dyDescent="0.2"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</row>
    <row r="396" spans="1:35" customFormat="1" ht="15" x14ac:dyDescent="0.25">
      <c r="A396" s="11"/>
      <c r="B396" s="6"/>
      <c r="C396" s="7" t="s">
        <v>2819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4">
        <v>2021</v>
      </c>
      <c r="L396" s="135">
        <v>2022</v>
      </c>
      <c r="M396" s="134">
        <v>2023</v>
      </c>
      <c r="N396" s="134">
        <v>2024</v>
      </c>
      <c r="O396" s="134">
        <v>2025</v>
      </c>
      <c r="P396" s="134">
        <v>2026</v>
      </c>
      <c r="Q396" s="134">
        <v>2027</v>
      </c>
      <c r="R396" s="134">
        <v>2028</v>
      </c>
      <c r="S396" s="134">
        <v>2029</v>
      </c>
      <c r="T396" s="134">
        <v>2030</v>
      </c>
      <c r="U396" s="134">
        <v>2031</v>
      </c>
      <c r="V396" s="134">
        <v>2032</v>
      </c>
      <c r="W396" s="134">
        <v>2033</v>
      </c>
      <c r="X396" s="134">
        <v>2034</v>
      </c>
      <c r="Y396" s="134">
        <v>2035</v>
      </c>
      <c r="Z396" s="134">
        <v>2036</v>
      </c>
      <c r="AA396" s="134">
        <v>2037</v>
      </c>
      <c r="AB396" s="134">
        <v>2038</v>
      </c>
      <c r="AC396" s="134">
        <v>2039</v>
      </c>
      <c r="AD396" s="134">
        <v>2040</v>
      </c>
      <c r="AE396" s="134">
        <v>2041</v>
      </c>
      <c r="AF396" s="134">
        <v>2042</v>
      </c>
      <c r="AG396" s="134">
        <v>2043</v>
      </c>
      <c r="AH396" s="134">
        <v>2044</v>
      </c>
      <c r="AI396" s="134">
        <v>2045</v>
      </c>
    </row>
    <row r="397" spans="1:35" customFormat="1" ht="15" x14ac:dyDescent="0.25">
      <c r="B397" s="14" t="s">
        <v>1793</v>
      </c>
      <c r="C397" s="14" t="s">
        <v>2672</v>
      </c>
      <c r="D397" s="15" t="s">
        <v>2820</v>
      </c>
      <c r="E397" s="16" t="s">
        <v>1398</v>
      </c>
      <c r="F397" s="14" t="s">
        <v>1793</v>
      </c>
      <c r="G397" s="17"/>
      <c r="H397" s="125" t="str">
        <f>Settings!$B$3&amp;".mit.fundsp.cbam.tot.2"</f>
        <v>egy.mit.fundsp.cbam.tot.2</v>
      </c>
      <c r="I397" t="s">
        <v>2864</v>
      </c>
      <c r="K397" s="136"/>
      <c r="L397" s="137">
        <f t="shared" ref="L397:AE397" si="171">L$394</f>
        <v>0</v>
      </c>
      <c r="M397" s="137">
        <f t="shared" si="171"/>
        <v>0</v>
      </c>
      <c r="N397" s="137">
        <f t="shared" si="171"/>
        <v>0</v>
      </c>
      <c r="O397" s="137">
        <f t="shared" si="171"/>
        <v>0</v>
      </c>
      <c r="P397" s="137">
        <f t="shared" si="171"/>
        <v>0</v>
      </c>
      <c r="Q397" s="137">
        <f t="shared" si="171"/>
        <v>0</v>
      </c>
      <c r="R397" s="137">
        <f t="shared" si="171"/>
        <v>0</v>
      </c>
      <c r="S397" s="137">
        <f t="shared" si="171"/>
        <v>0</v>
      </c>
      <c r="T397" s="137">
        <f t="shared" si="171"/>
        <v>0</v>
      </c>
      <c r="U397" s="137">
        <f t="shared" si="171"/>
        <v>0</v>
      </c>
      <c r="V397" s="137">
        <f t="shared" si="171"/>
        <v>0</v>
      </c>
      <c r="W397" s="137">
        <f t="shared" si="171"/>
        <v>0</v>
      </c>
      <c r="X397" s="137">
        <f t="shared" si="171"/>
        <v>0</v>
      </c>
      <c r="Y397" s="137">
        <f t="shared" si="171"/>
        <v>0</v>
      </c>
      <c r="Z397" s="137">
        <f t="shared" si="171"/>
        <v>0</v>
      </c>
      <c r="AA397" s="137">
        <f t="shared" si="171"/>
        <v>0</v>
      </c>
      <c r="AB397" s="137">
        <f t="shared" si="171"/>
        <v>0</v>
      </c>
      <c r="AC397" s="137">
        <f t="shared" si="171"/>
        <v>0</v>
      </c>
      <c r="AD397" s="137">
        <f t="shared" si="171"/>
        <v>0</v>
      </c>
      <c r="AE397" s="137">
        <f t="shared" si="171"/>
        <v>0</v>
      </c>
      <c r="AF397" s="138"/>
      <c r="AG397" s="138"/>
      <c r="AH397" s="138"/>
      <c r="AI397" s="138"/>
    </row>
    <row r="398" spans="1:35" customFormat="1" ht="15" x14ac:dyDescent="0.25">
      <c r="B398" s="14" t="s">
        <v>2822</v>
      </c>
      <c r="C398" s="14" t="s">
        <v>2672</v>
      </c>
      <c r="D398" s="15" t="s">
        <v>2823</v>
      </c>
      <c r="E398" s="16" t="s">
        <v>2065</v>
      </c>
      <c r="F398" s="14" t="s">
        <v>2822</v>
      </c>
      <c r="G398" s="17"/>
      <c r="H398" s="125" t="str">
        <f>Settings!$B$3&amp;".mit.abat.cbam.tot.2"</f>
        <v>egy.mit.abat.cbam.tot.2</v>
      </c>
      <c r="I398" t="s">
        <v>2824</v>
      </c>
      <c r="K398" s="136"/>
      <c r="L398" s="139">
        <f t="shared" ref="L398:AE398" si="172">L399+L400</f>
        <v>0</v>
      </c>
      <c r="M398" s="139">
        <f t="shared" si="172"/>
        <v>0</v>
      </c>
      <c r="N398" s="139">
        <f t="shared" si="172"/>
        <v>0</v>
      </c>
      <c r="O398" s="139">
        <f t="shared" si="172"/>
        <v>0</v>
      </c>
      <c r="P398" s="139">
        <f t="shared" si="172"/>
        <v>0</v>
      </c>
      <c r="Q398" s="139">
        <f t="shared" si="172"/>
        <v>0</v>
      </c>
      <c r="R398" s="139">
        <f t="shared" si="172"/>
        <v>0</v>
      </c>
      <c r="S398" s="139">
        <f t="shared" si="172"/>
        <v>0</v>
      </c>
      <c r="T398" s="139">
        <f t="shared" si="172"/>
        <v>0</v>
      </c>
      <c r="U398" s="139">
        <f t="shared" si="172"/>
        <v>0</v>
      </c>
      <c r="V398" s="139">
        <f t="shared" si="172"/>
        <v>0</v>
      </c>
      <c r="W398" s="139">
        <f t="shared" si="172"/>
        <v>0</v>
      </c>
      <c r="X398" s="139">
        <f t="shared" si="172"/>
        <v>0</v>
      </c>
      <c r="Y398" s="139">
        <f t="shared" si="172"/>
        <v>0</v>
      </c>
      <c r="Z398" s="139">
        <f t="shared" si="172"/>
        <v>0</v>
      </c>
      <c r="AA398" s="139">
        <f t="shared" si="172"/>
        <v>0</v>
      </c>
      <c r="AB398" s="139">
        <f t="shared" si="172"/>
        <v>0</v>
      </c>
      <c r="AC398" s="139">
        <f t="shared" si="172"/>
        <v>0</v>
      </c>
      <c r="AD398" s="139">
        <f t="shared" si="172"/>
        <v>0</v>
      </c>
      <c r="AE398" s="139">
        <f t="shared" si="172"/>
        <v>0</v>
      </c>
      <c r="AF398" s="138"/>
      <c r="AG398" s="138"/>
      <c r="AH398" s="138"/>
      <c r="AI398" s="138"/>
    </row>
    <row r="399" spans="1:35" customFormat="1" ht="15" x14ac:dyDescent="0.25">
      <c r="B399" s="14" t="s">
        <v>2825</v>
      </c>
      <c r="C399" s="14" t="s">
        <v>2672</v>
      </c>
      <c r="D399" s="15" t="s">
        <v>2826</v>
      </c>
      <c r="E399" s="16" t="s">
        <v>2065</v>
      </c>
      <c r="F399" s="14" t="s">
        <v>2825</v>
      </c>
      <c r="G399" s="17"/>
      <c r="H399" s="125" t="str">
        <f>Settings!$B$3&amp;".mit.abatf.cbam.tot.2"</f>
        <v>egy.mit.abatf.cbam.tot.2</v>
      </c>
      <c r="I399" t="s">
        <v>2827</v>
      </c>
      <c r="K399" s="136"/>
      <c r="L399" s="139">
        <f t="shared" ref="L399:AE399" si="173">SUMPRODUCT(L$252:L$259*(1-EXP(-L$262:L$269*L$397)))</f>
        <v>0</v>
      </c>
      <c r="M399" s="139">
        <f t="shared" si="173"/>
        <v>0</v>
      </c>
      <c r="N399" s="139">
        <f t="shared" si="173"/>
        <v>0</v>
      </c>
      <c r="O399" s="139">
        <f t="shared" si="173"/>
        <v>0</v>
      </c>
      <c r="P399" s="139">
        <f t="shared" si="173"/>
        <v>0</v>
      </c>
      <c r="Q399" s="139">
        <f t="shared" si="173"/>
        <v>0</v>
      </c>
      <c r="R399" s="139">
        <f t="shared" si="173"/>
        <v>0</v>
      </c>
      <c r="S399" s="139">
        <f t="shared" si="173"/>
        <v>0</v>
      </c>
      <c r="T399" s="139">
        <f t="shared" si="173"/>
        <v>0</v>
      </c>
      <c r="U399" s="139">
        <f t="shared" si="173"/>
        <v>0</v>
      </c>
      <c r="V399" s="139">
        <f t="shared" si="173"/>
        <v>0</v>
      </c>
      <c r="W399" s="139">
        <f t="shared" si="173"/>
        <v>0</v>
      </c>
      <c r="X399" s="139">
        <f t="shared" si="173"/>
        <v>0</v>
      </c>
      <c r="Y399" s="139">
        <f t="shared" si="173"/>
        <v>0</v>
      </c>
      <c r="Z399" s="139">
        <f t="shared" si="173"/>
        <v>0</v>
      </c>
      <c r="AA399" s="139">
        <f t="shared" si="173"/>
        <v>0</v>
      </c>
      <c r="AB399" s="139">
        <f t="shared" si="173"/>
        <v>0</v>
      </c>
      <c r="AC399" s="139">
        <f t="shared" si="173"/>
        <v>0</v>
      </c>
      <c r="AD399" s="139">
        <f t="shared" si="173"/>
        <v>0</v>
      </c>
      <c r="AE399" s="139">
        <f t="shared" si="173"/>
        <v>0</v>
      </c>
      <c r="AF399" s="138"/>
      <c r="AG399" s="138"/>
      <c r="AH399" s="138"/>
      <c r="AI399" s="138"/>
    </row>
    <row r="400" spans="1:35" customFormat="1" ht="15" x14ac:dyDescent="0.25">
      <c r="B400" s="14" t="s">
        <v>2828</v>
      </c>
      <c r="C400" s="14" t="s">
        <v>2672</v>
      </c>
      <c r="D400" s="15" t="s">
        <v>2829</v>
      </c>
      <c r="E400" s="16" t="s">
        <v>2065</v>
      </c>
      <c r="F400" s="14" t="s">
        <v>2828</v>
      </c>
      <c r="G400" s="17"/>
      <c r="H400" s="125" t="str">
        <f>Settings!$B$3&amp;".mit.abatp.cbam.tot.2"</f>
        <v>egy.mit.abatp.cbam.tot.2</v>
      </c>
      <c r="I400" t="s">
        <v>2830</v>
      </c>
      <c r="K400" s="136"/>
      <c r="L400" s="139">
        <f t="shared" ref="L400:AE400" si="174">SUMPRODUCT(L$308:L$323*(1-EXP(-L$272:L$287*L$397)))</f>
        <v>0</v>
      </c>
      <c r="M400" s="139">
        <f t="shared" si="174"/>
        <v>0</v>
      </c>
      <c r="N400" s="139">
        <f t="shared" si="174"/>
        <v>0</v>
      </c>
      <c r="O400" s="139">
        <f t="shared" si="174"/>
        <v>0</v>
      </c>
      <c r="P400" s="139">
        <f t="shared" si="174"/>
        <v>0</v>
      </c>
      <c r="Q400" s="139">
        <f t="shared" si="174"/>
        <v>0</v>
      </c>
      <c r="R400" s="139">
        <f t="shared" si="174"/>
        <v>0</v>
      </c>
      <c r="S400" s="139">
        <f t="shared" si="174"/>
        <v>0</v>
      </c>
      <c r="T400" s="139">
        <f t="shared" si="174"/>
        <v>0</v>
      </c>
      <c r="U400" s="139">
        <f t="shared" si="174"/>
        <v>0</v>
      </c>
      <c r="V400" s="139">
        <f t="shared" si="174"/>
        <v>0</v>
      </c>
      <c r="W400" s="139">
        <f t="shared" si="174"/>
        <v>0</v>
      </c>
      <c r="X400" s="139">
        <f t="shared" si="174"/>
        <v>0</v>
      </c>
      <c r="Y400" s="139">
        <f t="shared" si="174"/>
        <v>0</v>
      </c>
      <c r="Z400" s="139">
        <f t="shared" si="174"/>
        <v>0</v>
      </c>
      <c r="AA400" s="139">
        <f t="shared" si="174"/>
        <v>0</v>
      </c>
      <c r="AB400" s="139">
        <f t="shared" si="174"/>
        <v>0</v>
      </c>
      <c r="AC400" s="139">
        <f t="shared" si="174"/>
        <v>0</v>
      </c>
      <c r="AD400" s="139">
        <f t="shared" si="174"/>
        <v>0</v>
      </c>
      <c r="AE400" s="139">
        <f t="shared" si="174"/>
        <v>0</v>
      </c>
      <c r="AF400" s="138"/>
      <c r="AG400" s="138"/>
      <c r="AH400" s="138"/>
      <c r="AI400" s="138"/>
    </row>
    <row r="401" spans="1:35" customFormat="1" ht="15" x14ac:dyDescent="0.25">
      <c r="B401" s="14" t="s">
        <v>2831</v>
      </c>
      <c r="C401" s="14" t="s">
        <v>2672</v>
      </c>
      <c r="D401" s="15" t="s">
        <v>2832</v>
      </c>
      <c r="E401" s="16" t="s">
        <v>1854</v>
      </c>
      <c r="F401" s="14" t="s">
        <v>2831</v>
      </c>
      <c r="G401" s="17"/>
      <c r="H401" s="125" t="str">
        <f>Settings!$B$3&amp;".mit.outlay.cbam.tot.2"</f>
        <v>egy.mit.outlay.cbam.tot.2</v>
      </c>
      <c r="K401" s="136"/>
      <c r="L401" s="137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37">
        <f t="shared" si="175"/>
        <v>0</v>
      </c>
      <c r="N401" s="137">
        <f t="shared" si="175"/>
        <v>0</v>
      </c>
      <c r="O401" s="137">
        <f t="shared" si="175"/>
        <v>0</v>
      </c>
      <c r="P401" s="137">
        <f t="shared" si="175"/>
        <v>0</v>
      </c>
      <c r="Q401" s="137">
        <f t="shared" si="175"/>
        <v>0</v>
      </c>
      <c r="R401" s="137">
        <f t="shared" si="175"/>
        <v>0</v>
      </c>
      <c r="S401" s="137">
        <f t="shared" si="175"/>
        <v>0</v>
      </c>
      <c r="T401" s="137">
        <f t="shared" si="175"/>
        <v>0</v>
      </c>
      <c r="U401" s="137">
        <f t="shared" si="175"/>
        <v>0</v>
      </c>
      <c r="V401" s="137">
        <f t="shared" si="175"/>
        <v>0</v>
      </c>
      <c r="W401" s="137">
        <f t="shared" si="175"/>
        <v>0</v>
      </c>
      <c r="X401" s="137">
        <f t="shared" si="175"/>
        <v>0</v>
      </c>
      <c r="Y401" s="137">
        <f t="shared" si="175"/>
        <v>0</v>
      </c>
      <c r="Z401" s="137">
        <f t="shared" si="175"/>
        <v>0</v>
      </c>
      <c r="AA401" s="137">
        <f t="shared" si="175"/>
        <v>0</v>
      </c>
      <c r="AB401" s="137">
        <f t="shared" si="175"/>
        <v>0</v>
      </c>
      <c r="AC401" s="137">
        <f t="shared" si="175"/>
        <v>0</v>
      </c>
      <c r="AD401" s="137">
        <f t="shared" si="175"/>
        <v>0</v>
      </c>
      <c r="AE401" s="137">
        <f t="shared" si="175"/>
        <v>0</v>
      </c>
      <c r="AF401" s="138"/>
      <c r="AG401" s="138"/>
      <c r="AH401" s="138"/>
      <c r="AI401" s="138"/>
    </row>
    <row r="402" spans="1:35" customFormat="1" ht="15" x14ac:dyDescent="0.25">
      <c r="B402" s="14" t="s">
        <v>2833</v>
      </c>
      <c r="C402" s="14" t="s">
        <v>2672</v>
      </c>
      <c r="D402" s="15" t="s">
        <v>2834</v>
      </c>
      <c r="E402" s="16" t="s">
        <v>1854</v>
      </c>
      <c r="F402" s="14" t="s">
        <v>2833</v>
      </c>
      <c r="G402" s="17"/>
      <c r="H402" s="17"/>
      <c r="K402" s="136"/>
      <c r="L402" s="139">
        <f t="shared" ref="L402:AE402" si="176">L$401-L$329</f>
        <v>0</v>
      </c>
      <c r="M402" s="139">
        <f t="shared" si="176"/>
        <v>0</v>
      </c>
      <c r="N402" s="139">
        <f t="shared" si="176"/>
        <v>0</v>
      </c>
      <c r="O402" s="139">
        <f t="shared" si="176"/>
        <v>0</v>
      </c>
      <c r="P402" s="139">
        <f t="shared" si="176"/>
        <v>0</v>
      </c>
      <c r="Q402" s="139">
        <f t="shared" si="176"/>
        <v>0</v>
      </c>
      <c r="R402" s="139">
        <f t="shared" si="176"/>
        <v>0</v>
      </c>
      <c r="S402" s="139">
        <f t="shared" si="176"/>
        <v>0</v>
      </c>
      <c r="T402" s="139">
        <f t="shared" si="176"/>
        <v>0</v>
      </c>
      <c r="U402" s="139">
        <f t="shared" si="176"/>
        <v>0</v>
      </c>
      <c r="V402" s="139">
        <f t="shared" si="176"/>
        <v>0</v>
      </c>
      <c r="W402" s="139">
        <f t="shared" si="176"/>
        <v>0</v>
      </c>
      <c r="X402" s="139">
        <f t="shared" si="176"/>
        <v>0</v>
      </c>
      <c r="Y402" s="139">
        <f t="shared" si="176"/>
        <v>0</v>
      </c>
      <c r="Z402" s="139">
        <f t="shared" si="176"/>
        <v>0</v>
      </c>
      <c r="AA402" s="139">
        <f t="shared" si="176"/>
        <v>0</v>
      </c>
      <c r="AB402" s="139">
        <f t="shared" si="176"/>
        <v>0</v>
      </c>
      <c r="AC402" s="139">
        <f t="shared" si="176"/>
        <v>0</v>
      </c>
      <c r="AD402" s="139">
        <f t="shared" si="176"/>
        <v>0</v>
      </c>
      <c r="AE402" s="139">
        <f t="shared" si="176"/>
        <v>0</v>
      </c>
      <c r="AF402" s="138"/>
      <c r="AG402" s="138"/>
      <c r="AH402" s="138"/>
      <c r="AI402" s="138"/>
    </row>
    <row r="403" spans="1:35" customFormat="1" ht="15" x14ac:dyDescent="0.25">
      <c r="B403" s="14" t="s">
        <v>2835</v>
      </c>
      <c r="C403" s="14" t="s">
        <v>2672</v>
      </c>
      <c r="D403" s="15" t="s">
        <v>2836</v>
      </c>
      <c r="E403" s="16" t="s">
        <v>1854</v>
      </c>
      <c r="F403" s="14" t="s">
        <v>2835</v>
      </c>
      <c r="G403" s="17"/>
      <c r="H403" s="125" t="str">
        <f>Settings!$B$3&amp;".mit.unspent.cbam.tot.2"</f>
        <v>egy.mit.unspent.cbam.tot.2</v>
      </c>
      <c r="K403" s="136"/>
      <c r="L403" s="137">
        <f t="shared" ref="L403:AE403" si="177">MAX(0,L$329-L$401)</f>
        <v>0</v>
      </c>
      <c r="M403" s="137">
        <f t="shared" si="177"/>
        <v>0</v>
      </c>
      <c r="N403" s="137">
        <f t="shared" si="177"/>
        <v>0</v>
      </c>
      <c r="O403" s="137">
        <f t="shared" si="177"/>
        <v>0</v>
      </c>
      <c r="P403" s="137">
        <f t="shared" si="177"/>
        <v>0</v>
      </c>
      <c r="Q403" s="137">
        <f t="shared" si="177"/>
        <v>0</v>
      </c>
      <c r="R403" s="137">
        <f t="shared" si="177"/>
        <v>0</v>
      </c>
      <c r="S403" s="137">
        <f t="shared" si="177"/>
        <v>0</v>
      </c>
      <c r="T403" s="137">
        <f t="shared" si="177"/>
        <v>0</v>
      </c>
      <c r="U403" s="137">
        <f t="shared" si="177"/>
        <v>0</v>
      </c>
      <c r="V403" s="137">
        <f t="shared" si="177"/>
        <v>0</v>
      </c>
      <c r="W403" s="137">
        <f t="shared" si="177"/>
        <v>0</v>
      </c>
      <c r="X403" s="137">
        <f t="shared" si="177"/>
        <v>0</v>
      </c>
      <c r="Y403" s="137">
        <f t="shared" si="177"/>
        <v>0</v>
      </c>
      <c r="Z403" s="137">
        <f t="shared" si="177"/>
        <v>0</v>
      </c>
      <c r="AA403" s="137">
        <f t="shared" si="177"/>
        <v>0</v>
      </c>
      <c r="AB403" s="137">
        <f t="shared" si="177"/>
        <v>0</v>
      </c>
      <c r="AC403" s="137">
        <f t="shared" si="177"/>
        <v>0</v>
      </c>
      <c r="AD403" s="137">
        <f t="shared" si="177"/>
        <v>0</v>
      </c>
      <c r="AE403" s="137">
        <f t="shared" si="177"/>
        <v>0</v>
      </c>
      <c r="AF403" s="138"/>
      <c r="AG403" s="138"/>
      <c r="AH403" s="138"/>
      <c r="AI403" s="138"/>
    </row>
    <row r="404" spans="1:35" customFormat="1" ht="15" x14ac:dyDescent="0.25">
      <c r="B404" s="14" t="s">
        <v>2837</v>
      </c>
      <c r="C404" s="14" t="s">
        <v>2672</v>
      </c>
      <c r="D404" s="15" t="s">
        <v>2838</v>
      </c>
      <c r="E404" s="16" t="s">
        <v>2839</v>
      </c>
      <c r="F404" s="14" t="s">
        <v>2837</v>
      </c>
      <c r="G404" s="17"/>
      <c r="H404" s="17"/>
      <c r="K404" s="136"/>
      <c r="L404" s="141">
        <f t="shared" ref="L404:AE404" si="178">(L$329&gt;0)*(L$397&gt;=$F$5-0.000000001)</f>
        <v>0</v>
      </c>
      <c r="M404" s="141">
        <f t="shared" si="178"/>
        <v>0</v>
      </c>
      <c r="N404" s="141">
        <f t="shared" si="178"/>
        <v>0</v>
      </c>
      <c r="O404" s="141">
        <f t="shared" si="178"/>
        <v>0</v>
      </c>
      <c r="P404" s="141">
        <f t="shared" si="178"/>
        <v>0</v>
      </c>
      <c r="Q404" s="141">
        <f t="shared" si="178"/>
        <v>0</v>
      </c>
      <c r="R404" s="141">
        <f t="shared" si="178"/>
        <v>0</v>
      </c>
      <c r="S404" s="141">
        <f t="shared" si="178"/>
        <v>0</v>
      </c>
      <c r="T404" s="141">
        <f t="shared" si="178"/>
        <v>0</v>
      </c>
      <c r="U404" s="141">
        <f t="shared" si="178"/>
        <v>0</v>
      </c>
      <c r="V404" s="141">
        <f t="shared" si="178"/>
        <v>0</v>
      </c>
      <c r="W404" s="141">
        <f t="shared" si="178"/>
        <v>0</v>
      </c>
      <c r="X404" s="141">
        <f t="shared" si="178"/>
        <v>0</v>
      </c>
      <c r="Y404" s="141">
        <f t="shared" si="178"/>
        <v>0</v>
      </c>
      <c r="Z404" s="141">
        <f t="shared" si="178"/>
        <v>0</v>
      </c>
      <c r="AA404" s="141">
        <f t="shared" si="178"/>
        <v>0</v>
      </c>
      <c r="AB404" s="141">
        <f t="shared" si="178"/>
        <v>0</v>
      </c>
      <c r="AC404" s="141">
        <f t="shared" si="178"/>
        <v>0</v>
      </c>
      <c r="AD404" s="141">
        <f t="shared" si="178"/>
        <v>0</v>
      </c>
      <c r="AE404" s="141">
        <f t="shared" si="178"/>
        <v>0</v>
      </c>
      <c r="AF404" s="138"/>
      <c r="AG404" s="138"/>
      <c r="AH404" s="138"/>
      <c r="AI404" s="138"/>
    </row>
    <row r="405" spans="1:35" customFormat="1" ht="15" x14ac:dyDescent="0.25">
      <c r="B405" s="14" t="s">
        <v>2840</v>
      </c>
      <c r="C405" s="14" t="s">
        <v>2672</v>
      </c>
      <c r="D405" s="15" t="s">
        <v>2841</v>
      </c>
      <c r="E405" s="16" t="s">
        <v>1398</v>
      </c>
      <c r="F405" s="14" t="s">
        <v>2840</v>
      </c>
      <c r="G405" s="17"/>
      <c r="H405" s="125" t="str">
        <f>Settings!$B$3&amp;".mit.cpt.cbam.tot.2"</f>
        <v>egy.mit.cpt.cbam.tot.2</v>
      </c>
      <c r="K405" s="136"/>
      <c r="L405" s="137">
        <f t="shared" ref="L405:AE405" si="179">IF(L$398&gt;0,L$401/L$398,0)</f>
        <v>0</v>
      </c>
      <c r="M405" s="137">
        <f t="shared" si="179"/>
        <v>0</v>
      </c>
      <c r="N405" s="137">
        <f t="shared" si="179"/>
        <v>0</v>
      </c>
      <c r="O405" s="137">
        <f t="shared" si="179"/>
        <v>0</v>
      </c>
      <c r="P405" s="137">
        <f t="shared" si="179"/>
        <v>0</v>
      </c>
      <c r="Q405" s="137">
        <f t="shared" si="179"/>
        <v>0</v>
      </c>
      <c r="R405" s="137">
        <f t="shared" si="179"/>
        <v>0</v>
      </c>
      <c r="S405" s="137">
        <f t="shared" si="179"/>
        <v>0</v>
      </c>
      <c r="T405" s="137">
        <f t="shared" si="179"/>
        <v>0</v>
      </c>
      <c r="U405" s="137">
        <f t="shared" si="179"/>
        <v>0</v>
      </c>
      <c r="V405" s="137">
        <f t="shared" si="179"/>
        <v>0</v>
      </c>
      <c r="W405" s="137">
        <f t="shared" si="179"/>
        <v>0</v>
      </c>
      <c r="X405" s="137">
        <f t="shared" si="179"/>
        <v>0</v>
      </c>
      <c r="Y405" s="137">
        <f t="shared" si="179"/>
        <v>0</v>
      </c>
      <c r="Z405" s="137">
        <f t="shared" si="179"/>
        <v>0</v>
      </c>
      <c r="AA405" s="137">
        <f t="shared" si="179"/>
        <v>0</v>
      </c>
      <c r="AB405" s="137">
        <f t="shared" si="179"/>
        <v>0</v>
      </c>
      <c r="AC405" s="137">
        <f t="shared" si="179"/>
        <v>0</v>
      </c>
      <c r="AD405" s="137">
        <f t="shared" si="179"/>
        <v>0</v>
      </c>
      <c r="AE405" s="137">
        <f t="shared" si="179"/>
        <v>0</v>
      </c>
      <c r="AF405" s="138"/>
      <c r="AG405" s="138"/>
      <c r="AH405" s="138"/>
      <c r="AI405" s="138"/>
    </row>
    <row r="406" spans="1:35" customFormat="1" ht="15" x14ac:dyDescent="0.25">
      <c r="B406" s="14" t="s">
        <v>2842</v>
      </c>
      <c r="C406" s="14" t="s">
        <v>2672</v>
      </c>
      <c r="D406" s="15" t="s">
        <v>2843</v>
      </c>
      <c r="E406" s="16" t="s">
        <v>1854</v>
      </c>
      <c r="F406" s="14" t="s">
        <v>2842</v>
      </c>
      <c r="G406" s="17"/>
      <c r="H406" s="17"/>
      <c r="I406" t="s">
        <v>2844</v>
      </c>
      <c r="K406" s="136"/>
      <c r="L406" s="140">
        <f>L$218*Mitigation_Industry!L$799</f>
        <v>0</v>
      </c>
      <c r="M406" s="140">
        <f>M$218*Mitigation_Industry!M$799</f>
        <v>0</v>
      </c>
      <c r="N406" s="140">
        <f>N$218*Mitigation_Industry!N$799</f>
        <v>0</v>
      </c>
      <c r="O406" s="140">
        <f>O$218*Mitigation_Industry!O$799</f>
        <v>0</v>
      </c>
      <c r="P406" s="140">
        <f>P$218*Mitigation_Industry!P$799</f>
        <v>0</v>
      </c>
      <c r="Q406" s="140">
        <f>Q$218*Mitigation_Industry!Q$799</f>
        <v>0</v>
      </c>
      <c r="R406" s="140">
        <f>R$218*Mitigation_Industry!R$799</f>
        <v>0</v>
      </c>
      <c r="S406" s="140">
        <f>S$218*Mitigation_Industry!S$799</f>
        <v>0</v>
      </c>
      <c r="T406" s="140">
        <f>T$218*Mitigation_Industry!T$799</f>
        <v>0</v>
      </c>
      <c r="U406" s="140">
        <f>U$218*Mitigation_Industry!U$799</f>
        <v>0</v>
      </c>
      <c r="V406" s="140">
        <f>V$218*Mitigation_Industry!V$799</f>
        <v>0</v>
      </c>
      <c r="W406" s="140">
        <f>W$218*Mitigation_Industry!W$799</f>
        <v>0</v>
      </c>
      <c r="X406" s="140">
        <f>X$218*Mitigation_Industry!X$799</f>
        <v>0</v>
      </c>
      <c r="Y406" s="140">
        <f>Y$218*Mitigation_Industry!Y$799</f>
        <v>0</v>
      </c>
      <c r="Z406" s="140">
        <f>Z$218*Mitigation_Industry!Z$799</f>
        <v>0</v>
      </c>
      <c r="AA406" s="140">
        <f>AA$218*Mitigation_Industry!AA$799</f>
        <v>0</v>
      </c>
      <c r="AB406" s="140">
        <f>AB$218*Mitigation_Industry!AB$799</f>
        <v>0</v>
      </c>
      <c r="AC406" s="140">
        <f>AC$218*Mitigation_Industry!AC$799</f>
        <v>0</v>
      </c>
      <c r="AD406" s="140">
        <f>AD$218*Mitigation_Industry!AD$799</f>
        <v>0</v>
      </c>
      <c r="AE406" s="140">
        <f>AE$218*Mitigation_Industry!AE$799</f>
        <v>0</v>
      </c>
      <c r="AF406" s="138"/>
      <c r="AG406" s="138"/>
      <c r="AH406" s="138"/>
      <c r="AI406" s="138"/>
    </row>
    <row r="407" spans="1:35" customFormat="1" ht="15" x14ac:dyDescent="0.25">
      <c r="B407" s="14" t="s">
        <v>2845</v>
      </c>
      <c r="C407" s="14" t="s">
        <v>2672</v>
      </c>
      <c r="D407" s="15" t="s">
        <v>2846</v>
      </c>
      <c r="E407" s="16" t="s">
        <v>1854</v>
      </c>
      <c r="F407" s="14" t="s">
        <v>2845</v>
      </c>
      <c r="G407" s="17"/>
      <c r="H407" s="17"/>
      <c r="I407" t="s">
        <v>2847</v>
      </c>
      <c r="K407" s="136"/>
      <c r="L407" s="140">
        <f t="shared" ref="L407:AE407" si="180">L406-L$329</f>
        <v>0</v>
      </c>
      <c r="M407" s="140">
        <f t="shared" si="180"/>
        <v>0</v>
      </c>
      <c r="N407" s="140">
        <f t="shared" si="180"/>
        <v>0</v>
      </c>
      <c r="O407" s="140">
        <f t="shared" si="180"/>
        <v>0</v>
      </c>
      <c r="P407" s="140">
        <f t="shared" si="180"/>
        <v>0</v>
      </c>
      <c r="Q407" s="140">
        <f t="shared" si="180"/>
        <v>0</v>
      </c>
      <c r="R407" s="140">
        <f t="shared" si="180"/>
        <v>0</v>
      </c>
      <c r="S407" s="140">
        <f t="shared" si="180"/>
        <v>0</v>
      </c>
      <c r="T407" s="140">
        <f t="shared" si="180"/>
        <v>0</v>
      </c>
      <c r="U407" s="140">
        <f t="shared" si="180"/>
        <v>0</v>
      </c>
      <c r="V407" s="140">
        <f t="shared" si="180"/>
        <v>0</v>
      </c>
      <c r="W407" s="140">
        <f t="shared" si="180"/>
        <v>0</v>
      </c>
      <c r="X407" s="140">
        <f t="shared" si="180"/>
        <v>0</v>
      </c>
      <c r="Y407" s="140">
        <f t="shared" si="180"/>
        <v>0</v>
      </c>
      <c r="Z407" s="140">
        <f t="shared" si="180"/>
        <v>0</v>
      </c>
      <c r="AA407" s="140">
        <f t="shared" si="180"/>
        <v>0</v>
      </c>
      <c r="AB407" s="140">
        <f t="shared" si="180"/>
        <v>0</v>
      </c>
      <c r="AC407" s="140">
        <f t="shared" si="180"/>
        <v>0</v>
      </c>
      <c r="AD407" s="140">
        <f t="shared" si="180"/>
        <v>0</v>
      </c>
      <c r="AE407" s="140">
        <f t="shared" si="180"/>
        <v>0</v>
      </c>
      <c r="AF407" s="138"/>
      <c r="AG407" s="138"/>
      <c r="AH407" s="138"/>
      <c r="AI407" s="138"/>
    </row>
    <row r="408" spans="1:35" x14ac:dyDescent="0.2"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</row>
    <row r="409" spans="1:35" customFormat="1" ht="15" x14ac:dyDescent="0.2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2865</v>
      </c>
      <c r="J409" s="48">
        <v>2</v>
      </c>
      <c r="K409" s="134">
        <v>2021</v>
      </c>
      <c r="L409" s="135">
        <v>2022</v>
      </c>
      <c r="M409" s="134">
        <v>2023</v>
      </c>
      <c r="N409" s="134">
        <v>2024</v>
      </c>
      <c r="O409" s="134">
        <v>2025</v>
      </c>
      <c r="P409" s="134">
        <v>2026</v>
      </c>
      <c r="Q409" s="134">
        <v>2027</v>
      </c>
      <c r="R409" s="134">
        <v>2028</v>
      </c>
      <c r="S409" s="134">
        <v>2029</v>
      </c>
      <c r="T409" s="134">
        <v>2030</v>
      </c>
      <c r="U409" s="134">
        <v>2031</v>
      </c>
      <c r="V409" s="134">
        <v>2032</v>
      </c>
      <c r="W409" s="134">
        <v>2033</v>
      </c>
      <c r="X409" s="134">
        <v>2034</v>
      </c>
      <c r="Y409" s="134">
        <v>2035</v>
      </c>
      <c r="Z409" s="134">
        <v>2036</v>
      </c>
      <c r="AA409" s="134">
        <v>2037</v>
      </c>
      <c r="AB409" s="134">
        <v>2038</v>
      </c>
      <c r="AC409" s="134">
        <v>2039</v>
      </c>
      <c r="AD409" s="134">
        <v>2040</v>
      </c>
      <c r="AE409" s="134">
        <v>2041</v>
      </c>
      <c r="AF409" s="134">
        <v>2042</v>
      </c>
      <c r="AG409" s="134">
        <v>2043</v>
      </c>
      <c r="AH409" s="134">
        <v>2044</v>
      </c>
      <c r="AI409" s="134">
        <v>2045</v>
      </c>
    </row>
    <row r="410" spans="1:35" customFormat="1" ht="15" x14ac:dyDescent="0.25">
      <c r="B410" s="14" t="s">
        <v>49</v>
      </c>
      <c r="C410" s="14" t="s">
        <v>4</v>
      </c>
      <c r="D410" s="15" t="s">
        <v>2849</v>
      </c>
      <c r="E410" s="16" t="s">
        <v>51</v>
      </c>
      <c r="F410" s="14" t="s">
        <v>2850</v>
      </c>
      <c r="G410" s="17"/>
      <c r="H410" s="125" t="str">
        <f>Settings!$B$3&amp;".mit.shpf.coa.ind.2"</f>
        <v>egy.mit.shpf.coa.ind.2</v>
      </c>
      <c r="K410" s="137"/>
      <c r="L410" s="137">
        <f>L$397*Scenarios!$E$30</f>
        <v>0</v>
      </c>
      <c r="M410" s="137">
        <f>M$397*Scenarios!$E$30</f>
        <v>0</v>
      </c>
      <c r="N410" s="137">
        <f>N$397*Scenarios!$E$30</f>
        <v>0</v>
      </c>
      <c r="O410" s="137">
        <f>O$397*Scenarios!$E$30</f>
        <v>0</v>
      </c>
      <c r="P410" s="137">
        <f>P$397*Scenarios!$E$30</f>
        <v>0</v>
      </c>
      <c r="Q410" s="137">
        <f>Q$397*Scenarios!$E$30</f>
        <v>0</v>
      </c>
      <c r="R410" s="137">
        <f>R$397*Scenarios!$E$30</f>
        <v>0</v>
      </c>
      <c r="S410" s="137">
        <f>S$397*Scenarios!$E$30</f>
        <v>0</v>
      </c>
      <c r="T410" s="137">
        <f>T$397*Scenarios!$E$30</f>
        <v>0</v>
      </c>
      <c r="U410" s="137">
        <f>U$397*Scenarios!$E$30</f>
        <v>0</v>
      </c>
      <c r="V410" s="137">
        <f>V$397*Scenarios!$E$30</f>
        <v>0</v>
      </c>
      <c r="W410" s="137">
        <f>W$397*Scenarios!$E$30</f>
        <v>0</v>
      </c>
      <c r="X410" s="137">
        <f>X$397*Scenarios!$E$30</f>
        <v>0</v>
      </c>
      <c r="Y410" s="137">
        <f>Y$397*Scenarios!$E$30</f>
        <v>0</v>
      </c>
      <c r="Z410" s="137">
        <f>Z$397*Scenarios!$E$30</f>
        <v>0</v>
      </c>
      <c r="AA410" s="137">
        <f>AA$397*Scenarios!$E$30</f>
        <v>0</v>
      </c>
      <c r="AB410" s="137">
        <f>AB$397*Scenarios!$E$30</f>
        <v>0</v>
      </c>
      <c r="AC410" s="137">
        <f>AC$397*Scenarios!$E$30</f>
        <v>0</v>
      </c>
      <c r="AD410" s="137">
        <f>AD$397*Scenarios!$E$30</f>
        <v>0</v>
      </c>
      <c r="AE410" s="137">
        <f>AE$397*Scenarios!$E$30</f>
        <v>0</v>
      </c>
      <c r="AF410" s="138"/>
      <c r="AG410" s="138"/>
      <c r="AH410" s="138"/>
      <c r="AI410" s="138"/>
    </row>
    <row r="411" spans="1:35" customFormat="1" ht="15" x14ac:dyDescent="0.25">
      <c r="B411" s="14" t="s">
        <v>53</v>
      </c>
      <c r="C411" s="14" t="s">
        <v>4</v>
      </c>
      <c r="D411" s="15" t="s">
        <v>2851</v>
      </c>
      <c r="E411" s="16" t="s">
        <v>51</v>
      </c>
      <c r="F411" s="14" t="s">
        <v>2850</v>
      </c>
      <c r="G411" s="17"/>
      <c r="H411" s="125" t="str">
        <f>Settings!$B$3&amp;".mit.shpf.nga.ind.2"</f>
        <v>egy.mit.shpf.nga.ind.2</v>
      </c>
      <c r="K411" s="137"/>
      <c r="L411" s="137">
        <f>L$397*Scenarios!$E$31</f>
        <v>0</v>
      </c>
      <c r="M411" s="137">
        <f>M$397*Scenarios!$E$31</f>
        <v>0</v>
      </c>
      <c r="N411" s="137">
        <f>N$397*Scenarios!$E$31</f>
        <v>0</v>
      </c>
      <c r="O411" s="137">
        <f>O$397*Scenarios!$E$31</f>
        <v>0</v>
      </c>
      <c r="P411" s="137">
        <f>P$397*Scenarios!$E$31</f>
        <v>0</v>
      </c>
      <c r="Q411" s="137">
        <f>Q$397*Scenarios!$E$31</f>
        <v>0</v>
      </c>
      <c r="R411" s="137">
        <f>R$397*Scenarios!$E$31</f>
        <v>0</v>
      </c>
      <c r="S411" s="137">
        <f>S$397*Scenarios!$E$31</f>
        <v>0</v>
      </c>
      <c r="T411" s="137">
        <f>T$397*Scenarios!$E$31</f>
        <v>0</v>
      </c>
      <c r="U411" s="137">
        <f>U$397*Scenarios!$E$31</f>
        <v>0</v>
      </c>
      <c r="V411" s="137">
        <f>V$397*Scenarios!$E$31</f>
        <v>0</v>
      </c>
      <c r="W411" s="137">
        <f>W$397*Scenarios!$E$31</f>
        <v>0</v>
      </c>
      <c r="X411" s="137">
        <f>X$397*Scenarios!$E$31</f>
        <v>0</v>
      </c>
      <c r="Y411" s="137">
        <f>Y$397*Scenarios!$E$31</f>
        <v>0</v>
      </c>
      <c r="Z411" s="137">
        <f>Z$397*Scenarios!$E$31</f>
        <v>0</v>
      </c>
      <c r="AA411" s="137">
        <f>AA$397*Scenarios!$E$31</f>
        <v>0</v>
      </c>
      <c r="AB411" s="137">
        <f>AB$397*Scenarios!$E$31</f>
        <v>0</v>
      </c>
      <c r="AC411" s="137">
        <f>AC$397*Scenarios!$E$31</f>
        <v>0</v>
      </c>
      <c r="AD411" s="137">
        <f>AD$397*Scenarios!$E$31</f>
        <v>0</v>
      </c>
      <c r="AE411" s="137">
        <f>AE$397*Scenarios!$E$31</f>
        <v>0</v>
      </c>
      <c r="AF411" s="138"/>
      <c r="AG411" s="138"/>
      <c r="AH411" s="138"/>
      <c r="AI411" s="138"/>
    </row>
    <row r="412" spans="1:35" customFormat="1" ht="15" x14ac:dyDescent="0.25">
      <c r="B412" s="14" t="s">
        <v>55</v>
      </c>
      <c r="C412" s="14" t="s">
        <v>4</v>
      </c>
      <c r="D412" s="15" t="s">
        <v>2852</v>
      </c>
      <c r="E412" s="16" t="s">
        <v>57</v>
      </c>
      <c r="F412" s="14" t="s">
        <v>2850</v>
      </c>
      <c r="G412" s="17"/>
      <c r="H412" s="125" t="str">
        <f>Settings!$B$3&amp;".mit.shpf.gso.ind.2"</f>
        <v>egy.mit.shpf.gso.ind.2</v>
      </c>
      <c r="K412" s="137"/>
      <c r="L412" s="137">
        <f>L$397*Scenarios!$E$32</f>
        <v>0</v>
      </c>
      <c r="M412" s="137">
        <f>M$397*Scenarios!$E$32</f>
        <v>0</v>
      </c>
      <c r="N412" s="137">
        <f>N$397*Scenarios!$E$32</f>
        <v>0</v>
      </c>
      <c r="O412" s="137">
        <f>O$397*Scenarios!$E$32</f>
        <v>0</v>
      </c>
      <c r="P412" s="137">
        <f>P$397*Scenarios!$E$32</f>
        <v>0</v>
      </c>
      <c r="Q412" s="137">
        <f>Q$397*Scenarios!$E$32</f>
        <v>0</v>
      </c>
      <c r="R412" s="137">
        <f>R$397*Scenarios!$E$32</f>
        <v>0</v>
      </c>
      <c r="S412" s="137">
        <f>S$397*Scenarios!$E$32</f>
        <v>0</v>
      </c>
      <c r="T412" s="137">
        <f>T$397*Scenarios!$E$32</f>
        <v>0</v>
      </c>
      <c r="U412" s="137">
        <f>U$397*Scenarios!$E$32</f>
        <v>0</v>
      </c>
      <c r="V412" s="137">
        <f>V$397*Scenarios!$E$32</f>
        <v>0</v>
      </c>
      <c r="W412" s="137">
        <f>W$397*Scenarios!$E$32</f>
        <v>0</v>
      </c>
      <c r="X412" s="137">
        <f>X$397*Scenarios!$E$32</f>
        <v>0</v>
      </c>
      <c r="Y412" s="137">
        <f>Y$397*Scenarios!$E$32</f>
        <v>0</v>
      </c>
      <c r="Z412" s="137">
        <f>Z$397*Scenarios!$E$32</f>
        <v>0</v>
      </c>
      <c r="AA412" s="137">
        <f>AA$397*Scenarios!$E$32</f>
        <v>0</v>
      </c>
      <c r="AB412" s="137">
        <f>AB$397*Scenarios!$E$32</f>
        <v>0</v>
      </c>
      <c r="AC412" s="137">
        <f>AC$397*Scenarios!$E$32</f>
        <v>0</v>
      </c>
      <c r="AD412" s="137">
        <f>AD$397*Scenarios!$E$32</f>
        <v>0</v>
      </c>
      <c r="AE412" s="137">
        <f>AE$397*Scenarios!$E$32</f>
        <v>0</v>
      </c>
      <c r="AF412" s="138"/>
      <c r="AG412" s="138"/>
      <c r="AH412" s="138"/>
      <c r="AI412" s="138"/>
    </row>
    <row r="413" spans="1:35" customFormat="1" ht="15" x14ac:dyDescent="0.25">
      <c r="B413" s="14" t="s">
        <v>58</v>
      </c>
      <c r="C413" s="14" t="s">
        <v>4</v>
      </c>
      <c r="D413" s="15" t="s">
        <v>2853</v>
      </c>
      <c r="E413" s="16" t="s">
        <v>57</v>
      </c>
      <c r="F413" s="14" t="s">
        <v>2850</v>
      </c>
      <c r="G413" s="17"/>
      <c r="H413" s="125" t="str">
        <f>Settings!$B$3&amp;".mit.shpf.die.ind.2"</f>
        <v>egy.mit.shpf.die.ind.2</v>
      </c>
      <c r="K413" s="137"/>
      <c r="L413" s="137">
        <f>L$397*Scenarios!$E$33</f>
        <v>0</v>
      </c>
      <c r="M413" s="137">
        <f>M$397*Scenarios!$E$33</f>
        <v>0</v>
      </c>
      <c r="N413" s="137">
        <f>N$397*Scenarios!$E$33</f>
        <v>0</v>
      </c>
      <c r="O413" s="137">
        <f>O$397*Scenarios!$E$33</f>
        <v>0</v>
      </c>
      <c r="P413" s="137">
        <f>P$397*Scenarios!$E$33</f>
        <v>0</v>
      </c>
      <c r="Q413" s="137">
        <f>Q$397*Scenarios!$E$33</f>
        <v>0</v>
      </c>
      <c r="R413" s="137">
        <f>R$397*Scenarios!$E$33</f>
        <v>0</v>
      </c>
      <c r="S413" s="137">
        <f>S$397*Scenarios!$E$33</f>
        <v>0</v>
      </c>
      <c r="T413" s="137">
        <f>T$397*Scenarios!$E$33</f>
        <v>0</v>
      </c>
      <c r="U413" s="137">
        <f>U$397*Scenarios!$E$33</f>
        <v>0</v>
      </c>
      <c r="V413" s="137">
        <f>V$397*Scenarios!$E$33</f>
        <v>0</v>
      </c>
      <c r="W413" s="137">
        <f>W$397*Scenarios!$E$33</f>
        <v>0</v>
      </c>
      <c r="X413" s="137">
        <f>X$397*Scenarios!$E$33</f>
        <v>0</v>
      </c>
      <c r="Y413" s="137">
        <f>Y$397*Scenarios!$E$33</f>
        <v>0</v>
      </c>
      <c r="Z413" s="137">
        <f>Z$397*Scenarios!$E$33</f>
        <v>0</v>
      </c>
      <c r="AA413" s="137">
        <f>AA$397*Scenarios!$E$33</f>
        <v>0</v>
      </c>
      <c r="AB413" s="137">
        <f>AB$397*Scenarios!$E$33</f>
        <v>0</v>
      </c>
      <c r="AC413" s="137">
        <f>AC$397*Scenarios!$E$33</f>
        <v>0</v>
      </c>
      <c r="AD413" s="137">
        <f>AD$397*Scenarios!$E$33</f>
        <v>0</v>
      </c>
      <c r="AE413" s="137">
        <f>AE$397*Scenarios!$E$33</f>
        <v>0</v>
      </c>
      <c r="AF413" s="138"/>
      <c r="AG413" s="138"/>
      <c r="AH413" s="138"/>
      <c r="AI413" s="138"/>
    </row>
    <row r="414" spans="1:35" customFormat="1" ht="15" x14ac:dyDescent="0.25">
      <c r="B414" s="14" t="s">
        <v>60</v>
      </c>
      <c r="C414" s="14" t="s">
        <v>4</v>
      </c>
      <c r="D414" s="15" t="s">
        <v>2854</v>
      </c>
      <c r="E414" s="16" t="s">
        <v>57</v>
      </c>
      <c r="F414" s="14" t="s">
        <v>2850</v>
      </c>
      <c r="G414" s="17"/>
      <c r="H414" s="125" t="str">
        <f>Settings!$B$3&amp;".mit.shpf.lpg.ind.2"</f>
        <v>egy.mit.shpf.lpg.ind.2</v>
      </c>
      <c r="K414" s="137"/>
      <c r="L414" s="137">
        <f>L$397*Scenarios!$E$34</f>
        <v>0</v>
      </c>
      <c r="M414" s="137">
        <f>M$397*Scenarios!$E$34</f>
        <v>0</v>
      </c>
      <c r="N414" s="137">
        <f>N$397*Scenarios!$E$34</f>
        <v>0</v>
      </c>
      <c r="O414" s="137">
        <f>O$397*Scenarios!$E$34</f>
        <v>0</v>
      </c>
      <c r="P414" s="137">
        <f>P$397*Scenarios!$E$34</f>
        <v>0</v>
      </c>
      <c r="Q414" s="137">
        <f>Q$397*Scenarios!$E$34</f>
        <v>0</v>
      </c>
      <c r="R414" s="137">
        <f>R$397*Scenarios!$E$34</f>
        <v>0</v>
      </c>
      <c r="S414" s="137">
        <f>S$397*Scenarios!$E$34</f>
        <v>0</v>
      </c>
      <c r="T414" s="137">
        <f>T$397*Scenarios!$E$34</f>
        <v>0</v>
      </c>
      <c r="U414" s="137">
        <f>U$397*Scenarios!$E$34</f>
        <v>0</v>
      </c>
      <c r="V414" s="137">
        <f>V$397*Scenarios!$E$34</f>
        <v>0</v>
      </c>
      <c r="W414" s="137">
        <f>W$397*Scenarios!$E$34</f>
        <v>0</v>
      </c>
      <c r="X414" s="137">
        <f>X$397*Scenarios!$E$34</f>
        <v>0</v>
      </c>
      <c r="Y414" s="137">
        <f>Y$397*Scenarios!$E$34</f>
        <v>0</v>
      </c>
      <c r="Z414" s="137">
        <f>Z$397*Scenarios!$E$34</f>
        <v>0</v>
      </c>
      <c r="AA414" s="137">
        <f>AA$397*Scenarios!$E$34</f>
        <v>0</v>
      </c>
      <c r="AB414" s="137">
        <f>AB$397*Scenarios!$E$34</f>
        <v>0</v>
      </c>
      <c r="AC414" s="137">
        <f>AC$397*Scenarios!$E$34</f>
        <v>0</v>
      </c>
      <c r="AD414" s="137">
        <f>AD$397*Scenarios!$E$34</f>
        <v>0</v>
      </c>
      <c r="AE414" s="137">
        <f>AE$397*Scenarios!$E$34</f>
        <v>0</v>
      </c>
      <c r="AF414" s="138"/>
      <c r="AG414" s="138"/>
      <c r="AH414" s="138"/>
      <c r="AI414" s="138"/>
    </row>
    <row r="415" spans="1:35" customFormat="1" ht="15" x14ac:dyDescent="0.25">
      <c r="B415" s="14" t="s">
        <v>62</v>
      </c>
      <c r="C415" s="14" t="s">
        <v>4</v>
      </c>
      <c r="D415" s="15" t="s">
        <v>2855</v>
      </c>
      <c r="E415" s="16" t="s">
        <v>57</v>
      </c>
      <c r="F415" s="14" t="s">
        <v>2850</v>
      </c>
      <c r="G415" s="17"/>
      <c r="H415" s="125" t="str">
        <f>Settings!$B$3&amp;".mit.shpf.ker.ind.2"</f>
        <v>egy.mit.shpf.ker.ind.2</v>
      </c>
      <c r="K415" s="137"/>
      <c r="L415" s="137">
        <f>L$397*Scenarios!$E$35</f>
        <v>0</v>
      </c>
      <c r="M415" s="137">
        <f>M$397*Scenarios!$E$35</f>
        <v>0</v>
      </c>
      <c r="N415" s="137">
        <f>N$397*Scenarios!$E$35</f>
        <v>0</v>
      </c>
      <c r="O415" s="137">
        <f>O$397*Scenarios!$E$35</f>
        <v>0</v>
      </c>
      <c r="P415" s="137">
        <f>P$397*Scenarios!$E$35</f>
        <v>0</v>
      </c>
      <c r="Q415" s="137">
        <f>Q$397*Scenarios!$E$35</f>
        <v>0</v>
      </c>
      <c r="R415" s="137">
        <f>R$397*Scenarios!$E$35</f>
        <v>0</v>
      </c>
      <c r="S415" s="137">
        <f>S$397*Scenarios!$E$35</f>
        <v>0</v>
      </c>
      <c r="T415" s="137">
        <f>T$397*Scenarios!$E$35</f>
        <v>0</v>
      </c>
      <c r="U415" s="137">
        <f>U$397*Scenarios!$E$35</f>
        <v>0</v>
      </c>
      <c r="V415" s="137">
        <f>V$397*Scenarios!$E$35</f>
        <v>0</v>
      </c>
      <c r="W415" s="137">
        <f>W$397*Scenarios!$E$35</f>
        <v>0</v>
      </c>
      <c r="X415" s="137">
        <f>X$397*Scenarios!$E$35</f>
        <v>0</v>
      </c>
      <c r="Y415" s="137">
        <f>Y$397*Scenarios!$E$35</f>
        <v>0</v>
      </c>
      <c r="Z415" s="137">
        <f>Z$397*Scenarios!$E$35</f>
        <v>0</v>
      </c>
      <c r="AA415" s="137">
        <f>AA$397*Scenarios!$E$35</f>
        <v>0</v>
      </c>
      <c r="AB415" s="137">
        <f>AB$397*Scenarios!$E$35</f>
        <v>0</v>
      </c>
      <c r="AC415" s="137">
        <f>AC$397*Scenarios!$E$35</f>
        <v>0</v>
      </c>
      <c r="AD415" s="137">
        <f>AD$397*Scenarios!$E$35</f>
        <v>0</v>
      </c>
      <c r="AE415" s="137">
        <f>AE$397*Scenarios!$E$35</f>
        <v>0</v>
      </c>
      <c r="AF415" s="138"/>
      <c r="AG415" s="138"/>
      <c r="AH415" s="138"/>
      <c r="AI415" s="138"/>
    </row>
    <row r="416" spans="1:35" customFormat="1" ht="15" x14ac:dyDescent="0.25">
      <c r="B416" s="14" t="s">
        <v>64</v>
      </c>
      <c r="C416" s="14" t="s">
        <v>4</v>
      </c>
      <c r="D416" s="15" t="s">
        <v>2856</v>
      </c>
      <c r="E416" s="16" t="s">
        <v>66</v>
      </c>
      <c r="F416" s="14" t="s">
        <v>2850</v>
      </c>
      <c r="G416" s="17"/>
      <c r="H416" s="125" t="str">
        <f>Settings!$B$3&amp;".mit.shpf.oop.ind.2"</f>
        <v>egy.mit.shpf.oop.ind.2</v>
      </c>
      <c r="K416" s="137"/>
      <c r="L416" s="137">
        <f>L$397*Scenarios!$E$36</f>
        <v>0</v>
      </c>
      <c r="M416" s="137">
        <f>M$397*Scenarios!$E$36</f>
        <v>0</v>
      </c>
      <c r="N416" s="137">
        <f>N$397*Scenarios!$E$36</f>
        <v>0</v>
      </c>
      <c r="O416" s="137">
        <f>O$397*Scenarios!$E$36</f>
        <v>0</v>
      </c>
      <c r="P416" s="137">
        <f>P$397*Scenarios!$E$36</f>
        <v>0</v>
      </c>
      <c r="Q416" s="137">
        <f>Q$397*Scenarios!$E$36</f>
        <v>0</v>
      </c>
      <c r="R416" s="137">
        <f>R$397*Scenarios!$E$36</f>
        <v>0</v>
      </c>
      <c r="S416" s="137">
        <f>S$397*Scenarios!$E$36</f>
        <v>0</v>
      </c>
      <c r="T416" s="137">
        <f>T$397*Scenarios!$E$36</f>
        <v>0</v>
      </c>
      <c r="U416" s="137">
        <f>U$397*Scenarios!$E$36</f>
        <v>0</v>
      </c>
      <c r="V416" s="137">
        <f>V$397*Scenarios!$E$36</f>
        <v>0</v>
      </c>
      <c r="W416" s="137">
        <f>W$397*Scenarios!$E$36</f>
        <v>0</v>
      </c>
      <c r="X416" s="137">
        <f>X$397*Scenarios!$E$36</f>
        <v>0</v>
      </c>
      <c r="Y416" s="137">
        <f>Y$397*Scenarios!$E$36</f>
        <v>0</v>
      </c>
      <c r="Z416" s="137">
        <f>Z$397*Scenarios!$E$36</f>
        <v>0</v>
      </c>
      <c r="AA416" s="137">
        <f>AA$397*Scenarios!$E$36</f>
        <v>0</v>
      </c>
      <c r="AB416" s="137">
        <f>AB$397*Scenarios!$E$36</f>
        <v>0</v>
      </c>
      <c r="AC416" s="137">
        <f>AC$397*Scenarios!$E$36</f>
        <v>0</v>
      </c>
      <c r="AD416" s="137">
        <f>AD$397*Scenarios!$E$36</f>
        <v>0</v>
      </c>
      <c r="AE416" s="137">
        <f>AE$397*Scenarios!$E$36</f>
        <v>0</v>
      </c>
      <c r="AF416" s="138"/>
      <c r="AG416" s="138"/>
      <c r="AH416" s="138"/>
      <c r="AI416" s="138"/>
    </row>
    <row r="417" spans="1:35" customFormat="1" ht="15" x14ac:dyDescent="0.25">
      <c r="B417" s="14" t="s">
        <v>67</v>
      </c>
      <c r="C417" s="14" t="s">
        <v>4</v>
      </c>
      <c r="D417" s="15" t="s">
        <v>2857</v>
      </c>
      <c r="E417" s="16" t="s">
        <v>51</v>
      </c>
      <c r="F417" s="14" t="s">
        <v>2850</v>
      </c>
      <c r="G417" s="17"/>
      <c r="H417" s="125" t="str">
        <f>Settings!$B$3&amp;".mit.shpf.bio.ind.2"</f>
        <v>egy.mit.shpf.bio.ind.2</v>
      </c>
      <c r="K417" s="137"/>
      <c r="L417" s="137">
        <f>L$397*Scenarios!$E$37</f>
        <v>0</v>
      </c>
      <c r="M417" s="137">
        <f>M$397*Scenarios!$E$37</f>
        <v>0</v>
      </c>
      <c r="N417" s="137">
        <f>N$397*Scenarios!$E$37</f>
        <v>0</v>
      </c>
      <c r="O417" s="137">
        <f>O$397*Scenarios!$E$37</f>
        <v>0</v>
      </c>
      <c r="P417" s="137">
        <f>P$397*Scenarios!$E$37</f>
        <v>0</v>
      </c>
      <c r="Q417" s="137">
        <f>Q$397*Scenarios!$E$37</f>
        <v>0</v>
      </c>
      <c r="R417" s="137">
        <f>R$397*Scenarios!$E$37</f>
        <v>0</v>
      </c>
      <c r="S417" s="137">
        <f>S$397*Scenarios!$E$37</f>
        <v>0</v>
      </c>
      <c r="T417" s="137">
        <f>T$397*Scenarios!$E$37</f>
        <v>0</v>
      </c>
      <c r="U417" s="137">
        <f>U$397*Scenarios!$E$37</f>
        <v>0</v>
      </c>
      <c r="V417" s="137">
        <f>V$397*Scenarios!$E$37</f>
        <v>0</v>
      </c>
      <c r="W417" s="137">
        <f>W$397*Scenarios!$E$37</f>
        <v>0</v>
      </c>
      <c r="X417" s="137">
        <f>X$397*Scenarios!$E$37</f>
        <v>0</v>
      </c>
      <c r="Y417" s="137">
        <f>Y$397*Scenarios!$E$37</f>
        <v>0</v>
      </c>
      <c r="Z417" s="137">
        <f>Z$397*Scenarios!$E$37</f>
        <v>0</v>
      </c>
      <c r="AA417" s="137">
        <f>AA$397*Scenarios!$E$37</f>
        <v>0</v>
      </c>
      <c r="AB417" s="137">
        <f>AB$397*Scenarios!$E$37</f>
        <v>0</v>
      </c>
      <c r="AC417" s="137">
        <f>AC$397*Scenarios!$E$37</f>
        <v>0</v>
      </c>
      <c r="AD417" s="137">
        <f>AD$397*Scenarios!$E$37</f>
        <v>0</v>
      </c>
      <c r="AE417" s="137">
        <f>AE$397*Scenarios!$E$37</f>
        <v>0</v>
      </c>
      <c r="AF417" s="138"/>
      <c r="AG417" s="138"/>
      <c r="AH417" s="138"/>
      <c r="AI417" s="138"/>
    </row>
    <row r="418" spans="1:35" customFormat="1" ht="15" x14ac:dyDescent="0.25">
      <c r="B418" s="14" t="s">
        <v>69</v>
      </c>
      <c r="C418" s="14" t="s">
        <v>4</v>
      </c>
      <c r="D418" s="15" t="s">
        <v>2858</v>
      </c>
      <c r="E418" s="16" t="s">
        <v>71</v>
      </c>
      <c r="F418" s="14" t="s">
        <v>2850</v>
      </c>
      <c r="G418" s="17"/>
      <c r="H418" s="125" t="str">
        <f>Settings!$B$3&amp;".mit.shpf.ren.ind.2"</f>
        <v>egy.mit.shpf.ren.ind.2</v>
      </c>
      <c r="K418" s="137"/>
      <c r="L418" s="137">
        <f>L$397*Scenarios!$E$38</f>
        <v>0</v>
      </c>
      <c r="M418" s="137">
        <f>M$397*Scenarios!$E$38</f>
        <v>0</v>
      </c>
      <c r="N418" s="137">
        <f>N$397*Scenarios!$E$38</f>
        <v>0</v>
      </c>
      <c r="O418" s="137">
        <f>O$397*Scenarios!$E$38</f>
        <v>0</v>
      </c>
      <c r="P418" s="137">
        <f>P$397*Scenarios!$E$38</f>
        <v>0</v>
      </c>
      <c r="Q418" s="137">
        <f>Q$397*Scenarios!$E$38</f>
        <v>0</v>
      </c>
      <c r="R418" s="137">
        <f>R$397*Scenarios!$E$38</f>
        <v>0</v>
      </c>
      <c r="S418" s="137">
        <f>S$397*Scenarios!$E$38</f>
        <v>0</v>
      </c>
      <c r="T418" s="137">
        <f>T$397*Scenarios!$E$38</f>
        <v>0</v>
      </c>
      <c r="U418" s="137">
        <f>U$397*Scenarios!$E$38</f>
        <v>0</v>
      </c>
      <c r="V418" s="137">
        <f>V$397*Scenarios!$E$38</f>
        <v>0</v>
      </c>
      <c r="W418" s="137">
        <f>W$397*Scenarios!$E$38</f>
        <v>0</v>
      </c>
      <c r="X418" s="137">
        <f>X$397*Scenarios!$E$38</f>
        <v>0</v>
      </c>
      <c r="Y418" s="137">
        <f>Y$397*Scenarios!$E$38</f>
        <v>0</v>
      </c>
      <c r="Z418" s="137">
        <f>Z$397*Scenarios!$E$38</f>
        <v>0</v>
      </c>
      <c r="AA418" s="137">
        <f>AA$397*Scenarios!$E$38</f>
        <v>0</v>
      </c>
      <c r="AB418" s="137">
        <f>AB$397*Scenarios!$E$38</f>
        <v>0</v>
      </c>
      <c r="AC418" s="137">
        <f>AC$397*Scenarios!$E$38</f>
        <v>0</v>
      </c>
      <c r="AD418" s="137">
        <f>AD$397*Scenarios!$E$38</f>
        <v>0</v>
      </c>
      <c r="AE418" s="137">
        <f>AE$397*Scenarios!$E$38</f>
        <v>0</v>
      </c>
      <c r="AF418" s="138"/>
      <c r="AG418" s="138"/>
      <c r="AH418" s="138"/>
      <c r="AI418" s="138"/>
    </row>
    <row r="419" spans="1:35" x14ac:dyDescent="0.2"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</row>
    <row r="420" spans="1:35" x14ac:dyDescent="0.2"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</row>
    <row r="421" spans="1:35" x14ac:dyDescent="0.2"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</row>
    <row r="422" spans="1:35" x14ac:dyDescent="0.2"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</row>
    <row r="425" spans="1:35" ht="15" x14ac:dyDescent="0.25">
      <c r="B425" s="121" t="s">
        <v>3662</v>
      </c>
    </row>
    <row r="426" spans="1:35" customFormat="1" ht="15" x14ac:dyDescent="0.25">
      <c r="A426" s="11"/>
      <c r="B426" s="6" t="s">
        <v>3663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4"/>
      <c r="L426" s="135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</row>
    <row r="427" spans="1:35" customFormat="1" ht="15" x14ac:dyDescent="0.25">
      <c r="B427" s="14" t="s">
        <v>1737</v>
      </c>
      <c r="C427" s="14" t="s">
        <v>2672</v>
      </c>
      <c r="D427" s="15" t="s">
        <v>3664</v>
      </c>
      <c r="E427" s="16" t="s">
        <v>1854</v>
      </c>
      <c r="F427" s="14"/>
      <c r="G427" s="17"/>
      <c r="H427" s="125"/>
      <c r="K427" s="136"/>
      <c r="L427" s="163">
        <v>0</v>
      </c>
      <c r="M427" s="163">
        <v>0</v>
      </c>
      <c r="N427" s="163">
        <v>0</v>
      </c>
      <c r="O427" s="163">
        <v>0</v>
      </c>
      <c r="P427" s="163">
        <v>0</v>
      </c>
      <c r="Q427" s="163">
        <v>313.18092912945133</v>
      </c>
      <c r="R427" s="163">
        <v>646.88764494852489</v>
      </c>
      <c r="S427" s="163">
        <v>1002.1648959865571</v>
      </c>
      <c r="T427" s="163">
        <v>1380.1062236958546</v>
      </c>
      <c r="U427" s="163">
        <v>1781.8561629939895</v>
      </c>
      <c r="V427" s="163">
        <v>2208.6125408023772</v>
      </c>
      <c r="W427" s="163">
        <v>2661.6288769403232</v>
      </c>
      <c r="X427" s="163">
        <v>3142.2168919286596</v>
      </c>
      <c r="Y427" s="163">
        <v>3651.7491264608011</v>
      </c>
      <c r="Z427" s="163">
        <v>4191.6616775120128</v>
      </c>
      <c r="AA427" s="163">
        <v>4763.45705628019</v>
      </c>
      <c r="AB427" s="163">
        <v>5368.7071733840539</v>
      </c>
      <c r="AC427" s="163">
        <v>6009.0564569877843</v>
      </c>
      <c r="AD427" s="163">
        <v>6686.2251097751796</v>
      </c>
      <c r="AE427" s="163">
        <v>7402.012510962054</v>
      </c>
      <c r="AF427" s="138"/>
      <c r="AG427" s="138"/>
      <c r="AH427" s="138"/>
      <c r="AI427" s="138"/>
    </row>
    <row r="428" spans="1:35" customFormat="1" ht="15" x14ac:dyDescent="0.25">
      <c r="B428" s="14" t="s">
        <v>1741</v>
      </c>
      <c r="C428" s="14" t="s">
        <v>2672</v>
      </c>
      <c r="D428" s="15" t="s">
        <v>3664</v>
      </c>
      <c r="E428" s="16" t="s">
        <v>1854</v>
      </c>
      <c r="F428" s="14"/>
      <c r="G428" s="17"/>
      <c r="H428" s="125"/>
      <c r="K428" s="136"/>
      <c r="L428" s="163">
        <v>0</v>
      </c>
      <c r="M428" s="163">
        <v>0</v>
      </c>
      <c r="N428" s="163">
        <v>0</v>
      </c>
      <c r="O428" s="163">
        <v>0</v>
      </c>
      <c r="P428" s="163">
        <v>0</v>
      </c>
      <c r="Q428" s="163">
        <v>0</v>
      </c>
      <c r="R428" s="163">
        <v>1109.9793325596042</v>
      </c>
      <c r="S428" s="163">
        <v>1146.8859924400069</v>
      </c>
      <c r="T428" s="163">
        <v>1185.0497123667592</v>
      </c>
      <c r="U428" s="163">
        <v>1224.5144326856812</v>
      </c>
      <c r="V428" s="163">
        <v>1265.3256759138017</v>
      </c>
      <c r="W428" s="163">
        <v>1307.5306057247954</v>
      </c>
      <c r="X428" s="163">
        <v>1351.1780882238099</v>
      </c>
      <c r="Y428" s="163">
        <v>1396.3187556046266</v>
      </c>
      <c r="Z428" s="163">
        <v>1443.0050722860208</v>
      </c>
      <c r="AA428" s="163">
        <v>1491.2914036283482</v>
      </c>
      <c r="AB428" s="163">
        <v>1541.2340873356638</v>
      </c>
      <c r="AC428" s="163">
        <v>1592.8915076532257</v>
      </c>
      <c r="AD428" s="163">
        <v>1646.3241724749007</v>
      </c>
      <c r="AE428" s="163">
        <v>1701.5947934799499</v>
      </c>
      <c r="AF428" s="138"/>
      <c r="AG428" s="138"/>
      <c r="AH428" s="138"/>
      <c r="AI428" s="138"/>
    </row>
    <row r="429" spans="1:35" customFormat="1" ht="15" x14ac:dyDescent="0.25">
      <c r="B429" s="14" t="s">
        <v>1744</v>
      </c>
      <c r="C429" s="14" t="s">
        <v>2672</v>
      </c>
      <c r="D429" s="15" t="s">
        <v>3664</v>
      </c>
      <c r="E429" s="16" t="s">
        <v>1854</v>
      </c>
      <c r="F429" s="14"/>
      <c r="G429" s="17"/>
      <c r="H429" s="125"/>
      <c r="K429" s="136"/>
      <c r="L429" s="163">
        <v>0</v>
      </c>
      <c r="M429" s="163">
        <v>0</v>
      </c>
      <c r="N429" s="163">
        <v>0</v>
      </c>
      <c r="O429" s="163">
        <v>0</v>
      </c>
      <c r="P429" s="163">
        <v>0</v>
      </c>
      <c r="Q429" s="163">
        <v>0</v>
      </c>
      <c r="R429" s="163">
        <v>512.55055938369424</v>
      </c>
      <c r="S429" s="163">
        <v>529.38831283210675</v>
      </c>
      <c r="T429" s="163">
        <v>546.79857727259889</v>
      </c>
      <c r="U429" s="163">
        <v>564.80143995849437</v>
      </c>
      <c r="V429" s="163">
        <v>583.41771392954251</v>
      </c>
      <c r="W429" s="163">
        <v>602.6689649807164</v>
      </c>
      <c r="X429" s="163">
        <v>622.57753966048381</v>
      </c>
      <c r="Y429" s="163">
        <v>643.16659433887753</v>
      </c>
      <c r="Z429" s="163">
        <v>664.46012538730315</v>
      </c>
      <c r="AA429" s="163">
        <v>686.48300051372462</v>
      </c>
      <c r="AB429" s="163">
        <v>709.26099129859881</v>
      </c>
      <c r="AC429" s="163">
        <v>732.82080697878018</v>
      </c>
      <c r="AD429" s="163">
        <v>757.19012952849937</v>
      </c>
      <c r="AE429" s="163">
        <v>782.39765008851248</v>
      </c>
      <c r="AF429" s="138"/>
      <c r="AG429" s="138"/>
      <c r="AH429" s="138"/>
      <c r="AI429" s="138"/>
    </row>
    <row r="430" spans="1:35" customFormat="1" ht="15" x14ac:dyDescent="0.25">
      <c r="B430" s="14" t="s">
        <v>1746</v>
      </c>
      <c r="C430" s="14" t="s">
        <v>2672</v>
      </c>
      <c r="D430" s="15" t="s">
        <v>3664</v>
      </c>
      <c r="E430" s="16" t="s">
        <v>1854</v>
      </c>
      <c r="F430" s="14"/>
      <c r="G430" s="17"/>
      <c r="H430" s="125"/>
      <c r="K430" s="136"/>
      <c r="L430" s="163">
        <v>0</v>
      </c>
      <c r="M430" s="163">
        <v>0</v>
      </c>
      <c r="N430" s="163">
        <v>0</v>
      </c>
      <c r="O430" s="163">
        <v>0</v>
      </c>
      <c r="P430" s="163">
        <v>0</v>
      </c>
      <c r="Q430" s="163">
        <v>0</v>
      </c>
      <c r="R430" s="163">
        <v>512.55055938369424</v>
      </c>
      <c r="S430" s="163">
        <v>529.38831283210675</v>
      </c>
      <c r="T430" s="163">
        <v>546.79857727259889</v>
      </c>
      <c r="U430" s="163">
        <v>564.80143995849437</v>
      </c>
      <c r="V430" s="163">
        <v>583.41771392954251</v>
      </c>
      <c r="W430" s="163">
        <v>602.6689649807164</v>
      </c>
      <c r="X430" s="163">
        <v>622.57753966048381</v>
      </c>
      <c r="Y430" s="163">
        <v>643.16659433887753</v>
      </c>
      <c r="Z430" s="163">
        <v>664.46012538730315</v>
      </c>
      <c r="AA430" s="163">
        <v>686.48300051372462</v>
      </c>
      <c r="AB430" s="163">
        <v>709.26099129859881</v>
      </c>
      <c r="AC430" s="163">
        <v>732.82080697878018</v>
      </c>
      <c r="AD430" s="163">
        <v>757.19012952849937</v>
      </c>
      <c r="AE430" s="163">
        <v>782.39765008851248</v>
      </c>
      <c r="AF430" s="138"/>
      <c r="AG430" s="138"/>
      <c r="AH430" s="138"/>
      <c r="AI430" s="138"/>
    </row>
    <row r="431" spans="1:35" customFormat="1" ht="15" x14ac:dyDescent="0.25">
      <c r="B431" s="14" t="s">
        <v>1749</v>
      </c>
      <c r="C431" s="14" t="s">
        <v>2672</v>
      </c>
      <c r="D431" s="15" t="s">
        <v>3664</v>
      </c>
      <c r="E431" s="16" t="s">
        <v>1854</v>
      </c>
      <c r="F431" s="14"/>
      <c r="G431" s="17"/>
      <c r="H431" s="125"/>
      <c r="K431" s="136"/>
      <c r="L431" s="163">
        <v>0</v>
      </c>
      <c r="M431" s="163">
        <v>0</v>
      </c>
      <c r="N431" s="163">
        <v>0</v>
      </c>
      <c r="O431" s="163">
        <v>0</v>
      </c>
      <c r="P431" s="163">
        <v>0</v>
      </c>
      <c r="Q431" s="163">
        <v>0</v>
      </c>
      <c r="R431" s="163">
        <v>288.48679343784613</v>
      </c>
      <c r="S431" s="163">
        <v>730.69496705331426</v>
      </c>
      <c r="T431" s="163">
        <v>1185.0497123667592</v>
      </c>
      <c r="U431" s="163">
        <v>1652.4124146648985</v>
      </c>
      <c r="V431" s="163">
        <v>2133.6423850287124</v>
      </c>
      <c r="W431" s="163">
        <v>2629.6030398739831</v>
      </c>
      <c r="X431" s="163">
        <v>3141.167114310565</v>
      </c>
      <c r="Y431" s="163">
        <v>3669.2211570415302</v>
      </c>
      <c r="Z431" s="163">
        <v>4214.6694877505115</v>
      </c>
      <c r="AA431" s="163">
        <v>4778.4377513095606</v>
      </c>
      <c r="AB431" s="163">
        <v>5361.4761700760355</v>
      </c>
      <c r="AC431" s="163">
        <v>5964.7625717564797</v>
      </c>
      <c r="AD431" s="163">
        <v>6589.3052529727784</v>
      </c>
      <c r="AE431" s="163">
        <v>7236.145725874112</v>
      </c>
      <c r="AF431" s="138"/>
      <c r="AG431" s="138"/>
      <c r="AH431" s="138"/>
      <c r="AI431" s="138"/>
    </row>
    <row r="432" spans="1:35" customFormat="1" ht="15" x14ac:dyDescent="0.25">
      <c r="B432" s="14" t="s">
        <v>1752</v>
      </c>
      <c r="C432" s="14" t="s">
        <v>2672</v>
      </c>
      <c r="D432" s="15" t="s">
        <v>3664</v>
      </c>
      <c r="E432" s="16" t="s">
        <v>1854</v>
      </c>
      <c r="F432" s="14"/>
      <c r="G432" s="17"/>
      <c r="H432" s="125"/>
      <c r="K432" s="136"/>
      <c r="L432" s="163">
        <v>0</v>
      </c>
      <c r="M432" s="163">
        <v>0</v>
      </c>
      <c r="N432" s="163">
        <v>0</v>
      </c>
      <c r="O432" s="163">
        <v>0</v>
      </c>
      <c r="P432" s="163">
        <v>0</v>
      </c>
      <c r="Q432" s="163">
        <v>0</v>
      </c>
      <c r="R432" s="163">
        <v>289.62772594427662</v>
      </c>
      <c r="S432" s="163">
        <v>737.75273903408788</v>
      </c>
      <c r="T432" s="163">
        <v>1202.9577954449232</v>
      </c>
      <c r="U432" s="163">
        <v>1686.0143243059147</v>
      </c>
      <c r="V432" s="163">
        <v>2187.7267979966064</v>
      </c>
      <c r="W432" s="163">
        <v>2708.9342957422778</v>
      </c>
      <c r="X432" s="163">
        <v>3250.5121333185052</v>
      </c>
      <c r="Y432" s="163">
        <v>3813.373561967609</v>
      </c>
      <c r="Z432" s="163">
        <v>4398.4715397617456</v>
      </c>
      <c r="AA432" s="163">
        <v>5006.8005787858556</v>
      </c>
      <c r="AB432" s="163">
        <v>5639.3986716585496</v>
      </c>
      <c r="AC432" s="163">
        <v>6297.3493010607763</v>
      </c>
      <c r="AD432" s="163">
        <v>6981.7835361008492</v>
      </c>
      <c r="AE432" s="163">
        <v>7693.8822195106932</v>
      </c>
      <c r="AF432" s="138"/>
      <c r="AG432" s="138"/>
      <c r="AH432" s="138"/>
      <c r="AI432" s="138"/>
    </row>
    <row r="433" spans="2:35" customFormat="1" ht="15" x14ac:dyDescent="0.25">
      <c r="B433" s="14" t="s">
        <v>1755</v>
      </c>
      <c r="C433" s="14" t="s">
        <v>2672</v>
      </c>
      <c r="D433" s="15" t="s">
        <v>3664</v>
      </c>
      <c r="E433" s="16" t="s">
        <v>1854</v>
      </c>
      <c r="F433" s="14"/>
      <c r="G433" s="17"/>
      <c r="H433" s="125"/>
      <c r="K433" s="136"/>
      <c r="L433" s="163">
        <v>0</v>
      </c>
      <c r="M433" s="163">
        <v>0</v>
      </c>
      <c r="N433" s="163">
        <v>0</v>
      </c>
      <c r="O433" s="163">
        <v>0</v>
      </c>
      <c r="P433" s="163">
        <v>0</v>
      </c>
      <c r="Q433" s="163">
        <v>0</v>
      </c>
      <c r="R433" s="163">
        <v>259.88176211577007</v>
      </c>
      <c r="S433" s="163">
        <v>621.86455990271884</v>
      </c>
      <c r="T433" s="163">
        <v>969.82163014258458</v>
      </c>
      <c r="U433" s="163">
        <v>1310.9011648865053</v>
      </c>
      <c r="V433" s="163">
        <v>1648.9168011734535</v>
      </c>
      <c r="W433" s="163">
        <v>1986.3988049509026</v>
      </c>
      <c r="X433" s="163">
        <v>2325.2270826559925</v>
      </c>
      <c r="Y433" s="163">
        <v>2666.9032908899726</v>
      </c>
      <c r="Z433" s="163">
        <v>3012.690225087556</v>
      </c>
      <c r="AA433" s="163">
        <v>3363.6917542516926</v>
      </c>
      <c r="AB433" s="163">
        <v>3720.9024880851375</v>
      </c>
      <c r="AC433" s="163">
        <v>4085.2405696447754</v>
      </c>
      <c r="AD433" s="163">
        <v>4457.5703967262953</v>
      </c>
      <c r="AE433" s="163">
        <v>4838.7190049456121</v>
      </c>
      <c r="AF433" s="138"/>
      <c r="AG433" s="138"/>
      <c r="AH433" s="138"/>
      <c r="AI433" s="1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ColWidth="9" defaultRowHeight="14.25" x14ac:dyDescent="0.2"/>
  <cols>
    <col min="1" max="1" width="3" style="112" customWidth="1"/>
    <col min="2" max="2" width="12.42578125" style="112" customWidth="1"/>
    <col min="3" max="3" width="28" style="112" customWidth="1"/>
    <col min="4" max="4" width="33.7109375" style="112" customWidth="1"/>
    <col min="5" max="5" width="14.7109375" style="112" customWidth="1"/>
    <col min="6" max="6" width="17.7109375" style="112" customWidth="1"/>
    <col min="7" max="7" width="30.28515625" style="112" customWidth="1"/>
    <col min="8" max="8" width="28.85546875" style="112" customWidth="1"/>
    <col min="9" max="9" width="31.28515625" style="112" customWidth="1"/>
    <col min="10" max="10" width="30.28515625" style="112" customWidth="1"/>
    <col min="11" max="11" width="10.5703125" style="112" customWidth="1"/>
    <col min="12" max="35" width="12" style="112" customWidth="1"/>
    <col min="36" max="16384" width="9" style="112"/>
  </cols>
  <sheetData>
    <row r="1" spans="1:35" customFormat="1" ht="15" x14ac:dyDescent="0.2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5" x14ac:dyDescent="0.25">
      <c r="A2" s="33"/>
      <c r="B2" s="44" t="s">
        <v>3124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25">
      <c r="A3" s="8"/>
      <c r="B3" s="9" t="s">
        <v>3125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5" x14ac:dyDescent="0.2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2">
      <c r="B6" s="112" t="s">
        <v>3126</v>
      </c>
      <c r="C6" s="112" t="s">
        <v>3127</v>
      </c>
      <c r="D6" s="112" t="s">
        <v>3128</v>
      </c>
      <c r="E6" s="112" t="s">
        <v>1852</v>
      </c>
      <c r="F6" s="112" t="s">
        <v>3129</v>
      </c>
      <c r="H6" s="116" t="str">
        <f>Settings!$B$3&amp;".mit.ghg.ipr.co2.1"</f>
        <v>egy.mit.ghg.ipr.co2.1</v>
      </c>
      <c r="I6" s="112" t="s">
        <v>3130</v>
      </c>
      <c r="L6" s="119">
        <v>39.407980795454698</v>
      </c>
      <c r="M6" s="119">
        <v>43.585000918797398</v>
      </c>
      <c r="N6" s="119">
        <v>50.912804098383539</v>
      </c>
      <c r="O6" s="119">
        <v>56.757414027053628</v>
      </c>
      <c r="P6" s="119">
        <v>55.1773166677362</v>
      </c>
      <c r="Q6" s="119">
        <v>60.177140336361155</v>
      </c>
      <c r="R6" s="119">
        <v>62.592850889257889</v>
      </c>
      <c r="S6" s="119">
        <v>64.932582697226763</v>
      </c>
      <c r="T6" s="119">
        <v>67.146957884204539</v>
      </c>
      <c r="U6" s="119">
        <v>69.397003093875313</v>
      </c>
      <c r="V6" s="119">
        <v>71.660468477644955</v>
      </c>
      <c r="W6" s="119">
        <v>73.966810189848204</v>
      </c>
      <c r="X6" s="119">
        <v>76.315807722191707</v>
      </c>
      <c r="Y6" s="119">
        <v>78.707211855040825</v>
      </c>
      <c r="Z6" s="119">
        <v>81.140744118134904</v>
      </c>
      <c r="AA6" s="119">
        <v>83.616096165537925</v>
      </c>
      <c r="AB6" s="119">
        <v>86.13292906095532</v>
      </c>
      <c r="AC6" s="119">
        <v>88.690872469710754</v>
      </c>
      <c r="AD6" s="119">
        <v>91.289523753836292</v>
      </c>
      <c r="AE6" s="119">
        <v>93.928446966871803</v>
      </c>
    </row>
    <row r="7" spans="1:35" x14ac:dyDescent="0.2">
      <c r="B7" s="112" t="s">
        <v>3131</v>
      </c>
      <c r="C7" s="112" t="s">
        <v>3127</v>
      </c>
      <c r="D7" s="112" t="s">
        <v>3132</v>
      </c>
      <c r="E7" s="112" t="s">
        <v>1852</v>
      </c>
      <c r="F7" s="112" t="s">
        <v>3133</v>
      </c>
      <c r="H7" s="116" t="str">
        <f>Settings!$B$3&amp;".mit.ghg.ipr.ch4.1"</f>
        <v>egy.mit.ghg.ipr.ch4.1</v>
      </c>
      <c r="I7" s="112" t="s">
        <v>3130</v>
      </c>
      <c r="L7" s="119">
        <v>0.1657182072</v>
      </c>
      <c r="M7" s="119">
        <v>0.16588942488057401</v>
      </c>
      <c r="N7" s="119">
        <v>0.19377986951689197</v>
      </c>
      <c r="O7" s="119">
        <v>0.21602511350632642</v>
      </c>
      <c r="P7" s="119">
        <v>0.21001108490321049</v>
      </c>
      <c r="Q7" s="119">
        <v>0.22904097719202224</v>
      </c>
      <c r="R7" s="119">
        <v>0.23823544377112332</v>
      </c>
      <c r="S7" s="119">
        <v>0.24714072668535048</v>
      </c>
      <c r="T7" s="119">
        <v>0.25556888817425227</v>
      </c>
      <c r="U7" s="119">
        <v>0.26413281378900649</v>
      </c>
      <c r="V7" s="119">
        <v>0.27274781809863574</v>
      </c>
      <c r="W7" s="119">
        <v>0.28152601454581</v>
      </c>
      <c r="X7" s="119">
        <v>0.29046656385111685</v>
      </c>
      <c r="Y7" s="119">
        <v>0.29956851745654345</v>
      </c>
      <c r="Z7" s="119">
        <v>0.30883081547289826</v>
      </c>
      <c r="AA7" s="119">
        <v>0.31825228430080271</v>
      </c>
      <c r="AB7" s="119">
        <v>0.32783163391052672</v>
      </c>
      <c r="AC7" s="119">
        <v>0.33756745476656086</v>
      </c>
      <c r="AD7" s="119">
        <v>0.34745821438342783</v>
      </c>
      <c r="AE7" s="119">
        <v>0.35750225349977566</v>
      </c>
    </row>
    <row r="8" spans="1:35" x14ac:dyDescent="0.2">
      <c r="B8" s="112" t="s">
        <v>3134</v>
      </c>
      <c r="C8" s="112" t="s">
        <v>3127</v>
      </c>
      <c r="D8" s="112" t="s">
        <v>3135</v>
      </c>
      <c r="E8" s="112" t="s">
        <v>1852</v>
      </c>
      <c r="F8" s="112" t="s">
        <v>3136</v>
      </c>
      <c r="H8" s="116" t="str">
        <f>Settings!$B$3&amp;".mit.ghg.ipr.n2o.1"</f>
        <v>egy.mit.ghg.ipr.n2o.1</v>
      </c>
      <c r="I8" s="112" t="s">
        <v>3130</v>
      </c>
      <c r="L8" s="119">
        <v>0.92749999999999999</v>
      </c>
      <c r="M8" s="119">
        <v>0.92749999999999999</v>
      </c>
      <c r="N8" s="119">
        <v>1.0834375313936251</v>
      </c>
      <c r="O8" s="119">
        <v>1.2078123299382222</v>
      </c>
      <c r="P8" s="119">
        <v>1.1741874528045189</v>
      </c>
      <c r="Q8" s="119">
        <v>1.2805849830303275</v>
      </c>
      <c r="R8" s="119">
        <v>1.3319919232753465</v>
      </c>
      <c r="S8" s="119">
        <v>1.381782016338192</v>
      </c>
      <c r="T8" s="119">
        <v>1.428904488349799</v>
      </c>
      <c r="U8" s="119">
        <v>1.4767860275944065</v>
      </c>
      <c r="V8" s="119">
        <v>1.5249531515863879</v>
      </c>
      <c r="W8" s="119">
        <v>1.5740326948460954</v>
      </c>
      <c r="X8" s="119">
        <v>1.6240199649004818</v>
      </c>
      <c r="Y8" s="119">
        <v>1.6749096582917917</v>
      </c>
      <c r="Z8" s="119">
        <v>1.7266958491014452</v>
      </c>
      <c r="AA8" s="119">
        <v>1.7793719756488264</v>
      </c>
      <c r="AB8" s="119">
        <v>1.8329308252826433</v>
      </c>
      <c r="AC8" s="119">
        <v>1.8873645171859845</v>
      </c>
      <c r="AD8" s="119">
        <v>1.9426644831196078</v>
      </c>
      <c r="AE8" s="119">
        <v>1.9988214460310123</v>
      </c>
    </row>
    <row r="9" spans="1:35" x14ac:dyDescent="0.2">
      <c r="B9" s="112" t="s">
        <v>3137</v>
      </c>
      <c r="C9" s="112" t="s">
        <v>3127</v>
      </c>
      <c r="D9" s="112" t="s">
        <v>3138</v>
      </c>
      <c r="E9" s="112" t="s">
        <v>1852</v>
      </c>
      <c r="F9" s="112" t="s">
        <v>3139</v>
      </c>
      <c r="H9" s="116" t="str">
        <f>Settings!$B$3&amp;".mit.ghg.ipr.fga.1"</f>
        <v>egy.mit.ghg.ipr.fga.1</v>
      </c>
      <c r="I9" s="112" t="s">
        <v>3130</v>
      </c>
      <c r="L9" s="119">
        <v>11.699150757821901</v>
      </c>
      <c r="M9" s="119">
        <v>12.2250407871263</v>
      </c>
      <c r="N9" s="119">
        <v>14.280396777995145</v>
      </c>
      <c r="O9" s="119">
        <v>15.919735845486592</v>
      </c>
      <c r="P9" s="119">
        <v>15.476538546918793</v>
      </c>
      <c r="Q9" s="119">
        <v>16.878925767037405</v>
      </c>
      <c r="R9" s="119">
        <v>17.556501984004221</v>
      </c>
      <c r="S9" s="119">
        <v>18.212767125231281</v>
      </c>
      <c r="T9" s="119">
        <v>18.833871321815767</v>
      </c>
      <c r="U9" s="119">
        <v>19.46498050803217</v>
      </c>
      <c r="V9" s="119">
        <v>20.099853883127096</v>
      </c>
      <c r="W9" s="119">
        <v>20.746753525351846</v>
      </c>
      <c r="X9" s="119">
        <v>21.405617584922702</v>
      </c>
      <c r="Y9" s="119">
        <v>22.076376158888326</v>
      </c>
      <c r="Z9" s="119">
        <v>22.758951139867214</v>
      </c>
      <c r="AA9" s="119">
        <v>23.453256040729276</v>
      </c>
      <c r="AB9" s="119">
        <v>24.159195794136256</v>
      </c>
      <c r="AC9" s="119">
        <v>24.876666525901445</v>
      </c>
      <c r="AD9" s="119">
        <v>25.60555530117394</v>
      </c>
      <c r="AE9" s="119">
        <v>26.345739842492602</v>
      </c>
    </row>
    <row r="10" spans="1:35" x14ac:dyDescent="0.2">
      <c r="B10" s="112" t="s">
        <v>110</v>
      </c>
      <c r="C10" s="112" t="s">
        <v>3127</v>
      </c>
      <c r="D10" s="112" t="s">
        <v>3140</v>
      </c>
      <c r="E10" s="112" t="s">
        <v>1852</v>
      </c>
      <c r="F10" s="112" t="s">
        <v>3141</v>
      </c>
      <c r="H10" s="116" t="str">
        <f>Settings!$B$3&amp;".mit.ghg.ipr.tot.1"</f>
        <v>egy.mit.ghg.ipr.tot.1</v>
      </c>
      <c r="I10" s="112" t="s">
        <v>3142</v>
      </c>
      <c r="L10" s="118">
        <f t="shared" ref="L10:AE10" si="0">SUM(L6:L9)</f>
        <v>52.200349760476598</v>
      </c>
      <c r="M10" s="118">
        <f t="shared" si="0"/>
        <v>56.903431130804279</v>
      </c>
      <c r="N10" s="118">
        <f t="shared" si="0"/>
        <v>66.470418277289212</v>
      </c>
      <c r="O10" s="118">
        <f t="shared" si="0"/>
        <v>74.100987315984767</v>
      </c>
      <c r="P10" s="118">
        <f t="shared" si="0"/>
        <v>72.038053752362714</v>
      </c>
      <c r="Q10" s="118">
        <f t="shared" si="0"/>
        <v>78.565692063620915</v>
      </c>
      <c r="R10" s="118">
        <f t="shared" si="0"/>
        <v>81.719580240308574</v>
      </c>
      <c r="S10" s="118">
        <f t="shared" si="0"/>
        <v>84.774272565481581</v>
      </c>
      <c r="T10" s="118">
        <f t="shared" si="0"/>
        <v>87.665302582544356</v>
      </c>
      <c r="U10" s="118">
        <f t="shared" si="0"/>
        <v>90.602902443290887</v>
      </c>
      <c r="V10" s="118">
        <f t="shared" si="0"/>
        <v>93.558023330457075</v>
      </c>
      <c r="W10" s="118">
        <f t="shared" si="0"/>
        <v>96.569122424591953</v>
      </c>
      <c r="X10" s="118">
        <f t="shared" si="0"/>
        <v>99.635911835866011</v>
      </c>
      <c r="Y10" s="118">
        <f t="shared" si="0"/>
        <v>102.75806618967749</v>
      </c>
      <c r="Z10" s="118">
        <f t="shared" si="0"/>
        <v>105.93522192257646</v>
      </c>
      <c r="AA10" s="118">
        <f t="shared" si="0"/>
        <v>109.16697646621682</v>
      </c>
      <c r="AB10" s="118">
        <f t="shared" si="0"/>
        <v>112.45288731428474</v>
      </c>
      <c r="AC10" s="118">
        <f t="shared" si="0"/>
        <v>115.79247096756474</v>
      </c>
      <c r="AD10" s="118">
        <f t="shared" si="0"/>
        <v>119.18520175251327</v>
      </c>
      <c r="AE10" s="118">
        <f t="shared" si="0"/>
        <v>122.6305105088952</v>
      </c>
    </row>
    <row r="11" spans="1:35" x14ac:dyDescent="0.2">
      <c r="B11" s="112" t="s">
        <v>110</v>
      </c>
      <c r="C11" s="112" t="s">
        <v>4</v>
      </c>
      <c r="D11" s="112" t="s">
        <v>3143</v>
      </c>
      <c r="E11" s="112" t="s">
        <v>2065</v>
      </c>
      <c r="F11" s="112" t="s">
        <v>3144</v>
      </c>
      <c r="H11" s="116" t="str">
        <f>Settings!$B$3&amp;".mit.co2.ind.1"</f>
        <v>egy.mit.co2.ind.1</v>
      </c>
      <c r="I11" s="112" t="s">
        <v>3145</v>
      </c>
      <c r="L11" s="119">
        <v>59.804205879849356</v>
      </c>
      <c r="M11" s="119">
        <v>48.931828957170424</v>
      </c>
      <c r="N11" s="119">
        <v>57.158576789144817</v>
      </c>
      <c r="O11" s="119">
        <v>63.720179343286866</v>
      </c>
      <c r="P11" s="119">
        <v>61.946242160955606</v>
      </c>
      <c r="Q11" s="119">
        <v>67.559423563084593</v>
      </c>
      <c r="R11" s="119">
        <v>70.271483517026113</v>
      </c>
      <c r="S11" s="119">
        <v>72.898243967174636</v>
      </c>
      <c r="T11" s="119">
        <v>75.384269563412914</v>
      </c>
      <c r="U11" s="119">
        <v>77.910341033518762</v>
      </c>
      <c r="V11" s="119">
        <v>80.451479009297159</v>
      </c>
      <c r="W11" s="119">
        <v>83.040753204531725</v>
      </c>
      <c r="X11" s="119">
        <v>85.677916059881724</v>
      </c>
      <c r="Y11" s="119">
        <v>88.362687782476257</v>
      </c>
      <c r="Z11" s="119">
        <v>91.094755740472323</v>
      </c>
      <c r="AA11" s="119">
        <v>93.873773761327016</v>
      </c>
      <c r="AB11" s="119">
        <v>96.699361329439938</v>
      </c>
      <c r="AC11" s="119">
        <v>99.571102679005023</v>
      </c>
      <c r="AD11" s="119">
        <v>102.4885457780901</v>
      </c>
      <c r="AE11" s="119">
        <v>105.45120120012244</v>
      </c>
    </row>
    <row r="14" spans="1:35" customFormat="1" ht="18" customHeight="1" x14ac:dyDescent="0.25">
      <c r="A14" s="8"/>
      <c r="B14" s="9" t="s">
        <v>3146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5" x14ac:dyDescent="0.2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2">
      <c r="B17" s="112" t="s">
        <v>110</v>
      </c>
      <c r="C17" s="112" t="s">
        <v>3147</v>
      </c>
      <c r="D17" s="112" t="s">
        <v>3148</v>
      </c>
      <c r="E17" s="112" t="s">
        <v>2065</v>
      </c>
      <c r="F17" s="112" t="s">
        <v>3149</v>
      </c>
      <c r="H17" s="116" t="str">
        <f>Settings!$B$3&amp;".mit.eco2.kern.tot.e.1"</f>
        <v>egy.mit.eco2.kern.tot.e.1</v>
      </c>
      <c r="I17" s="112" t="s">
        <v>3150</v>
      </c>
      <c r="L17" s="118">
        <f>Emissions_Industry!L15+Emissions_Industry!L27+Emissions_Industry!L39+Emissions_Industry!L51</f>
        <v>14.019740964534272</v>
      </c>
      <c r="M17" s="118">
        <f>Emissions_Industry!M15+Emissions_Industry!M27+Emissions_Industry!M39+Emissions_Industry!M51</f>
        <v>11.739301230035998</v>
      </c>
      <c r="N17" s="118">
        <f>Emissions_Industry!N15+Emissions_Industry!N27+Emissions_Industry!N39+Emissions_Industry!N51</f>
        <v>13.303124518863104</v>
      </c>
      <c r="O17" s="118">
        <f>Emissions_Industry!O15+Emissions_Industry!O27+Emissions_Industry!O39+Emissions_Industry!O51</f>
        <v>14.156899598427017</v>
      </c>
      <c r="P17" s="118">
        <f>Emissions_Industry!P15+Emissions_Industry!P27+Emissions_Industry!P39+Emissions_Industry!P51</f>
        <v>14.286244741983563</v>
      </c>
      <c r="Q17" s="118">
        <f>Emissions_Industry!Q15+Emissions_Industry!Q27+Emissions_Industry!Q39+Emissions_Industry!Q51</f>
        <v>14.694127249831887</v>
      </c>
      <c r="R17" s="118">
        <f>Emissions_Industry!R15+Emissions_Industry!R27+Emissions_Industry!R39+Emissions_Industry!R51</f>
        <v>15.27697183467752</v>
      </c>
      <c r="S17" s="118">
        <f>Emissions_Industry!S15+Emissions_Industry!S27+Emissions_Industry!S39+Emissions_Industry!S51</f>
        <v>15.844069878250156</v>
      </c>
      <c r="T17" s="118">
        <f>Emissions_Industry!T15+Emissions_Industry!T27+Emissions_Industry!T39+Emissions_Industry!T51</f>
        <v>16.383896414290213</v>
      </c>
      <c r="U17" s="118">
        <f>Emissions_Industry!U15+Emissions_Industry!U27+Emissions_Industry!U39+Emissions_Industry!U51</f>
        <v>16.932091247027692</v>
      </c>
      <c r="V17" s="118">
        <f>Emissions_Industry!V15+Emissions_Industry!V27+Emissions_Industry!V39+Emissions_Industry!V51</f>
        <v>17.456721897287899</v>
      </c>
      <c r="W17" s="118">
        <f>Emissions_Industry!W15+Emissions_Industry!W27+Emissions_Industry!W39+Emissions_Industry!W51</f>
        <v>17.991034633776298</v>
      </c>
      <c r="X17" s="118">
        <f>Emissions_Industry!X15+Emissions_Industry!X27+Emissions_Industry!X39+Emissions_Industry!X51</f>
        <v>18.534983575594026</v>
      </c>
      <c r="Y17" s="118">
        <f>Emissions_Industry!Y15+Emissions_Industry!Y27+Emissions_Industry!Y39+Emissions_Industry!Y51</f>
        <v>19.08851611045521</v>
      </c>
      <c r="Z17" s="118">
        <f>Emissions_Industry!Z15+Emissions_Industry!Z27+Emissions_Industry!Z39+Emissions_Industry!Z51</f>
        <v>19.651572741430424</v>
      </c>
      <c r="AA17" s="118">
        <f>Emissions_Industry!AA15+Emissions_Industry!AA27+Emissions_Industry!AA39+Emissions_Industry!AA51</f>
        <v>20.224086914529249</v>
      </c>
      <c r="AB17" s="118">
        <f>Emissions_Industry!AB15+Emissions_Industry!AB27+Emissions_Industry!AB39+Emissions_Industry!AB51</f>
        <v>20.80598482616989</v>
      </c>
      <c r="AC17" s="118">
        <f>Emissions_Industry!AC15+Emissions_Industry!AC27+Emissions_Industry!AC39+Emissions_Industry!AC51</f>
        <v>21.397185209616836</v>
      </c>
      <c r="AD17" s="118">
        <f>Emissions_Industry!AD15+Emissions_Industry!AD27+Emissions_Industry!AD39+Emissions_Industry!AD51</f>
        <v>21.997599099500416</v>
      </c>
      <c r="AE17" s="118">
        <f>Emissions_Industry!AE15+Emissions_Industry!AE27+Emissions_Industry!AE39+Emissions_Industry!AE51</f>
        <v>22.607129573562297</v>
      </c>
    </row>
    <row r="18" spans="1:35" x14ac:dyDescent="0.2">
      <c r="B18" s="112" t="s">
        <v>110</v>
      </c>
      <c r="C18" s="112" t="s">
        <v>4</v>
      </c>
      <c r="D18" s="112" t="s">
        <v>3151</v>
      </c>
      <c r="E18" s="112" t="s">
        <v>2065</v>
      </c>
      <c r="F18" s="112" t="s">
        <v>3152</v>
      </c>
      <c r="H18" s="116" t="str">
        <f>Settings!$B$3&amp;".mit.co2.ind.k.1"</f>
        <v>egy.mit.co2.ind.k.1</v>
      </c>
      <c r="I18" s="112" t="s">
        <v>3153</v>
      </c>
      <c r="L18" s="118">
        <f t="shared" ref="L18:AE18" si="1">L11+L17-L17</f>
        <v>59.804205879849356</v>
      </c>
      <c r="M18" s="118">
        <f t="shared" si="1"/>
        <v>48.931828957170424</v>
      </c>
      <c r="N18" s="118">
        <f t="shared" si="1"/>
        <v>57.158576789144817</v>
      </c>
      <c r="O18" s="118">
        <f t="shared" si="1"/>
        <v>63.720179343286858</v>
      </c>
      <c r="P18" s="118">
        <f t="shared" si="1"/>
        <v>61.946242160955606</v>
      </c>
      <c r="Q18" s="118">
        <f t="shared" si="1"/>
        <v>67.559423563084579</v>
      </c>
      <c r="R18" s="118">
        <f t="shared" si="1"/>
        <v>70.271483517026113</v>
      </c>
      <c r="S18" s="118">
        <f t="shared" si="1"/>
        <v>72.898243967174636</v>
      </c>
      <c r="T18" s="118">
        <f t="shared" si="1"/>
        <v>75.384269563412914</v>
      </c>
      <c r="U18" s="118">
        <f t="shared" si="1"/>
        <v>77.910341033518762</v>
      </c>
      <c r="V18" s="118">
        <f t="shared" si="1"/>
        <v>80.451479009297145</v>
      </c>
      <c r="W18" s="118">
        <f t="shared" si="1"/>
        <v>83.040753204531725</v>
      </c>
      <c r="X18" s="118">
        <f t="shared" si="1"/>
        <v>85.677916059881724</v>
      </c>
      <c r="Y18" s="118">
        <f t="shared" si="1"/>
        <v>88.362687782476257</v>
      </c>
      <c r="Z18" s="118">
        <f t="shared" si="1"/>
        <v>91.094755740472323</v>
      </c>
      <c r="AA18" s="118">
        <f t="shared" si="1"/>
        <v>93.873773761327016</v>
      </c>
      <c r="AB18" s="118">
        <f t="shared" si="1"/>
        <v>96.699361329439938</v>
      </c>
      <c r="AC18" s="118">
        <f t="shared" si="1"/>
        <v>99.571102679005023</v>
      </c>
      <c r="AD18" s="118">
        <f t="shared" si="1"/>
        <v>102.4885457780901</v>
      </c>
      <c r="AE18" s="118">
        <f t="shared" si="1"/>
        <v>105.45120120012243</v>
      </c>
    </row>
    <row r="19" spans="1:35" x14ac:dyDescent="0.2">
      <c r="B19" s="112" t="s">
        <v>110</v>
      </c>
      <c r="C19" s="112" t="s">
        <v>3127</v>
      </c>
      <c r="D19" s="112" t="s">
        <v>3154</v>
      </c>
      <c r="E19" s="112" t="s">
        <v>1852</v>
      </c>
      <c r="F19" s="112" t="s">
        <v>3155</v>
      </c>
      <c r="H19" s="116" t="str">
        <f>Settings!$B$3&amp;".mit.ghg.iprc.tot.1"</f>
        <v>egy.mit.ghg.iprc.tot.1</v>
      </c>
      <c r="I19" s="112" t="s">
        <v>3156</v>
      </c>
      <c r="L19" s="118">
        <f>L10</f>
        <v>52.200349760476598</v>
      </c>
      <c r="M19" s="118">
        <f>M10</f>
        <v>56.903431130804279</v>
      </c>
      <c r="N19" s="118">
        <f t="shared" ref="N19:AE19" si="2">IF(M18=0,0,M19*N18/M18)</f>
        <v>66.470418277289212</v>
      </c>
      <c r="O19" s="118">
        <f t="shared" si="2"/>
        <v>74.100987315984753</v>
      </c>
      <c r="P19" s="118">
        <f t="shared" si="2"/>
        <v>72.038053752362728</v>
      </c>
      <c r="Q19" s="118">
        <f t="shared" si="2"/>
        <v>78.565692063620887</v>
      </c>
      <c r="R19" s="118">
        <f t="shared" si="2"/>
        <v>81.719580240308588</v>
      </c>
      <c r="S19" s="118">
        <f t="shared" si="2"/>
        <v>84.774272565481596</v>
      </c>
      <c r="T19" s="118">
        <f t="shared" si="2"/>
        <v>87.665302582544385</v>
      </c>
      <c r="U19" s="118">
        <f t="shared" si="2"/>
        <v>90.60290244329093</v>
      </c>
      <c r="V19" s="118">
        <f t="shared" si="2"/>
        <v>93.558023330457104</v>
      </c>
      <c r="W19" s="118">
        <f t="shared" si="2"/>
        <v>96.569122424591995</v>
      </c>
      <c r="X19" s="118">
        <f t="shared" si="2"/>
        <v>99.635911835866054</v>
      </c>
      <c r="Y19" s="118">
        <f t="shared" si="2"/>
        <v>102.75806618967755</v>
      </c>
      <c r="Z19" s="118">
        <f t="shared" si="2"/>
        <v>105.93522192257653</v>
      </c>
      <c r="AA19" s="118">
        <f t="shared" si="2"/>
        <v>109.16697646621689</v>
      </c>
      <c r="AB19" s="118">
        <f t="shared" si="2"/>
        <v>112.45288731428481</v>
      </c>
      <c r="AC19" s="118">
        <f t="shared" si="2"/>
        <v>115.79247096756482</v>
      </c>
      <c r="AD19" s="118">
        <f t="shared" si="2"/>
        <v>119.18520175251335</v>
      </c>
      <c r="AE19" s="118">
        <f t="shared" si="2"/>
        <v>122.63051050889524</v>
      </c>
    </row>
    <row r="20" spans="1:35" x14ac:dyDescent="0.2">
      <c r="B20" s="112" t="s">
        <v>2672</v>
      </c>
      <c r="C20" s="112" t="s">
        <v>3127</v>
      </c>
      <c r="D20" s="112" t="s">
        <v>3157</v>
      </c>
      <c r="E20" s="112" t="s">
        <v>1852</v>
      </c>
      <c r="F20" s="112" t="s">
        <v>3158</v>
      </c>
      <c r="H20" s="116" t="str">
        <f>Settings!$B$3&amp;".mit.ghg.ipr.blknp.1"</f>
        <v>egy.mit.ghg.ipr.blknp.1</v>
      </c>
      <c r="I20" s="112" t="s">
        <v>3159</v>
      </c>
      <c r="L20" s="118">
        <f>Mitigation_Industry!L260</f>
        <v>25.971762885046314</v>
      </c>
      <c r="M20" s="118">
        <f>Mitigation_Industry!M260</f>
        <v>26.842539414672931</v>
      </c>
      <c r="N20" s="118">
        <f>Mitigation_Industry!N260</f>
        <v>27.742760634</v>
      </c>
      <c r="O20" s="118">
        <f>Mitigation_Industry!O260</f>
        <v>28.673435240928001</v>
      </c>
      <c r="P20" s="118">
        <f>Mitigation_Industry!P260</f>
        <v>29.635607169743587</v>
      </c>
      <c r="Q20" s="118">
        <f>Mitigation_Industry!Q260</f>
        <v>30.630356857310563</v>
      </c>
      <c r="R20" s="118">
        <f>Mitigation_Industry!R260</f>
        <v>31.658802556563273</v>
      </c>
      <c r="S20" s="118">
        <f>Mitigation_Industry!S260</f>
        <v>32.722101699159616</v>
      </c>
      <c r="T20" s="118">
        <f>Mitigation_Industry!T260</f>
        <v>33.821452309227929</v>
      </c>
      <c r="U20" s="118">
        <f>Mitigation_Industry!U260</f>
        <v>34.958094470222733</v>
      </c>
      <c r="V20" s="118">
        <f>Mitigation_Industry!V260</f>
        <v>36.133311846988548</v>
      </c>
      <c r="W20" s="118">
        <f>Mitigation_Industry!W260</f>
        <v>37.348433265219015</v>
      </c>
      <c r="X20" s="118">
        <f>Mitigation_Industry!X260</f>
        <v>38.60483435059016</v>
      </c>
      <c r="Y20" s="118">
        <f>Mitigation_Industry!Y260</f>
        <v>39.903939229943205</v>
      </c>
      <c r="Z20" s="118">
        <f>Mitigation_Industry!Z260</f>
        <v>41.247222296991801</v>
      </c>
      <c r="AA20" s="118">
        <f>Mitigation_Industry!AA260</f>
        <v>42.636210045134121</v>
      </c>
      <c r="AB20" s="118">
        <f>Mitigation_Industry!AB260</f>
        <v>44.072482970059113</v>
      </c>
      <c r="AC20" s="118">
        <f>Mitigation_Industry!AC260</f>
        <v>45.557677544951083</v>
      </c>
      <c r="AD20" s="118">
        <f>Mitigation_Industry!AD260</f>
        <v>47.09348827121579</v>
      </c>
      <c r="AE20" s="118">
        <f>Mitigation_Industry!AE260</f>
        <v>48.681669807777041</v>
      </c>
    </row>
    <row r="21" spans="1:35" x14ac:dyDescent="0.2">
      <c r="B21" s="112" t="s">
        <v>2672</v>
      </c>
      <c r="C21" s="112" t="s">
        <v>3127</v>
      </c>
      <c r="D21" s="112" t="s">
        <v>3160</v>
      </c>
      <c r="E21" s="112" t="s">
        <v>1852</v>
      </c>
      <c r="F21" s="112" t="s">
        <v>3161</v>
      </c>
      <c r="H21" s="116" t="str">
        <f>Settings!$B$3&amp;".mit.ghg.ipr.blkno.1"</f>
        <v>egy.mit.ghg.ipr.blkno.1</v>
      </c>
      <c r="I21" s="112" t="s">
        <v>3162</v>
      </c>
      <c r="L21" s="118">
        <f>Mitigation_Industry!L261</f>
        <v>0.77985726154224555</v>
      </c>
      <c r="M21" s="118">
        <f>Mitigation_Industry!M261</f>
        <v>0.80389860277682457</v>
      </c>
      <c r="N21" s="118">
        <f>Mitigation_Industry!N261</f>
        <v>0.82884750000000007</v>
      </c>
      <c r="O21" s="118">
        <f>Mitigation_Industry!O261</f>
        <v>0.85474474500000008</v>
      </c>
      <c r="P21" s="118">
        <f>Mitigation_Industry!P261</f>
        <v>0.88163317238999994</v>
      </c>
      <c r="Q21" s="118">
        <f>Mitigation_Industry!Q261</f>
        <v>0.90955776754758011</v>
      </c>
      <c r="R21" s="118">
        <f>Mitigation_Industry!R261</f>
        <v>0.93856578039370175</v>
      </c>
      <c r="S21" s="118">
        <f>Mitigation_Industry!S261</f>
        <v>0.96870684533024232</v>
      </c>
      <c r="T21" s="118">
        <f>Mitigation_Industry!T261</f>
        <v>1.0000331076726199</v>
      </c>
      <c r="U21" s="118">
        <f>Mitigation_Industry!U261</f>
        <v>1.0325993569325114</v>
      </c>
      <c r="V21" s="118">
        <f>Mitigation_Industry!V261</f>
        <v>1.0664631673251306</v>
      </c>
      <c r="W21" s="118">
        <f>Mitigation_Industry!W261</f>
        <v>1.1016850458960927</v>
      </c>
      <c r="X21" s="118">
        <f>Mitigation_Industry!X261</f>
        <v>1.138328588684556</v>
      </c>
      <c r="Y21" s="118">
        <f>Mitigation_Industry!Y261</f>
        <v>1.1764606453621964</v>
      </c>
      <c r="Z21" s="118">
        <f>Mitigation_Industry!Z261</f>
        <v>1.216151492811707</v>
      </c>
      <c r="AA21" s="118">
        <f>Mitigation_Industry!AA261</f>
        <v>1.2574750181339414</v>
      </c>
      <c r="AB21" s="118">
        <f>Mitigation_Industry!AB261</f>
        <v>1.3005089115996857</v>
      </c>
      <c r="AC21" s="118">
        <f>Mitigation_Industry!AC261</f>
        <v>1.3453348700903502</v>
      </c>
      <c r="AD21" s="118">
        <f>Mitigation_Industry!AD261</f>
        <v>1.3920388116017608</v>
      </c>
      <c r="AE21" s="118">
        <f>Mitigation_Industry!AE261</f>
        <v>1.4407111014167402</v>
      </c>
    </row>
    <row r="22" spans="1:35" x14ac:dyDescent="0.2">
      <c r="B22" s="112" t="s">
        <v>2672</v>
      </c>
      <c r="C22" s="112" t="s">
        <v>3127</v>
      </c>
      <c r="D22" s="112" t="s">
        <v>3163</v>
      </c>
      <c r="E22" s="112" t="s">
        <v>1852</v>
      </c>
      <c r="F22" s="112" t="s">
        <v>3164</v>
      </c>
      <c r="H22" s="116" t="str">
        <f>Settings!$B$3&amp;".mit.ghg.ipr.blkproc.1"</f>
        <v>egy.mit.ghg.ipr.blkproc.1</v>
      </c>
      <c r="I22" s="112" t="s">
        <v>3165</v>
      </c>
      <c r="L22" s="118">
        <f>Mitigation_Industry!L390</f>
        <v>26.751620146588561</v>
      </c>
      <c r="M22" s="118">
        <f>Mitigation_Industry!M390</f>
        <v>27.646438017449757</v>
      </c>
      <c r="N22" s="118">
        <f>Mitigation_Industry!N390</f>
        <v>28.571608133999998</v>
      </c>
      <c r="O22" s="118">
        <f>Mitigation_Industry!O390</f>
        <v>29.528179985927999</v>
      </c>
      <c r="P22" s="118">
        <f>Mitigation_Industry!P390</f>
        <v>30.517240342133586</v>
      </c>
      <c r="Q22" s="118">
        <f>Mitigation_Industry!Q390</f>
        <v>31.539914624858142</v>
      </c>
      <c r="R22" s="118">
        <f>Mitigation_Industry!R390</f>
        <v>32.597368336956976</v>
      </c>
      <c r="S22" s="118">
        <f>Mitigation_Industry!S390</f>
        <v>33.690808544489862</v>
      </c>
      <c r="T22" s="118">
        <f>Mitigation_Industry!T390</f>
        <v>34.821485416900551</v>
      </c>
      <c r="U22" s="118">
        <f>Mitigation_Industry!U390</f>
        <v>35.990693827155248</v>
      </c>
      <c r="V22" s="118">
        <f>Mitigation_Industry!V390</f>
        <v>37.19977501431368</v>
      </c>
      <c r="W22" s="118">
        <f>Mitigation_Industry!W390</f>
        <v>38.450118311115105</v>
      </c>
      <c r="X22" s="118">
        <f>Mitigation_Industry!X390</f>
        <v>39.743162939274711</v>
      </c>
      <c r="Y22" s="118">
        <f>Mitigation_Industry!Y390</f>
        <v>41.08039987530541</v>
      </c>
      <c r="Z22" s="118">
        <f>Mitigation_Industry!Z390</f>
        <v>42.463373789803512</v>
      </c>
      <c r="AA22" s="118">
        <f>Mitigation_Industry!AA390</f>
        <v>43.893685063268059</v>
      </c>
      <c r="AB22" s="118">
        <f>Mitigation_Industry!AB390</f>
        <v>45.372991881658805</v>
      </c>
      <c r="AC22" s="118">
        <f>Mitigation_Industry!AC390</f>
        <v>46.903012415041424</v>
      </c>
      <c r="AD22" s="118">
        <f>Mitigation_Industry!AD390</f>
        <v>48.485527082817555</v>
      </c>
      <c r="AE22" s="118">
        <f>Mitigation_Industry!AE390</f>
        <v>50.122380909193787</v>
      </c>
    </row>
    <row r="23" spans="1:35" x14ac:dyDescent="0.2">
      <c r="B23" s="112" t="s">
        <v>2672</v>
      </c>
      <c r="C23" s="112" t="s">
        <v>3127</v>
      </c>
      <c r="D23" s="112" t="s">
        <v>3166</v>
      </c>
      <c r="E23" s="112" t="s">
        <v>1852</v>
      </c>
      <c r="F23" s="112" t="s">
        <v>3167</v>
      </c>
      <c r="H23" s="116" t="str">
        <f>Settings!$B$3&amp;".mit.ghg.ipr.blkfp.1"</f>
        <v>egy.mit.ghg.ipr.blkfp.1</v>
      </c>
      <c r="I23" s="112" t="s">
        <v>3168</v>
      </c>
      <c r="L23" s="118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18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18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18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18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18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18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18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18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18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18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18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18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18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18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18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18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18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18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18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2">
      <c r="B24" s="112" t="s">
        <v>2672</v>
      </c>
      <c r="C24" s="112" t="s">
        <v>3127</v>
      </c>
      <c r="D24" s="112" t="s">
        <v>3169</v>
      </c>
      <c r="E24" s="112" t="s">
        <v>1852</v>
      </c>
      <c r="H24" s="116" t="str">
        <f>Settings!$B$3&amp;".mit.ghg.ipr.blk.1"</f>
        <v>egy.mit.ghg.ipr.blk.1</v>
      </c>
      <c r="L24" s="118">
        <f t="shared" ref="L24:AE24" si="3">L22+L23</f>
        <v>28.908777412760184</v>
      </c>
      <c r="M24" s="118">
        <f t="shared" si="3"/>
        <v>29.851052743477155</v>
      </c>
      <c r="N24" s="118">
        <f t="shared" si="3"/>
        <v>30.824724384</v>
      </c>
      <c r="O24" s="118">
        <f t="shared" si="3"/>
        <v>31.830864793427999</v>
      </c>
      <c r="P24" s="118">
        <f t="shared" si="3"/>
        <v>32.870584215398587</v>
      </c>
      <c r="Q24" s="118">
        <f t="shared" si="3"/>
        <v>33.94503206333497</v>
      </c>
      <c r="R24" s="118">
        <f t="shared" si="3"/>
        <v>35.055398359080293</v>
      </c>
      <c r="S24" s="118">
        <f t="shared" si="3"/>
        <v>36.202915227099894</v>
      </c>
      <c r="T24" s="118">
        <f t="shared" si="3"/>
        <v>37.388858446528005</v>
      </c>
      <c r="U24" s="118">
        <f t="shared" si="3"/>
        <v>38.614549063434509</v>
      </c>
      <c r="V24" s="118">
        <f t="shared" si="3"/>
        <v>39.881355065791084</v>
      </c>
      <c r="W24" s="118">
        <f t="shared" si="3"/>
        <v>41.190693123725012</v>
      </c>
      <c r="X24" s="118">
        <f t="shared" si="3"/>
        <v>42.544030397762036</v>
      </c>
      <c r="Y24" s="118">
        <f t="shared" si="3"/>
        <v>43.942886417879457</v>
      </c>
      <c r="Z24" s="118">
        <f t="shared" si="3"/>
        <v>45.388835036314184</v>
      </c>
      <c r="AA24" s="118">
        <f t="shared" si="3"/>
        <v>46.883506457201968</v>
      </c>
      <c r="AB24" s="118">
        <f t="shared" si="3"/>
        <v>48.428589346259258</v>
      </c>
      <c r="AC24" s="118">
        <f t="shared" si="3"/>
        <v>50.025833023863086</v>
      </c>
      <c r="AD24" s="118">
        <f t="shared" si="3"/>
        <v>51.677049745033294</v>
      </c>
      <c r="AE24" s="118">
        <f t="shared" si="3"/>
        <v>53.384117069978274</v>
      </c>
    </row>
    <row r="25" spans="1:35" x14ac:dyDescent="0.2">
      <c r="B25" s="112" t="s">
        <v>3170</v>
      </c>
      <c r="C25" s="112" t="s">
        <v>3127</v>
      </c>
      <c r="D25" s="112" t="s">
        <v>3171</v>
      </c>
      <c r="E25" s="112" t="s">
        <v>1852</v>
      </c>
      <c r="H25" s="116" t="str">
        <f>Settings!$B$3&amp;".mit.ghg.ipr.oth.1"</f>
        <v>egy.mit.ghg.ipr.oth.1</v>
      </c>
      <c r="I25" s="112" t="s">
        <v>3172</v>
      </c>
      <c r="L25" s="118">
        <f t="shared" ref="L25:AE25" si="4">L19-L24</f>
        <v>23.291572347716414</v>
      </c>
      <c r="M25" s="118">
        <f t="shared" si="4"/>
        <v>27.052378387327124</v>
      </c>
      <c r="N25" s="118">
        <f t="shared" si="4"/>
        <v>35.645693893289213</v>
      </c>
      <c r="O25" s="118">
        <f t="shared" si="4"/>
        <v>42.270122522556754</v>
      </c>
      <c r="P25" s="118">
        <f t="shared" si="4"/>
        <v>39.167469536964141</v>
      </c>
      <c r="Q25" s="118">
        <f t="shared" si="4"/>
        <v>44.620660000285916</v>
      </c>
      <c r="R25" s="118">
        <f t="shared" si="4"/>
        <v>46.664181881228295</v>
      </c>
      <c r="S25" s="118">
        <f t="shared" si="4"/>
        <v>48.571357338381702</v>
      </c>
      <c r="T25" s="118">
        <f t="shared" si="4"/>
        <v>50.27644413601638</v>
      </c>
      <c r="U25" s="118">
        <f t="shared" si="4"/>
        <v>51.98835337985642</v>
      </c>
      <c r="V25" s="118">
        <f t="shared" si="4"/>
        <v>53.67666826466602</v>
      </c>
      <c r="W25" s="118">
        <f t="shared" si="4"/>
        <v>55.378429300866983</v>
      </c>
      <c r="X25" s="118">
        <f t="shared" si="4"/>
        <v>57.091881438104018</v>
      </c>
      <c r="Y25" s="118">
        <f t="shared" si="4"/>
        <v>58.815179771798093</v>
      </c>
      <c r="Z25" s="118">
        <f t="shared" si="4"/>
        <v>60.546386886262347</v>
      </c>
      <c r="AA25" s="118">
        <f t="shared" si="4"/>
        <v>62.283470009014927</v>
      </c>
      <c r="AB25" s="118">
        <f t="shared" si="4"/>
        <v>64.02429796802555</v>
      </c>
      <c r="AC25" s="118">
        <f t="shared" si="4"/>
        <v>65.766637943701738</v>
      </c>
      <c r="AD25" s="118">
        <f t="shared" si="4"/>
        <v>67.508152007480049</v>
      </c>
      <c r="AE25" s="118">
        <f t="shared" si="4"/>
        <v>69.246393438916968</v>
      </c>
    </row>
    <row r="26" spans="1:35" ht="15" x14ac:dyDescent="0.25">
      <c r="B26" s="121" t="s">
        <v>110</v>
      </c>
      <c r="C26" s="121" t="s">
        <v>3127</v>
      </c>
      <c r="D26" s="121" t="s">
        <v>3173</v>
      </c>
      <c r="E26" s="121" t="s">
        <v>1852</v>
      </c>
      <c r="F26" s="121"/>
      <c r="G26" s="121"/>
      <c r="H26" s="142" t="str">
        <f>Settings!$B$3&amp;".mit.ghg.iprk.tot.1"</f>
        <v>egy.mit.ghg.iprk.tot.1</v>
      </c>
      <c r="I26" s="121" t="s">
        <v>3174</v>
      </c>
      <c r="J26" s="121"/>
      <c r="K26" s="121"/>
      <c r="L26" s="143">
        <f t="shared" ref="L26:AE26" si="5">L24+L25</f>
        <v>52.200349760476598</v>
      </c>
      <c r="M26" s="143">
        <f t="shared" si="5"/>
        <v>56.903431130804279</v>
      </c>
      <c r="N26" s="143">
        <f t="shared" si="5"/>
        <v>66.470418277289212</v>
      </c>
      <c r="O26" s="143">
        <f t="shared" si="5"/>
        <v>74.100987315984753</v>
      </c>
      <c r="P26" s="143">
        <f t="shared" si="5"/>
        <v>72.038053752362728</v>
      </c>
      <c r="Q26" s="143">
        <f t="shared" si="5"/>
        <v>78.565692063620887</v>
      </c>
      <c r="R26" s="143">
        <f t="shared" si="5"/>
        <v>81.719580240308588</v>
      </c>
      <c r="S26" s="143">
        <f t="shared" si="5"/>
        <v>84.774272565481596</v>
      </c>
      <c r="T26" s="143">
        <f t="shared" si="5"/>
        <v>87.665302582544385</v>
      </c>
      <c r="U26" s="143">
        <f t="shared" si="5"/>
        <v>90.60290244329093</v>
      </c>
      <c r="V26" s="143">
        <f t="shared" si="5"/>
        <v>93.558023330457104</v>
      </c>
      <c r="W26" s="143">
        <f t="shared" si="5"/>
        <v>96.569122424591995</v>
      </c>
      <c r="X26" s="143">
        <f t="shared" si="5"/>
        <v>99.635911835866054</v>
      </c>
      <c r="Y26" s="143">
        <f t="shared" si="5"/>
        <v>102.75806618967755</v>
      </c>
      <c r="Z26" s="143">
        <f t="shared" si="5"/>
        <v>105.93522192257653</v>
      </c>
      <c r="AA26" s="143">
        <f t="shared" si="5"/>
        <v>109.16697646621689</v>
      </c>
      <c r="AB26" s="143">
        <f t="shared" si="5"/>
        <v>112.45288731428481</v>
      </c>
      <c r="AC26" s="143">
        <f t="shared" si="5"/>
        <v>115.79247096756482</v>
      </c>
      <c r="AD26" s="143">
        <f t="shared" si="5"/>
        <v>119.18520175251334</v>
      </c>
      <c r="AE26" s="143">
        <f t="shared" si="5"/>
        <v>122.63051050889524</v>
      </c>
      <c r="AF26" s="121"/>
      <c r="AG26" s="121"/>
      <c r="AH26" s="121"/>
      <c r="AI26" s="121"/>
    </row>
    <row r="27" spans="1:35" x14ac:dyDescent="0.2">
      <c r="B27" s="112" t="s">
        <v>110</v>
      </c>
      <c r="C27" s="112" t="s">
        <v>3127</v>
      </c>
      <c r="D27" s="112" t="s">
        <v>3175</v>
      </c>
      <c r="E27" s="112" t="s">
        <v>1852</v>
      </c>
      <c r="H27" s="116" t="str">
        <f>Settings!$B$3&amp;".mit.ghg.iprdc.tot.1"</f>
        <v>egy.mit.ghg.iprdc.tot.1</v>
      </c>
      <c r="I27" s="112" t="s">
        <v>3176</v>
      </c>
      <c r="L27" s="118">
        <f t="shared" ref="L27:AE27" si="6">L26-L19</f>
        <v>0</v>
      </c>
      <c r="M27" s="118">
        <f t="shared" si="6"/>
        <v>0</v>
      </c>
      <c r="N27" s="118">
        <f t="shared" si="6"/>
        <v>0</v>
      </c>
      <c r="O27" s="118">
        <f t="shared" si="6"/>
        <v>0</v>
      </c>
      <c r="P27" s="118">
        <f t="shared" si="6"/>
        <v>0</v>
      </c>
      <c r="Q27" s="118">
        <f t="shared" si="6"/>
        <v>0</v>
      </c>
      <c r="R27" s="118">
        <f t="shared" si="6"/>
        <v>0</v>
      </c>
      <c r="S27" s="118">
        <f t="shared" si="6"/>
        <v>0</v>
      </c>
      <c r="T27" s="118">
        <f t="shared" si="6"/>
        <v>0</v>
      </c>
      <c r="U27" s="118">
        <f t="shared" si="6"/>
        <v>0</v>
      </c>
      <c r="V27" s="118">
        <f t="shared" si="6"/>
        <v>0</v>
      </c>
      <c r="W27" s="118">
        <f t="shared" si="6"/>
        <v>0</v>
      </c>
      <c r="X27" s="118">
        <f t="shared" si="6"/>
        <v>0</v>
      </c>
      <c r="Y27" s="118">
        <f t="shared" si="6"/>
        <v>0</v>
      </c>
      <c r="Z27" s="118">
        <f t="shared" si="6"/>
        <v>0</v>
      </c>
      <c r="AA27" s="118">
        <f t="shared" si="6"/>
        <v>0</v>
      </c>
      <c r="AB27" s="118">
        <f t="shared" si="6"/>
        <v>0</v>
      </c>
      <c r="AC27" s="118">
        <f t="shared" si="6"/>
        <v>0</v>
      </c>
      <c r="AD27" s="118">
        <f t="shared" si="6"/>
        <v>0</v>
      </c>
      <c r="AE27" s="118">
        <f t="shared" si="6"/>
        <v>0</v>
      </c>
    </row>
    <row r="28" spans="1:35" x14ac:dyDescent="0.2">
      <c r="B28" s="112" t="s">
        <v>3177</v>
      </c>
      <c r="C28" s="112" t="s">
        <v>3127</v>
      </c>
      <c r="D28" s="112" t="s">
        <v>3178</v>
      </c>
      <c r="E28" s="112" t="s">
        <v>79</v>
      </c>
      <c r="H28" s="116" t="str">
        <f>Settings!$B$3&amp;".mit.ghg.iprshb.tot.1"</f>
        <v>egy.mit.ghg.iprshb.tot.1</v>
      </c>
      <c r="L28" s="144">
        <f t="shared" ref="L28:AE28" si="7">IF(L19=0,0,L24/L19)</f>
        <v>0.55380428570707418</v>
      </c>
      <c r="M28" s="144">
        <f t="shared" si="7"/>
        <v>0.52459143763859073</v>
      </c>
      <c r="N28" s="144">
        <f t="shared" si="7"/>
        <v>0.46373597733973954</v>
      </c>
      <c r="O28" s="144">
        <f t="shared" si="7"/>
        <v>0.42956060298756071</v>
      </c>
      <c r="P28" s="144">
        <f t="shared" si="7"/>
        <v>0.45629472901078322</v>
      </c>
      <c r="Q28" s="144">
        <f t="shared" si="7"/>
        <v>0.43205922549306863</v>
      </c>
      <c r="R28" s="144">
        <f t="shared" si="7"/>
        <v>0.42897183583169024</v>
      </c>
      <c r="S28" s="144">
        <f t="shared" si="7"/>
        <v>0.42705073286398215</v>
      </c>
      <c r="T28" s="144">
        <f t="shared" si="7"/>
        <v>0.42649551584360523</v>
      </c>
      <c r="U28" s="144">
        <f t="shared" si="7"/>
        <v>0.4261954972977125</v>
      </c>
      <c r="V28" s="144">
        <f t="shared" si="7"/>
        <v>0.42627402382076635</v>
      </c>
      <c r="W28" s="144">
        <f t="shared" si="7"/>
        <v>0.42654103184886683</v>
      </c>
      <c r="X28" s="144">
        <f t="shared" si="7"/>
        <v>0.42699494202297661</v>
      </c>
      <c r="Y28" s="144">
        <f t="shared" si="7"/>
        <v>0.42763442372267696</v>
      </c>
      <c r="Z28" s="144">
        <f t="shared" si="7"/>
        <v>0.42845839384267226</v>
      </c>
      <c r="AA28" s="144">
        <f t="shared" si="7"/>
        <v>0.4294660159586875</v>
      </c>
      <c r="AB28" s="144">
        <f t="shared" si="7"/>
        <v>0.43065669991122951</v>
      </c>
      <c r="AC28" s="144">
        <f t="shared" si="7"/>
        <v>0.43203010183517077</v>
      </c>
      <c r="AD28" s="144">
        <f t="shared" si="7"/>
        <v>0.43358612466285934</v>
      </c>
      <c r="AE28" s="144">
        <f t="shared" si="7"/>
        <v>0.43532491912855531</v>
      </c>
    </row>
    <row r="31" spans="1:35" customFormat="1" ht="18" customHeight="1" x14ac:dyDescent="0.25">
      <c r="A31" s="8"/>
      <c r="B31" s="9" t="s">
        <v>3179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5" x14ac:dyDescent="0.2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2">
      <c r="B34" s="112" t="s">
        <v>110</v>
      </c>
      <c r="C34" s="112" t="s">
        <v>3147</v>
      </c>
      <c r="D34" s="112" t="s">
        <v>3148</v>
      </c>
      <c r="E34" s="112" t="s">
        <v>2065</v>
      </c>
      <c r="F34" s="112" t="s">
        <v>3149</v>
      </c>
      <c r="H34" s="116" t="str">
        <f>Settings!$B$3&amp;".mit.eco2.kern.tot.e.2"</f>
        <v>egy.mit.eco2.kern.tot.e.2</v>
      </c>
      <c r="I34" s="112" t="s">
        <v>3150</v>
      </c>
      <c r="L34" s="118">
        <f>Emissions_Industry!L66+Emissions_Industry!L78+Emissions_Industry!L90+Emissions_Industry!L102</f>
        <v>14.019740964534272</v>
      </c>
      <c r="M34" s="118">
        <f>Emissions_Industry!M66+Emissions_Industry!M78+Emissions_Industry!M90+Emissions_Industry!M102</f>
        <v>11.739301230035998</v>
      </c>
      <c r="N34" s="118">
        <f>Emissions_Industry!N66+Emissions_Industry!N78+Emissions_Industry!N90+Emissions_Industry!N102</f>
        <v>13.303124518863104</v>
      </c>
      <c r="O34" s="118">
        <f>Emissions_Industry!O66+Emissions_Industry!O78+Emissions_Industry!O90+Emissions_Industry!O102</f>
        <v>14.156899598427017</v>
      </c>
      <c r="P34" s="118">
        <f>Emissions_Industry!P66+Emissions_Industry!P78+Emissions_Industry!P90+Emissions_Industry!P102</f>
        <v>14.286244741983563</v>
      </c>
      <c r="Q34" s="118">
        <f>Emissions_Industry!Q66+Emissions_Industry!Q78+Emissions_Industry!Q90+Emissions_Industry!Q102</f>
        <v>13.482479789369556</v>
      </c>
      <c r="R34" s="118">
        <f>Emissions_Industry!R66+Emissions_Industry!R78+Emissions_Industry!R90+Emissions_Industry!R102</f>
        <v>12.983250913859607</v>
      </c>
      <c r="S34" s="118">
        <f>Emissions_Industry!S66+Emissions_Industry!S78+Emissions_Industry!S90+Emissions_Industry!S102</f>
        <v>12.560793362152866</v>
      </c>
      <c r="T34" s="118">
        <f>Emissions_Industry!T66+Emissions_Industry!T78+Emissions_Industry!T90+Emissions_Industry!T102</f>
        <v>12.187957412625254</v>
      </c>
      <c r="U34" s="118">
        <f>Emissions_Industry!U66+Emissions_Industry!U78+Emissions_Industry!U90+Emissions_Industry!U102</f>
        <v>11.875632686552137</v>
      </c>
      <c r="V34" s="118">
        <f>Emissions_Industry!V66+Emissions_Industry!V78+Emissions_Industry!V90+Emissions_Industry!V102</f>
        <v>11.602689599741135</v>
      </c>
      <c r="W34" s="118">
        <f>Emissions_Industry!W66+Emissions_Industry!W78+Emissions_Industry!W90+Emissions_Industry!W102</f>
        <v>11.378519970656047</v>
      </c>
      <c r="X34" s="118">
        <f>Emissions_Industry!X66+Emissions_Industry!X78+Emissions_Industry!X90+Emissions_Industry!X102</f>
        <v>11.19706469003696</v>
      </c>
      <c r="Y34" s="118">
        <f>Emissions_Industry!Y66+Emissions_Industry!Y78+Emissions_Industry!Y90+Emissions_Industry!Y102</f>
        <v>11.054589877296367</v>
      </c>
      <c r="Z34" s="118">
        <f>Emissions_Industry!Z66+Emissions_Industry!Z78+Emissions_Industry!Z90+Emissions_Industry!Z102</f>
        <v>10.949977353134972</v>
      </c>
      <c r="AA34" s="118">
        <f>Emissions_Industry!AA66+Emissions_Industry!AA78+Emissions_Industry!AA90+Emissions_Industry!AA102</f>
        <v>10.880837147763879</v>
      </c>
      <c r="AB34" s="118">
        <f>Emissions_Industry!AB66+Emissions_Industry!AB78+Emissions_Industry!AB90+Emissions_Industry!AB102</f>
        <v>10.844737007963213</v>
      </c>
      <c r="AC34" s="118">
        <f>Emissions_Industry!AC66+Emissions_Industry!AC78+Emissions_Industry!AC90+Emissions_Industry!AC102</f>
        <v>10.837962619219041</v>
      </c>
      <c r="AD34" s="118">
        <f>Emissions_Industry!AD66+Emissions_Industry!AD78+Emissions_Industry!AD90+Emissions_Industry!AD102</f>
        <v>10.857412419871189</v>
      </c>
      <c r="AE34" s="118">
        <f>Emissions_Industry!AE66+Emissions_Industry!AE78+Emissions_Industry!AE90+Emissions_Industry!AE102</f>
        <v>10.900735380545399</v>
      </c>
    </row>
    <row r="35" spans="1:35" x14ac:dyDescent="0.2">
      <c r="B35" s="112" t="s">
        <v>110</v>
      </c>
      <c r="C35" s="112" t="s">
        <v>4</v>
      </c>
      <c r="D35" s="112" t="s">
        <v>3151</v>
      </c>
      <c r="E35" s="112" t="s">
        <v>2065</v>
      </c>
      <c r="F35" s="112" t="s">
        <v>3152</v>
      </c>
      <c r="H35" s="116" t="str">
        <f>Settings!$B$3&amp;".mit.co2.ind.k.2"</f>
        <v>egy.mit.co2.ind.k.2</v>
      </c>
      <c r="I35" s="112" t="s">
        <v>3153</v>
      </c>
      <c r="L35" s="118">
        <f t="shared" ref="L35:AE35" si="8">L11+L34-L17</f>
        <v>59.804205879849356</v>
      </c>
      <c r="M35" s="118">
        <f t="shared" si="8"/>
        <v>48.931828957170424</v>
      </c>
      <c r="N35" s="118">
        <f t="shared" si="8"/>
        <v>57.158576789144817</v>
      </c>
      <c r="O35" s="118">
        <f t="shared" si="8"/>
        <v>63.720179343286858</v>
      </c>
      <c r="P35" s="118">
        <f t="shared" si="8"/>
        <v>61.946242160955606</v>
      </c>
      <c r="Q35" s="118">
        <f t="shared" si="8"/>
        <v>66.347776102622248</v>
      </c>
      <c r="R35" s="118">
        <f t="shared" si="8"/>
        <v>67.977762596208194</v>
      </c>
      <c r="S35" s="118">
        <f t="shared" si="8"/>
        <v>69.614967451077348</v>
      </c>
      <c r="T35" s="118">
        <f t="shared" si="8"/>
        <v>71.188330561747961</v>
      </c>
      <c r="U35" s="118">
        <f t="shared" si="8"/>
        <v>72.8538824730432</v>
      </c>
      <c r="V35" s="118">
        <f t="shared" si="8"/>
        <v>74.597446711750393</v>
      </c>
      <c r="W35" s="118">
        <f t="shared" si="8"/>
        <v>76.428238541411474</v>
      </c>
      <c r="X35" s="118">
        <f t="shared" si="8"/>
        <v>78.339997174324651</v>
      </c>
      <c r="Y35" s="118">
        <f t="shared" si="8"/>
        <v>80.32876154931742</v>
      </c>
      <c r="Z35" s="118">
        <f t="shared" si="8"/>
        <v>82.393160352176864</v>
      </c>
      <c r="AA35" s="118">
        <f t="shared" si="8"/>
        <v>84.530523994561648</v>
      </c>
      <c r="AB35" s="118">
        <f t="shared" si="8"/>
        <v>86.738113511233266</v>
      </c>
      <c r="AC35" s="118">
        <f t="shared" si="8"/>
        <v>89.011880088607228</v>
      </c>
      <c r="AD35" s="118">
        <f t="shared" si="8"/>
        <v>91.348359098460875</v>
      </c>
      <c r="AE35" s="118">
        <f t="shared" si="8"/>
        <v>93.74480700710555</v>
      </c>
    </row>
    <row r="36" spans="1:35" x14ac:dyDescent="0.2">
      <c r="B36" s="112" t="s">
        <v>110</v>
      </c>
      <c r="C36" s="112" t="s">
        <v>3127</v>
      </c>
      <c r="D36" s="112" t="s">
        <v>3154</v>
      </c>
      <c r="E36" s="112" t="s">
        <v>1852</v>
      </c>
      <c r="F36" s="112" t="s">
        <v>3155</v>
      </c>
      <c r="H36" s="116" t="str">
        <f>Settings!$B$3&amp;".mit.ghg.iprc.tot.2"</f>
        <v>egy.mit.ghg.iprc.tot.2</v>
      </c>
      <c r="I36" s="112" t="s">
        <v>3156</v>
      </c>
      <c r="L36" s="118">
        <f>L10</f>
        <v>52.200349760476598</v>
      </c>
      <c r="M36" s="118">
        <f>M10</f>
        <v>56.903431130804279</v>
      </c>
      <c r="N36" s="118">
        <f t="shared" ref="N36:AE36" si="9">IF(M35=0,0,M36*N35/M35)</f>
        <v>66.470418277289212</v>
      </c>
      <c r="O36" s="118">
        <f t="shared" si="9"/>
        <v>74.100987315984753</v>
      </c>
      <c r="P36" s="118">
        <f t="shared" si="9"/>
        <v>72.038053752362728</v>
      </c>
      <c r="Q36" s="118">
        <f t="shared" si="9"/>
        <v>77.156652195489656</v>
      </c>
      <c r="R36" s="118">
        <f t="shared" si="9"/>
        <v>79.05218371676375</v>
      </c>
      <c r="S36" s="118">
        <f t="shared" si="9"/>
        <v>80.956109559952836</v>
      </c>
      <c r="T36" s="118">
        <f t="shared" si="9"/>
        <v>82.78579304654717</v>
      </c>
      <c r="U36" s="118">
        <f t="shared" si="9"/>
        <v>84.722684033436792</v>
      </c>
      <c r="V36" s="118">
        <f t="shared" si="9"/>
        <v>86.750296523994834</v>
      </c>
      <c r="W36" s="118">
        <f t="shared" si="9"/>
        <v>88.879347062554189</v>
      </c>
      <c r="X36" s="118">
        <f t="shared" si="9"/>
        <v>91.102554901401064</v>
      </c>
      <c r="Y36" s="118">
        <f t="shared" si="9"/>
        <v>93.415313673341771</v>
      </c>
      <c r="Z36" s="118">
        <f t="shared" si="9"/>
        <v>95.816028660060311</v>
      </c>
      <c r="AA36" s="118">
        <f t="shared" si="9"/>
        <v>98.301595364145371</v>
      </c>
      <c r="AB36" s="118">
        <f t="shared" si="9"/>
        <v>100.86882860893093</v>
      </c>
      <c r="AC36" s="118">
        <f t="shared" si="9"/>
        <v>103.51301997885444</v>
      </c>
      <c r="AD36" s="118">
        <f t="shared" si="9"/>
        <v>106.23014041476027</v>
      </c>
      <c r="AE36" s="118">
        <f t="shared" si="9"/>
        <v>109.01699942727505</v>
      </c>
    </row>
    <row r="37" spans="1:35" x14ac:dyDescent="0.2">
      <c r="B37" s="112" t="s">
        <v>2672</v>
      </c>
      <c r="C37" s="112" t="s">
        <v>3127</v>
      </c>
      <c r="D37" s="112" t="s">
        <v>3157</v>
      </c>
      <c r="E37" s="112" t="s">
        <v>1852</v>
      </c>
      <c r="F37" s="112" t="s">
        <v>3180</v>
      </c>
      <c r="H37" s="116" t="str">
        <f>Settings!$B$3&amp;".mit.ghg.ipr.blknp.2"</f>
        <v>egy.mit.ghg.ipr.blknp.2</v>
      </c>
      <c r="I37" s="112" t="s">
        <v>3181</v>
      </c>
      <c r="L37" s="118">
        <f>Mitigation_Industry!L659</f>
        <v>25.971762885046314</v>
      </c>
      <c r="M37" s="118">
        <f>Mitigation_Industry!M659</f>
        <v>26.842539414672931</v>
      </c>
      <c r="N37" s="118">
        <f>Mitigation_Industry!N659</f>
        <v>27.742760634</v>
      </c>
      <c r="O37" s="118">
        <f>Mitigation_Industry!O659</f>
        <v>28.673435240928001</v>
      </c>
      <c r="P37" s="118">
        <f>Mitigation_Industry!P659</f>
        <v>29.635607169743587</v>
      </c>
      <c r="Q37" s="118">
        <f>Mitigation_Industry!Q659</f>
        <v>30.630356857310563</v>
      </c>
      <c r="R37" s="118">
        <f>Mitigation_Industry!R659</f>
        <v>31.658802556563273</v>
      </c>
      <c r="S37" s="118">
        <f>Mitigation_Industry!S659</f>
        <v>32.722101699159616</v>
      </c>
      <c r="T37" s="118">
        <f>Mitigation_Industry!T659</f>
        <v>33.821452309227929</v>
      </c>
      <c r="U37" s="118">
        <f>Mitigation_Industry!U659</f>
        <v>34.958094470222733</v>
      </c>
      <c r="V37" s="118">
        <f>Mitigation_Industry!V659</f>
        <v>36.133311846988548</v>
      </c>
      <c r="W37" s="118">
        <f>Mitigation_Industry!W659</f>
        <v>37.348433265219015</v>
      </c>
      <c r="X37" s="118">
        <f>Mitigation_Industry!X659</f>
        <v>38.60483435059016</v>
      </c>
      <c r="Y37" s="118">
        <f>Mitigation_Industry!Y659</f>
        <v>39.903939229943205</v>
      </c>
      <c r="Z37" s="118">
        <f>Mitigation_Industry!Z659</f>
        <v>41.247222296991801</v>
      </c>
      <c r="AA37" s="118">
        <f>Mitigation_Industry!AA659</f>
        <v>42.636210045134121</v>
      </c>
      <c r="AB37" s="118">
        <f>Mitigation_Industry!AB659</f>
        <v>44.072482970059113</v>
      </c>
      <c r="AC37" s="118">
        <f>Mitigation_Industry!AC659</f>
        <v>45.557677544951083</v>
      </c>
      <c r="AD37" s="118">
        <f>Mitigation_Industry!AD659</f>
        <v>47.09348827121579</v>
      </c>
      <c r="AE37" s="118">
        <f>Mitigation_Industry!AE659</f>
        <v>48.681669807777041</v>
      </c>
    </row>
    <row r="38" spans="1:35" x14ac:dyDescent="0.2">
      <c r="B38" s="112" t="s">
        <v>2672</v>
      </c>
      <c r="C38" s="112" t="s">
        <v>3127</v>
      </c>
      <c r="D38" s="112" t="s">
        <v>3160</v>
      </c>
      <c r="E38" s="112" t="s">
        <v>1852</v>
      </c>
      <c r="F38" s="112" t="s">
        <v>3182</v>
      </c>
      <c r="H38" s="116" t="str">
        <f>Settings!$B$3&amp;".mit.ghg.ipr.blkno.2"</f>
        <v>egy.mit.ghg.ipr.blkno.2</v>
      </c>
      <c r="I38" s="112" t="s">
        <v>3183</v>
      </c>
      <c r="L38" s="118">
        <f>Mitigation_Industry!L660</f>
        <v>0.77985726154224555</v>
      </c>
      <c r="M38" s="118">
        <f>Mitigation_Industry!M660</f>
        <v>0.80389860277682457</v>
      </c>
      <c r="N38" s="118">
        <f>Mitigation_Industry!N660</f>
        <v>0.82884750000000007</v>
      </c>
      <c r="O38" s="118">
        <f>Mitigation_Industry!O660</f>
        <v>0.85474474500000008</v>
      </c>
      <c r="P38" s="118">
        <f>Mitigation_Industry!P660</f>
        <v>0.88163317238999994</v>
      </c>
      <c r="Q38" s="118">
        <f>Mitigation_Industry!Q660</f>
        <v>0.90955776754758011</v>
      </c>
      <c r="R38" s="118">
        <f>Mitigation_Industry!R660</f>
        <v>0.93856578039370175</v>
      </c>
      <c r="S38" s="118">
        <f>Mitigation_Industry!S660</f>
        <v>0.96870684533024232</v>
      </c>
      <c r="T38" s="118">
        <f>Mitigation_Industry!T660</f>
        <v>1.0000331076726199</v>
      </c>
      <c r="U38" s="118">
        <f>Mitigation_Industry!U660</f>
        <v>1.0325993569325114</v>
      </c>
      <c r="V38" s="118">
        <f>Mitigation_Industry!V660</f>
        <v>1.0664631673251306</v>
      </c>
      <c r="W38" s="118">
        <f>Mitigation_Industry!W660</f>
        <v>1.1016850458960927</v>
      </c>
      <c r="X38" s="118">
        <f>Mitigation_Industry!X660</f>
        <v>1.138328588684556</v>
      </c>
      <c r="Y38" s="118">
        <f>Mitigation_Industry!Y660</f>
        <v>1.1764606453621964</v>
      </c>
      <c r="Z38" s="118">
        <f>Mitigation_Industry!Z660</f>
        <v>1.216151492811707</v>
      </c>
      <c r="AA38" s="118">
        <f>Mitigation_Industry!AA660</f>
        <v>1.2574750181339414</v>
      </c>
      <c r="AB38" s="118">
        <f>Mitigation_Industry!AB660</f>
        <v>1.3005089115996857</v>
      </c>
      <c r="AC38" s="118">
        <f>Mitigation_Industry!AC660</f>
        <v>1.3453348700903502</v>
      </c>
      <c r="AD38" s="118">
        <f>Mitigation_Industry!AD660</f>
        <v>1.3920388116017608</v>
      </c>
      <c r="AE38" s="118">
        <f>Mitigation_Industry!AE660</f>
        <v>1.4407111014167402</v>
      </c>
    </row>
    <row r="39" spans="1:35" x14ac:dyDescent="0.2">
      <c r="B39" s="112" t="s">
        <v>2672</v>
      </c>
      <c r="C39" s="112" t="s">
        <v>3127</v>
      </c>
      <c r="D39" s="112" t="s">
        <v>3163</v>
      </c>
      <c r="E39" s="112" t="s">
        <v>1852</v>
      </c>
      <c r="F39" s="112" t="s">
        <v>3184</v>
      </c>
      <c r="H39" s="116" t="str">
        <f>Settings!$B$3&amp;".mit.ghg.ipr.blkproc.2"</f>
        <v>egy.mit.ghg.ipr.blkproc.2</v>
      </c>
      <c r="I39" s="112" t="s">
        <v>3185</v>
      </c>
      <c r="L39" s="118">
        <f>Mitigation_Industry!L789</f>
        <v>26.751620146588561</v>
      </c>
      <c r="M39" s="118">
        <f>Mitigation_Industry!M789</f>
        <v>27.646438017449757</v>
      </c>
      <c r="N39" s="118">
        <f>Mitigation_Industry!N789</f>
        <v>28.571608133999998</v>
      </c>
      <c r="O39" s="118">
        <f>Mitigation_Industry!O789</f>
        <v>29.528179985927999</v>
      </c>
      <c r="P39" s="118">
        <f>Mitigation_Industry!P789</f>
        <v>30.517240342133586</v>
      </c>
      <c r="Q39" s="118">
        <f>Mitigation_Industry!Q789</f>
        <v>31.539914624858142</v>
      </c>
      <c r="R39" s="118">
        <f>Mitigation_Industry!R789</f>
        <v>32.597368336956976</v>
      </c>
      <c r="S39" s="118">
        <f>Mitigation_Industry!S789</f>
        <v>33.690808544489862</v>
      </c>
      <c r="T39" s="118">
        <f>Mitigation_Industry!T789</f>
        <v>34.821485416900551</v>
      </c>
      <c r="U39" s="118">
        <f>Mitigation_Industry!U789</f>
        <v>35.990693827155248</v>
      </c>
      <c r="V39" s="118">
        <f>Mitigation_Industry!V789</f>
        <v>37.19977501431368</v>
      </c>
      <c r="W39" s="118">
        <f>Mitigation_Industry!W789</f>
        <v>38.450118311115105</v>
      </c>
      <c r="X39" s="118">
        <f>Mitigation_Industry!X789</f>
        <v>39.743162939274711</v>
      </c>
      <c r="Y39" s="118">
        <f>Mitigation_Industry!Y789</f>
        <v>41.08039987530541</v>
      </c>
      <c r="Z39" s="118">
        <f>Mitigation_Industry!Z789</f>
        <v>42.463373789803512</v>
      </c>
      <c r="AA39" s="118">
        <f>Mitigation_Industry!AA789</f>
        <v>43.893685063268059</v>
      </c>
      <c r="AB39" s="118">
        <f>Mitigation_Industry!AB789</f>
        <v>45.372991881658805</v>
      </c>
      <c r="AC39" s="118">
        <f>Mitigation_Industry!AC789</f>
        <v>46.903012415041424</v>
      </c>
      <c r="AD39" s="118">
        <f>Mitigation_Industry!AD789</f>
        <v>48.485527082817555</v>
      </c>
      <c r="AE39" s="118">
        <f>Mitigation_Industry!AE789</f>
        <v>50.122380909193787</v>
      </c>
    </row>
    <row r="40" spans="1:35" x14ac:dyDescent="0.2">
      <c r="B40" s="112" t="s">
        <v>2672</v>
      </c>
      <c r="C40" s="112" t="s">
        <v>3127</v>
      </c>
      <c r="D40" s="112" t="s">
        <v>3166</v>
      </c>
      <c r="E40" s="112" t="s">
        <v>1852</v>
      </c>
      <c r="F40" s="112" t="s">
        <v>3167</v>
      </c>
      <c r="H40" s="116" t="str">
        <f>Settings!$B$3&amp;".mit.ghg.ipr.blkfp.2"</f>
        <v>egy.mit.ghg.ipr.blkfp.2</v>
      </c>
      <c r="I40" s="112" t="s">
        <v>3168</v>
      </c>
      <c r="L40" s="118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18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18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18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18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18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18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18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18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18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18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18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18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18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18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18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18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18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18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18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2">
      <c r="B41" s="112" t="s">
        <v>2672</v>
      </c>
      <c r="C41" s="112" t="s">
        <v>3127</v>
      </c>
      <c r="D41" s="112" t="s">
        <v>3169</v>
      </c>
      <c r="E41" s="112" t="s">
        <v>1852</v>
      </c>
      <c r="H41" s="116" t="str">
        <f>Settings!$B$3&amp;".mit.ghg.ipr.blk.2"</f>
        <v>egy.mit.ghg.ipr.blk.2</v>
      </c>
      <c r="L41" s="118">
        <f t="shared" ref="L41:AE41" si="10">L39+L40</f>
        <v>28.908777412760184</v>
      </c>
      <c r="M41" s="118">
        <f t="shared" si="10"/>
        <v>29.851052743477155</v>
      </c>
      <c r="N41" s="118">
        <f t="shared" si="10"/>
        <v>30.824724384</v>
      </c>
      <c r="O41" s="118">
        <f t="shared" si="10"/>
        <v>31.830864793427999</v>
      </c>
      <c r="P41" s="118">
        <f t="shared" si="10"/>
        <v>32.870584215398587</v>
      </c>
      <c r="Q41" s="118">
        <f t="shared" si="10"/>
        <v>33.94503206333497</v>
      </c>
      <c r="R41" s="118">
        <f t="shared" si="10"/>
        <v>35.055398359080293</v>
      </c>
      <c r="S41" s="118">
        <f t="shared" si="10"/>
        <v>36.202915227099894</v>
      </c>
      <c r="T41" s="118">
        <f t="shared" si="10"/>
        <v>37.388858446528005</v>
      </c>
      <c r="U41" s="118">
        <f t="shared" si="10"/>
        <v>38.614549063434509</v>
      </c>
      <c r="V41" s="118">
        <f t="shared" si="10"/>
        <v>39.881355065791084</v>
      </c>
      <c r="W41" s="118">
        <f t="shared" si="10"/>
        <v>41.190693123725012</v>
      </c>
      <c r="X41" s="118">
        <f t="shared" si="10"/>
        <v>42.544030397762036</v>
      </c>
      <c r="Y41" s="118">
        <f t="shared" si="10"/>
        <v>43.942886417879457</v>
      </c>
      <c r="Z41" s="118">
        <f t="shared" si="10"/>
        <v>45.388835036314184</v>
      </c>
      <c r="AA41" s="118">
        <f t="shared" si="10"/>
        <v>46.883506457201968</v>
      </c>
      <c r="AB41" s="118">
        <f t="shared" si="10"/>
        <v>48.428589346259258</v>
      </c>
      <c r="AC41" s="118">
        <f t="shared" si="10"/>
        <v>50.025833023863086</v>
      </c>
      <c r="AD41" s="118">
        <f t="shared" si="10"/>
        <v>51.677049745033294</v>
      </c>
      <c r="AE41" s="118">
        <f t="shared" si="10"/>
        <v>53.384117069978274</v>
      </c>
    </row>
    <row r="42" spans="1:35" x14ac:dyDescent="0.2">
      <c r="B42" s="112" t="s">
        <v>3170</v>
      </c>
      <c r="C42" s="112" t="s">
        <v>3127</v>
      </c>
      <c r="D42" s="112" t="s">
        <v>3171</v>
      </c>
      <c r="E42" s="112" t="s">
        <v>1852</v>
      </c>
      <c r="H42" s="116" t="str">
        <f>Settings!$B$3&amp;".mit.ghg.ipr.oth.2"</f>
        <v>egy.mit.ghg.ipr.oth.2</v>
      </c>
      <c r="I42" s="112" t="s">
        <v>3186</v>
      </c>
      <c r="L42" s="118">
        <f>IF('Manual inputs'!$E$85="CPAT",IF(L19=0,0,L25*L36/L19),L25)</f>
        <v>23.291572347716414</v>
      </c>
      <c r="M42" s="118">
        <f>IF('Manual inputs'!$E$85="CPAT",IF(M19=0,0,M25*M36/M19),M25)</f>
        <v>27.052378387327124</v>
      </c>
      <c r="N42" s="118">
        <f>IF('Manual inputs'!$E$85="CPAT",IF(N19=0,0,N25*N36/N19),N25)</f>
        <v>35.645693893289213</v>
      </c>
      <c r="O42" s="118">
        <f>IF('Manual inputs'!$E$85="CPAT",IF(O19=0,0,O25*O36/O19),O25)</f>
        <v>42.270122522556754</v>
      </c>
      <c r="P42" s="118">
        <f>IF('Manual inputs'!$E$85="CPAT",IF(P19=0,0,P25*P36/P19),P25)</f>
        <v>39.167469536964141</v>
      </c>
      <c r="Q42" s="118">
        <f>IF('Manual inputs'!$E$85="CPAT",IF(Q19=0,0,Q25*Q36/Q19),Q25)</f>
        <v>44.620660000285916</v>
      </c>
      <c r="R42" s="118">
        <f>IF('Manual inputs'!$E$85="CPAT",IF(R19=0,0,R25*R36/R19),R25)</f>
        <v>46.664181881228295</v>
      </c>
      <c r="S42" s="118">
        <f>IF('Manual inputs'!$E$85="CPAT",IF(S19=0,0,S25*S36/S19),S25)</f>
        <v>48.571357338381702</v>
      </c>
      <c r="T42" s="118">
        <f>IF('Manual inputs'!$E$85="CPAT",IF(T19=0,0,T25*T36/T19),T25)</f>
        <v>50.27644413601638</v>
      </c>
      <c r="U42" s="118">
        <f>IF('Manual inputs'!$E$85="CPAT",IF(U19=0,0,U25*U36/U19),U25)</f>
        <v>51.98835337985642</v>
      </c>
      <c r="V42" s="118">
        <f>IF('Manual inputs'!$E$85="CPAT",IF(V19=0,0,V25*V36/V19),V25)</f>
        <v>53.67666826466602</v>
      </c>
      <c r="W42" s="118">
        <f>IF('Manual inputs'!$E$85="CPAT",IF(W19=0,0,W25*W36/W19),W25)</f>
        <v>55.378429300866983</v>
      </c>
      <c r="X42" s="118">
        <f>IF('Manual inputs'!$E$85="CPAT",IF(X19=0,0,X25*X36/X19),X25)</f>
        <v>57.091881438104018</v>
      </c>
      <c r="Y42" s="118">
        <f>IF('Manual inputs'!$E$85="CPAT",IF(Y19=0,0,Y25*Y36/Y19),Y25)</f>
        <v>58.815179771798093</v>
      </c>
      <c r="Z42" s="118">
        <f>IF('Manual inputs'!$E$85="CPAT",IF(Z19=0,0,Z25*Z36/Z19),Z25)</f>
        <v>60.546386886262347</v>
      </c>
      <c r="AA42" s="118">
        <f>IF('Manual inputs'!$E$85="CPAT",IF(AA19=0,0,AA25*AA36/AA19),AA25)</f>
        <v>62.283470009014927</v>
      </c>
      <c r="AB42" s="118">
        <f>IF('Manual inputs'!$E$85="CPAT",IF(AB19=0,0,AB25*AB36/AB19),AB25)</f>
        <v>64.02429796802555</v>
      </c>
      <c r="AC42" s="118">
        <f>IF('Manual inputs'!$E$85="CPAT",IF(AC19=0,0,AC25*AC36/AC19),AC25)</f>
        <v>65.766637943701738</v>
      </c>
      <c r="AD42" s="118">
        <f>IF('Manual inputs'!$E$85="CPAT",IF(AD19=0,0,AD25*AD36/AD19),AD25)</f>
        <v>67.508152007480049</v>
      </c>
      <c r="AE42" s="118">
        <f>IF('Manual inputs'!$E$85="CPAT",IF(AE19=0,0,AE25*AE36/AE19),AE25)</f>
        <v>69.246393438916968</v>
      </c>
    </row>
    <row r="43" spans="1:35" ht="15" x14ac:dyDescent="0.25">
      <c r="B43" s="121" t="s">
        <v>110</v>
      </c>
      <c r="C43" s="121" t="s">
        <v>3127</v>
      </c>
      <c r="D43" s="121" t="s">
        <v>3173</v>
      </c>
      <c r="E43" s="121" t="s">
        <v>1852</v>
      </c>
      <c r="F43" s="121"/>
      <c r="G43" s="121"/>
      <c r="H43" s="142" t="str">
        <f>Settings!$B$3&amp;".mit.ghg.iprk.tot.2"</f>
        <v>egy.mit.ghg.iprk.tot.2</v>
      </c>
      <c r="I43" s="121" t="s">
        <v>3187</v>
      </c>
      <c r="J43" s="121"/>
      <c r="K43" s="121"/>
      <c r="L43" s="143">
        <f t="shared" ref="L43:AE43" si="11">L41+L42</f>
        <v>52.200349760476598</v>
      </c>
      <c r="M43" s="143">
        <f t="shared" si="11"/>
        <v>56.903431130804279</v>
      </c>
      <c r="N43" s="143">
        <f t="shared" si="11"/>
        <v>66.470418277289212</v>
      </c>
      <c r="O43" s="143">
        <f t="shared" si="11"/>
        <v>74.100987315984753</v>
      </c>
      <c r="P43" s="143">
        <f t="shared" si="11"/>
        <v>72.038053752362728</v>
      </c>
      <c r="Q43" s="143">
        <f t="shared" si="11"/>
        <v>78.565692063620887</v>
      </c>
      <c r="R43" s="143">
        <f t="shared" si="11"/>
        <v>81.719580240308588</v>
      </c>
      <c r="S43" s="143">
        <f t="shared" si="11"/>
        <v>84.774272565481596</v>
      </c>
      <c r="T43" s="143">
        <f t="shared" si="11"/>
        <v>87.665302582544385</v>
      </c>
      <c r="U43" s="143">
        <f t="shared" si="11"/>
        <v>90.60290244329093</v>
      </c>
      <c r="V43" s="143">
        <f t="shared" si="11"/>
        <v>93.558023330457104</v>
      </c>
      <c r="W43" s="143">
        <f t="shared" si="11"/>
        <v>96.569122424591995</v>
      </c>
      <c r="X43" s="143">
        <f t="shared" si="11"/>
        <v>99.635911835866054</v>
      </c>
      <c r="Y43" s="143">
        <f t="shared" si="11"/>
        <v>102.75806618967755</v>
      </c>
      <c r="Z43" s="143">
        <f t="shared" si="11"/>
        <v>105.93522192257653</v>
      </c>
      <c r="AA43" s="143">
        <f t="shared" si="11"/>
        <v>109.16697646621689</v>
      </c>
      <c r="AB43" s="143">
        <f t="shared" si="11"/>
        <v>112.45288731428481</v>
      </c>
      <c r="AC43" s="143">
        <f t="shared" si="11"/>
        <v>115.79247096756482</v>
      </c>
      <c r="AD43" s="143">
        <f t="shared" si="11"/>
        <v>119.18520175251334</v>
      </c>
      <c r="AE43" s="143">
        <f t="shared" si="11"/>
        <v>122.63051050889524</v>
      </c>
      <c r="AF43" s="121"/>
      <c r="AG43" s="121"/>
      <c r="AH43" s="121"/>
      <c r="AI43" s="121"/>
    </row>
    <row r="44" spans="1:35" x14ac:dyDescent="0.2">
      <c r="B44" s="112" t="s">
        <v>110</v>
      </c>
      <c r="C44" s="112" t="s">
        <v>3127</v>
      </c>
      <c r="D44" s="112" t="s">
        <v>3175</v>
      </c>
      <c r="E44" s="112" t="s">
        <v>1852</v>
      </c>
      <c r="H44" s="116" t="str">
        <f>Settings!$B$3&amp;".mit.ghg.iprdc.tot.2"</f>
        <v>egy.mit.ghg.iprdc.tot.2</v>
      </c>
      <c r="I44" s="112" t="s">
        <v>3176</v>
      </c>
      <c r="L44" s="118">
        <f t="shared" ref="L44:AE44" si="12">L43-L36</f>
        <v>0</v>
      </c>
      <c r="M44" s="118">
        <f t="shared" si="12"/>
        <v>0</v>
      </c>
      <c r="N44" s="118">
        <f t="shared" si="12"/>
        <v>0</v>
      </c>
      <c r="O44" s="118">
        <f t="shared" si="12"/>
        <v>0</v>
      </c>
      <c r="P44" s="118">
        <f t="shared" si="12"/>
        <v>0</v>
      </c>
      <c r="Q44" s="118">
        <f t="shared" si="12"/>
        <v>1.4090398681312308</v>
      </c>
      <c r="R44" s="118">
        <f t="shared" si="12"/>
        <v>2.6673965235448378</v>
      </c>
      <c r="S44" s="118">
        <f t="shared" si="12"/>
        <v>3.8181630055287599</v>
      </c>
      <c r="T44" s="118">
        <f t="shared" si="12"/>
        <v>4.8795095359972152</v>
      </c>
      <c r="U44" s="118">
        <f t="shared" si="12"/>
        <v>5.8802184098541375</v>
      </c>
      <c r="V44" s="118">
        <f t="shared" si="12"/>
        <v>6.80772680646227</v>
      </c>
      <c r="W44" s="118">
        <f t="shared" si="12"/>
        <v>7.6897753620378069</v>
      </c>
      <c r="X44" s="118">
        <f t="shared" si="12"/>
        <v>8.5333569344649902</v>
      </c>
      <c r="Y44" s="118">
        <f t="shared" si="12"/>
        <v>9.3427525163357785</v>
      </c>
      <c r="Z44" s="118">
        <f t="shared" si="12"/>
        <v>10.11919326251622</v>
      </c>
      <c r="AA44" s="118">
        <f t="shared" si="12"/>
        <v>10.865381102071524</v>
      </c>
      <c r="AB44" s="118">
        <f t="shared" si="12"/>
        <v>11.584058705353883</v>
      </c>
      <c r="AC44" s="118">
        <f t="shared" si="12"/>
        <v>12.27945098871038</v>
      </c>
      <c r="AD44" s="118">
        <f t="shared" si="12"/>
        <v>12.955061337753065</v>
      </c>
      <c r="AE44" s="118">
        <f t="shared" si="12"/>
        <v>13.613511081620189</v>
      </c>
    </row>
    <row r="45" spans="1:35" x14ac:dyDescent="0.2">
      <c r="B45" s="112" t="s">
        <v>3177</v>
      </c>
      <c r="C45" s="112" t="s">
        <v>3127</v>
      </c>
      <c r="D45" s="112" t="s">
        <v>3178</v>
      </c>
      <c r="E45" s="112" t="s">
        <v>79</v>
      </c>
      <c r="H45" s="116" t="str">
        <f>Settings!$B$3&amp;".mit.ghg.iprshb.tot.2"</f>
        <v>egy.mit.ghg.iprshb.tot.2</v>
      </c>
      <c r="L45" s="144">
        <f t="shared" ref="L45:AE45" si="13">IF(L36=0,0,L41/L36)</f>
        <v>0.55380428570707418</v>
      </c>
      <c r="M45" s="144">
        <f t="shared" si="13"/>
        <v>0.52459143763859073</v>
      </c>
      <c r="N45" s="144">
        <f t="shared" si="13"/>
        <v>0.46373597733973954</v>
      </c>
      <c r="O45" s="144">
        <f t="shared" si="13"/>
        <v>0.42956060298756071</v>
      </c>
      <c r="P45" s="144">
        <f t="shared" si="13"/>
        <v>0.45629472901078322</v>
      </c>
      <c r="Q45" s="144">
        <f t="shared" si="13"/>
        <v>0.43994951954796313</v>
      </c>
      <c r="R45" s="144">
        <f t="shared" si="13"/>
        <v>0.44344629978446087</v>
      </c>
      <c r="S45" s="144">
        <f t="shared" si="13"/>
        <v>0.44719188488534606</v>
      </c>
      <c r="T45" s="144">
        <f t="shared" si="13"/>
        <v>0.45163375345701806</v>
      </c>
      <c r="U45" s="144">
        <f t="shared" si="13"/>
        <v>0.45577579964528542</v>
      </c>
      <c r="V45" s="144">
        <f t="shared" si="13"/>
        <v>0.45972586450767966</v>
      </c>
      <c r="W45" s="144">
        <f t="shared" si="13"/>
        <v>0.46344504640357659</v>
      </c>
      <c r="X45" s="144">
        <f t="shared" si="13"/>
        <v>0.46699053000002916</v>
      </c>
      <c r="Y45" s="144">
        <f t="shared" si="13"/>
        <v>0.47040345624209556</v>
      </c>
      <c r="Z45" s="144">
        <f t="shared" si="13"/>
        <v>0.47370816418771006</v>
      </c>
      <c r="AA45" s="144">
        <f t="shared" si="13"/>
        <v>0.47693535678162868</v>
      </c>
      <c r="AB45" s="144">
        <f t="shared" si="13"/>
        <v>0.48011452114723369</v>
      </c>
      <c r="AC45" s="144">
        <f t="shared" si="13"/>
        <v>0.48328058667481949</v>
      </c>
      <c r="AD45" s="144">
        <f t="shared" si="13"/>
        <v>0.4864631595446236</v>
      </c>
      <c r="AE45" s="144">
        <f t="shared" si="13"/>
        <v>0.48968617142678444</v>
      </c>
    </row>
    <row r="48" spans="1:35" customFormat="1" ht="18" customHeight="1" x14ac:dyDescent="0.25">
      <c r="A48" s="8"/>
      <c r="B48" s="9" t="s">
        <v>3188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5" x14ac:dyDescent="0.2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2">
      <c r="B51" s="112" t="s">
        <v>3189</v>
      </c>
      <c r="C51" s="112" t="s">
        <v>43</v>
      </c>
      <c r="D51" s="112" t="s">
        <v>3190</v>
      </c>
      <c r="E51" s="112" t="s">
        <v>2065</v>
      </c>
      <c r="F51" s="112" t="s">
        <v>3191</v>
      </c>
      <c r="H51" s="116" t="str">
        <f>Settings!$B$3&amp;".mit.eco2.blk.irn.1"</f>
        <v>egy.mit.eco2.blk.irn.1</v>
      </c>
      <c r="I51" s="112" t="s">
        <v>2251</v>
      </c>
      <c r="L51" s="118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18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18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18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18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18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18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18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18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18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18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18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18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18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18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18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18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18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18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18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2">
      <c r="B52" s="112" t="s">
        <v>110</v>
      </c>
      <c r="C52" s="112" t="s">
        <v>43</v>
      </c>
      <c r="D52" s="112" t="s">
        <v>3192</v>
      </c>
      <c r="E52" s="112" t="s">
        <v>2065</v>
      </c>
      <c r="F52" s="112" t="s">
        <v>3193</v>
      </c>
      <c r="I52" s="112" t="s">
        <v>2154</v>
      </c>
      <c r="L52" s="118">
        <f>Emissions_Industry!L15</f>
        <v>4.5303835184019645</v>
      </c>
      <c r="M52" s="118">
        <f>Emissions_Industry!M15</f>
        <v>3.8469033618625206</v>
      </c>
      <c r="N52" s="118">
        <f>Emissions_Industry!N15</f>
        <v>4.3290746208215198</v>
      </c>
      <c r="O52" s="118">
        <f>Emissions_Industry!O15</f>
        <v>4.5451606543512009</v>
      </c>
      <c r="P52" s="118">
        <f>Emissions_Industry!P15</f>
        <v>4.6606527233890995</v>
      </c>
      <c r="Q52" s="118">
        <f>Emissions_Industry!Q15</f>
        <v>4.8330795942744347</v>
      </c>
      <c r="R52" s="118">
        <f>Emissions_Industry!R15</f>
        <v>5.0529306123252606</v>
      </c>
      <c r="S52" s="118">
        <f>Emissions_Industry!S15</f>
        <v>5.2667916999615381</v>
      </c>
      <c r="T52" s="118">
        <f>Emissions_Industry!T15</f>
        <v>5.4699790897750464</v>
      </c>
      <c r="U52" s="118">
        <f>Emissions_Industry!U15</f>
        <v>5.6771103604276671</v>
      </c>
      <c r="V52" s="118">
        <f>Emissions_Industry!V15</f>
        <v>5.8842858461533165</v>
      </c>
      <c r="W52" s="118">
        <f>Emissions_Industry!W15</f>
        <v>6.0960674143926461</v>
      </c>
      <c r="X52" s="118">
        <f>Emissions_Industry!X15</f>
        <v>6.3124466882788575</v>
      </c>
      <c r="Y52" s="118">
        <f>Emissions_Industry!Y15</f>
        <v>6.5334118787127196</v>
      </c>
      <c r="Z52" s="118">
        <f>Emissions_Industry!Z15</f>
        <v>6.7589477212745512</v>
      </c>
      <c r="AA52" s="118">
        <f>Emissions_Industry!AA15</f>
        <v>6.9890354050403589</v>
      </c>
      <c r="AB52" s="118">
        <f>Emissions_Industry!AB15</f>
        <v>7.2236524927720804</v>
      </c>
      <c r="AC52" s="118">
        <f>Emissions_Industry!AC15</f>
        <v>7.4627728319721847</v>
      </c>
      <c r="AD52" s="118">
        <f>Emissions_Industry!AD15</f>
        <v>7.7063664563130869</v>
      </c>
      <c r="AE52" s="118">
        <f>Emissions_Industry!AE15</f>
        <v>7.9543994769708668</v>
      </c>
    </row>
    <row r="53" spans="1:35" x14ac:dyDescent="0.2">
      <c r="B53" s="112" t="s">
        <v>3194</v>
      </c>
      <c r="C53" s="112" t="s">
        <v>43</v>
      </c>
      <c r="D53" s="112" t="s">
        <v>3195</v>
      </c>
      <c r="E53" s="112" t="s">
        <v>2065</v>
      </c>
      <c r="H53" s="116" t="str">
        <f>Settings!$B$3&amp;".mit.eco2.gap.irn.1"</f>
        <v>egy.mit.eco2.gap.irn.1</v>
      </c>
      <c r="I53" s="112" t="s">
        <v>3196</v>
      </c>
      <c r="L53" s="118">
        <f t="shared" ref="L53:AE53" si="14">L52-L51</f>
        <v>1.6609701519290709</v>
      </c>
      <c r="M53" s="118">
        <f t="shared" si="14"/>
        <v>0.85123580726481984</v>
      </c>
      <c r="N53" s="118">
        <f t="shared" si="14"/>
        <v>1.2015976938215203</v>
      </c>
      <c r="O53" s="118">
        <f t="shared" si="14"/>
        <v>1.2800747425632006</v>
      </c>
      <c r="P53" s="118">
        <f t="shared" si="14"/>
        <v>1.2519030314824273</v>
      </c>
      <c r="Q53" s="118">
        <f t="shared" si="14"/>
        <v>1.2743449159238684</v>
      </c>
      <c r="R53" s="118">
        <f t="shared" si="14"/>
        <v>1.3376116081272702</v>
      </c>
      <c r="S53" s="118">
        <f t="shared" si="14"/>
        <v>1.3879986595788356</v>
      </c>
      <c r="T53" s="118">
        <f t="shared" si="14"/>
        <v>1.4205191556155041</v>
      </c>
      <c r="U53" s="118">
        <f t="shared" si="14"/>
        <v>1.4494741891651053</v>
      </c>
      <c r="V53" s="118">
        <f t="shared" si="14"/>
        <v>1.4706336833552021</v>
      </c>
      <c r="W53" s="118">
        <f t="shared" si="14"/>
        <v>1.4882145564314158</v>
      </c>
      <c r="X53" s="118">
        <f t="shared" si="14"/>
        <v>1.5018483045673321</v>
      </c>
      <c r="Y53" s="118">
        <f t="shared" si="14"/>
        <v>1.5111471661178859</v>
      </c>
      <c r="Z53" s="118">
        <f t="shared" si="14"/>
        <v>1.5157033613255466</v>
      </c>
      <c r="AA53" s="118">
        <f t="shared" si="14"/>
        <v>1.5150882932535978</v>
      </c>
      <c r="AB53" s="118">
        <f t="shared" si="14"/>
        <v>1.5088517080666994</v>
      </c>
      <c r="AC53" s="118">
        <f t="shared" si="14"/>
        <v>1.4965208127397682</v>
      </c>
      <c r="AD53" s="118">
        <f t="shared" si="14"/>
        <v>1.4775993482344445</v>
      </c>
      <c r="AE53" s="118">
        <f t="shared" si="14"/>
        <v>1.4515666161367653</v>
      </c>
    </row>
    <row r="54" spans="1:35" x14ac:dyDescent="0.2">
      <c r="B54" s="112" t="s">
        <v>3197</v>
      </c>
      <c r="C54" s="112" t="s">
        <v>43</v>
      </c>
      <c r="D54" s="112" t="s">
        <v>3198</v>
      </c>
      <c r="E54" s="112" t="s">
        <v>87</v>
      </c>
      <c r="H54" s="116" t="str">
        <f>Settings!$B$3&amp;".mit.eco2.rblk.irn.1"</f>
        <v>egy.mit.eco2.rblk.irn.1</v>
      </c>
      <c r="I54" s="112" t="s">
        <v>3199</v>
      </c>
      <c r="L54" s="144">
        <f t="shared" ref="L54:AE54" si="15">IF(L52=0,0,L51/L52)</f>
        <v>0.63337096182202313</v>
      </c>
      <c r="M54" s="144">
        <f t="shared" si="15"/>
        <v>0.77872181149549735</v>
      </c>
      <c r="N54" s="144">
        <f t="shared" si="15"/>
        <v>0.72243543965673307</v>
      </c>
      <c r="O54" s="144">
        <f t="shared" si="15"/>
        <v>0.71836534725395207</v>
      </c>
      <c r="P54" s="144">
        <f t="shared" si="15"/>
        <v>0.73138890499181464</v>
      </c>
      <c r="Q54" s="144">
        <f t="shared" si="15"/>
        <v>0.73632858903595622</v>
      </c>
      <c r="R54" s="144">
        <f t="shared" si="15"/>
        <v>0.73528003632891226</v>
      </c>
      <c r="S54" s="144">
        <f t="shared" si="15"/>
        <v>0.73646220723159195</v>
      </c>
      <c r="T54" s="144">
        <f t="shared" si="15"/>
        <v>0.74030629143155957</v>
      </c>
      <c r="U54" s="144">
        <f t="shared" si="15"/>
        <v>0.744680991359852</v>
      </c>
      <c r="V54" s="144">
        <f t="shared" si="15"/>
        <v>0.75007439784445773</v>
      </c>
      <c r="W54" s="144">
        <f t="shared" si="15"/>
        <v>0.75587301529543749</v>
      </c>
      <c r="X54" s="144">
        <f t="shared" si="15"/>
        <v>0.76208142757767605</v>
      </c>
      <c r="Y54" s="144">
        <f t="shared" si="15"/>
        <v>0.76870474505954034</v>
      </c>
      <c r="Z54" s="144">
        <f t="shared" si="15"/>
        <v>0.7757486188930417</v>
      </c>
      <c r="AA54" s="144">
        <f t="shared" si="15"/>
        <v>0.78321925624229272</v>
      </c>
      <c r="AB54" s="144">
        <f t="shared" si="15"/>
        <v>0.79112343657499551</v>
      </c>
      <c r="AC54" s="144">
        <f t="shared" si="15"/>
        <v>0.79946852913325472</v>
      </c>
      <c r="AD54" s="144">
        <f t="shared" si="15"/>
        <v>0.80826251170238739</v>
      </c>
      <c r="AE54" s="144">
        <f t="shared" si="15"/>
        <v>0.8175139907997756</v>
      </c>
    </row>
    <row r="56" spans="1:35" x14ac:dyDescent="0.2">
      <c r="B56" s="112" t="s">
        <v>3189</v>
      </c>
      <c r="C56" s="112" t="s">
        <v>113</v>
      </c>
      <c r="D56" s="112" t="s">
        <v>3200</v>
      </c>
      <c r="E56" s="112" t="s">
        <v>2065</v>
      </c>
      <c r="F56" s="112" t="s">
        <v>3201</v>
      </c>
      <c r="H56" s="116" t="str">
        <f>Settings!$B$3&amp;".mit.eco2.blk.cem.1"</f>
        <v>egy.mit.eco2.blk.cem.1</v>
      </c>
      <c r="I56" s="112" t="s">
        <v>2276</v>
      </c>
      <c r="L56" s="118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18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18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18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18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18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18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18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18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18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18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18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18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18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18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18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18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18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18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18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2">
      <c r="B57" s="112" t="s">
        <v>110</v>
      </c>
      <c r="C57" s="112" t="s">
        <v>113</v>
      </c>
      <c r="D57" s="112" t="s">
        <v>3202</v>
      </c>
      <c r="E57" s="112" t="s">
        <v>2065</v>
      </c>
      <c r="F57" s="112" t="s">
        <v>3203</v>
      </c>
      <c r="I57" s="112" t="s">
        <v>2157</v>
      </c>
      <c r="L57" s="118">
        <f>Emissions_Industry!L27</f>
        <v>9.4893574461323063</v>
      </c>
      <c r="M57" s="118">
        <f>Emissions_Industry!M27</f>
        <v>7.892397868173477</v>
      </c>
      <c r="N57" s="118">
        <f>Emissions_Industry!N27</f>
        <v>8.974049898041585</v>
      </c>
      <c r="O57" s="118">
        <f>Emissions_Industry!O27</f>
        <v>9.6117389440758174</v>
      </c>
      <c r="P57" s="118">
        <f>Emissions_Industry!P27</f>
        <v>9.6255920185944621</v>
      </c>
      <c r="Q57" s="118">
        <f>Emissions_Industry!Q27</f>
        <v>9.8610476555574511</v>
      </c>
      <c r="R57" s="118">
        <f>Emissions_Industry!R27</f>
        <v>10.224041222352259</v>
      </c>
      <c r="S57" s="118">
        <f>Emissions_Industry!S27</f>
        <v>10.577278178288619</v>
      </c>
      <c r="T57" s="118">
        <f>Emissions_Industry!T27</f>
        <v>10.913917324515168</v>
      </c>
      <c r="U57" s="118">
        <f>Emissions_Industry!U27</f>
        <v>11.254980886600027</v>
      </c>
      <c r="V57" s="118">
        <f>Emissions_Industry!V27</f>
        <v>11.572436051134584</v>
      </c>
      <c r="W57" s="118">
        <f>Emissions_Industry!W27</f>
        <v>11.894967219383652</v>
      </c>
      <c r="X57" s="118">
        <f>Emissions_Industry!X27</f>
        <v>12.222536887315171</v>
      </c>
      <c r="Y57" s="118">
        <f>Emissions_Industry!Y27</f>
        <v>12.55510423174249</v>
      </c>
      <c r="Z57" s="118">
        <f>Emissions_Industry!Z27</f>
        <v>12.892625020155874</v>
      </c>
      <c r="AA57" s="118">
        <f>Emissions_Industry!AA27</f>
        <v>13.235051509488891</v>
      </c>
      <c r="AB57" s="118">
        <f>Emissions_Industry!AB27</f>
        <v>13.582332333397812</v>
      </c>
      <c r="AC57" s="118">
        <f>Emissions_Industry!AC27</f>
        <v>13.934412377644653</v>
      </c>
      <c r="AD57" s="118">
        <f>Emissions_Industry!AD27</f>
        <v>14.291232643187328</v>
      </c>
      <c r="AE57" s="118">
        <f>Emissions_Industry!AE27</f>
        <v>14.652730096591428</v>
      </c>
    </row>
    <row r="58" spans="1:35" x14ac:dyDescent="0.2">
      <c r="B58" s="112" t="s">
        <v>3194</v>
      </c>
      <c r="C58" s="112" t="s">
        <v>113</v>
      </c>
      <c r="D58" s="112" t="s">
        <v>3204</v>
      </c>
      <c r="E58" s="112" t="s">
        <v>2065</v>
      </c>
      <c r="H58" s="116" t="str">
        <f>Settings!$B$3&amp;".mit.eco2.gap.cem.1"</f>
        <v>egy.mit.eco2.gap.cem.1</v>
      </c>
      <c r="I58" s="112" t="s">
        <v>3196</v>
      </c>
      <c r="L58" s="118">
        <f t="shared" ref="L58:AE58" si="16">L57-L56</f>
        <v>-5.2033485980683221</v>
      </c>
      <c r="M58" s="118">
        <f t="shared" si="16"/>
        <v>-7.2851674754857694</v>
      </c>
      <c r="N58" s="118">
        <f t="shared" si="16"/>
        <v>-6.7043751019584139</v>
      </c>
      <c r="O58" s="118">
        <f t="shared" si="16"/>
        <v>-6.5840740809241787</v>
      </c>
      <c r="P58" s="118">
        <f t="shared" si="16"/>
        <v>-7.1046828362305323</v>
      </c>
      <c r="Q58" s="118">
        <f t="shared" si="16"/>
        <v>-7.4213262694767668</v>
      </c>
      <c r="R58" s="118">
        <f t="shared" si="16"/>
        <v>-7.6286510422080838</v>
      </c>
      <c r="S58" s="118">
        <f t="shared" si="16"/>
        <v>-7.8645529310022191</v>
      </c>
      <c r="T58" s="118">
        <f t="shared" si="16"/>
        <v>-8.1364942113822636</v>
      </c>
      <c r="U58" s="118">
        <f t="shared" si="16"/>
        <v>-8.4240942299820176</v>
      </c>
      <c r="V58" s="118">
        <f t="shared" si="16"/>
        <v>-8.7560485442946643</v>
      </c>
      <c r="W58" s="118">
        <f t="shared" si="16"/>
        <v>-9.1043573676947602</v>
      </c>
      <c r="X58" s="118">
        <f t="shared" si="16"/>
        <v>-9.4697654111368212</v>
      </c>
      <c r="Y58" s="118">
        <f t="shared" si="16"/>
        <v>-9.8530440425584196</v>
      </c>
      <c r="Z58" s="118">
        <f t="shared" si="16"/>
        <v>-10.254992147196964</v>
      </c>
      <c r="AA58" s="118">
        <f t="shared" si="16"/>
        <v>-10.67643702438659</v>
      </c>
      <c r="AB58" s="118">
        <f t="shared" si="16"/>
        <v>-11.118235322095551</v>
      </c>
      <c r="AC58" s="118">
        <f t="shared" si="16"/>
        <v>-11.581274010479989</v>
      </c>
      <c r="AD58" s="118">
        <f t="shared" si="16"/>
        <v>-12.066471395745427</v>
      </c>
      <c r="AE58" s="118">
        <f t="shared" si="16"/>
        <v>-12.574778175626099</v>
      </c>
    </row>
    <row r="59" spans="1:35" x14ac:dyDescent="0.2">
      <c r="B59" s="112" t="s">
        <v>3197</v>
      </c>
      <c r="C59" s="112" t="s">
        <v>113</v>
      </c>
      <c r="D59" s="112" t="s">
        <v>3205</v>
      </c>
      <c r="E59" s="112" t="s">
        <v>87</v>
      </c>
      <c r="H59" s="116" t="str">
        <f>Settings!$B$3&amp;".mit.eco2.rblk.cem.1"</f>
        <v>egy.mit.eco2.rblk.cem.1</v>
      </c>
      <c r="I59" s="112" t="s">
        <v>3199</v>
      </c>
      <c r="L59" s="144">
        <f t="shared" ref="L59:AE59" si="17">IF(L57=0,0,L56/L57)</f>
        <v>1.5483351878781966</v>
      </c>
      <c r="M59" s="144">
        <f t="shared" si="17"/>
        <v>1.9230613556449812</v>
      </c>
      <c r="N59" s="144">
        <f t="shared" si="17"/>
        <v>1.7470846694781044</v>
      </c>
      <c r="O59" s="144">
        <f t="shared" si="17"/>
        <v>1.6850034233381113</v>
      </c>
      <c r="P59" s="144">
        <f t="shared" si="17"/>
        <v>1.7381034665198665</v>
      </c>
      <c r="Q59" s="144">
        <f t="shared" si="17"/>
        <v>1.7525900420219838</v>
      </c>
      <c r="R59" s="144">
        <f t="shared" si="17"/>
        <v>1.7461483063595229</v>
      </c>
      <c r="S59" s="144">
        <f t="shared" si="17"/>
        <v>1.743532768869154</v>
      </c>
      <c r="T59" s="144">
        <f t="shared" si="17"/>
        <v>1.745515470701416</v>
      </c>
      <c r="U59" s="144">
        <f t="shared" si="17"/>
        <v>1.74847699119699</v>
      </c>
      <c r="V59" s="144">
        <f t="shared" si="17"/>
        <v>1.756629676379694</v>
      </c>
      <c r="W59" s="144">
        <f t="shared" si="17"/>
        <v>1.7653957509742939</v>
      </c>
      <c r="X59" s="144">
        <f t="shared" si="17"/>
        <v>1.7747790412450921</v>
      </c>
      <c r="Y59" s="144">
        <f t="shared" si="17"/>
        <v>1.7847839301602471</v>
      </c>
      <c r="Z59" s="144">
        <f t="shared" si="17"/>
        <v>1.795415373608142</v>
      </c>
      <c r="AA59" s="144">
        <f t="shared" si="17"/>
        <v>1.8066789174739595</v>
      </c>
      <c r="AB59" s="144">
        <f t="shared" si="17"/>
        <v>1.8185807156814111</v>
      </c>
      <c r="AC59" s="144">
        <f t="shared" si="17"/>
        <v>1.831127549308081</v>
      </c>
      <c r="AD59" s="144">
        <f t="shared" si="17"/>
        <v>1.8443268468866154</v>
      </c>
      <c r="AE59" s="144">
        <f t="shared" si="17"/>
        <v>1.8581867060085471</v>
      </c>
    </row>
    <row r="61" spans="1:35" x14ac:dyDescent="0.2">
      <c r="B61" s="112" t="s">
        <v>3189</v>
      </c>
      <c r="C61" s="112" t="s">
        <v>115</v>
      </c>
      <c r="D61" s="112" t="s">
        <v>3206</v>
      </c>
      <c r="E61" s="112" t="s">
        <v>2065</v>
      </c>
      <c r="F61" s="112" t="s">
        <v>3207</v>
      </c>
      <c r="H61" s="116" t="str">
        <f>Settings!$B$3&amp;".mit.eco2.blk.nfm.1"</f>
        <v>egy.mit.eco2.blk.nfm.1</v>
      </c>
      <c r="I61" s="112" t="s">
        <v>2286</v>
      </c>
      <c r="L61" s="118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18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18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18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18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18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18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18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18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18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18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18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18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18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18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18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18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18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18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18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2">
      <c r="B62" s="112" t="s">
        <v>110</v>
      </c>
      <c r="C62" s="112" t="s">
        <v>115</v>
      </c>
      <c r="D62" s="112" t="s">
        <v>3208</v>
      </c>
      <c r="E62" s="112" t="s">
        <v>2065</v>
      </c>
      <c r="F62" s="112" t="s">
        <v>3209</v>
      </c>
      <c r="I62" s="112" t="s">
        <v>2160</v>
      </c>
      <c r="L62" s="118">
        <f>Emissions_Industry!L39</f>
        <v>0</v>
      </c>
      <c r="M62" s="118">
        <f>Emissions_Industry!M39</f>
        <v>0</v>
      </c>
      <c r="N62" s="118">
        <f>Emissions_Industry!N39</f>
        <v>0</v>
      </c>
      <c r="O62" s="118">
        <f>Emissions_Industry!O39</f>
        <v>0</v>
      </c>
      <c r="P62" s="118">
        <f>Emissions_Industry!P39</f>
        <v>0</v>
      </c>
      <c r="Q62" s="118">
        <f>Emissions_Industry!Q39</f>
        <v>0</v>
      </c>
      <c r="R62" s="118">
        <f>Emissions_Industry!R39</f>
        <v>0</v>
      </c>
      <c r="S62" s="118">
        <f>Emissions_Industry!S39</f>
        <v>0</v>
      </c>
      <c r="T62" s="118">
        <f>Emissions_Industry!T39</f>
        <v>0</v>
      </c>
      <c r="U62" s="118">
        <f>Emissions_Industry!U39</f>
        <v>0</v>
      </c>
      <c r="V62" s="118">
        <f>Emissions_Industry!V39</f>
        <v>0</v>
      </c>
      <c r="W62" s="118">
        <f>Emissions_Industry!W39</f>
        <v>0</v>
      </c>
      <c r="X62" s="118">
        <f>Emissions_Industry!X39</f>
        <v>0</v>
      </c>
      <c r="Y62" s="118">
        <f>Emissions_Industry!Y39</f>
        <v>0</v>
      </c>
      <c r="Z62" s="118">
        <f>Emissions_Industry!Z39</f>
        <v>0</v>
      </c>
      <c r="AA62" s="118">
        <f>Emissions_Industry!AA39</f>
        <v>0</v>
      </c>
      <c r="AB62" s="118">
        <f>Emissions_Industry!AB39</f>
        <v>0</v>
      </c>
      <c r="AC62" s="118">
        <f>Emissions_Industry!AC39</f>
        <v>0</v>
      </c>
      <c r="AD62" s="118">
        <f>Emissions_Industry!AD39</f>
        <v>0</v>
      </c>
      <c r="AE62" s="118">
        <f>Emissions_Industry!AE39</f>
        <v>0</v>
      </c>
    </row>
    <row r="63" spans="1:35" x14ac:dyDescent="0.2">
      <c r="B63" s="112" t="s">
        <v>3194</v>
      </c>
      <c r="C63" s="112" t="s">
        <v>115</v>
      </c>
      <c r="D63" s="112" t="s">
        <v>3210</v>
      </c>
      <c r="E63" s="112" t="s">
        <v>2065</v>
      </c>
      <c r="H63" s="116" t="str">
        <f>Settings!$B$3&amp;".mit.eco2.gap.nfm.1"</f>
        <v>egy.mit.eco2.gap.nfm.1</v>
      </c>
      <c r="I63" s="112" t="s">
        <v>3196</v>
      </c>
      <c r="L63" s="118">
        <f t="shared" ref="L63:AE63" si="18">L62-L61</f>
        <v>-3.3266099144224071E-2</v>
      </c>
      <c r="M63" s="118">
        <f t="shared" si="18"/>
        <v>-3.5095734597156404E-2</v>
      </c>
      <c r="N63" s="118">
        <f t="shared" si="18"/>
        <v>-3.7026000000000003E-2</v>
      </c>
      <c r="O63" s="118">
        <f t="shared" si="18"/>
        <v>-3.9062430000000002E-2</v>
      </c>
      <c r="P63" s="118">
        <f t="shared" si="18"/>
        <v>-4.1210863649999999E-2</v>
      </c>
      <c r="Q63" s="118">
        <f t="shared" si="18"/>
        <v>-4.3477461150749991E-2</v>
      </c>
      <c r="R63" s="118">
        <f t="shared" si="18"/>
        <v>-4.5868721514041248E-2</v>
      </c>
      <c r="S63" s="118">
        <f t="shared" si="18"/>
        <v>-4.8391501197313509E-2</v>
      </c>
      <c r="T63" s="118">
        <f t="shared" si="18"/>
        <v>-5.105303376316575E-2</v>
      </c>
      <c r="U63" s="118">
        <f t="shared" si="18"/>
        <v>-5.3860950620139861E-2</v>
      </c>
      <c r="V63" s="118">
        <f t="shared" si="18"/>
        <v>-5.6823302904247558E-2</v>
      </c>
      <c r="W63" s="118">
        <f t="shared" si="18"/>
        <v>-5.9948584563981173E-2</v>
      </c>
      <c r="X63" s="118">
        <f t="shared" si="18"/>
        <v>-6.3245756715000129E-2</v>
      </c>
      <c r="Y63" s="118">
        <f t="shared" si="18"/>
        <v>-6.6724273334325138E-2</v>
      </c>
      <c r="Z63" s="118">
        <f t="shared" si="18"/>
        <v>-7.039410836771301E-2</v>
      </c>
      <c r="AA63" s="118">
        <f t="shared" si="18"/>
        <v>-7.426578432793722E-2</v>
      </c>
      <c r="AB63" s="118">
        <f t="shared" si="18"/>
        <v>-7.8350402465973787E-2</v>
      </c>
      <c r="AC63" s="118">
        <f t="shared" si="18"/>
        <v>-8.2659674601602312E-2</v>
      </c>
      <c r="AD63" s="118">
        <f t="shared" si="18"/>
        <v>-8.7205956704690446E-2</v>
      </c>
      <c r="AE63" s="118">
        <f t="shared" si="18"/>
        <v>-9.2002284323448424E-2</v>
      </c>
    </row>
    <row r="64" spans="1:35" x14ac:dyDescent="0.2">
      <c r="B64" s="112" t="s">
        <v>3197</v>
      </c>
      <c r="C64" s="112" t="s">
        <v>115</v>
      </c>
      <c r="D64" s="112" t="s">
        <v>3211</v>
      </c>
      <c r="E64" s="112" t="s">
        <v>87</v>
      </c>
      <c r="H64" s="116" t="str">
        <f>Settings!$B$3&amp;".mit.eco2.rblk.nfm.1"</f>
        <v>egy.mit.eco2.rblk.nfm.1</v>
      </c>
      <c r="I64" s="112" t="s">
        <v>3199</v>
      </c>
      <c r="L64" s="144">
        <f t="shared" ref="L64:AE64" si="19">IF(L62=0,0,L61/L62)</f>
        <v>0</v>
      </c>
      <c r="M64" s="144">
        <f t="shared" si="19"/>
        <v>0</v>
      </c>
      <c r="N64" s="144">
        <f t="shared" si="19"/>
        <v>0</v>
      </c>
      <c r="O64" s="144">
        <f t="shared" si="19"/>
        <v>0</v>
      </c>
      <c r="P64" s="144">
        <f t="shared" si="19"/>
        <v>0</v>
      </c>
      <c r="Q64" s="144">
        <f t="shared" si="19"/>
        <v>0</v>
      </c>
      <c r="R64" s="144">
        <f t="shared" si="19"/>
        <v>0</v>
      </c>
      <c r="S64" s="144">
        <f t="shared" si="19"/>
        <v>0</v>
      </c>
      <c r="T64" s="144">
        <f t="shared" si="19"/>
        <v>0</v>
      </c>
      <c r="U64" s="144">
        <f t="shared" si="19"/>
        <v>0</v>
      </c>
      <c r="V64" s="144">
        <f t="shared" si="19"/>
        <v>0</v>
      </c>
      <c r="W64" s="144">
        <f t="shared" si="19"/>
        <v>0</v>
      </c>
      <c r="X64" s="144">
        <f t="shared" si="19"/>
        <v>0</v>
      </c>
      <c r="Y64" s="144">
        <f t="shared" si="19"/>
        <v>0</v>
      </c>
      <c r="Z64" s="144">
        <f t="shared" si="19"/>
        <v>0</v>
      </c>
      <c r="AA64" s="144">
        <f t="shared" si="19"/>
        <v>0</v>
      </c>
      <c r="AB64" s="144">
        <f t="shared" si="19"/>
        <v>0</v>
      </c>
      <c r="AC64" s="144">
        <f t="shared" si="19"/>
        <v>0</v>
      </c>
      <c r="AD64" s="144">
        <f t="shared" si="19"/>
        <v>0</v>
      </c>
      <c r="AE64" s="144">
        <f t="shared" si="19"/>
        <v>0</v>
      </c>
    </row>
    <row r="66" spans="1:35" x14ac:dyDescent="0.2">
      <c r="B66" s="112" t="s">
        <v>3189</v>
      </c>
      <c r="C66" s="112" t="s">
        <v>117</v>
      </c>
      <c r="D66" s="112" t="s">
        <v>3212</v>
      </c>
      <c r="E66" s="112" t="s">
        <v>2065</v>
      </c>
      <c r="F66" s="112" t="s">
        <v>3213</v>
      </c>
      <c r="H66" s="116" t="str">
        <f>Settings!$B$3&amp;".mit.eco2.blk.mch.1"</f>
        <v>egy.mit.eco2.blk.mch.1</v>
      </c>
      <c r="I66" s="112" t="s">
        <v>2296</v>
      </c>
      <c r="L66" s="118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18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18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18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18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18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18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18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18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18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18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18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18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18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18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18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18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18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18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18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2">
      <c r="B67" s="112" t="s">
        <v>110</v>
      </c>
      <c r="C67" s="112" t="s">
        <v>117</v>
      </c>
      <c r="D67" s="112" t="s">
        <v>3214</v>
      </c>
      <c r="E67" s="112" t="s">
        <v>2065</v>
      </c>
      <c r="F67" s="112" t="s">
        <v>3215</v>
      </c>
      <c r="I67" s="112" t="s">
        <v>2163</v>
      </c>
      <c r="L67" s="118">
        <f>Emissions_Industry!L51</f>
        <v>0</v>
      </c>
      <c r="M67" s="118">
        <f>Emissions_Industry!M51</f>
        <v>0</v>
      </c>
      <c r="N67" s="118">
        <f>Emissions_Industry!N51</f>
        <v>0</v>
      </c>
      <c r="O67" s="118">
        <f>Emissions_Industry!O51</f>
        <v>0</v>
      </c>
      <c r="P67" s="118">
        <f>Emissions_Industry!P51</f>
        <v>0</v>
      </c>
      <c r="Q67" s="118">
        <f>Emissions_Industry!Q51</f>
        <v>0</v>
      </c>
      <c r="R67" s="118">
        <f>Emissions_Industry!R51</f>
        <v>0</v>
      </c>
      <c r="S67" s="118">
        <f>Emissions_Industry!S51</f>
        <v>0</v>
      </c>
      <c r="T67" s="118">
        <f>Emissions_Industry!T51</f>
        <v>0</v>
      </c>
      <c r="U67" s="118">
        <f>Emissions_Industry!U51</f>
        <v>0</v>
      </c>
      <c r="V67" s="118">
        <f>Emissions_Industry!V51</f>
        <v>0</v>
      </c>
      <c r="W67" s="118">
        <f>Emissions_Industry!W51</f>
        <v>0</v>
      </c>
      <c r="X67" s="118">
        <f>Emissions_Industry!X51</f>
        <v>0</v>
      </c>
      <c r="Y67" s="118">
        <f>Emissions_Industry!Y51</f>
        <v>0</v>
      </c>
      <c r="Z67" s="118">
        <f>Emissions_Industry!Z51</f>
        <v>0</v>
      </c>
      <c r="AA67" s="118">
        <f>Emissions_Industry!AA51</f>
        <v>0</v>
      </c>
      <c r="AB67" s="118">
        <f>Emissions_Industry!AB51</f>
        <v>0</v>
      </c>
      <c r="AC67" s="118">
        <f>Emissions_Industry!AC51</f>
        <v>0</v>
      </c>
      <c r="AD67" s="118">
        <f>Emissions_Industry!AD51</f>
        <v>0</v>
      </c>
      <c r="AE67" s="118">
        <f>Emissions_Industry!AE51</f>
        <v>0</v>
      </c>
    </row>
    <row r="68" spans="1:35" x14ac:dyDescent="0.2">
      <c r="B68" s="112" t="s">
        <v>3194</v>
      </c>
      <c r="C68" s="112" t="s">
        <v>117</v>
      </c>
      <c r="D68" s="112" t="s">
        <v>3216</v>
      </c>
      <c r="E68" s="112" t="s">
        <v>2065</v>
      </c>
      <c r="H68" s="116" t="str">
        <f>Settings!$B$3&amp;".mit.eco2.gap.mch.1"</f>
        <v>egy.mit.eco2.gap.mch.1</v>
      </c>
      <c r="I68" s="112" t="s">
        <v>3196</v>
      </c>
      <c r="L68" s="118">
        <f t="shared" ref="L68:AE68" si="20">L67-L66</f>
        <v>-1.5828284109665627</v>
      </c>
      <c r="M68" s="118">
        <f t="shared" si="20"/>
        <v>-1.6176506360078275</v>
      </c>
      <c r="N68" s="118">
        <f t="shared" si="20"/>
        <v>-1.6532389499999995</v>
      </c>
      <c r="O68" s="118">
        <f t="shared" si="20"/>
        <v>-1.6896102068999994</v>
      </c>
      <c r="P68" s="118">
        <f t="shared" si="20"/>
        <v>-1.7267816314518005</v>
      </c>
      <c r="Q68" s="118">
        <f t="shared" si="20"/>
        <v>-1.7647708273437392</v>
      </c>
      <c r="R68" s="118">
        <f t="shared" si="20"/>
        <v>-1.8035957855453022</v>
      </c>
      <c r="S68" s="118">
        <f t="shared" si="20"/>
        <v>-1.843274892827298</v>
      </c>
      <c r="T68" s="118">
        <f t="shared" si="20"/>
        <v>-1.8838269404694987</v>
      </c>
      <c r="U68" s="118">
        <f t="shared" si="20"/>
        <v>-1.9252711331598276</v>
      </c>
      <c r="V68" s="118">
        <f t="shared" si="20"/>
        <v>-1.9676270980893444</v>
      </c>
      <c r="W68" s="118">
        <f t="shared" si="20"/>
        <v>-2.0109148942473092</v>
      </c>
      <c r="X68" s="118">
        <f t="shared" si="20"/>
        <v>-2.0551550219207506</v>
      </c>
      <c r="Y68" s="118">
        <f t="shared" si="20"/>
        <v>-2.1003684324030072</v>
      </c>
      <c r="Z68" s="118">
        <f t="shared" si="20"/>
        <v>-2.1465765379158737</v>
      </c>
      <c r="AA68" s="118">
        <f t="shared" si="20"/>
        <v>-2.1938012217500225</v>
      </c>
      <c r="AB68" s="118">
        <f t="shared" si="20"/>
        <v>-2.2420648486285226</v>
      </c>
      <c r="AC68" s="118">
        <f t="shared" si="20"/>
        <v>-2.2913902752983502</v>
      </c>
      <c r="AD68" s="118">
        <f t="shared" si="20"/>
        <v>-2.3418008613549151</v>
      </c>
      <c r="AE68" s="118">
        <f t="shared" si="20"/>
        <v>-2.3933204803047228</v>
      </c>
    </row>
    <row r="69" spans="1:35" x14ac:dyDescent="0.2">
      <c r="B69" s="112" t="s">
        <v>3197</v>
      </c>
      <c r="C69" s="112" t="s">
        <v>117</v>
      </c>
      <c r="D69" s="112" t="s">
        <v>3217</v>
      </c>
      <c r="E69" s="112" t="s">
        <v>87</v>
      </c>
      <c r="H69" s="116" t="str">
        <f>Settings!$B$3&amp;".mit.eco2.rblk.mch.1"</f>
        <v>egy.mit.eco2.rblk.mch.1</v>
      </c>
      <c r="I69" s="112" t="s">
        <v>3199</v>
      </c>
      <c r="L69" s="144">
        <f t="shared" ref="L69:AE69" si="21">IF(L67=0,0,L66/L67)</f>
        <v>0</v>
      </c>
      <c r="M69" s="144">
        <f t="shared" si="21"/>
        <v>0</v>
      </c>
      <c r="N69" s="144">
        <f t="shared" si="21"/>
        <v>0</v>
      </c>
      <c r="O69" s="144">
        <f t="shared" si="21"/>
        <v>0</v>
      </c>
      <c r="P69" s="144">
        <f t="shared" si="21"/>
        <v>0</v>
      </c>
      <c r="Q69" s="144">
        <f t="shared" si="21"/>
        <v>0</v>
      </c>
      <c r="R69" s="144">
        <f t="shared" si="21"/>
        <v>0</v>
      </c>
      <c r="S69" s="144">
        <f t="shared" si="21"/>
        <v>0</v>
      </c>
      <c r="T69" s="144">
        <f t="shared" si="21"/>
        <v>0</v>
      </c>
      <c r="U69" s="144">
        <f t="shared" si="21"/>
        <v>0</v>
      </c>
      <c r="V69" s="144">
        <f t="shared" si="21"/>
        <v>0</v>
      </c>
      <c r="W69" s="144">
        <f t="shared" si="21"/>
        <v>0</v>
      </c>
      <c r="X69" s="144">
        <f t="shared" si="21"/>
        <v>0</v>
      </c>
      <c r="Y69" s="144">
        <f t="shared" si="21"/>
        <v>0</v>
      </c>
      <c r="Z69" s="144">
        <f t="shared" si="21"/>
        <v>0</v>
      </c>
      <c r="AA69" s="144">
        <f t="shared" si="21"/>
        <v>0</v>
      </c>
      <c r="AB69" s="144">
        <f t="shared" si="21"/>
        <v>0</v>
      </c>
      <c r="AC69" s="144">
        <f t="shared" si="21"/>
        <v>0</v>
      </c>
      <c r="AD69" s="144">
        <f t="shared" si="21"/>
        <v>0</v>
      </c>
      <c r="AE69" s="144">
        <f t="shared" si="21"/>
        <v>0</v>
      </c>
    </row>
    <row r="72" spans="1:35" customFormat="1" ht="18" customHeight="1" x14ac:dyDescent="0.25">
      <c r="A72" s="8"/>
      <c r="B72" s="9" t="s">
        <v>3218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5" x14ac:dyDescent="0.2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2">
      <c r="B75" s="112" t="s">
        <v>3189</v>
      </c>
      <c r="C75" s="112" t="s">
        <v>43</v>
      </c>
      <c r="D75" s="112" t="s">
        <v>3190</v>
      </c>
      <c r="E75" s="112" t="s">
        <v>2065</v>
      </c>
      <c r="F75" s="112" t="s">
        <v>3219</v>
      </c>
      <c r="H75" s="116" t="str">
        <f>Settings!$B$3&amp;".mit.eco2.blk.irn.2"</f>
        <v>egy.mit.eco2.blk.irn.2</v>
      </c>
      <c r="I75" s="112" t="s">
        <v>2251</v>
      </c>
      <c r="L75" s="118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18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18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18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18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18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18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18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18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18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18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18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18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18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18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18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18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18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18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18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2">
      <c r="B76" s="112" t="s">
        <v>110</v>
      </c>
      <c r="C76" s="112" t="s">
        <v>43</v>
      </c>
      <c r="D76" s="112" t="s">
        <v>3192</v>
      </c>
      <c r="E76" s="112" t="s">
        <v>2065</v>
      </c>
      <c r="F76" s="112" t="s">
        <v>3220</v>
      </c>
      <c r="I76" s="112" t="s">
        <v>3221</v>
      </c>
      <c r="L76" s="118">
        <f>Emissions_Industry!L66</f>
        <v>4.5303835184019645</v>
      </c>
      <c r="M76" s="118">
        <f>Emissions_Industry!M66</f>
        <v>3.8469033618625206</v>
      </c>
      <c r="N76" s="118">
        <f>Emissions_Industry!N66</f>
        <v>4.3290746208215198</v>
      </c>
      <c r="O76" s="118">
        <f>Emissions_Industry!O66</f>
        <v>4.5451606543512009</v>
      </c>
      <c r="P76" s="118">
        <f>Emissions_Industry!P66</f>
        <v>4.6606527233890995</v>
      </c>
      <c r="Q76" s="118">
        <f>Emissions_Industry!Q66</f>
        <v>4.4078296144020142</v>
      </c>
      <c r="R76" s="118">
        <f>Emissions_Industry!R66</f>
        <v>4.246993475594202</v>
      </c>
      <c r="S76" s="118">
        <f>Emissions_Industry!S66</f>
        <v>4.1117536252780678</v>
      </c>
      <c r="T76" s="118">
        <f>Emissions_Industry!T66</f>
        <v>3.9924395556502268</v>
      </c>
      <c r="U76" s="118">
        <f>Emissions_Industry!U66</f>
        <v>3.8941902155876629</v>
      </c>
      <c r="V76" s="118">
        <f>Emissions_Industry!V66</f>
        <v>3.8124028190221151</v>
      </c>
      <c r="W76" s="118">
        <f>Emissions_Industry!W66</f>
        <v>3.7471168511266315</v>
      </c>
      <c r="X76" s="118">
        <f>Emissions_Industry!X66</f>
        <v>3.6964075936068812</v>
      </c>
      <c r="Y76" s="118">
        <f>Emissions_Industry!Y66</f>
        <v>3.6591659054499268</v>
      </c>
      <c r="Z76" s="118">
        <f>Emissions_Industry!Z66</f>
        <v>3.6352380271397982</v>
      </c>
      <c r="AA76" s="118">
        <f>Emissions_Industry!AA66</f>
        <v>3.623938569338653</v>
      </c>
      <c r="AB76" s="118">
        <f>Emissions_Industry!AB66</f>
        <v>3.6245334840846737</v>
      </c>
      <c r="AC76" s="118">
        <f>Emissions_Industry!AC66</f>
        <v>3.6357614325971319</v>
      </c>
      <c r="AD76" s="118">
        <f>Emissions_Industry!AD66</f>
        <v>3.656572990259491</v>
      </c>
      <c r="AE76" s="118">
        <f>Emissions_Industry!AE66</f>
        <v>3.686189977104291</v>
      </c>
    </row>
    <row r="77" spans="1:35" x14ac:dyDescent="0.2">
      <c r="B77" s="112" t="s">
        <v>3194</v>
      </c>
      <c r="C77" s="112" t="s">
        <v>43</v>
      </c>
      <c r="D77" s="112" t="s">
        <v>3195</v>
      </c>
      <c r="E77" s="112" t="s">
        <v>2065</v>
      </c>
      <c r="H77" s="116" t="str">
        <f>Settings!$B$3&amp;".mit.eco2.gap.irn.2"</f>
        <v>egy.mit.eco2.gap.irn.2</v>
      </c>
      <c r="I77" s="112" t="s">
        <v>3196</v>
      </c>
      <c r="L77" s="118">
        <f t="shared" ref="L77:AE77" si="22">L76-L75</f>
        <v>1.6609701519290709</v>
      </c>
      <c r="M77" s="118">
        <f t="shared" si="22"/>
        <v>0.85123580726481984</v>
      </c>
      <c r="N77" s="118">
        <f t="shared" si="22"/>
        <v>1.2015976938215203</v>
      </c>
      <c r="O77" s="118">
        <f t="shared" si="22"/>
        <v>1.2800747425632006</v>
      </c>
      <c r="P77" s="118">
        <f t="shared" si="22"/>
        <v>1.2519030314824273</v>
      </c>
      <c r="Q77" s="118">
        <f t="shared" si="22"/>
        <v>0.84909493605144792</v>
      </c>
      <c r="R77" s="118">
        <f t="shared" si="22"/>
        <v>0.5316744713962116</v>
      </c>
      <c r="S77" s="118">
        <f t="shared" si="22"/>
        <v>0.23296058489536531</v>
      </c>
      <c r="T77" s="118">
        <f t="shared" si="22"/>
        <v>-5.7020378509315517E-2</v>
      </c>
      <c r="U77" s="118">
        <f t="shared" si="22"/>
        <v>-0.33344595567489899</v>
      </c>
      <c r="V77" s="118">
        <f t="shared" si="22"/>
        <v>-0.60124934377599937</v>
      </c>
      <c r="W77" s="118">
        <f t="shared" si="22"/>
        <v>-0.86073600683459883</v>
      </c>
      <c r="X77" s="118">
        <f t="shared" si="22"/>
        <v>-1.1141907901046442</v>
      </c>
      <c r="Y77" s="118">
        <f t="shared" si="22"/>
        <v>-1.3630988071449068</v>
      </c>
      <c r="Z77" s="118">
        <f t="shared" si="22"/>
        <v>-1.6080063328092065</v>
      </c>
      <c r="AA77" s="118">
        <f t="shared" si="22"/>
        <v>-1.8500085424481081</v>
      </c>
      <c r="AB77" s="118">
        <f t="shared" si="22"/>
        <v>-2.0902673006207073</v>
      </c>
      <c r="AC77" s="118">
        <f t="shared" si="22"/>
        <v>-2.3304905866352845</v>
      </c>
      <c r="AD77" s="118">
        <f t="shared" si="22"/>
        <v>-2.5721941178191514</v>
      </c>
      <c r="AE77" s="118">
        <f t="shared" si="22"/>
        <v>-2.8166428837298105</v>
      </c>
    </row>
    <row r="78" spans="1:35" x14ac:dyDescent="0.2">
      <c r="B78" s="112" t="s">
        <v>3197</v>
      </c>
      <c r="C78" s="112" t="s">
        <v>43</v>
      </c>
      <c r="D78" s="112" t="s">
        <v>3198</v>
      </c>
      <c r="E78" s="112" t="s">
        <v>87</v>
      </c>
      <c r="H78" s="116" t="str">
        <f>Settings!$B$3&amp;".mit.eco2.rblk.irn.2"</f>
        <v>egy.mit.eco2.rblk.irn.2</v>
      </c>
      <c r="I78" s="112" t="s">
        <v>3199</v>
      </c>
      <c r="L78" s="144">
        <f t="shared" ref="L78:AE78" si="23">IF(L76=0,0,L75/L76)</f>
        <v>0.63337096182202313</v>
      </c>
      <c r="M78" s="144">
        <f t="shared" si="23"/>
        <v>0.77872181149549735</v>
      </c>
      <c r="N78" s="144">
        <f t="shared" si="23"/>
        <v>0.72243543965673307</v>
      </c>
      <c r="O78" s="144">
        <f t="shared" si="23"/>
        <v>0.71836534725395207</v>
      </c>
      <c r="P78" s="144">
        <f t="shared" si="23"/>
        <v>0.73138890499181464</v>
      </c>
      <c r="Q78" s="144">
        <f t="shared" si="23"/>
        <v>0.80736666107121291</v>
      </c>
      <c r="R78" s="144">
        <f t="shared" si="23"/>
        <v>0.87481156388595005</v>
      </c>
      <c r="S78" s="144">
        <f t="shared" si="23"/>
        <v>0.94334276658426708</v>
      </c>
      <c r="T78" s="144">
        <f t="shared" si="23"/>
        <v>1.0142820893627853</v>
      </c>
      <c r="U78" s="144">
        <f t="shared" si="23"/>
        <v>1.0856265198192379</v>
      </c>
      <c r="V78" s="144">
        <f t="shared" si="23"/>
        <v>1.1577087659194996</v>
      </c>
      <c r="W78" s="144">
        <f t="shared" si="23"/>
        <v>1.2297062090753335</v>
      </c>
      <c r="X78" s="144">
        <f t="shared" si="23"/>
        <v>1.3014253060273147</v>
      </c>
      <c r="Y78" s="144">
        <f t="shared" si="23"/>
        <v>1.3725162625489926</v>
      </c>
      <c r="Z78" s="144">
        <f t="shared" si="23"/>
        <v>1.4423386641546507</v>
      </c>
      <c r="AA78" s="144">
        <f t="shared" si="23"/>
        <v>1.5104966618641451</v>
      </c>
      <c r="AB78" s="144">
        <f t="shared" si="23"/>
        <v>1.5766996800551218</v>
      </c>
      <c r="AC78" s="144">
        <f t="shared" si="23"/>
        <v>1.6409910633136746</v>
      </c>
      <c r="AD78" s="144">
        <f t="shared" si="23"/>
        <v>1.7034439418195817</v>
      </c>
      <c r="AE78" s="144">
        <f t="shared" si="23"/>
        <v>1.7641068152278037</v>
      </c>
    </row>
    <row r="80" spans="1:35" x14ac:dyDescent="0.2">
      <c r="B80" s="112" t="s">
        <v>3189</v>
      </c>
      <c r="C80" s="112" t="s">
        <v>113</v>
      </c>
      <c r="D80" s="112" t="s">
        <v>3200</v>
      </c>
      <c r="E80" s="112" t="s">
        <v>2065</v>
      </c>
      <c r="F80" s="112" t="s">
        <v>3222</v>
      </c>
      <c r="H80" s="116" t="str">
        <f>Settings!$B$3&amp;".mit.eco2.blk.cem.2"</f>
        <v>egy.mit.eco2.blk.cem.2</v>
      </c>
      <c r="I80" s="112" t="s">
        <v>2276</v>
      </c>
      <c r="L80" s="118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18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18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18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18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18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18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18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18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18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18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18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18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18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18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18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18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18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18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18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2">
      <c r="B81" s="112" t="s">
        <v>110</v>
      </c>
      <c r="C81" s="112" t="s">
        <v>113</v>
      </c>
      <c r="D81" s="112" t="s">
        <v>3202</v>
      </c>
      <c r="E81" s="112" t="s">
        <v>2065</v>
      </c>
      <c r="F81" s="112" t="s">
        <v>3223</v>
      </c>
      <c r="I81" s="112" t="s">
        <v>3224</v>
      </c>
      <c r="L81" s="118">
        <f>Emissions_Industry!L78</f>
        <v>9.4893574461323063</v>
      </c>
      <c r="M81" s="118">
        <f>Emissions_Industry!M78</f>
        <v>7.892397868173477</v>
      </c>
      <c r="N81" s="118">
        <f>Emissions_Industry!N78</f>
        <v>8.974049898041585</v>
      </c>
      <c r="O81" s="118">
        <f>Emissions_Industry!O78</f>
        <v>9.6117389440758174</v>
      </c>
      <c r="P81" s="118">
        <f>Emissions_Industry!P78</f>
        <v>9.6255920185944621</v>
      </c>
      <c r="Q81" s="118">
        <f>Emissions_Industry!Q78</f>
        <v>9.0746501749675428</v>
      </c>
      <c r="R81" s="118">
        <f>Emissions_Industry!R78</f>
        <v>8.7362574382654046</v>
      </c>
      <c r="S81" s="118">
        <f>Emissions_Industry!S78</f>
        <v>8.4490397368747985</v>
      </c>
      <c r="T81" s="118">
        <f>Emissions_Industry!T78</f>
        <v>8.1955178569750267</v>
      </c>
      <c r="U81" s="118">
        <f>Emissions_Industry!U78</f>
        <v>7.9814424709644749</v>
      </c>
      <c r="V81" s="118">
        <f>Emissions_Industry!V78</f>
        <v>7.7902867807190201</v>
      </c>
      <c r="W81" s="118">
        <f>Emissions_Industry!W78</f>
        <v>7.6314031195294163</v>
      </c>
      <c r="X81" s="118">
        <f>Emissions_Industry!X78</f>
        <v>7.5006570964300785</v>
      </c>
      <c r="Y81" s="118">
        <f>Emissions_Industry!Y78</f>
        <v>7.3954239718464407</v>
      </c>
      <c r="Z81" s="118">
        <f>Emissions_Industry!Z78</f>
        <v>7.3147393259951752</v>
      </c>
      <c r="AA81" s="118">
        <f>Emissions_Industry!AA78</f>
        <v>7.2568985784252265</v>
      </c>
      <c r="AB81" s="118">
        <f>Emissions_Industry!AB78</f>
        <v>7.2202035238785385</v>
      </c>
      <c r="AC81" s="118">
        <f>Emissions_Industry!AC78</f>
        <v>7.2022011866219096</v>
      </c>
      <c r="AD81" s="118">
        <f>Emissions_Industry!AD78</f>
        <v>7.2008394296116975</v>
      </c>
      <c r="AE81" s="118">
        <f>Emissions_Industry!AE78</f>
        <v>7.2145454034411083</v>
      </c>
    </row>
    <row r="82" spans="2:31" x14ac:dyDescent="0.2">
      <c r="B82" s="112" t="s">
        <v>3194</v>
      </c>
      <c r="C82" s="112" t="s">
        <v>113</v>
      </c>
      <c r="D82" s="112" t="s">
        <v>3204</v>
      </c>
      <c r="E82" s="112" t="s">
        <v>2065</v>
      </c>
      <c r="H82" s="116" t="str">
        <f>Settings!$B$3&amp;".mit.eco2.gap.cem.2"</f>
        <v>egy.mit.eco2.gap.cem.2</v>
      </c>
      <c r="I82" s="112" t="s">
        <v>3196</v>
      </c>
      <c r="L82" s="118">
        <f t="shared" ref="L82:AE82" si="24">L81-L80</f>
        <v>-5.2033485980683221</v>
      </c>
      <c r="M82" s="118">
        <f t="shared" si="24"/>
        <v>-7.2851674754857694</v>
      </c>
      <c r="N82" s="118">
        <f t="shared" si="24"/>
        <v>-6.7043751019584139</v>
      </c>
      <c r="O82" s="118">
        <f t="shared" si="24"/>
        <v>-6.5840740809241787</v>
      </c>
      <c r="P82" s="118">
        <f t="shared" si="24"/>
        <v>-7.1046828362305323</v>
      </c>
      <c r="Q82" s="118">
        <f t="shared" si="24"/>
        <v>-8.2077237500666751</v>
      </c>
      <c r="R82" s="118">
        <f t="shared" si="24"/>
        <v>-9.1164348262949382</v>
      </c>
      <c r="S82" s="118">
        <f t="shared" si="24"/>
        <v>-9.9927913724160398</v>
      </c>
      <c r="T82" s="118">
        <f t="shared" si="24"/>
        <v>-10.854893678922405</v>
      </c>
      <c r="U82" s="118">
        <f t="shared" si="24"/>
        <v>-11.697632645617571</v>
      </c>
      <c r="V82" s="118">
        <f t="shared" si="24"/>
        <v>-12.538197814710228</v>
      </c>
      <c r="W82" s="118">
        <f t="shared" si="24"/>
        <v>-13.367921467548996</v>
      </c>
      <c r="X82" s="118">
        <f t="shared" si="24"/>
        <v>-14.191645202021913</v>
      </c>
      <c r="Y82" s="118">
        <f t="shared" si="24"/>
        <v>-15.012724302454469</v>
      </c>
      <c r="Z82" s="118">
        <f t="shared" si="24"/>
        <v>-15.832877841357663</v>
      </c>
      <c r="AA82" s="118">
        <f t="shared" si="24"/>
        <v>-16.654589955450255</v>
      </c>
      <c r="AB82" s="118">
        <f t="shared" si="24"/>
        <v>-17.480364131614824</v>
      </c>
      <c r="AC82" s="118">
        <f t="shared" si="24"/>
        <v>-18.313485201502733</v>
      </c>
      <c r="AD82" s="118">
        <f t="shared" si="24"/>
        <v>-19.156864609321058</v>
      </c>
      <c r="AE82" s="118">
        <f t="shared" si="24"/>
        <v>-20.01296286877642</v>
      </c>
    </row>
    <row r="83" spans="2:31" x14ac:dyDescent="0.2">
      <c r="B83" s="112" t="s">
        <v>3197</v>
      </c>
      <c r="C83" s="112" t="s">
        <v>113</v>
      </c>
      <c r="D83" s="112" t="s">
        <v>3205</v>
      </c>
      <c r="E83" s="112" t="s">
        <v>87</v>
      </c>
      <c r="H83" s="116" t="str">
        <f>Settings!$B$3&amp;".mit.eco2.rblk.cem.2"</f>
        <v>egy.mit.eco2.rblk.cem.2</v>
      </c>
      <c r="I83" s="112" t="s">
        <v>3199</v>
      </c>
      <c r="L83" s="144">
        <f t="shared" ref="L83:AE83" si="25">IF(L81=0,0,L80/L81)</f>
        <v>1.5483351878781966</v>
      </c>
      <c r="M83" s="144">
        <f t="shared" si="25"/>
        <v>1.9230613556449812</v>
      </c>
      <c r="N83" s="144">
        <f t="shared" si="25"/>
        <v>1.7470846694781044</v>
      </c>
      <c r="O83" s="144">
        <f t="shared" si="25"/>
        <v>1.6850034233381113</v>
      </c>
      <c r="P83" s="144">
        <f t="shared" si="25"/>
        <v>1.7381034665198665</v>
      </c>
      <c r="Q83" s="144">
        <f t="shared" si="25"/>
        <v>1.9044672347489175</v>
      </c>
      <c r="R83" s="144">
        <f t="shared" si="25"/>
        <v>2.0435171915109014</v>
      </c>
      <c r="S83" s="144">
        <f t="shared" si="25"/>
        <v>2.1827132648937284</v>
      </c>
      <c r="T83" s="144">
        <f t="shared" si="25"/>
        <v>2.3244914925887254</v>
      </c>
      <c r="U83" s="144">
        <f t="shared" si="25"/>
        <v>2.4656038289033777</v>
      </c>
      <c r="V83" s="144">
        <f t="shared" si="25"/>
        <v>2.6094655007749266</v>
      </c>
      <c r="W83" s="144">
        <f t="shared" si="25"/>
        <v>2.7516990333454325</v>
      </c>
      <c r="X83" s="144">
        <f t="shared" si="25"/>
        <v>2.8920535920481414</v>
      </c>
      <c r="Y83" s="144">
        <f t="shared" si="25"/>
        <v>3.0300018443305272</v>
      </c>
      <c r="Z83" s="144">
        <f t="shared" si="25"/>
        <v>3.164517030031496</v>
      </c>
      <c r="AA83" s="144">
        <f t="shared" si="25"/>
        <v>3.295001063534825</v>
      </c>
      <c r="AB83" s="144">
        <f t="shared" si="25"/>
        <v>3.4210348190053161</v>
      </c>
      <c r="AC83" s="144">
        <f t="shared" si="25"/>
        <v>3.5427622371227336</v>
      </c>
      <c r="AD83" s="144">
        <f t="shared" si="25"/>
        <v>3.6603654749671435</v>
      </c>
      <c r="AE83" s="144">
        <f t="shared" si="25"/>
        <v>3.773974207609931</v>
      </c>
    </row>
    <row r="85" spans="2:31" x14ac:dyDescent="0.2">
      <c r="B85" s="112" t="s">
        <v>3189</v>
      </c>
      <c r="C85" s="112" t="s">
        <v>115</v>
      </c>
      <c r="D85" s="112" t="s">
        <v>3206</v>
      </c>
      <c r="E85" s="112" t="s">
        <v>2065</v>
      </c>
      <c r="F85" s="112" t="s">
        <v>3225</v>
      </c>
      <c r="H85" s="116" t="str">
        <f>Settings!$B$3&amp;".mit.eco2.blk.nfm.2"</f>
        <v>egy.mit.eco2.blk.nfm.2</v>
      </c>
      <c r="I85" s="112" t="s">
        <v>2286</v>
      </c>
      <c r="L85" s="118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18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18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18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18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18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18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18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18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18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18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18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18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18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18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18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18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18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18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18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2">
      <c r="B86" s="112" t="s">
        <v>110</v>
      </c>
      <c r="C86" s="112" t="s">
        <v>115</v>
      </c>
      <c r="D86" s="112" t="s">
        <v>3208</v>
      </c>
      <c r="E86" s="112" t="s">
        <v>2065</v>
      </c>
      <c r="F86" s="112" t="s">
        <v>3226</v>
      </c>
      <c r="I86" s="112" t="s">
        <v>3227</v>
      </c>
      <c r="L86" s="118">
        <f>Emissions_Industry!L90</f>
        <v>0</v>
      </c>
      <c r="M86" s="118">
        <f>Emissions_Industry!M90</f>
        <v>0</v>
      </c>
      <c r="N86" s="118">
        <f>Emissions_Industry!N90</f>
        <v>0</v>
      </c>
      <c r="O86" s="118">
        <f>Emissions_Industry!O90</f>
        <v>0</v>
      </c>
      <c r="P86" s="118">
        <f>Emissions_Industry!P90</f>
        <v>0</v>
      </c>
      <c r="Q86" s="118">
        <f>Emissions_Industry!Q90</f>
        <v>0</v>
      </c>
      <c r="R86" s="118">
        <f>Emissions_Industry!R90</f>
        <v>0</v>
      </c>
      <c r="S86" s="118">
        <f>Emissions_Industry!S90</f>
        <v>0</v>
      </c>
      <c r="T86" s="118">
        <f>Emissions_Industry!T90</f>
        <v>0</v>
      </c>
      <c r="U86" s="118">
        <f>Emissions_Industry!U90</f>
        <v>0</v>
      </c>
      <c r="V86" s="118">
        <f>Emissions_Industry!V90</f>
        <v>0</v>
      </c>
      <c r="W86" s="118">
        <f>Emissions_Industry!W90</f>
        <v>0</v>
      </c>
      <c r="X86" s="118">
        <f>Emissions_Industry!X90</f>
        <v>0</v>
      </c>
      <c r="Y86" s="118">
        <f>Emissions_Industry!Y90</f>
        <v>0</v>
      </c>
      <c r="Z86" s="118">
        <f>Emissions_Industry!Z90</f>
        <v>0</v>
      </c>
      <c r="AA86" s="118">
        <f>Emissions_Industry!AA90</f>
        <v>0</v>
      </c>
      <c r="AB86" s="118">
        <f>Emissions_Industry!AB90</f>
        <v>0</v>
      </c>
      <c r="AC86" s="118">
        <f>Emissions_Industry!AC90</f>
        <v>0</v>
      </c>
      <c r="AD86" s="118">
        <f>Emissions_Industry!AD90</f>
        <v>0</v>
      </c>
      <c r="AE86" s="118">
        <f>Emissions_Industry!AE90</f>
        <v>0</v>
      </c>
    </row>
    <row r="87" spans="2:31" x14ac:dyDescent="0.2">
      <c r="B87" s="112" t="s">
        <v>3194</v>
      </c>
      <c r="C87" s="112" t="s">
        <v>115</v>
      </c>
      <c r="D87" s="112" t="s">
        <v>3210</v>
      </c>
      <c r="E87" s="112" t="s">
        <v>2065</v>
      </c>
      <c r="H87" s="116" t="str">
        <f>Settings!$B$3&amp;".mit.eco2.gap.nfm.2"</f>
        <v>egy.mit.eco2.gap.nfm.2</v>
      </c>
      <c r="I87" s="112" t="s">
        <v>3196</v>
      </c>
      <c r="L87" s="118">
        <f t="shared" ref="L87:AE87" si="26">L86-L85</f>
        <v>-3.3266099144224071E-2</v>
      </c>
      <c r="M87" s="118">
        <f t="shared" si="26"/>
        <v>-3.5095734597156404E-2</v>
      </c>
      <c r="N87" s="118">
        <f t="shared" si="26"/>
        <v>-3.7026000000000003E-2</v>
      </c>
      <c r="O87" s="118">
        <f t="shared" si="26"/>
        <v>-3.9062430000000002E-2</v>
      </c>
      <c r="P87" s="118">
        <f t="shared" si="26"/>
        <v>-4.1210863649999999E-2</v>
      </c>
      <c r="Q87" s="118">
        <f t="shared" si="26"/>
        <v>-4.3477461150749991E-2</v>
      </c>
      <c r="R87" s="118">
        <f t="shared" si="26"/>
        <v>-4.5868721514041248E-2</v>
      </c>
      <c r="S87" s="118">
        <f t="shared" si="26"/>
        <v>-4.8391501197313509E-2</v>
      </c>
      <c r="T87" s="118">
        <f t="shared" si="26"/>
        <v>-5.105303376316575E-2</v>
      </c>
      <c r="U87" s="118">
        <f t="shared" si="26"/>
        <v>-5.3860950620139861E-2</v>
      </c>
      <c r="V87" s="118">
        <f t="shared" si="26"/>
        <v>-5.6823302904247558E-2</v>
      </c>
      <c r="W87" s="118">
        <f t="shared" si="26"/>
        <v>-5.9948584563981173E-2</v>
      </c>
      <c r="X87" s="118">
        <f t="shared" si="26"/>
        <v>-6.3245756715000129E-2</v>
      </c>
      <c r="Y87" s="118">
        <f t="shared" si="26"/>
        <v>-6.6724273334325138E-2</v>
      </c>
      <c r="Z87" s="118">
        <f t="shared" si="26"/>
        <v>-7.039410836771301E-2</v>
      </c>
      <c r="AA87" s="118">
        <f t="shared" si="26"/>
        <v>-7.426578432793722E-2</v>
      </c>
      <c r="AB87" s="118">
        <f t="shared" si="26"/>
        <v>-7.8350402465973787E-2</v>
      </c>
      <c r="AC87" s="118">
        <f t="shared" si="26"/>
        <v>-8.2659674601602312E-2</v>
      </c>
      <c r="AD87" s="118">
        <f t="shared" si="26"/>
        <v>-8.7205956704690446E-2</v>
      </c>
      <c r="AE87" s="118">
        <f t="shared" si="26"/>
        <v>-9.2002284323448424E-2</v>
      </c>
    </row>
    <row r="88" spans="2:31" x14ac:dyDescent="0.2">
      <c r="B88" s="112" t="s">
        <v>3197</v>
      </c>
      <c r="C88" s="112" t="s">
        <v>115</v>
      </c>
      <c r="D88" s="112" t="s">
        <v>3211</v>
      </c>
      <c r="E88" s="112" t="s">
        <v>87</v>
      </c>
      <c r="H88" s="116" t="str">
        <f>Settings!$B$3&amp;".mit.eco2.rblk.nfm.2"</f>
        <v>egy.mit.eco2.rblk.nfm.2</v>
      </c>
      <c r="I88" s="112" t="s">
        <v>3199</v>
      </c>
      <c r="L88" s="144">
        <f t="shared" ref="L88:AE88" si="27">IF(L86=0,0,L85/L86)</f>
        <v>0</v>
      </c>
      <c r="M88" s="144">
        <f t="shared" si="27"/>
        <v>0</v>
      </c>
      <c r="N88" s="144">
        <f t="shared" si="27"/>
        <v>0</v>
      </c>
      <c r="O88" s="144">
        <f t="shared" si="27"/>
        <v>0</v>
      </c>
      <c r="P88" s="144">
        <f t="shared" si="27"/>
        <v>0</v>
      </c>
      <c r="Q88" s="144">
        <f t="shared" si="27"/>
        <v>0</v>
      </c>
      <c r="R88" s="144">
        <f t="shared" si="27"/>
        <v>0</v>
      </c>
      <c r="S88" s="144">
        <f t="shared" si="27"/>
        <v>0</v>
      </c>
      <c r="T88" s="144">
        <f t="shared" si="27"/>
        <v>0</v>
      </c>
      <c r="U88" s="144">
        <f t="shared" si="27"/>
        <v>0</v>
      </c>
      <c r="V88" s="144">
        <f t="shared" si="27"/>
        <v>0</v>
      </c>
      <c r="W88" s="144">
        <f t="shared" si="27"/>
        <v>0</v>
      </c>
      <c r="X88" s="144">
        <f t="shared" si="27"/>
        <v>0</v>
      </c>
      <c r="Y88" s="144">
        <f t="shared" si="27"/>
        <v>0</v>
      </c>
      <c r="Z88" s="144">
        <f t="shared" si="27"/>
        <v>0</v>
      </c>
      <c r="AA88" s="144">
        <f t="shared" si="27"/>
        <v>0</v>
      </c>
      <c r="AB88" s="144">
        <f t="shared" si="27"/>
        <v>0</v>
      </c>
      <c r="AC88" s="144">
        <f t="shared" si="27"/>
        <v>0</v>
      </c>
      <c r="AD88" s="144">
        <f t="shared" si="27"/>
        <v>0</v>
      </c>
      <c r="AE88" s="144">
        <f t="shared" si="27"/>
        <v>0</v>
      </c>
    </row>
    <row r="90" spans="2:31" x14ac:dyDescent="0.2">
      <c r="B90" s="112" t="s">
        <v>3189</v>
      </c>
      <c r="C90" s="112" t="s">
        <v>117</v>
      </c>
      <c r="D90" s="112" t="s">
        <v>3212</v>
      </c>
      <c r="E90" s="112" t="s">
        <v>2065</v>
      </c>
      <c r="F90" s="112" t="s">
        <v>3228</v>
      </c>
      <c r="H90" s="116" t="str">
        <f>Settings!$B$3&amp;".mit.eco2.blk.mch.2"</f>
        <v>egy.mit.eco2.blk.mch.2</v>
      </c>
      <c r="I90" s="112" t="s">
        <v>2296</v>
      </c>
      <c r="L90" s="118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18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18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18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18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18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18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18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18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18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18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18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18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18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18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18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18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18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18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18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2">
      <c r="B91" s="112" t="s">
        <v>110</v>
      </c>
      <c r="C91" s="112" t="s">
        <v>117</v>
      </c>
      <c r="D91" s="112" t="s">
        <v>3214</v>
      </c>
      <c r="E91" s="112" t="s">
        <v>2065</v>
      </c>
      <c r="F91" s="112" t="s">
        <v>3229</v>
      </c>
      <c r="I91" s="112" t="s">
        <v>3230</v>
      </c>
      <c r="L91" s="118">
        <f>Emissions_Industry!L102</f>
        <v>0</v>
      </c>
      <c r="M91" s="118">
        <f>Emissions_Industry!M102</f>
        <v>0</v>
      </c>
      <c r="N91" s="118">
        <f>Emissions_Industry!N102</f>
        <v>0</v>
      </c>
      <c r="O91" s="118">
        <f>Emissions_Industry!O102</f>
        <v>0</v>
      </c>
      <c r="P91" s="118">
        <f>Emissions_Industry!P102</f>
        <v>0</v>
      </c>
      <c r="Q91" s="118">
        <f>Emissions_Industry!Q102</f>
        <v>0</v>
      </c>
      <c r="R91" s="118">
        <f>Emissions_Industry!R102</f>
        <v>0</v>
      </c>
      <c r="S91" s="118">
        <f>Emissions_Industry!S102</f>
        <v>0</v>
      </c>
      <c r="T91" s="118">
        <f>Emissions_Industry!T102</f>
        <v>0</v>
      </c>
      <c r="U91" s="118">
        <f>Emissions_Industry!U102</f>
        <v>0</v>
      </c>
      <c r="V91" s="118">
        <f>Emissions_Industry!V102</f>
        <v>0</v>
      </c>
      <c r="W91" s="118">
        <f>Emissions_Industry!W102</f>
        <v>0</v>
      </c>
      <c r="X91" s="118">
        <f>Emissions_Industry!X102</f>
        <v>0</v>
      </c>
      <c r="Y91" s="118">
        <f>Emissions_Industry!Y102</f>
        <v>0</v>
      </c>
      <c r="Z91" s="118">
        <f>Emissions_Industry!Z102</f>
        <v>0</v>
      </c>
      <c r="AA91" s="118">
        <f>Emissions_Industry!AA102</f>
        <v>0</v>
      </c>
      <c r="AB91" s="118">
        <f>Emissions_Industry!AB102</f>
        <v>0</v>
      </c>
      <c r="AC91" s="118">
        <f>Emissions_Industry!AC102</f>
        <v>0</v>
      </c>
      <c r="AD91" s="118">
        <f>Emissions_Industry!AD102</f>
        <v>0</v>
      </c>
      <c r="AE91" s="118">
        <f>Emissions_Industry!AE102</f>
        <v>0</v>
      </c>
    </row>
    <row r="92" spans="2:31" x14ac:dyDescent="0.2">
      <c r="B92" s="112" t="s">
        <v>3194</v>
      </c>
      <c r="C92" s="112" t="s">
        <v>117</v>
      </c>
      <c r="D92" s="112" t="s">
        <v>3216</v>
      </c>
      <c r="E92" s="112" t="s">
        <v>2065</v>
      </c>
      <c r="H92" s="116" t="str">
        <f>Settings!$B$3&amp;".mit.eco2.gap.mch.2"</f>
        <v>egy.mit.eco2.gap.mch.2</v>
      </c>
      <c r="I92" s="112" t="s">
        <v>3196</v>
      </c>
      <c r="L92" s="118">
        <f t="shared" ref="L92:AE92" si="28">L91-L90</f>
        <v>-1.5828284109665627</v>
      </c>
      <c r="M92" s="118">
        <f t="shared" si="28"/>
        <v>-1.6176506360078275</v>
      </c>
      <c r="N92" s="118">
        <f t="shared" si="28"/>
        <v>-1.6532389499999995</v>
      </c>
      <c r="O92" s="118">
        <f t="shared" si="28"/>
        <v>-1.6896102068999994</v>
      </c>
      <c r="P92" s="118">
        <f t="shared" si="28"/>
        <v>-1.7267816314518005</v>
      </c>
      <c r="Q92" s="118">
        <f t="shared" si="28"/>
        <v>-1.7647708273437392</v>
      </c>
      <c r="R92" s="118">
        <f t="shared" si="28"/>
        <v>-1.8035957855453022</v>
      </c>
      <c r="S92" s="118">
        <f t="shared" si="28"/>
        <v>-1.843274892827298</v>
      </c>
      <c r="T92" s="118">
        <f t="shared" si="28"/>
        <v>-1.8838269404694987</v>
      </c>
      <c r="U92" s="118">
        <f t="shared" si="28"/>
        <v>-1.9252711331598276</v>
      </c>
      <c r="V92" s="118">
        <f t="shared" si="28"/>
        <v>-1.9676270980893444</v>
      </c>
      <c r="W92" s="118">
        <f t="shared" si="28"/>
        <v>-2.0109148942473092</v>
      </c>
      <c r="X92" s="118">
        <f t="shared" si="28"/>
        <v>-2.0551550219207506</v>
      </c>
      <c r="Y92" s="118">
        <f t="shared" si="28"/>
        <v>-2.1003684324030072</v>
      </c>
      <c r="Z92" s="118">
        <f t="shared" si="28"/>
        <v>-2.1465765379158737</v>
      </c>
      <c r="AA92" s="118">
        <f t="shared" si="28"/>
        <v>-2.1938012217500225</v>
      </c>
      <c r="AB92" s="118">
        <f t="shared" si="28"/>
        <v>-2.2420648486285226</v>
      </c>
      <c r="AC92" s="118">
        <f t="shared" si="28"/>
        <v>-2.2913902752983502</v>
      </c>
      <c r="AD92" s="118">
        <f t="shared" si="28"/>
        <v>-2.3418008613549151</v>
      </c>
      <c r="AE92" s="118">
        <f t="shared" si="28"/>
        <v>-2.3933204803047228</v>
      </c>
    </row>
    <row r="93" spans="2:31" x14ac:dyDescent="0.2">
      <c r="B93" s="112" t="s">
        <v>3197</v>
      </c>
      <c r="C93" s="112" t="s">
        <v>117</v>
      </c>
      <c r="D93" s="112" t="s">
        <v>3217</v>
      </c>
      <c r="E93" s="112" t="s">
        <v>87</v>
      </c>
      <c r="H93" s="116" t="str">
        <f>Settings!$B$3&amp;".mit.eco2.rblk.mch.2"</f>
        <v>egy.mit.eco2.rblk.mch.2</v>
      </c>
      <c r="I93" s="112" t="s">
        <v>3199</v>
      </c>
      <c r="L93" s="144">
        <f t="shared" ref="L93:AE93" si="29">IF(L91=0,0,L90/L91)</f>
        <v>0</v>
      </c>
      <c r="M93" s="144">
        <f t="shared" si="29"/>
        <v>0</v>
      </c>
      <c r="N93" s="144">
        <f t="shared" si="29"/>
        <v>0</v>
      </c>
      <c r="O93" s="144">
        <f t="shared" si="29"/>
        <v>0</v>
      </c>
      <c r="P93" s="144">
        <f t="shared" si="29"/>
        <v>0</v>
      </c>
      <c r="Q93" s="144">
        <f t="shared" si="29"/>
        <v>0</v>
      </c>
      <c r="R93" s="144">
        <f t="shared" si="29"/>
        <v>0</v>
      </c>
      <c r="S93" s="144">
        <f t="shared" si="29"/>
        <v>0</v>
      </c>
      <c r="T93" s="144">
        <f t="shared" si="29"/>
        <v>0</v>
      </c>
      <c r="U93" s="144">
        <f t="shared" si="29"/>
        <v>0</v>
      </c>
      <c r="V93" s="144">
        <f t="shared" si="29"/>
        <v>0</v>
      </c>
      <c r="W93" s="144">
        <f t="shared" si="29"/>
        <v>0</v>
      </c>
      <c r="X93" s="144">
        <f t="shared" si="29"/>
        <v>0</v>
      </c>
      <c r="Y93" s="144">
        <f t="shared" si="29"/>
        <v>0</v>
      </c>
      <c r="Z93" s="144">
        <f t="shared" si="29"/>
        <v>0</v>
      </c>
      <c r="AA93" s="144">
        <f t="shared" si="29"/>
        <v>0</v>
      </c>
      <c r="AB93" s="144">
        <f t="shared" si="29"/>
        <v>0</v>
      </c>
      <c r="AC93" s="144">
        <f t="shared" si="29"/>
        <v>0</v>
      </c>
      <c r="AD93" s="144">
        <f t="shared" si="29"/>
        <v>0</v>
      </c>
      <c r="AE93" s="144">
        <f t="shared" si="29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2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ColWidth="9" defaultRowHeight="14.25" x14ac:dyDescent="0.2"/>
  <cols>
    <col min="1" max="1" width="3" style="112" customWidth="1"/>
    <col min="2" max="2" width="12.42578125" style="112" customWidth="1"/>
    <col min="3" max="3" width="28" style="112" customWidth="1"/>
    <col min="4" max="4" width="33.7109375" style="112" customWidth="1"/>
    <col min="5" max="5" width="14.7109375" style="112" customWidth="1"/>
    <col min="6" max="6" width="17.7109375" style="112" customWidth="1"/>
    <col min="7" max="7" width="30.28515625" style="112" customWidth="1"/>
    <col min="8" max="8" width="28.85546875" style="112" customWidth="1"/>
    <col min="9" max="9" width="31.28515625" style="112" customWidth="1"/>
    <col min="10" max="10" width="30.28515625" style="112" customWidth="1"/>
    <col min="11" max="11" width="10.5703125" style="112" customWidth="1"/>
    <col min="12" max="35" width="12" style="112" customWidth="1"/>
    <col min="36" max="16384" width="9" style="112"/>
  </cols>
  <sheetData>
    <row r="1" spans="1:35" customFormat="1" ht="15" x14ac:dyDescent="0.2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5" x14ac:dyDescent="0.25">
      <c r="A2" s="33"/>
      <c r="B2" s="44" t="s">
        <v>3454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25">
      <c r="A3" s="8"/>
      <c r="B3" s="9" t="s">
        <v>3455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5" x14ac:dyDescent="0.25">
      <c r="A5" s="11"/>
      <c r="B5" s="6" t="s">
        <v>1726</v>
      </c>
      <c r="C5" s="7" t="s">
        <v>1727</v>
      </c>
      <c r="D5" s="6" t="s">
        <v>3456</v>
      </c>
      <c r="E5" s="7" t="s">
        <v>3457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2">
      <c r="B6" s="112" t="str">
        <f>Scenarios!$B$17</f>
        <v>LEGACY</v>
      </c>
      <c r="C6" s="112" t="str">
        <f>Scenarios!$C$17</f>
        <v>CPAT default policy scenario (regression)</v>
      </c>
      <c r="D6" s="147" t="s">
        <v>77</v>
      </c>
      <c r="E6" s="112" t="str">
        <f>Scenarios!$L$17</f>
        <v>All sectors</v>
      </c>
      <c r="F6" s="148" t="s">
        <v>3458</v>
      </c>
    </row>
    <row r="7" spans="1:35" x14ac:dyDescent="0.2">
      <c r="B7" s="112" t="str">
        <f>Scenarios!$B$18</f>
        <v>1A</v>
      </c>
      <c r="C7" s="112" t="str">
        <f>Scenarios!$C$18</f>
        <v>Comprehensive levy + CBAM process fee</v>
      </c>
      <c r="D7" s="147" t="s">
        <v>3256</v>
      </c>
      <c r="E7" s="112" t="str">
        <f>Scenarios!$L$18</f>
        <v>All sectors</v>
      </c>
      <c r="F7" s="112" t="s">
        <v>3459</v>
      </c>
    </row>
    <row r="8" spans="1:35" x14ac:dyDescent="0.2">
      <c r="B8" s="112" t="str">
        <f>Scenarios!$B$19</f>
        <v>2A</v>
      </c>
      <c r="C8" s="112" t="str">
        <f>Scenarios!$C$19</f>
        <v>Upstream levy, public investment</v>
      </c>
      <c r="D8" s="147" t="s">
        <v>3256</v>
      </c>
      <c r="E8" s="112" t="str">
        <f>Scenarios!$L$19</f>
        <v>All sectors</v>
      </c>
      <c r="F8" s="112" t="s">
        <v>3459</v>
      </c>
    </row>
    <row r="9" spans="1:35" x14ac:dyDescent="0.2">
      <c r="B9" s="112" t="str">
        <f>Scenarios!$B$20</f>
        <v>2B</v>
      </c>
      <c r="C9" s="112" t="str">
        <f>Scenarios!$C$20</f>
        <v>Upstream levy, households</v>
      </c>
      <c r="D9" s="147" t="s">
        <v>3261</v>
      </c>
      <c r="E9" s="112" t="str">
        <f>Scenarios!$L$20</f>
        <v>All sectors</v>
      </c>
      <c r="F9" s="112" t="s">
        <v>3459</v>
      </c>
    </row>
    <row r="10" spans="1:35" x14ac:dyDescent="0.2">
      <c r="B10" s="112" t="str">
        <f>Scenarios!$B$21</f>
        <v>3A</v>
      </c>
      <c r="C10" s="112" t="str">
        <f>Scenarios!$C$21</f>
        <v>Downstream heavy industry, households</v>
      </c>
      <c r="D10" s="147" t="s">
        <v>3263</v>
      </c>
      <c r="E10" s="112" t="str">
        <f>Scenarios!$L$21</f>
        <v>Industry only</v>
      </c>
      <c r="F10" s="112" t="s">
        <v>3459</v>
      </c>
    </row>
    <row r="11" spans="1:35" x14ac:dyDescent="0.2">
      <c r="B11" s="112" t="str">
        <f>Scenarios!$B$22</f>
        <v>3B</v>
      </c>
      <c r="C11" s="112" t="str">
        <f>Scenarios!$C$22</f>
        <v>Downstream heavy industry, free allocation (benchmark)</v>
      </c>
      <c r="D11" s="147" t="s">
        <v>3263</v>
      </c>
      <c r="E11" s="112" t="str">
        <f>Scenarios!$L$22</f>
        <v>Industry only</v>
      </c>
      <c r="F11" s="112" t="s">
        <v>3459</v>
      </c>
    </row>
    <row r="12" spans="1:35" x14ac:dyDescent="0.2">
      <c r="B12" s="112" t="str">
        <f>Scenarios!$B$23</f>
        <v>3C</v>
      </c>
      <c r="C12" s="112" t="str">
        <f>Scenarios!$C$23</f>
        <v>Downstream heavy industry, abatement rebate</v>
      </c>
      <c r="D12" s="147" t="s">
        <v>3263</v>
      </c>
      <c r="E12" s="112" t="str">
        <f>Scenarios!$L$23</f>
        <v>Industry only</v>
      </c>
      <c r="F12" s="112" t="s">
        <v>3459</v>
      </c>
    </row>
    <row r="14" spans="1:35" x14ac:dyDescent="0.2">
      <c r="C14" s="112" t="s">
        <v>3460</v>
      </c>
      <c r="D14" s="112" t="str">
        <f>Scenarios!$B$27</f>
        <v>LEGACY</v>
      </c>
    </row>
    <row r="15" spans="1:35" x14ac:dyDescent="0.2">
      <c r="C15" s="112" t="s">
        <v>3456</v>
      </c>
      <c r="D15" s="112" t="str">
        <f>INDEX($D$6:$D$12,MATCH(D14,$B$6:$B$12,0))</f>
        <v>-</v>
      </c>
    </row>
    <row r="16" spans="1:35" x14ac:dyDescent="0.2">
      <c r="C16" s="112" t="s">
        <v>3461</v>
      </c>
      <c r="D16" s="112" t="str">
        <f>Scenarios!$L$27</f>
        <v>All sectors</v>
      </c>
    </row>
    <row r="17" spans="1:35" x14ac:dyDescent="0.2">
      <c r="C17" s="112" t="s">
        <v>1731</v>
      </c>
      <c r="D17" s="112">
        <f>Scenarios!$G$27</f>
        <v>0</v>
      </c>
    </row>
    <row r="18" spans="1:35" x14ac:dyDescent="0.2">
      <c r="C18" s="112" t="s">
        <v>3462</v>
      </c>
      <c r="D18" s="112" t="str">
        <f>Scenarios!$K$27</f>
        <v>CPAT default</v>
      </c>
    </row>
    <row r="19" spans="1:35" x14ac:dyDescent="0.2">
      <c r="C19" s="112" t="s">
        <v>3463</v>
      </c>
      <c r="D19" s="147">
        <v>2030</v>
      </c>
      <c r="E19" s="112" t="s">
        <v>3464</v>
      </c>
    </row>
    <row r="22" spans="1:35" customFormat="1" ht="18" customHeight="1" x14ac:dyDescent="0.25">
      <c r="A22" s="8"/>
      <c r="B22" s="9" t="s">
        <v>3465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5" x14ac:dyDescent="0.2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2">
      <c r="B25" s="112" t="s">
        <v>3466</v>
      </c>
      <c r="C25" s="112" t="s">
        <v>3467</v>
      </c>
      <c r="D25" s="112" t="s">
        <v>3468</v>
      </c>
      <c r="E25" s="112" t="s">
        <v>1852</v>
      </c>
      <c r="F25" s="112" t="s">
        <v>3469</v>
      </c>
      <c r="G25" s="112" t="s">
        <v>3388</v>
      </c>
      <c r="H25" s="116" t="str">
        <f>Settings!$B$3&amp;".mit.t2.ghg1"</f>
        <v>egy.mit.t2.ghg1</v>
      </c>
      <c r="L25" s="149">
        <f>IF($D$15="-",0,INDEX(CPAT_National!L$6:L$133,MATCH($G25&amp;"|"&amp;$D$15,CPAT_National!$B$6:$B$133,0)))</f>
        <v>0</v>
      </c>
      <c r="M25" s="149">
        <f>IF($D$15="-",0,INDEX(CPAT_National!M$6:M$133,MATCH($G25&amp;"|"&amp;$D$15,CPAT_National!$B$6:$B$133,0)))</f>
        <v>0</v>
      </c>
      <c r="N25" s="149">
        <f>IF($D$15="-",0,INDEX(CPAT_National!N$6:N$133,MATCH($G25&amp;"|"&amp;$D$15,CPAT_National!$B$6:$B$133,0)))</f>
        <v>0</v>
      </c>
      <c r="O25" s="149">
        <f>IF($D$15="-",0,INDEX(CPAT_National!O$6:O$133,MATCH($G25&amp;"|"&amp;$D$15,CPAT_National!$B$6:$B$133,0)))</f>
        <v>0</v>
      </c>
      <c r="P25" s="149">
        <f>IF($D$15="-",0,INDEX(CPAT_National!P$6:P$133,MATCH($G25&amp;"|"&amp;$D$15,CPAT_National!$B$6:$B$133,0)))</f>
        <v>0</v>
      </c>
      <c r="Q25" s="149">
        <f>IF($D$15="-",0,INDEX(CPAT_National!Q$6:Q$133,MATCH($G25&amp;"|"&amp;$D$15,CPAT_National!$B$6:$B$133,0)))</f>
        <v>0</v>
      </c>
      <c r="R25" s="149">
        <f>IF($D$15="-",0,INDEX(CPAT_National!R$6:R$133,MATCH($G25&amp;"|"&amp;$D$15,CPAT_National!$B$6:$B$133,0)))</f>
        <v>0</v>
      </c>
      <c r="S25" s="149">
        <f>IF($D$15="-",0,INDEX(CPAT_National!S$6:S$133,MATCH($G25&amp;"|"&amp;$D$15,CPAT_National!$B$6:$B$133,0)))</f>
        <v>0</v>
      </c>
      <c r="T25" s="149">
        <f>IF($D$15="-",0,INDEX(CPAT_National!T$6:T$133,MATCH($G25&amp;"|"&amp;$D$15,CPAT_National!$B$6:$B$133,0)))</f>
        <v>0</v>
      </c>
      <c r="U25" s="149">
        <f>IF($D$15="-",0,INDEX(CPAT_National!U$6:U$133,MATCH($G25&amp;"|"&amp;$D$15,CPAT_National!$B$6:$B$133,0)))</f>
        <v>0</v>
      </c>
      <c r="V25" s="149">
        <f>IF($D$15="-",0,INDEX(CPAT_National!V$6:V$133,MATCH($G25&amp;"|"&amp;$D$15,CPAT_National!$B$6:$B$133,0)))</f>
        <v>0</v>
      </c>
      <c r="W25" s="149">
        <f>IF($D$15="-",0,INDEX(CPAT_National!W$6:W$133,MATCH($G25&amp;"|"&amp;$D$15,CPAT_National!$B$6:$B$133,0)))</f>
        <v>0</v>
      </c>
      <c r="X25" s="149">
        <f>IF($D$15="-",0,INDEX(CPAT_National!X$6:X$133,MATCH($G25&amp;"|"&amp;$D$15,CPAT_National!$B$6:$B$133,0)))</f>
        <v>0</v>
      </c>
      <c r="Y25" s="149">
        <f>IF($D$15="-",0,INDEX(CPAT_National!Y$6:Y$133,MATCH($G25&amp;"|"&amp;$D$15,CPAT_National!$B$6:$B$133,0)))</f>
        <v>0</v>
      </c>
      <c r="Z25" s="149">
        <f>IF($D$15="-",0,INDEX(CPAT_National!Z$6:Z$133,MATCH($G25&amp;"|"&amp;$D$15,CPAT_National!$B$6:$B$133,0)))</f>
        <v>0</v>
      </c>
      <c r="AA25" s="149">
        <f>IF($D$15="-",0,INDEX(CPAT_National!AA$6:AA$133,MATCH($G25&amp;"|"&amp;$D$15,CPAT_National!$B$6:$B$133,0)))</f>
        <v>0</v>
      </c>
      <c r="AB25" s="149">
        <f>IF($D$15="-",0,INDEX(CPAT_National!AB$6:AB$133,MATCH($G25&amp;"|"&amp;$D$15,CPAT_National!$B$6:$B$133,0)))</f>
        <v>0</v>
      </c>
      <c r="AC25" s="149">
        <f>IF($D$15="-",0,INDEX(CPAT_National!AC$6:AC$133,MATCH($G25&amp;"|"&amp;$D$15,CPAT_National!$B$6:$B$133,0)))</f>
        <v>0</v>
      </c>
      <c r="AD25" s="149">
        <f>IF($D$15="-",0,INDEX(CPAT_National!AD$6:AD$133,MATCH($G25&amp;"|"&amp;$D$15,CPAT_National!$B$6:$B$133,0)))</f>
        <v>0</v>
      </c>
      <c r="AE25" s="149">
        <f>IF($D$15="-",0,INDEX(CPAT_National!AE$6:AE$133,MATCH($G25&amp;"|"&amp;$D$15,CPAT_National!$B$6:$B$133,0)))</f>
        <v>0</v>
      </c>
    </row>
    <row r="26" spans="1:35" x14ac:dyDescent="0.2">
      <c r="B26" s="112" t="s">
        <v>3466</v>
      </c>
      <c r="C26" s="112" t="s">
        <v>3467</v>
      </c>
      <c r="D26" s="112" t="s">
        <v>3470</v>
      </c>
      <c r="E26" s="112" t="s">
        <v>1852</v>
      </c>
      <c r="F26" s="112" t="s">
        <v>3469</v>
      </c>
      <c r="G26" s="112" t="s">
        <v>3394</v>
      </c>
      <c r="H26" s="116" t="str">
        <f>Settings!$B$3&amp;".mit.t2.ghg2"</f>
        <v>egy.mit.t2.ghg2</v>
      </c>
      <c r="L26" s="149">
        <f>IF($D$15="-",0,INDEX(CPAT_National!L$6:L$133,MATCH($G26&amp;"|"&amp;$D$15,CPAT_National!$B$6:$B$133,0)))</f>
        <v>0</v>
      </c>
      <c r="M26" s="149">
        <f>IF($D$15="-",0,INDEX(CPAT_National!M$6:M$133,MATCH($G26&amp;"|"&amp;$D$15,CPAT_National!$B$6:$B$133,0)))</f>
        <v>0</v>
      </c>
      <c r="N26" s="149">
        <f>IF($D$15="-",0,INDEX(CPAT_National!N$6:N$133,MATCH($G26&amp;"|"&amp;$D$15,CPAT_National!$B$6:$B$133,0)))</f>
        <v>0</v>
      </c>
      <c r="O26" s="149">
        <f>IF($D$15="-",0,INDEX(CPAT_National!O$6:O$133,MATCH($G26&amp;"|"&amp;$D$15,CPAT_National!$B$6:$B$133,0)))</f>
        <v>0</v>
      </c>
      <c r="P26" s="149">
        <f>IF($D$15="-",0,INDEX(CPAT_National!P$6:P$133,MATCH($G26&amp;"|"&amp;$D$15,CPAT_National!$B$6:$B$133,0)))</f>
        <v>0</v>
      </c>
      <c r="Q26" s="149">
        <f>IF($D$15="-",0,INDEX(CPAT_National!Q$6:Q$133,MATCH($G26&amp;"|"&amp;$D$15,CPAT_National!$B$6:$B$133,0)))</f>
        <v>0</v>
      </c>
      <c r="R26" s="149">
        <f>IF($D$15="-",0,INDEX(CPAT_National!R$6:R$133,MATCH($G26&amp;"|"&amp;$D$15,CPAT_National!$B$6:$B$133,0)))</f>
        <v>0</v>
      </c>
      <c r="S26" s="149">
        <f>IF($D$15="-",0,INDEX(CPAT_National!S$6:S$133,MATCH($G26&amp;"|"&amp;$D$15,CPAT_National!$B$6:$B$133,0)))</f>
        <v>0</v>
      </c>
      <c r="T26" s="149">
        <f>IF($D$15="-",0,INDEX(CPAT_National!T$6:T$133,MATCH($G26&amp;"|"&amp;$D$15,CPAT_National!$B$6:$B$133,0)))</f>
        <v>0</v>
      </c>
      <c r="U26" s="149">
        <f>IF($D$15="-",0,INDEX(CPAT_National!U$6:U$133,MATCH($G26&amp;"|"&amp;$D$15,CPAT_National!$B$6:$B$133,0)))</f>
        <v>0</v>
      </c>
      <c r="V26" s="149">
        <f>IF($D$15="-",0,INDEX(CPAT_National!V$6:V$133,MATCH($G26&amp;"|"&amp;$D$15,CPAT_National!$B$6:$B$133,0)))</f>
        <v>0</v>
      </c>
      <c r="W26" s="149">
        <f>IF($D$15="-",0,INDEX(CPAT_National!W$6:W$133,MATCH($G26&amp;"|"&amp;$D$15,CPAT_National!$B$6:$B$133,0)))</f>
        <v>0</v>
      </c>
      <c r="X26" s="149">
        <f>IF($D$15="-",0,INDEX(CPAT_National!X$6:X$133,MATCH($G26&amp;"|"&amp;$D$15,CPAT_National!$B$6:$B$133,0)))</f>
        <v>0</v>
      </c>
      <c r="Y26" s="149">
        <f>IF($D$15="-",0,INDEX(CPAT_National!Y$6:Y$133,MATCH($G26&amp;"|"&amp;$D$15,CPAT_National!$B$6:$B$133,0)))</f>
        <v>0</v>
      </c>
      <c r="Z26" s="149">
        <f>IF($D$15="-",0,INDEX(CPAT_National!Z$6:Z$133,MATCH($G26&amp;"|"&amp;$D$15,CPAT_National!$B$6:$B$133,0)))</f>
        <v>0</v>
      </c>
      <c r="AA26" s="149">
        <f>IF($D$15="-",0,INDEX(CPAT_National!AA$6:AA$133,MATCH($G26&amp;"|"&amp;$D$15,CPAT_National!$B$6:$B$133,0)))</f>
        <v>0</v>
      </c>
      <c r="AB26" s="149">
        <f>IF($D$15="-",0,INDEX(CPAT_National!AB$6:AB$133,MATCH($G26&amp;"|"&amp;$D$15,CPAT_National!$B$6:$B$133,0)))</f>
        <v>0</v>
      </c>
      <c r="AC26" s="149">
        <f>IF($D$15="-",0,INDEX(CPAT_National!AC$6:AC$133,MATCH($G26&amp;"|"&amp;$D$15,CPAT_National!$B$6:$B$133,0)))</f>
        <v>0</v>
      </c>
      <c r="AD26" s="149">
        <f>IF($D$15="-",0,INDEX(CPAT_National!AD$6:AD$133,MATCH($G26&amp;"|"&amp;$D$15,CPAT_National!$B$6:$B$133,0)))</f>
        <v>0</v>
      </c>
      <c r="AE26" s="149">
        <f>IF($D$15="-",0,INDEX(CPAT_National!AE$6:AE$133,MATCH($G26&amp;"|"&amp;$D$15,CPAT_National!$B$6:$B$133,0)))</f>
        <v>0</v>
      </c>
    </row>
    <row r="27" spans="1:35" x14ac:dyDescent="0.2">
      <c r="B27" s="112" t="s">
        <v>3466</v>
      </c>
      <c r="C27" s="112" t="s">
        <v>3467</v>
      </c>
      <c r="D27" s="112" t="s">
        <v>3471</v>
      </c>
      <c r="E27" s="112" t="s">
        <v>1852</v>
      </c>
      <c r="F27" s="112" t="s">
        <v>3469</v>
      </c>
      <c r="G27" s="112" t="s">
        <v>3376</v>
      </c>
      <c r="H27" s="116" t="str">
        <f>Settings!$B$3&amp;".mit.t2.ipr1"</f>
        <v>egy.mit.t2.ipr1</v>
      </c>
      <c r="L27" s="149">
        <f>IF($D$15="-",0,INDEX(CPAT_National!L$6:L$133,MATCH($G27&amp;"|"&amp;$D$15,CPAT_National!$B$6:$B$133,0)))</f>
        <v>0</v>
      </c>
      <c r="M27" s="149">
        <f>IF($D$15="-",0,INDEX(CPAT_National!M$6:M$133,MATCH($G27&amp;"|"&amp;$D$15,CPAT_National!$B$6:$B$133,0)))</f>
        <v>0</v>
      </c>
      <c r="N27" s="149">
        <f>IF($D$15="-",0,INDEX(CPAT_National!N$6:N$133,MATCH($G27&amp;"|"&amp;$D$15,CPAT_National!$B$6:$B$133,0)))</f>
        <v>0</v>
      </c>
      <c r="O27" s="149">
        <f>IF($D$15="-",0,INDEX(CPAT_National!O$6:O$133,MATCH($G27&amp;"|"&amp;$D$15,CPAT_National!$B$6:$B$133,0)))</f>
        <v>0</v>
      </c>
      <c r="P27" s="149">
        <f>IF($D$15="-",0,INDEX(CPAT_National!P$6:P$133,MATCH($G27&amp;"|"&amp;$D$15,CPAT_National!$B$6:$B$133,0)))</f>
        <v>0</v>
      </c>
      <c r="Q27" s="149">
        <f>IF($D$15="-",0,INDEX(CPAT_National!Q$6:Q$133,MATCH($G27&amp;"|"&amp;$D$15,CPAT_National!$B$6:$B$133,0)))</f>
        <v>0</v>
      </c>
      <c r="R27" s="149">
        <f>IF($D$15="-",0,INDEX(CPAT_National!R$6:R$133,MATCH($G27&amp;"|"&amp;$D$15,CPAT_National!$B$6:$B$133,0)))</f>
        <v>0</v>
      </c>
      <c r="S27" s="149">
        <f>IF($D$15="-",0,INDEX(CPAT_National!S$6:S$133,MATCH($G27&amp;"|"&amp;$D$15,CPAT_National!$B$6:$B$133,0)))</f>
        <v>0</v>
      </c>
      <c r="T27" s="149">
        <f>IF($D$15="-",0,INDEX(CPAT_National!T$6:T$133,MATCH($G27&amp;"|"&amp;$D$15,CPAT_National!$B$6:$B$133,0)))</f>
        <v>0</v>
      </c>
      <c r="U27" s="149">
        <f>IF($D$15="-",0,INDEX(CPAT_National!U$6:U$133,MATCH($G27&amp;"|"&amp;$D$15,CPAT_National!$B$6:$B$133,0)))</f>
        <v>0</v>
      </c>
      <c r="V27" s="149">
        <f>IF($D$15="-",0,INDEX(CPAT_National!V$6:V$133,MATCH($G27&amp;"|"&amp;$D$15,CPAT_National!$B$6:$B$133,0)))</f>
        <v>0</v>
      </c>
      <c r="W27" s="149">
        <f>IF($D$15="-",0,INDEX(CPAT_National!W$6:W$133,MATCH($G27&amp;"|"&amp;$D$15,CPAT_National!$B$6:$B$133,0)))</f>
        <v>0</v>
      </c>
      <c r="X27" s="149">
        <f>IF($D$15="-",0,INDEX(CPAT_National!X$6:X$133,MATCH($G27&amp;"|"&amp;$D$15,CPAT_National!$B$6:$B$133,0)))</f>
        <v>0</v>
      </c>
      <c r="Y27" s="149">
        <f>IF($D$15="-",0,INDEX(CPAT_National!Y$6:Y$133,MATCH($G27&amp;"|"&amp;$D$15,CPAT_National!$B$6:$B$133,0)))</f>
        <v>0</v>
      </c>
      <c r="Z27" s="149">
        <f>IF($D$15="-",0,INDEX(CPAT_National!Z$6:Z$133,MATCH($G27&amp;"|"&amp;$D$15,CPAT_National!$B$6:$B$133,0)))</f>
        <v>0</v>
      </c>
      <c r="AA27" s="149">
        <f>IF($D$15="-",0,INDEX(CPAT_National!AA$6:AA$133,MATCH($G27&amp;"|"&amp;$D$15,CPAT_National!$B$6:$B$133,0)))</f>
        <v>0</v>
      </c>
      <c r="AB27" s="149">
        <f>IF($D$15="-",0,INDEX(CPAT_National!AB$6:AB$133,MATCH($G27&amp;"|"&amp;$D$15,CPAT_National!$B$6:$B$133,0)))</f>
        <v>0</v>
      </c>
      <c r="AC27" s="149">
        <f>IF($D$15="-",0,INDEX(CPAT_National!AC$6:AC$133,MATCH($G27&amp;"|"&amp;$D$15,CPAT_National!$B$6:$B$133,0)))</f>
        <v>0</v>
      </c>
      <c r="AD27" s="149">
        <f>IF($D$15="-",0,INDEX(CPAT_National!AD$6:AD$133,MATCH($G27&amp;"|"&amp;$D$15,CPAT_National!$B$6:$B$133,0)))</f>
        <v>0</v>
      </c>
      <c r="AE27" s="149">
        <f>IF($D$15="-",0,INDEX(CPAT_National!AE$6:AE$133,MATCH($G27&amp;"|"&amp;$D$15,CPAT_National!$B$6:$B$133,0)))</f>
        <v>0</v>
      </c>
    </row>
    <row r="28" spans="1:35" x14ac:dyDescent="0.2">
      <c r="B28" s="112" t="s">
        <v>3466</v>
      </c>
      <c r="C28" s="112" t="s">
        <v>3467</v>
      </c>
      <c r="D28" s="112" t="s">
        <v>3472</v>
      </c>
      <c r="E28" s="112" t="s">
        <v>1852</v>
      </c>
      <c r="F28" s="112" t="s">
        <v>3469</v>
      </c>
      <c r="G28" s="112" t="s">
        <v>3382</v>
      </c>
      <c r="H28" s="116" t="str">
        <f>Settings!$B$3&amp;".mit.t2.ipr2"</f>
        <v>egy.mit.t2.ipr2</v>
      </c>
      <c r="L28" s="149">
        <f>IF($D$15="-",0,INDEX(CPAT_National!L$6:L$133,MATCH($G28&amp;"|"&amp;$D$15,CPAT_National!$B$6:$B$133,0)))</f>
        <v>0</v>
      </c>
      <c r="M28" s="149">
        <f>IF($D$15="-",0,INDEX(CPAT_National!M$6:M$133,MATCH($G28&amp;"|"&amp;$D$15,CPAT_National!$B$6:$B$133,0)))</f>
        <v>0</v>
      </c>
      <c r="N28" s="149">
        <f>IF($D$15="-",0,INDEX(CPAT_National!N$6:N$133,MATCH($G28&amp;"|"&amp;$D$15,CPAT_National!$B$6:$B$133,0)))</f>
        <v>0</v>
      </c>
      <c r="O28" s="149">
        <f>IF($D$15="-",0,INDEX(CPAT_National!O$6:O$133,MATCH($G28&amp;"|"&amp;$D$15,CPAT_National!$B$6:$B$133,0)))</f>
        <v>0</v>
      </c>
      <c r="P28" s="149">
        <f>IF($D$15="-",0,INDEX(CPAT_National!P$6:P$133,MATCH($G28&amp;"|"&amp;$D$15,CPAT_National!$B$6:$B$133,0)))</f>
        <v>0</v>
      </c>
      <c r="Q28" s="149">
        <f>IF($D$15="-",0,INDEX(CPAT_National!Q$6:Q$133,MATCH($G28&amp;"|"&amp;$D$15,CPAT_National!$B$6:$B$133,0)))</f>
        <v>0</v>
      </c>
      <c r="R28" s="149">
        <f>IF($D$15="-",0,INDEX(CPAT_National!R$6:R$133,MATCH($G28&amp;"|"&amp;$D$15,CPAT_National!$B$6:$B$133,0)))</f>
        <v>0</v>
      </c>
      <c r="S28" s="149">
        <f>IF($D$15="-",0,INDEX(CPAT_National!S$6:S$133,MATCH($G28&amp;"|"&amp;$D$15,CPAT_National!$B$6:$B$133,0)))</f>
        <v>0</v>
      </c>
      <c r="T28" s="149">
        <f>IF($D$15="-",0,INDEX(CPAT_National!T$6:T$133,MATCH($G28&amp;"|"&amp;$D$15,CPAT_National!$B$6:$B$133,0)))</f>
        <v>0</v>
      </c>
      <c r="U28" s="149">
        <f>IF($D$15="-",0,INDEX(CPAT_National!U$6:U$133,MATCH($G28&amp;"|"&amp;$D$15,CPAT_National!$B$6:$B$133,0)))</f>
        <v>0</v>
      </c>
      <c r="V28" s="149">
        <f>IF($D$15="-",0,INDEX(CPAT_National!V$6:V$133,MATCH($G28&amp;"|"&amp;$D$15,CPAT_National!$B$6:$B$133,0)))</f>
        <v>0</v>
      </c>
      <c r="W28" s="149">
        <f>IF($D$15="-",0,INDEX(CPAT_National!W$6:W$133,MATCH($G28&amp;"|"&amp;$D$15,CPAT_National!$B$6:$B$133,0)))</f>
        <v>0</v>
      </c>
      <c r="X28" s="149">
        <f>IF($D$15="-",0,INDEX(CPAT_National!X$6:X$133,MATCH($G28&amp;"|"&amp;$D$15,CPAT_National!$B$6:$B$133,0)))</f>
        <v>0</v>
      </c>
      <c r="Y28" s="149">
        <f>IF($D$15="-",0,INDEX(CPAT_National!Y$6:Y$133,MATCH($G28&amp;"|"&amp;$D$15,CPAT_National!$B$6:$B$133,0)))</f>
        <v>0</v>
      </c>
      <c r="Z28" s="149">
        <f>IF($D$15="-",0,INDEX(CPAT_National!Z$6:Z$133,MATCH($G28&amp;"|"&amp;$D$15,CPAT_National!$B$6:$B$133,0)))</f>
        <v>0</v>
      </c>
      <c r="AA28" s="149">
        <f>IF($D$15="-",0,INDEX(CPAT_National!AA$6:AA$133,MATCH($G28&amp;"|"&amp;$D$15,CPAT_National!$B$6:$B$133,0)))</f>
        <v>0</v>
      </c>
      <c r="AB28" s="149">
        <f>IF($D$15="-",0,INDEX(CPAT_National!AB$6:AB$133,MATCH($G28&amp;"|"&amp;$D$15,CPAT_National!$B$6:$B$133,0)))</f>
        <v>0</v>
      </c>
      <c r="AC28" s="149">
        <f>IF($D$15="-",0,INDEX(CPAT_National!AC$6:AC$133,MATCH($G28&amp;"|"&amp;$D$15,CPAT_National!$B$6:$B$133,0)))</f>
        <v>0</v>
      </c>
      <c r="AD28" s="149">
        <f>IF($D$15="-",0,INDEX(CPAT_National!AD$6:AD$133,MATCH($G28&amp;"|"&amp;$D$15,CPAT_National!$B$6:$B$133,0)))</f>
        <v>0</v>
      </c>
      <c r="AE28" s="149">
        <f>IF($D$15="-",0,INDEX(CPAT_National!AE$6:AE$133,MATCH($G28&amp;"|"&amp;$D$15,CPAT_National!$B$6:$B$133,0)))</f>
        <v>0</v>
      </c>
    </row>
    <row r="29" spans="1:35" x14ac:dyDescent="0.2">
      <c r="B29" s="112" t="s">
        <v>3466</v>
      </c>
      <c r="C29" s="112" t="s">
        <v>3467</v>
      </c>
      <c r="D29" s="112" t="s">
        <v>3473</v>
      </c>
      <c r="E29" s="112" t="s">
        <v>2065</v>
      </c>
      <c r="F29" s="112" t="s">
        <v>3469</v>
      </c>
      <c r="G29" s="112" t="s">
        <v>3293</v>
      </c>
      <c r="H29" s="116" t="str">
        <f>Settings!$B$3&amp;".mit.t2.enr1"</f>
        <v>egy.mit.t2.enr1</v>
      </c>
      <c r="L29" s="149">
        <f>IF($D$15="-",0,INDEX(CPAT_National!L$6:L$133,MATCH($G29&amp;"|"&amp;$D$15,CPAT_National!$B$6:$B$133,0)))</f>
        <v>0</v>
      </c>
      <c r="M29" s="149">
        <f>IF($D$15="-",0,INDEX(CPAT_National!M$6:M$133,MATCH($G29&amp;"|"&amp;$D$15,CPAT_National!$B$6:$B$133,0)))</f>
        <v>0</v>
      </c>
      <c r="N29" s="149">
        <f>IF($D$15="-",0,INDEX(CPAT_National!N$6:N$133,MATCH($G29&amp;"|"&amp;$D$15,CPAT_National!$B$6:$B$133,0)))</f>
        <v>0</v>
      </c>
      <c r="O29" s="149">
        <f>IF($D$15="-",0,INDEX(CPAT_National!O$6:O$133,MATCH($G29&amp;"|"&amp;$D$15,CPAT_National!$B$6:$B$133,0)))</f>
        <v>0</v>
      </c>
      <c r="P29" s="149">
        <f>IF($D$15="-",0,INDEX(CPAT_National!P$6:P$133,MATCH($G29&amp;"|"&amp;$D$15,CPAT_National!$B$6:$B$133,0)))</f>
        <v>0</v>
      </c>
      <c r="Q29" s="149">
        <f>IF($D$15="-",0,INDEX(CPAT_National!Q$6:Q$133,MATCH($G29&amp;"|"&amp;$D$15,CPAT_National!$B$6:$B$133,0)))</f>
        <v>0</v>
      </c>
      <c r="R29" s="149">
        <f>IF($D$15="-",0,INDEX(CPAT_National!R$6:R$133,MATCH($G29&amp;"|"&amp;$D$15,CPAT_National!$B$6:$B$133,0)))</f>
        <v>0</v>
      </c>
      <c r="S29" s="149">
        <f>IF($D$15="-",0,INDEX(CPAT_National!S$6:S$133,MATCH($G29&amp;"|"&amp;$D$15,CPAT_National!$B$6:$B$133,0)))</f>
        <v>0</v>
      </c>
      <c r="T29" s="149">
        <f>IF($D$15="-",0,INDEX(CPAT_National!T$6:T$133,MATCH($G29&amp;"|"&amp;$D$15,CPAT_National!$B$6:$B$133,0)))</f>
        <v>0</v>
      </c>
      <c r="U29" s="149">
        <f>IF($D$15="-",0,INDEX(CPAT_National!U$6:U$133,MATCH($G29&amp;"|"&amp;$D$15,CPAT_National!$B$6:$B$133,0)))</f>
        <v>0</v>
      </c>
      <c r="V29" s="149">
        <f>IF($D$15="-",0,INDEX(CPAT_National!V$6:V$133,MATCH($G29&amp;"|"&amp;$D$15,CPAT_National!$B$6:$B$133,0)))</f>
        <v>0</v>
      </c>
      <c r="W29" s="149">
        <f>IF($D$15="-",0,INDEX(CPAT_National!W$6:W$133,MATCH($G29&amp;"|"&amp;$D$15,CPAT_National!$B$6:$B$133,0)))</f>
        <v>0</v>
      </c>
      <c r="X29" s="149">
        <f>IF($D$15="-",0,INDEX(CPAT_National!X$6:X$133,MATCH($G29&amp;"|"&amp;$D$15,CPAT_National!$B$6:$B$133,0)))</f>
        <v>0</v>
      </c>
      <c r="Y29" s="149">
        <f>IF($D$15="-",0,INDEX(CPAT_National!Y$6:Y$133,MATCH($G29&amp;"|"&amp;$D$15,CPAT_National!$B$6:$B$133,0)))</f>
        <v>0</v>
      </c>
      <c r="Z29" s="149">
        <f>IF($D$15="-",0,INDEX(CPAT_National!Z$6:Z$133,MATCH($G29&amp;"|"&amp;$D$15,CPAT_National!$B$6:$B$133,0)))</f>
        <v>0</v>
      </c>
      <c r="AA29" s="149">
        <f>IF($D$15="-",0,INDEX(CPAT_National!AA$6:AA$133,MATCH($G29&amp;"|"&amp;$D$15,CPAT_National!$B$6:$B$133,0)))</f>
        <v>0</v>
      </c>
      <c r="AB29" s="149">
        <f>IF($D$15="-",0,INDEX(CPAT_National!AB$6:AB$133,MATCH($G29&amp;"|"&amp;$D$15,CPAT_National!$B$6:$B$133,0)))</f>
        <v>0</v>
      </c>
      <c r="AC29" s="149">
        <f>IF($D$15="-",0,INDEX(CPAT_National!AC$6:AC$133,MATCH($G29&amp;"|"&amp;$D$15,CPAT_National!$B$6:$B$133,0)))</f>
        <v>0</v>
      </c>
      <c r="AD29" s="149">
        <f>IF($D$15="-",0,INDEX(CPAT_National!AD$6:AD$133,MATCH($G29&amp;"|"&amp;$D$15,CPAT_National!$B$6:$B$133,0)))</f>
        <v>0</v>
      </c>
      <c r="AE29" s="149">
        <f>IF($D$15="-",0,INDEX(CPAT_National!AE$6:AE$133,MATCH($G29&amp;"|"&amp;$D$15,CPAT_National!$B$6:$B$133,0)))</f>
        <v>0</v>
      </c>
    </row>
    <row r="30" spans="1:35" x14ac:dyDescent="0.2">
      <c r="B30" s="112" t="s">
        <v>3466</v>
      </c>
      <c r="C30" s="112" t="s">
        <v>3467</v>
      </c>
      <c r="D30" s="112" t="s">
        <v>3474</v>
      </c>
      <c r="E30" s="112" t="s">
        <v>2065</v>
      </c>
      <c r="F30" s="112" t="s">
        <v>3469</v>
      </c>
      <c r="G30" s="112" t="s">
        <v>3299</v>
      </c>
      <c r="H30" s="116" t="str">
        <f>Settings!$B$3&amp;".mit.t2.enr2"</f>
        <v>egy.mit.t2.enr2</v>
      </c>
      <c r="L30" s="149">
        <f>IF($D$15="-",0,INDEX(CPAT_National!L$6:L$133,MATCH($G30&amp;"|"&amp;$D$15,CPAT_National!$B$6:$B$133,0)))</f>
        <v>0</v>
      </c>
      <c r="M30" s="149">
        <f>IF($D$15="-",0,INDEX(CPAT_National!M$6:M$133,MATCH($G30&amp;"|"&amp;$D$15,CPAT_National!$B$6:$B$133,0)))</f>
        <v>0</v>
      </c>
      <c r="N30" s="149">
        <f>IF($D$15="-",0,INDEX(CPAT_National!N$6:N$133,MATCH($G30&amp;"|"&amp;$D$15,CPAT_National!$B$6:$B$133,0)))</f>
        <v>0</v>
      </c>
      <c r="O30" s="149">
        <f>IF($D$15="-",0,INDEX(CPAT_National!O$6:O$133,MATCH($G30&amp;"|"&amp;$D$15,CPAT_National!$B$6:$B$133,0)))</f>
        <v>0</v>
      </c>
      <c r="P30" s="149">
        <f>IF($D$15="-",0,INDEX(CPAT_National!P$6:P$133,MATCH($G30&amp;"|"&amp;$D$15,CPAT_National!$B$6:$B$133,0)))</f>
        <v>0</v>
      </c>
      <c r="Q30" s="149">
        <f>IF($D$15="-",0,INDEX(CPAT_National!Q$6:Q$133,MATCH($G30&amp;"|"&amp;$D$15,CPAT_National!$B$6:$B$133,0)))</f>
        <v>0</v>
      </c>
      <c r="R30" s="149">
        <f>IF($D$15="-",0,INDEX(CPAT_National!R$6:R$133,MATCH($G30&amp;"|"&amp;$D$15,CPAT_National!$B$6:$B$133,0)))</f>
        <v>0</v>
      </c>
      <c r="S30" s="149">
        <f>IF($D$15="-",0,INDEX(CPAT_National!S$6:S$133,MATCH($G30&amp;"|"&amp;$D$15,CPAT_National!$B$6:$B$133,0)))</f>
        <v>0</v>
      </c>
      <c r="T30" s="149">
        <f>IF($D$15="-",0,INDEX(CPAT_National!T$6:T$133,MATCH($G30&amp;"|"&amp;$D$15,CPAT_National!$B$6:$B$133,0)))</f>
        <v>0</v>
      </c>
      <c r="U30" s="149">
        <f>IF($D$15="-",0,INDEX(CPAT_National!U$6:U$133,MATCH($G30&amp;"|"&amp;$D$15,CPAT_National!$B$6:$B$133,0)))</f>
        <v>0</v>
      </c>
      <c r="V30" s="149">
        <f>IF($D$15="-",0,INDEX(CPAT_National!V$6:V$133,MATCH($G30&amp;"|"&amp;$D$15,CPAT_National!$B$6:$B$133,0)))</f>
        <v>0</v>
      </c>
      <c r="W30" s="149">
        <f>IF($D$15="-",0,INDEX(CPAT_National!W$6:W$133,MATCH($G30&amp;"|"&amp;$D$15,CPAT_National!$B$6:$B$133,0)))</f>
        <v>0</v>
      </c>
      <c r="X30" s="149">
        <f>IF($D$15="-",0,INDEX(CPAT_National!X$6:X$133,MATCH($G30&amp;"|"&amp;$D$15,CPAT_National!$B$6:$B$133,0)))</f>
        <v>0</v>
      </c>
      <c r="Y30" s="149">
        <f>IF($D$15="-",0,INDEX(CPAT_National!Y$6:Y$133,MATCH($G30&amp;"|"&amp;$D$15,CPAT_National!$B$6:$B$133,0)))</f>
        <v>0</v>
      </c>
      <c r="Z30" s="149">
        <f>IF($D$15="-",0,INDEX(CPAT_National!Z$6:Z$133,MATCH($G30&amp;"|"&amp;$D$15,CPAT_National!$B$6:$B$133,0)))</f>
        <v>0</v>
      </c>
      <c r="AA30" s="149">
        <f>IF($D$15="-",0,INDEX(CPAT_National!AA$6:AA$133,MATCH($G30&amp;"|"&amp;$D$15,CPAT_National!$B$6:$B$133,0)))</f>
        <v>0</v>
      </c>
      <c r="AB30" s="149">
        <f>IF($D$15="-",0,INDEX(CPAT_National!AB$6:AB$133,MATCH($G30&amp;"|"&amp;$D$15,CPAT_National!$B$6:$B$133,0)))</f>
        <v>0</v>
      </c>
      <c r="AC30" s="149">
        <f>IF($D$15="-",0,INDEX(CPAT_National!AC$6:AC$133,MATCH($G30&amp;"|"&amp;$D$15,CPAT_National!$B$6:$B$133,0)))</f>
        <v>0</v>
      </c>
      <c r="AD30" s="149">
        <f>IF($D$15="-",0,INDEX(CPAT_National!AD$6:AD$133,MATCH($G30&amp;"|"&amp;$D$15,CPAT_National!$B$6:$B$133,0)))</f>
        <v>0</v>
      </c>
      <c r="AE30" s="149">
        <f>IF($D$15="-",0,INDEX(CPAT_National!AE$6:AE$133,MATCH($G30&amp;"|"&amp;$D$15,CPAT_National!$B$6:$B$133,0)))</f>
        <v>0</v>
      </c>
    </row>
    <row r="31" spans="1:35" x14ac:dyDescent="0.2">
      <c r="B31" s="112" t="s">
        <v>3466</v>
      </c>
      <c r="C31" s="112" t="s">
        <v>3467</v>
      </c>
      <c r="D31" s="112" t="s">
        <v>3475</v>
      </c>
      <c r="E31" s="112" t="s">
        <v>2065</v>
      </c>
      <c r="F31" s="112" t="s">
        <v>3469</v>
      </c>
      <c r="G31" s="112" t="s">
        <v>3305</v>
      </c>
      <c r="H31" s="116" t="str">
        <f>Settings!$B$3&amp;".mit.t2.ind1"</f>
        <v>egy.mit.t2.ind1</v>
      </c>
      <c r="L31" s="149">
        <f>IF($D$15="-",0,INDEX(CPAT_National!L$6:L$133,MATCH($G31&amp;"|"&amp;$D$15,CPAT_National!$B$6:$B$133,0)))</f>
        <v>0</v>
      </c>
      <c r="M31" s="149">
        <f>IF($D$15="-",0,INDEX(CPAT_National!M$6:M$133,MATCH($G31&amp;"|"&amp;$D$15,CPAT_National!$B$6:$B$133,0)))</f>
        <v>0</v>
      </c>
      <c r="N31" s="149">
        <f>IF($D$15="-",0,INDEX(CPAT_National!N$6:N$133,MATCH($G31&amp;"|"&amp;$D$15,CPAT_National!$B$6:$B$133,0)))</f>
        <v>0</v>
      </c>
      <c r="O31" s="149">
        <f>IF($D$15="-",0,INDEX(CPAT_National!O$6:O$133,MATCH($G31&amp;"|"&amp;$D$15,CPAT_National!$B$6:$B$133,0)))</f>
        <v>0</v>
      </c>
      <c r="P31" s="149">
        <f>IF($D$15="-",0,INDEX(CPAT_National!P$6:P$133,MATCH($G31&amp;"|"&amp;$D$15,CPAT_National!$B$6:$B$133,0)))</f>
        <v>0</v>
      </c>
      <c r="Q31" s="149">
        <f>IF($D$15="-",0,INDEX(CPAT_National!Q$6:Q$133,MATCH($G31&amp;"|"&amp;$D$15,CPAT_National!$B$6:$B$133,0)))</f>
        <v>0</v>
      </c>
      <c r="R31" s="149">
        <f>IF($D$15="-",0,INDEX(CPAT_National!R$6:R$133,MATCH($G31&amp;"|"&amp;$D$15,CPAT_National!$B$6:$B$133,0)))</f>
        <v>0</v>
      </c>
      <c r="S31" s="149">
        <f>IF($D$15="-",0,INDEX(CPAT_National!S$6:S$133,MATCH($G31&amp;"|"&amp;$D$15,CPAT_National!$B$6:$B$133,0)))</f>
        <v>0</v>
      </c>
      <c r="T31" s="149">
        <f>IF($D$15="-",0,INDEX(CPAT_National!T$6:T$133,MATCH($G31&amp;"|"&amp;$D$15,CPAT_National!$B$6:$B$133,0)))</f>
        <v>0</v>
      </c>
      <c r="U31" s="149">
        <f>IF($D$15="-",0,INDEX(CPAT_National!U$6:U$133,MATCH($G31&amp;"|"&amp;$D$15,CPAT_National!$B$6:$B$133,0)))</f>
        <v>0</v>
      </c>
      <c r="V31" s="149">
        <f>IF($D$15="-",0,INDEX(CPAT_National!V$6:V$133,MATCH($G31&amp;"|"&amp;$D$15,CPAT_National!$B$6:$B$133,0)))</f>
        <v>0</v>
      </c>
      <c r="W31" s="149">
        <f>IF($D$15="-",0,INDEX(CPAT_National!W$6:W$133,MATCH($G31&amp;"|"&amp;$D$15,CPAT_National!$B$6:$B$133,0)))</f>
        <v>0</v>
      </c>
      <c r="X31" s="149">
        <f>IF($D$15="-",0,INDEX(CPAT_National!X$6:X$133,MATCH($G31&amp;"|"&amp;$D$15,CPAT_National!$B$6:$B$133,0)))</f>
        <v>0</v>
      </c>
      <c r="Y31" s="149">
        <f>IF($D$15="-",0,INDEX(CPAT_National!Y$6:Y$133,MATCH($G31&amp;"|"&amp;$D$15,CPAT_National!$B$6:$B$133,0)))</f>
        <v>0</v>
      </c>
      <c r="Z31" s="149">
        <f>IF($D$15="-",0,INDEX(CPAT_National!Z$6:Z$133,MATCH($G31&amp;"|"&amp;$D$15,CPAT_National!$B$6:$B$133,0)))</f>
        <v>0</v>
      </c>
      <c r="AA31" s="149">
        <f>IF($D$15="-",0,INDEX(CPAT_National!AA$6:AA$133,MATCH($G31&amp;"|"&amp;$D$15,CPAT_National!$B$6:$B$133,0)))</f>
        <v>0</v>
      </c>
      <c r="AB31" s="149">
        <f>IF($D$15="-",0,INDEX(CPAT_National!AB$6:AB$133,MATCH($G31&amp;"|"&amp;$D$15,CPAT_National!$B$6:$B$133,0)))</f>
        <v>0</v>
      </c>
      <c r="AC31" s="149">
        <f>IF($D$15="-",0,INDEX(CPAT_National!AC$6:AC$133,MATCH($G31&amp;"|"&amp;$D$15,CPAT_National!$B$6:$B$133,0)))</f>
        <v>0</v>
      </c>
      <c r="AD31" s="149">
        <f>IF($D$15="-",0,INDEX(CPAT_National!AD$6:AD$133,MATCH($G31&amp;"|"&amp;$D$15,CPAT_National!$B$6:$B$133,0)))</f>
        <v>0</v>
      </c>
      <c r="AE31" s="149">
        <f>IF($D$15="-",0,INDEX(CPAT_National!AE$6:AE$133,MATCH($G31&amp;"|"&amp;$D$15,CPAT_National!$B$6:$B$133,0)))</f>
        <v>0</v>
      </c>
    </row>
    <row r="32" spans="1:35" x14ac:dyDescent="0.2">
      <c r="B32" s="112" t="s">
        <v>3466</v>
      </c>
      <c r="C32" s="112" t="s">
        <v>3467</v>
      </c>
      <c r="D32" s="112" t="s">
        <v>3476</v>
      </c>
      <c r="E32" s="112" t="s">
        <v>2065</v>
      </c>
      <c r="F32" s="112" t="s">
        <v>3469</v>
      </c>
      <c r="G32" s="112" t="s">
        <v>3311</v>
      </c>
      <c r="H32" s="116" t="str">
        <f>Settings!$B$3&amp;".mit.t2.ind2"</f>
        <v>egy.mit.t2.ind2</v>
      </c>
      <c r="L32" s="149">
        <f>IF($D$15="-",0,INDEX(CPAT_National!L$6:L$133,MATCH($G32&amp;"|"&amp;$D$15,CPAT_National!$B$6:$B$133,0)))</f>
        <v>0</v>
      </c>
      <c r="M32" s="149">
        <f>IF($D$15="-",0,INDEX(CPAT_National!M$6:M$133,MATCH($G32&amp;"|"&amp;$D$15,CPAT_National!$B$6:$B$133,0)))</f>
        <v>0</v>
      </c>
      <c r="N32" s="149">
        <f>IF($D$15="-",0,INDEX(CPAT_National!N$6:N$133,MATCH($G32&amp;"|"&amp;$D$15,CPAT_National!$B$6:$B$133,0)))</f>
        <v>0</v>
      </c>
      <c r="O32" s="149">
        <f>IF($D$15="-",0,INDEX(CPAT_National!O$6:O$133,MATCH($G32&amp;"|"&amp;$D$15,CPAT_National!$B$6:$B$133,0)))</f>
        <v>0</v>
      </c>
      <c r="P32" s="149">
        <f>IF($D$15="-",0,INDEX(CPAT_National!P$6:P$133,MATCH($G32&amp;"|"&amp;$D$15,CPAT_National!$B$6:$B$133,0)))</f>
        <v>0</v>
      </c>
      <c r="Q32" s="149">
        <f>IF($D$15="-",0,INDEX(CPAT_National!Q$6:Q$133,MATCH($G32&amp;"|"&amp;$D$15,CPAT_National!$B$6:$B$133,0)))</f>
        <v>0</v>
      </c>
      <c r="R32" s="149">
        <f>IF($D$15="-",0,INDEX(CPAT_National!R$6:R$133,MATCH($G32&amp;"|"&amp;$D$15,CPAT_National!$B$6:$B$133,0)))</f>
        <v>0</v>
      </c>
      <c r="S32" s="149">
        <f>IF($D$15="-",0,INDEX(CPAT_National!S$6:S$133,MATCH($G32&amp;"|"&amp;$D$15,CPAT_National!$B$6:$B$133,0)))</f>
        <v>0</v>
      </c>
      <c r="T32" s="149">
        <f>IF($D$15="-",0,INDEX(CPAT_National!T$6:T$133,MATCH($G32&amp;"|"&amp;$D$15,CPAT_National!$B$6:$B$133,0)))</f>
        <v>0</v>
      </c>
      <c r="U32" s="149">
        <f>IF($D$15="-",0,INDEX(CPAT_National!U$6:U$133,MATCH($G32&amp;"|"&amp;$D$15,CPAT_National!$B$6:$B$133,0)))</f>
        <v>0</v>
      </c>
      <c r="V32" s="149">
        <f>IF($D$15="-",0,INDEX(CPAT_National!V$6:V$133,MATCH($G32&amp;"|"&amp;$D$15,CPAT_National!$B$6:$B$133,0)))</f>
        <v>0</v>
      </c>
      <c r="W32" s="149">
        <f>IF($D$15="-",0,INDEX(CPAT_National!W$6:W$133,MATCH($G32&amp;"|"&amp;$D$15,CPAT_National!$B$6:$B$133,0)))</f>
        <v>0</v>
      </c>
      <c r="X32" s="149">
        <f>IF($D$15="-",0,INDEX(CPAT_National!X$6:X$133,MATCH($G32&amp;"|"&amp;$D$15,CPAT_National!$B$6:$B$133,0)))</f>
        <v>0</v>
      </c>
      <c r="Y32" s="149">
        <f>IF($D$15="-",0,INDEX(CPAT_National!Y$6:Y$133,MATCH($G32&amp;"|"&amp;$D$15,CPAT_National!$B$6:$B$133,0)))</f>
        <v>0</v>
      </c>
      <c r="Z32" s="149">
        <f>IF($D$15="-",0,INDEX(CPAT_National!Z$6:Z$133,MATCH($G32&amp;"|"&amp;$D$15,CPAT_National!$B$6:$B$133,0)))</f>
        <v>0</v>
      </c>
      <c r="AA32" s="149">
        <f>IF($D$15="-",0,INDEX(CPAT_National!AA$6:AA$133,MATCH($G32&amp;"|"&amp;$D$15,CPAT_National!$B$6:$B$133,0)))</f>
        <v>0</v>
      </c>
      <c r="AB32" s="149">
        <f>IF($D$15="-",0,INDEX(CPAT_National!AB$6:AB$133,MATCH($G32&amp;"|"&amp;$D$15,CPAT_National!$B$6:$B$133,0)))</f>
        <v>0</v>
      </c>
      <c r="AC32" s="149">
        <f>IF($D$15="-",0,INDEX(CPAT_National!AC$6:AC$133,MATCH($G32&amp;"|"&amp;$D$15,CPAT_National!$B$6:$B$133,0)))</f>
        <v>0</v>
      </c>
      <c r="AD32" s="149">
        <f>IF($D$15="-",0,INDEX(CPAT_National!AD$6:AD$133,MATCH($G32&amp;"|"&amp;$D$15,CPAT_National!$B$6:$B$133,0)))</f>
        <v>0</v>
      </c>
      <c r="AE32" s="149">
        <f>IF($D$15="-",0,INDEX(CPAT_National!AE$6:AE$133,MATCH($G32&amp;"|"&amp;$D$15,CPAT_National!$B$6:$B$133,0)))</f>
        <v>0</v>
      </c>
    </row>
    <row r="33" spans="2:31" x14ac:dyDescent="0.2">
      <c r="B33" s="112" t="s">
        <v>3466</v>
      </c>
      <c r="C33" s="112" t="s">
        <v>3467</v>
      </c>
      <c r="D33" s="112" t="s">
        <v>3477</v>
      </c>
      <c r="E33" s="112" t="s">
        <v>16</v>
      </c>
      <c r="F33" s="112" t="s">
        <v>3469</v>
      </c>
      <c r="G33" s="112" t="s">
        <v>1403</v>
      </c>
      <c r="H33" s="116" t="str">
        <f>Settings!$B$3&amp;".mit.t2.cptraj"</f>
        <v>egy.mit.t2.cptraj</v>
      </c>
      <c r="L33" s="149">
        <f>IF($D$15="-",0,INDEX(CPAT_National!L$6:L$133,MATCH($G33&amp;"|"&amp;$D$15,CPAT_National!$B$6:$B$133,0)))</f>
        <v>0</v>
      </c>
      <c r="M33" s="149">
        <f>IF($D$15="-",0,INDEX(CPAT_National!M$6:M$133,MATCH($G33&amp;"|"&amp;$D$15,CPAT_National!$B$6:$B$133,0)))</f>
        <v>0</v>
      </c>
      <c r="N33" s="149">
        <f>IF($D$15="-",0,INDEX(CPAT_National!N$6:N$133,MATCH($G33&amp;"|"&amp;$D$15,CPAT_National!$B$6:$B$133,0)))</f>
        <v>0</v>
      </c>
      <c r="O33" s="149">
        <f>IF($D$15="-",0,INDEX(CPAT_National!O$6:O$133,MATCH($G33&amp;"|"&amp;$D$15,CPAT_National!$B$6:$B$133,0)))</f>
        <v>0</v>
      </c>
      <c r="P33" s="149">
        <f>IF($D$15="-",0,INDEX(CPAT_National!P$6:P$133,MATCH($G33&amp;"|"&amp;$D$15,CPAT_National!$B$6:$B$133,0)))</f>
        <v>0</v>
      </c>
      <c r="Q33" s="149">
        <f>IF($D$15="-",0,INDEX(CPAT_National!Q$6:Q$133,MATCH($G33&amp;"|"&amp;$D$15,CPAT_National!$B$6:$B$133,0)))</f>
        <v>0</v>
      </c>
      <c r="R33" s="149">
        <f>IF($D$15="-",0,INDEX(CPAT_National!R$6:R$133,MATCH($G33&amp;"|"&amp;$D$15,CPAT_National!$B$6:$B$133,0)))</f>
        <v>0</v>
      </c>
      <c r="S33" s="149">
        <f>IF($D$15="-",0,INDEX(CPAT_National!S$6:S$133,MATCH($G33&amp;"|"&amp;$D$15,CPAT_National!$B$6:$B$133,0)))</f>
        <v>0</v>
      </c>
      <c r="T33" s="149">
        <f>IF($D$15="-",0,INDEX(CPAT_National!T$6:T$133,MATCH($G33&amp;"|"&amp;$D$15,CPAT_National!$B$6:$B$133,0)))</f>
        <v>0</v>
      </c>
      <c r="U33" s="149">
        <f>IF($D$15="-",0,INDEX(CPAT_National!U$6:U$133,MATCH($G33&amp;"|"&amp;$D$15,CPAT_National!$B$6:$B$133,0)))</f>
        <v>0</v>
      </c>
      <c r="V33" s="149">
        <f>IF($D$15="-",0,INDEX(CPAT_National!V$6:V$133,MATCH($G33&amp;"|"&amp;$D$15,CPAT_National!$B$6:$B$133,0)))</f>
        <v>0</v>
      </c>
      <c r="W33" s="149">
        <f>IF($D$15="-",0,INDEX(CPAT_National!W$6:W$133,MATCH($G33&amp;"|"&amp;$D$15,CPAT_National!$B$6:$B$133,0)))</f>
        <v>0</v>
      </c>
      <c r="X33" s="149">
        <f>IF($D$15="-",0,INDEX(CPAT_National!X$6:X$133,MATCH($G33&amp;"|"&amp;$D$15,CPAT_National!$B$6:$B$133,0)))</f>
        <v>0</v>
      </c>
      <c r="Y33" s="149">
        <f>IF($D$15="-",0,INDEX(CPAT_National!Y$6:Y$133,MATCH($G33&amp;"|"&amp;$D$15,CPAT_National!$B$6:$B$133,0)))</f>
        <v>0</v>
      </c>
      <c r="Z33" s="149">
        <f>IF($D$15="-",0,INDEX(CPAT_National!Z$6:Z$133,MATCH($G33&amp;"|"&amp;$D$15,CPAT_National!$B$6:$B$133,0)))</f>
        <v>0</v>
      </c>
      <c r="AA33" s="149">
        <f>IF($D$15="-",0,INDEX(CPAT_National!AA$6:AA$133,MATCH($G33&amp;"|"&amp;$D$15,CPAT_National!$B$6:$B$133,0)))</f>
        <v>0</v>
      </c>
      <c r="AB33" s="149">
        <f>IF($D$15="-",0,INDEX(CPAT_National!AB$6:AB$133,MATCH($G33&amp;"|"&amp;$D$15,CPAT_National!$B$6:$B$133,0)))</f>
        <v>0</v>
      </c>
      <c r="AC33" s="149">
        <f>IF($D$15="-",0,INDEX(CPAT_National!AC$6:AC$133,MATCH($G33&amp;"|"&amp;$D$15,CPAT_National!$B$6:$B$133,0)))</f>
        <v>0</v>
      </c>
      <c r="AD33" s="149">
        <f>IF($D$15="-",0,INDEX(CPAT_National!AD$6:AD$133,MATCH($G33&amp;"|"&amp;$D$15,CPAT_National!$B$6:$B$133,0)))</f>
        <v>0</v>
      </c>
      <c r="AE33" s="149">
        <f>IF($D$15="-",0,INDEX(CPAT_National!AE$6:AE$133,MATCH($G33&amp;"|"&amp;$D$15,CPAT_National!$B$6:$B$133,0)))</f>
        <v>0</v>
      </c>
    </row>
    <row r="34" spans="2:31" x14ac:dyDescent="0.2">
      <c r="B34" s="112" t="s">
        <v>3466</v>
      </c>
      <c r="C34" s="112" t="s">
        <v>3467</v>
      </c>
      <c r="D34" s="112" t="s">
        <v>3478</v>
      </c>
      <c r="E34" s="112" t="s">
        <v>16</v>
      </c>
      <c r="F34" s="112" t="s">
        <v>3469</v>
      </c>
      <c r="G34" s="112" t="s">
        <v>3370</v>
      </c>
      <c r="H34" s="116" t="str">
        <f>Settings!$B$3&amp;".mit.t2.effcp"</f>
        <v>egy.mit.t2.effcp</v>
      </c>
      <c r="L34" s="149">
        <f>IF($D$15="-",0,INDEX(CPAT_National!L$6:L$133,MATCH($G34&amp;"|"&amp;$D$15,CPAT_National!$B$6:$B$133,0)))</f>
        <v>0</v>
      </c>
      <c r="M34" s="149">
        <f>IF($D$15="-",0,INDEX(CPAT_National!M$6:M$133,MATCH($G34&amp;"|"&amp;$D$15,CPAT_National!$B$6:$B$133,0)))</f>
        <v>0</v>
      </c>
      <c r="N34" s="149">
        <f>IF($D$15="-",0,INDEX(CPAT_National!N$6:N$133,MATCH($G34&amp;"|"&amp;$D$15,CPAT_National!$B$6:$B$133,0)))</f>
        <v>0</v>
      </c>
      <c r="O34" s="149">
        <f>IF($D$15="-",0,INDEX(CPAT_National!O$6:O$133,MATCH($G34&amp;"|"&amp;$D$15,CPAT_National!$B$6:$B$133,0)))</f>
        <v>0</v>
      </c>
      <c r="P34" s="149">
        <f>IF($D$15="-",0,INDEX(CPAT_National!P$6:P$133,MATCH($G34&amp;"|"&amp;$D$15,CPAT_National!$B$6:$B$133,0)))</f>
        <v>0</v>
      </c>
      <c r="Q34" s="149">
        <f>IF($D$15="-",0,INDEX(CPAT_National!Q$6:Q$133,MATCH($G34&amp;"|"&amp;$D$15,CPAT_National!$B$6:$B$133,0)))</f>
        <v>0</v>
      </c>
      <c r="R34" s="149">
        <f>IF($D$15="-",0,INDEX(CPAT_National!R$6:R$133,MATCH($G34&amp;"|"&amp;$D$15,CPAT_National!$B$6:$B$133,0)))</f>
        <v>0</v>
      </c>
      <c r="S34" s="149">
        <f>IF($D$15="-",0,INDEX(CPAT_National!S$6:S$133,MATCH($G34&amp;"|"&amp;$D$15,CPAT_National!$B$6:$B$133,0)))</f>
        <v>0</v>
      </c>
      <c r="T34" s="149">
        <f>IF($D$15="-",0,INDEX(CPAT_National!T$6:T$133,MATCH($G34&amp;"|"&amp;$D$15,CPAT_National!$B$6:$B$133,0)))</f>
        <v>0</v>
      </c>
      <c r="U34" s="149">
        <f>IF($D$15="-",0,INDEX(CPAT_National!U$6:U$133,MATCH($G34&amp;"|"&amp;$D$15,CPAT_National!$B$6:$B$133,0)))</f>
        <v>0</v>
      </c>
      <c r="V34" s="149">
        <f>IF($D$15="-",0,INDEX(CPAT_National!V$6:V$133,MATCH($G34&amp;"|"&amp;$D$15,CPAT_National!$B$6:$B$133,0)))</f>
        <v>0</v>
      </c>
      <c r="W34" s="149">
        <f>IF($D$15="-",0,INDEX(CPAT_National!W$6:W$133,MATCH($G34&amp;"|"&amp;$D$15,CPAT_National!$B$6:$B$133,0)))</f>
        <v>0</v>
      </c>
      <c r="X34" s="149">
        <f>IF($D$15="-",0,INDEX(CPAT_National!X$6:X$133,MATCH($G34&amp;"|"&amp;$D$15,CPAT_National!$B$6:$B$133,0)))</f>
        <v>0</v>
      </c>
      <c r="Y34" s="149">
        <f>IF($D$15="-",0,INDEX(CPAT_National!Y$6:Y$133,MATCH($G34&amp;"|"&amp;$D$15,CPAT_National!$B$6:$B$133,0)))</f>
        <v>0</v>
      </c>
      <c r="Z34" s="149">
        <f>IF($D$15="-",0,INDEX(CPAT_National!Z$6:Z$133,MATCH($G34&amp;"|"&amp;$D$15,CPAT_National!$B$6:$B$133,0)))</f>
        <v>0</v>
      </c>
      <c r="AA34" s="149">
        <f>IF($D$15="-",0,INDEX(CPAT_National!AA$6:AA$133,MATCH($G34&amp;"|"&amp;$D$15,CPAT_National!$B$6:$B$133,0)))</f>
        <v>0</v>
      </c>
      <c r="AB34" s="149">
        <f>IF($D$15="-",0,INDEX(CPAT_National!AB$6:AB$133,MATCH($G34&amp;"|"&amp;$D$15,CPAT_National!$B$6:$B$133,0)))</f>
        <v>0</v>
      </c>
      <c r="AC34" s="149">
        <f>IF($D$15="-",0,INDEX(CPAT_National!AC$6:AC$133,MATCH($G34&amp;"|"&amp;$D$15,CPAT_National!$B$6:$B$133,0)))</f>
        <v>0</v>
      </c>
      <c r="AD34" s="149">
        <f>IF($D$15="-",0,INDEX(CPAT_National!AD$6:AD$133,MATCH($G34&amp;"|"&amp;$D$15,CPAT_National!$B$6:$B$133,0)))</f>
        <v>0</v>
      </c>
      <c r="AE34" s="149">
        <f>IF($D$15="-",0,INDEX(CPAT_National!AE$6:AE$133,MATCH($G34&amp;"|"&amp;$D$15,CPAT_National!$B$6:$B$133,0)))</f>
        <v>0</v>
      </c>
    </row>
    <row r="35" spans="2:31" x14ac:dyDescent="0.2">
      <c r="B35" s="112" t="s">
        <v>3466</v>
      </c>
      <c r="C35" s="112" t="s">
        <v>3467</v>
      </c>
      <c r="D35" s="112" t="s">
        <v>3479</v>
      </c>
      <c r="E35" s="112" t="s">
        <v>3400</v>
      </c>
      <c r="F35" s="112" t="s">
        <v>3469</v>
      </c>
      <c r="G35" s="112" t="s">
        <v>3437</v>
      </c>
      <c r="H35" s="116" t="str">
        <f>Settings!$B$3&amp;".mit.t2.rev1"</f>
        <v>egy.mit.t2.rev1</v>
      </c>
      <c r="L35" s="149">
        <f>IF($D$15="-",0,INDEX(CPAT_National!L$6:L$133,MATCH($G35&amp;"|"&amp;$D$15,CPAT_National!$B$6:$B$133,0)))</f>
        <v>0</v>
      </c>
      <c r="M35" s="149">
        <f>IF($D$15="-",0,INDEX(CPAT_National!M$6:M$133,MATCH($G35&amp;"|"&amp;$D$15,CPAT_National!$B$6:$B$133,0)))</f>
        <v>0</v>
      </c>
      <c r="N35" s="149">
        <f>IF($D$15="-",0,INDEX(CPAT_National!N$6:N$133,MATCH($G35&amp;"|"&amp;$D$15,CPAT_National!$B$6:$B$133,0)))</f>
        <v>0</v>
      </c>
      <c r="O35" s="149">
        <f>IF($D$15="-",0,INDEX(CPAT_National!O$6:O$133,MATCH($G35&amp;"|"&amp;$D$15,CPAT_National!$B$6:$B$133,0)))</f>
        <v>0</v>
      </c>
      <c r="P35" s="149">
        <f>IF($D$15="-",0,INDEX(CPAT_National!P$6:P$133,MATCH($G35&amp;"|"&amp;$D$15,CPAT_National!$B$6:$B$133,0)))</f>
        <v>0</v>
      </c>
      <c r="Q35" s="149">
        <f>IF($D$15="-",0,INDEX(CPAT_National!Q$6:Q$133,MATCH($G35&amp;"|"&amp;$D$15,CPAT_National!$B$6:$B$133,0)))</f>
        <v>0</v>
      </c>
      <c r="R35" s="149">
        <f>IF($D$15="-",0,INDEX(CPAT_National!R$6:R$133,MATCH($G35&amp;"|"&amp;$D$15,CPAT_National!$B$6:$B$133,0)))</f>
        <v>0</v>
      </c>
      <c r="S35" s="149">
        <f>IF($D$15="-",0,INDEX(CPAT_National!S$6:S$133,MATCH($G35&amp;"|"&amp;$D$15,CPAT_National!$B$6:$B$133,0)))</f>
        <v>0</v>
      </c>
      <c r="T35" s="149">
        <f>IF($D$15="-",0,INDEX(CPAT_National!T$6:T$133,MATCH($G35&amp;"|"&amp;$D$15,CPAT_National!$B$6:$B$133,0)))</f>
        <v>0</v>
      </c>
      <c r="U35" s="149">
        <f>IF($D$15="-",0,INDEX(CPAT_National!U$6:U$133,MATCH($G35&amp;"|"&amp;$D$15,CPAT_National!$B$6:$B$133,0)))</f>
        <v>0</v>
      </c>
      <c r="V35" s="149">
        <f>IF($D$15="-",0,INDEX(CPAT_National!V$6:V$133,MATCH($G35&amp;"|"&amp;$D$15,CPAT_National!$B$6:$B$133,0)))</f>
        <v>0</v>
      </c>
      <c r="W35" s="149">
        <f>IF($D$15="-",0,INDEX(CPAT_National!W$6:W$133,MATCH($G35&amp;"|"&amp;$D$15,CPAT_National!$B$6:$B$133,0)))</f>
        <v>0</v>
      </c>
      <c r="X35" s="149">
        <f>IF($D$15="-",0,INDEX(CPAT_National!X$6:X$133,MATCH($G35&amp;"|"&amp;$D$15,CPAT_National!$B$6:$B$133,0)))</f>
        <v>0</v>
      </c>
      <c r="Y35" s="149">
        <f>IF($D$15="-",0,INDEX(CPAT_National!Y$6:Y$133,MATCH($G35&amp;"|"&amp;$D$15,CPAT_National!$B$6:$B$133,0)))</f>
        <v>0</v>
      </c>
      <c r="Z35" s="149">
        <f>IF($D$15="-",0,INDEX(CPAT_National!Z$6:Z$133,MATCH($G35&amp;"|"&amp;$D$15,CPAT_National!$B$6:$B$133,0)))</f>
        <v>0</v>
      </c>
      <c r="AA35" s="149">
        <f>IF($D$15="-",0,INDEX(CPAT_National!AA$6:AA$133,MATCH($G35&amp;"|"&amp;$D$15,CPAT_National!$B$6:$B$133,0)))</f>
        <v>0</v>
      </c>
      <c r="AB35" s="149">
        <f>IF($D$15="-",0,INDEX(CPAT_National!AB$6:AB$133,MATCH($G35&amp;"|"&amp;$D$15,CPAT_National!$B$6:$B$133,0)))</f>
        <v>0</v>
      </c>
      <c r="AC35" s="149">
        <f>IF($D$15="-",0,INDEX(CPAT_National!AC$6:AC$133,MATCH($G35&amp;"|"&amp;$D$15,CPAT_National!$B$6:$B$133,0)))</f>
        <v>0</v>
      </c>
      <c r="AD35" s="149">
        <f>IF($D$15="-",0,INDEX(CPAT_National!AD$6:AD$133,MATCH($G35&amp;"|"&amp;$D$15,CPAT_National!$B$6:$B$133,0)))</f>
        <v>0</v>
      </c>
      <c r="AE35" s="149">
        <f>IF($D$15="-",0,INDEX(CPAT_National!AE$6:AE$133,MATCH($G35&amp;"|"&amp;$D$15,CPAT_National!$B$6:$B$133,0)))</f>
        <v>0</v>
      </c>
    </row>
    <row r="36" spans="2:31" x14ac:dyDescent="0.2">
      <c r="B36" s="112" t="s">
        <v>3466</v>
      </c>
      <c r="C36" s="112" t="s">
        <v>3467</v>
      </c>
      <c r="D36" s="112" t="s">
        <v>3480</v>
      </c>
      <c r="E36" s="112" t="s">
        <v>3400</v>
      </c>
      <c r="F36" s="112" t="s">
        <v>3469</v>
      </c>
      <c r="G36" s="112" t="s">
        <v>3443</v>
      </c>
      <c r="H36" s="116" t="str">
        <f>Settings!$B$3&amp;".mit.t2.rev2"</f>
        <v>egy.mit.t2.rev2</v>
      </c>
      <c r="L36" s="149">
        <f>IF($D$15="-",0,INDEX(CPAT_National!L$6:L$133,MATCH($G36&amp;"|"&amp;$D$15,CPAT_National!$B$6:$B$133,0)))</f>
        <v>0</v>
      </c>
      <c r="M36" s="149">
        <f>IF($D$15="-",0,INDEX(CPAT_National!M$6:M$133,MATCH($G36&amp;"|"&amp;$D$15,CPAT_National!$B$6:$B$133,0)))</f>
        <v>0</v>
      </c>
      <c r="N36" s="149">
        <f>IF($D$15="-",0,INDEX(CPAT_National!N$6:N$133,MATCH($G36&amp;"|"&amp;$D$15,CPAT_National!$B$6:$B$133,0)))</f>
        <v>0</v>
      </c>
      <c r="O36" s="149">
        <f>IF($D$15="-",0,INDEX(CPAT_National!O$6:O$133,MATCH($G36&amp;"|"&amp;$D$15,CPAT_National!$B$6:$B$133,0)))</f>
        <v>0</v>
      </c>
      <c r="P36" s="149">
        <f>IF($D$15="-",0,INDEX(CPAT_National!P$6:P$133,MATCH($G36&amp;"|"&amp;$D$15,CPAT_National!$B$6:$B$133,0)))</f>
        <v>0</v>
      </c>
      <c r="Q36" s="149">
        <f>IF($D$15="-",0,INDEX(CPAT_National!Q$6:Q$133,MATCH($G36&amp;"|"&amp;$D$15,CPAT_National!$B$6:$B$133,0)))</f>
        <v>0</v>
      </c>
      <c r="R36" s="149">
        <f>IF($D$15="-",0,INDEX(CPAT_National!R$6:R$133,MATCH($G36&amp;"|"&amp;$D$15,CPAT_National!$B$6:$B$133,0)))</f>
        <v>0</v>
      </c>
      <c r="S36" s="149">
        <f>IF($D$15="-",0,INDEX(CPAT_National!S$6:S$133,MATCH($G36&amp;"|"&amp;$D$15,CPAT_National!$B$6:$B$133,0)))</f>
        <v>0</v>
      </c>
      <c r="T36" s="149">
        <f>IF($D$15="-",0,INDEX(CPAT_National!T$6:T$133,MATCH($G36&amp;"|"&amp;$D$15,CPAT_National!$B$6:$B$133,0)))</f>
        <v>0</v>
      </c>
      <c r="U36" s="149">
        <f>IF($D$15="-",0,INDEX(CPAT_National!U$6:U$133,MATCH($G36&amp;"|"&amp;$D$15,CPAT_National!$B$6:$B$133,0)))</f>
        <v>0</v>
      </c>
      <c r="V36" s="149">
        <f>IF($D$15="-",0,INDEX(CPAT_National!V$6:V$133,MATCH($G36&amp;"|"&amp;$D$15,CPAT_National!$B$6:$B$133,0)))</f>
        <v>0</v>
      </c>
      <c r="W36" s="149">
        <f>IF($D$15="-",0,INDEX(CPAT_National!W$6:W$133,MATCH($G36&amp;"|"&amp;$D$15,CPAT_National!$B$6:$B$133,0)))</f>
        <v>0</v>
      </c>
      <c r="X36" s="149">
        <f>IF($D$15="-",0,INDEX(CPAT_National!X$6:X$133,MATCH($G36&amp;"|"&amp;$D$15,CPAT_National!$B$6:$B$133,0)))</f>
        <v>0</v>
      </c>
      <c r="Y36" s="149">
        <f>IF($D$15="-",0,INDEX(CPAT_National!Y$6:Y$133,MATCH($G36&amp;"|"&amp;$D$15,CPAT_National!$B$6:$B$133,0)))</f>
        <v>0</v>
      </c>
      <c r="Z36" s="149">
        <f>IF($D$15="-",0,INDEX(CPAT_National!Z$6:Z$133,MATCH($G36&amp;"|"&amp;$D$15,CPAT_National!$B$6:$B$133,0)))</f>
        <v>0</v>
      </c>
      <c r="AA36" s="149">
        <f>IF($D$15="-",0,INDEX(CPAT_National!AA$6:AA$133,MATCH($G36&amp;"|"&amp;$D$15,CPAT_National!$B$6:$B$133,0)))</f>
        <v>0</v>
      </c>
      <c r="AB36" s="149">
        <f>IF($D$15="-",0,INDEX(CPAT_National!AB$6:AB$133,MATCH($G36&amp;"|"&amp;$D$15,CPAT_National!$B$6:$B$133,0)))</f>
        <v>0</v>
      </c>
      <c r="AC36" s="149">
        <f>IF($D$15="-",0,INDEX(CPAT_National!AC$6:AC$133,MATCH($G36&amp;"|"&amp;$D$15,CPAT_National!$B$6:$B$133,0)))</f>
        <v>0</v>
      </c>
      <c r="AD36" s="149">
        <f>IF($D$15="-",0,INDEX(CPAT_National!AD$6:AD$133,MATCH($G36&amp;"|"&amp;$D$15,CPAT_National!$B$6:$B$133,0)))</f>
        <v>0</v>
      </c>
      <c r="AE36" s="149">
        <f>IF($D$15="-",0,INDEX(CPAT_National!AE$6:AE$133,MATCH($G36&amp;"|"&amp;$D$15,CPAT_National!$B$6:$B$133,0)))</f>
        <v>0</v>
      </c>
    </row>
    <row r="37" spans="2:31" x14ac:dyDescent="0.2">
      <c r="B37" s="112" t="s">
        <v>3466</v>
      </c>
      <c r="C37" s="112" t="s">
        <v>3467</v>
      </c>
      <c r="D37" s="112" t="s">
        <v>3481</v>
      </c>
      <c r="E37" s="112" t="s">
        <v>3400</v>
      </c>
      <c r="F37" s="112" t="s">
        <v>3469</v>
      </c>
      <c r="G37" s="112" t="s">
        <v>3401</v>
      </c>
      <c r="H37" s="116" t="str">
        <f>Settings!$B$3&amp;".mit.t2.rcoa"</f>
        <v>egy.mit.t2.rcoa</v>
      </c>
      <c r="L37" s="149">
        <f>IF($D$15="-",0,INDEX(CPAT_National!L$6:L$133,MATCH($G37&amp;"|"&amp;$D$15,CPAT_National!$B$6:$B$133,0)))</f>
        <v>0</v>
      </c>
      <c r="M37" s="149">
        <f>IF($D$15="-",0,INDEX(CPAT_National!M$6:M$133,MATCH($G37&amp;"|"&amp;$D$15,CPAT_National!$B$6:$B$133,0)))</f>
        <v>0</v>
      </c>
      <c r="N37" s="149">
        <f>IF($D$15="-",0,INDEX(CPAT_National!N$6:N$133,MATCH($G37&amp;"|"&amp;$D$15,CPAT_National!$B$6:$B$133,0)))</f>
        <v>0</v>
      </c>
      <c r="O37" s="149">
        <f>IF($D$15="-",0,INDEX(CPAT_National!O$6:O$133,MATCH($G37&amp;"|"&amp;$D$15,CPAT_National!$B$6:$B$133,0)))</f>
        <v>0</v>
      </c>
      <c r="P37" s="149">
        <f>IF($D$15="-",0,INDEX(CPAT_National!P$6:P$133,MATCH($G37&amp;"|"&amp;$D$15,CPAT_National!$B$6:$B$133,0)))</f>
        <v>0</v>
      </c>
      <c r="Q37" s="149">
        <f>IF($D$15="-",0,INDEX(CPAT_National!Q$6:Q$133,MATCH($G37&amp;"|"&amp;$D$15,CPAT_National!$B$6:$B$133,0)))</f>
        <v>0</v>
      </c>
      <c r="R37" s="149">
        <f>IF($D$15="-",0,INDEX(CPAT_National!R$6:R$133,MATCH($G37&amp;"|"&amp;$D$15,CPAT_National!$B$6:$B$133,0)))</f>
        <v>0</v>
      </c>
      <c r="S37" s="149">
        <f>IF($D$15="-",0,INDEX(CPAT_National!S$6:S$133,MATCH($G37&amp;"|"&amp;$D$15,CPAT_National!$B$6:$B$133,0)))</f>
        <v>0</v>
      </c>
      <c r="T37" s="149">
        <f>IF($D$15="-",0,INDEX(CPAT_National!T$6:T$133,MATCH($G37&amp;"|"&amp;$D$15,CPAT_National!$B$6:$B$133,0)))</f>
        <v>0</v>
      </c>
      <c r="U37" s="149">
        <f>IF($D$15="-",0,INDEX(CPAT_National!U$6:U$133,MATCH($G37&amp;"|"&amp;$D$15,CPAT_National!$B$6:$B$133,0)))</f>
        <v>0</v>
      </c>
      <c r="V37" s="149">
        <f>IF($D$15="-",0,INDEX(CPAT_National!V$6:V$133,MATCH($G37&amp;"|"&amp;$D$15,CPAT_National!$B$6:$B$133,0)))</f>
        <v>0</v>
      </c>
      <c r="W37" s="149">
        <f>IF($D$15="-",0,INDEX(CPAT_National!W$6:W$133,MATCH($G37&amp;"|"&amp;$D$15,CPAT_National!$B$6:$B$133,0)))</f>
        <v>0</v>
      </c>
      <c r="X37" s="149">
        <f>IF($D$15="-",0,INDEX(CPAT_National!X$6:X$133,MATCH($G37&amp;"|"&amp;$D$15,CPAT_National!$B$6:$B$133,0)))</f>
        <v>0</v>
      </c>
      <c r="Y37" s="149">
        <f>IF($D$15="-",0,INDEX(CPAT_National!Y$6:Y$133,MATCH($G37&amp;"|"&amp;$D$15,CPAT_National!$B$6:$B$133,0)))</f>
        <v>0</v>
      </c>
      <c r="Z37" s="149">
        <f>IF($D$15="-",0,INDEX(CPAT_National!Z$6:Z$133,MATCH($G37&amp;"|"&amp;$D$15,CPAT_National!$B$6:$B$133,0)))</f>
        <v>0</v>
      </c>
      <c r="AA37" s="149">
        <f>IF($D$15="-",0,INDEX(CPAT_National!AA$6:AA$133,MATCH($G37&amp;"|"&amp;$D$15,CPAT_National!$B$6:$B$133,0)))</f>
        <v>0</v>
      </c>
      <c r="AB37" s="149">
        <f>IF($D$15="-",0,INDEX(CPAT_National!AB$6:AB$133,MATCH($G37&amp;"|"&amp;$D$15,CPAT_National!$B$6:$B$133,0)))</f>
        <v>0</v>
      </c>
      <c r="AC37" s="149">
        <f>IF($D$15="-",0,INDEX(CPAT_National!AC$6:AC$133,MATCH($G37&amp;"|"&amp;$D$15,CPAT_National!$B$6:$B$133,0)))</f>
        <v>0</v>
      </c>
      <c r="AD37" s="149">
        <f>IF($D$15="-",0,INDEX(CPAT_National!AD$6:AD$133,MATCH($G37&amp;"|"&amp;$D$15,CPAT_National!$B$6:$B$133,0)))</f>
        <v>0</v>
      </c>
      <c r="AE37" s="149">
        <f>IF($D$15="-",0,INDEX(CPAT_National!AE$6:AE$133,MATCH($G37&amp;"|"&amp;$D$15,CPAT_National!$B$6:$B$133,0)))</f>
        <v>0</v>
      </c>
    </row>
    <row r="38" spans="2:31" x14ac:dyDescent="0.2">
      <c r="B38" s="112" t="s">
        <v>3466</v>
      </c>
      <c r="C38" s="112" t="s">
        <v>3467</v>
      </c>
      <c r="D38" s="112" t="s">
        <v>3482</v>
      </c>
      <c r="E38" s="112" t="s">
        <v>3400</v>
      </c>
      <c r="F38" s="112" t="s">
        <v>3469</v>
      </c>
      <c r="G38" s="112" t="s">
        <v>3407</v>
      </c>
      <c r="H38" s="116" t="str">
        <f>Settings!$B$3&amp;".mit.t2.rdie"</f>
        <v>egy.mit.t2.rdie</v>
      </c>
      <c r="L38" s="149">
        <f>IF($D$15="-",0,INDEX(CPAT_National!L$6:L$133,MATCH($G38&amp;"|"&amp;$D$15,CPAT_National!$B$6:$B$133,0)))</f>
        <v>0</v>
      </c>
      <c r="M38" s="149">
        <f>IF($D$15="-",0,INDEX(CPAT_National!M$6:M$133,MATCH($G38&amp;"|"&amp;$D$15,CPAT_National!$B$6:$B$133,0)))</f>
        <v>0</v>
      </c>
      <c r="N38" s="149">
        <f>IF($D$15="-",0,INDEX(CPAT_National!N$6:N$133,MATCH($G38&amp;"|"&amp;$D$15,CPAT_National!$B$6:$B$133,0)))</f>
        <v>0</v>
      </c>
      <c r="O38" s="149">
        <f>IF($D$15="-",0,INDEX(CPAT_National!O$6:O$133,MATCH($G38&amp;"|"&amp;$D$15,CPAT_National!$B$6:$B$133,0)))</f>
        <v>0</v>
      </c>
      <c r="P38" s="149">
        <f>IF($D$15="-",0,INDEX(CPAT_National!P$6:P$133,MATCH($G38&amp;"|"&amp;$D$15,CPAT_National!$B$6:$B$133,0)))</f>
        <v>0</v>
      </c>
      <c r="Q38" s="149">
        <f>IF($D$15="-",0,INDEX(CPAT_National!Q$6:Q$133,MATCH($G38&amp;"|"&amp;$D$15,CPAT_National!$B$6:$B$133,0)))</f>
        <v>0</v>
      </c>
      <c r="R38" s="149">
        <f>IF($D$15="-",0,INDEX(CPAT_National!R$6:R$133,MATCH($G38&amp;"|"&amp;$D$15,CPAT_National!$B$6:$B$133,0)))</f>
        <v>0</v>
      </c>
      <c r="S38" s="149">
        <f>IF($D$15="-",0,INDEX(CPAT_National!S$6:S$133,MATCH($G38&amp;"|"&amp;$D$15,CPAT_National!$B$6:$B$133,0)))</f>
        <v>0</v>
      </c>
      <c r="T38" s="149">
        <f>IF($D$15="-",0,INDEX(CPAT_National!T$6:T$133,MATCH($G38&amp;"|"&amp;$D$15,CPAT_National!$B$6:$B$133,0)))</f>
        <v>0</v>
      </c>
      <c r="U38" s="149">
        <f>IF($D$15="-",0,INDEX(CPAT_National!U$6:U$133,MATCH($G38&amp;"|"&amp;$D$15,CPAT_National!$B$6:$B$133,0)))</f>
        <v>0</v>
      </c>
      <c r="V38" s="149">
        <f>IF($D$15="-",0,INDEX(CPAT_National!V$6:V$133,MATCH($G38&amp;"|"&amp;$D$15,CPAT_National!$B$6:$B$133,0)))</f>
        <v>0</v>
      </c>
      <c r="W38" s="149">
        <f>IF($D$15="-",0,INDEX(CPAT_National!W$6:W$133,MATCH($G38&amp;"|"&amp;$D$15,CPAT_National!$B$6:$B$133,0)))</f>
        <v>0</v>
      </c>
      <c r="X38" s="149">
        <f>IF($D$15="-",0,INDEX(CPAT_National!X$6:X$133,MATCH($G38&amp;"|"&amp;$D$15,CPAT_National!$B$6:$B$133,0)))</f>
        <v>0</v>
      </c>
      <c r="Y38" s="149">
        <f>IF($D$15="-",0,INDEX(CPAT_National!Y$6:Y$133,MATCH($G38&amp;"|"&amp;$D$15,CPAT_National!$B$6:$B$133,0)))</f>
        <v>0</v>
      </c>
      <c r="Z38" s="149">
        <f>IF($D$15="-",0,INDEX(CPAT_National!Z$6:Z$133,MATCH($G38&amp;"|"&amp;$D$15,CPAT_National!$B$6:$B$133,0)))</f>
        <v>0</v>
      </c>
      <c r="AA38" s="149">
        <f>IF($D$15="-",0,INDEX(CPAT_National!AA$6:AA$133,MATCH($G38&amp;"|"&amp;$D$15,CPAT_National!$B$6:$B$133,0)))</f>
        <v>0</v>
      </c>
      <c r="AB38" s="149">
        <f>IF($D$15="-",0,INDEX(CPAT_National!AB$6:AB$133,MATCH($G38&amp;"|"&amp;$D$15,CPAT_National!$B$6:$B$133,0)))</f>
        <v>0</v>
      </c>
      <c r="AC38" s="149">
        <f>IF($D$15="-",0,INDEX(CPAT_National!AC$6:AC$133,MATCH($G38&amp;"|"&amp;$D$15,CPAT_National!$B$6:$B$133,0)))</f>
        <v>0</v>
      </c>
      <c r="AD38" s="149">
        <f>IF($D$15="-",0,INDEX(CPAT_National!AD$6:AD$133,MATCH($G38&amp;"|"&amp;$D$15,CPAT_National!$B$6:$B$133,0)))</f>
        <v>0</v>
      </c>
      <c r="AE38" s="149">
        <f>IF($D$15="-",0,INDEX(CPAT_National!AE$6:AE$133,MATCH($G38&amp;"|"&amp;$D$15,CPAT_National!$B$6:$B$133,0)))</f>
        <v>0</v>
      </c>
    </row>
    <row r="39" spans="2:31" x14ac:dyDescent="0.2">
      <c r="B39" s="112" t="s">
        <v>3466</v>
      </c>
      <c r="C39" s="112" t="s">
        <v>3467</v>
      </c>
      <c r="D39" s="112" t="s">
        <v>3483</v>
      </c>
      <c r="E39" s="112" t="s">
        <v>3400</v>
      </c>
      <c r="F39" s="112" t="s">
        <v>3469</v>
      </c>
      <c r="G39" s="112" t="s">
        <v>3413</v>
      </c>
      <c r="H39" s="116" t="str">
        <f>Settings!$B$3&amp;".mit.t2.rgso"</f>
        <v>egy.mit.t2.rgso</v>
      </c>
      <c r="L39" s="149">
        <f>IF($D$15="-",0,INDEX(CPAT_National!L$6:L$133,MATCH($G39&amp;"|"&amp;$D$15,CPAT_National!$B$6:$B$133,0)))</f>
        <v>0</v>
      </c>
      <c r="M39" s="149">
        <f>IF($D$15="-",0,INDEX(CPAT_National!M$6:M$133,MATCH($G39&amp;"|"&amp;$D$15,CPAT_National!$B$6:$B$133,0)))</f>
        <v>0</v>
      </c>
      <c r="N39" s="149">
        <f>IF($D$15="-",0,INDEX(CPAT_National!N$6:N$133,MATCH($G39&amp;"|"&amp;$D$15,CPAT_National!$B$6:$B$133,0)))</f>
        <v>0</v>
      </c>
      <c r="O39" s="149">
        <f>IF($D$15="-",0,INDEX(CPAT_National!O$6:O$133,MATCH($G39&amp;"|"&amp;$D$15,CPAT_National!$B$6:$B$133,0)))</f>
        <v>0</v>
      </c>
      <c r="P39" s="149">
        <f>IF($D$15="-",0,INDEX(CPAT_National!P$6:P$133,MATCH($G39&amp;"|"&amp;$D$15,CPAT_National!$B$6:$B$133,0)))</f>
        <v>0</v>
      </c>
      <c r="Q39" s="149">
        <f>IF($D$15="-",0,INDEX(CPAT_National!Q$6:Q$133,MATCH($G39&amp;"|"&amp;$D$15,CPAT_National!$B$6:$B$133,0)))</f>
        <v>0</v>
      </c>
      <c r="R39" s="149">
        <f>IF($D$15="-",0,INDEX(CPAT_National!R$6:R$133,MATCH($G39&amp;"|"&amp;$D$15,CPAT_National!$B$6:$B$133,0)))</f>
        <v>0</v>
      </c>
      <c r="S39" s="149">
        <f>IF($D$15="-",0,INDEX(CPAT_National!S$6:S$133,MATCH($G39&amp;"|"&amp;$D$15,CPAT_National!$B$6:$B$133,0)))</f>
        <v>0</v>
      </c>
      <c r="T39" s="149">
        <f>IF($D$15="-",0,INDEX(CPAT_National!T$6:T$133,MATCH($G39&amp;"|"&amp;$D$15,CPAT_National!$B$6:$B$133,0)))</f>
        <v>0</v>
      </c>
      <c r="U39" s="149">
        <f>IF($D$15="-",0,INDEX(CPAT_National!U$6:U$133,MATCH($G39&amp;"|"&amp;$D$15,CPAT_National!$B$6:$B$133,0)))</f>
        <v>0</v>
      </c>
      <c r="V39" s="149">
        <f>IF($D$15="-",0,INDEX(CPAT_National!V$6:V$133,MATCH($G39&amp;"|"&amp;$D$15,CPAT_National!$B$6:$B$133,0)))</f>
        <v>0</v>
      </c>
      <c r="W39" s="149">
        <f>IF($D$15="-",0,INDEX(CPAT_National!W$6:W$133,MATCH($G39&amp;"|"&amp;$D$15,CPAT_National!$B$6:$B$133,0)))</f>
        <v>0</v>
      </c>
      <c r="X39" s="149">
        <f>IF($D$15="-",0,INDEX(CPAT_National!X$6:X$133,MATCH($G39&amp;"|"&amp;$D$15,CPAT_National!$B$6:$B$133,0)))</f>
        <v>0</v>
      </c>
      <c r="Y39" s="149">
        <f>IF($D$15="-",0,INDEX(CPAT_National!Y$6:Y$133,MATCH($G39&amp;"|"&amp;$D$15,CPAT_National!$B$6:$B$133,0)))</f>
        <v>0</v>
      </c>
      <c r="Z39" s="149">
        <f>IF($D$15="-",0,INDEX(CPAT_National!Z$6:Z$133,MATCH($G39&amp;"|"&amp;$D$15,CPAT_National!$B$6:$B$133,0)))</f>
        <v>0</v>
      </c>
      <c r="AA39" s="149">
        <f>IF($D$15="-",0,INDEX(CPAT_National!AA$6:AA$133,MATCH($G39&amp;"|"&amp;$D$15,CPAT_National!$B$6:$B$133,0)))</f>
        <v>0</v>
      </c>
      <c r="AB39" s="149">
        <f>IF($D$15="-",0,INDEX(CPAT_National!AB$6:AB$133,MATCH($G39&amp;"|"&amp;$D$15,CPAT_National!$B$6:$B$133,0)))</f>
        <v>0</v>
      </c>
      <c r="AC39" s="149">
        <f>IF($D$15="-",0,INDEX(CPAT_National!AC$6:AC$133,MATCH($G39&amp;"|"&amp;$D$15,CPAT_National!$B$6:$B$133,0)))</f>
        <v>0</v>
      </c>
      <c r="AD39" s="149">
        <f>IF($D$15="-",0,INDEX(CPAT_National!AD$6:AD$133,MATCH($G39&amp;"|"&amp;$D$15,CPAT_National!$B$6:$B$133,0)))</f>
        <v>0</v>
      </c>
      <c r="AE39" s="149">
        <f>IF($D$15="-",0,INDEX(CPAT_National!AE$6:AE$133,MATCH($G39&amp;"|"&amp;$D$15,CPAT_National!$B$6:$B$133,0)))</f>
        <v>0</v>
      </c>
    </row>
    <row r="40" spans="2:31" x14ac:dyDescent="0.2">
      <c r="B40" s="112" t="s">
        <v>3466</v>
      </c>
      <c r="C40" s="112" t="s">
        <v>3467</v>
      </c>
      <c r="D40" s="112" t="s">
        <v>3484</v>
      </c>
      <c r="E40" s="112" t="s">
        <v>3400</v>
      </c>
      <c r="F40" s="112" t="s">
        <v>3469</v>
      </c>
      <c r="G40" s="112" t="s">
        <v>3419</v>
      </c>
      <c r="H40" s="116" t="str">
        <f>Settings!$B$3&amp;".mit.t2.rlpk"</f>
        <v>egy.mit.t2.rlpk</v>
      </c>
      <c r="L40" s="149">
        <f>IF($D$15="-",0,INDEX(CPAT_National!L$6:L$133,MATCH($G40&amp;"|"&amp;$D$15,CPAT_National!$B$6:$B$133,0)))</f>
        <v>0</v>
      </c>
      <c r="M40" s="149">
        <f>IF($D$15="-",0,INDEX(CPAT_National!M$6:M$133,MATCH($G40&amp;"|"&amp;$D$15,CPAT_National!$B$6:$B$133,0)))</f>
        <v>0</v>
      </c>
      <c r="N40" s="149">
        <f>IF($D$15="-",0,INDEX(CPAT_National!N$6:N$133,MATCH($G40&amp;"|"&amp;$D$15,CPAT_National!$B$6:$B$133,0)))</f>
        <v>0</v>
      </c>
      <c r="O40" s="149">
        <f>IF($D$15="-",0,INDEX(CPAT_National!O$6:O$133,MATCH($G40&amp;"|"&amp;$D$15,CPAT_National!$B$6:$B$133,0)))</f>
        <v>0</v>
      </c>
      <c r="P40" s="149">
        <f>IF($D$15="-",0,INDEX(CPAT_National!P$6:P$133,MATCH($G40&amp;"|"&amp;$D$15,CPAT_National!$B$6:$B$133,0)))</f>
        <v>0</v>
      </c>
      <c r="Q40" s="149">
        <f>IF($D$15="-",0,INDEX(CPAT_National!Q$6:Q$133,MATCH($G40&amp;"|"&amp;$D$15,CPAT_National!$B$6:$B$133,0)))</f>
        <v>0</v>
      </c>
      <c r="R40" s="149">
        <f>IF($D$15="-",0,INDEX(CPAT_National!R$6:R$133,MATCH($G40&amp;"|"&amp;$D$15,CPAT_National!$B$6:$B$133,0)))</f>
        <v>0</v>
      </c>
      <c r="S40" s="149">
        <f>IF($D$15="-",0,INDEX(CPAT_National!S$6:S$133,MATCH($G40&amp;"|"&amp;$D$15,CPAT_National!$B$6:$B$133,0)))</f>
        <v>0</v>
      </c>
      <c r="T40" s="149">
        <f>IF($D$15="-",0,INDEX(CPAT_National!T$6:T$133,MATCH($G40&amp;"|"&amp;$D$15,CPAT_National!$B$6:$B$133,0)))</f>
        <v>0</v>
      </c>
      <c r="U40" s="149">
        <f>IF($D$15="-",0,INDEX(CPAT_National!U$6:U$133,MATCH($G40&amp;"|"&amp;$D$15,CPAT_National!$B$6:$B$133,0)))</f>
        <v>0</v>
      </c>
      <c r="V40" s="149">
        <f>IF($D$15="-",0,INDEX(CPAT_National!V$6:V$133,MATCH($G40&amp;"|"&amp;$D$15,CPAT_National!$B$6:$B$133,0)))</f>
        <v>0</v>
      </c>
      <c r="W40" s="149">
        <f>IF($D$15="-",0,INDEX(CPAT_National!W$6:W$133,MATCH($G40&amp;"|"&amp;$D$15,CPAT_National!$B$6:$B$133,0)))</f>
        <v>0</v>
      </c>
      <c r="X40" s="149">
        <f>IF($D$15="-",0,INDEX(CPAT_National!X$6:X$133,MATCH($G40&amp;"|"&amp;$D$15,CPAT_National!$B$6:$B$133,0)))</f>
        <v>0</v>
      </c>
      <c r="Y40" s="149">
        <f>IF($D$15="-",0,INDEX(CPAT_National!Y$6:Y$133,MATCH($G40&amp;"|"&amp;$D$15,CPAT_National!$B$6:$B$133,0)))</f>
        <v>0</v>
      </c>
      <c r="Z40" s="149">
        <f>IF($D$15="-",0,INDEX(CPAT_National!Z$6:Z$133,MATCH($G40&amp;"|"&amp;$D$15,CPAT_National!$B$6:$B$133,0)))</f>
        <v>0</v>
      </c>
      <c r="AA40" s="149">
        <f>IF($D$15="-",0,INDEX(CPAT_National!AA$6:AA$133,MATCH($G40&amp;"|"&amp;$D$15,CPAT_National!$B$6:$B$133,0)))</f>
        <v>0</v>
      </c>
      <c r="AB40" s="149">
        <f>IF($D$15="-",0,INDEX(CPAT_National!AB$6:AB$133,MATCH($G40&amp;"|"&amp;$D$15,CPAT_National!$B$6:$B$133,0)))</f>
        <v>0</v>
      </c>
      <c r="AC40" s="149">
        <f>IF($D$15="-",0,INDEX(CPAT_National!AC$6:AC$133,MATCH($G40&amp;"|"&amp;$D$15,CPAT_National!$B$6:$B$133,0)))</f>
        <v>0</v>
      </c>
      <c r="AD40" s="149">
        <f>IF($D$15="-",0,INDEX(CPAT_National!AD$6:AD$133,MATCH($G40&amp;"|"&amp;$D$15,CPAT_National!$B$6:$B$133,0)))</f>
        <v>0</v>
      </c>
      <c r="AE40" s="149">
        <f>IF($D$15="-",0,INDEX(CPAT_National!AE$6:AE$133,MATCH($G40&amp;"|"&amp;$D$15,CPAT_National!$B$6:$B$133,0)))</f>
        <v>0</v>
      </c>
    </row>
    <row r="41" spans="2:31" x14ac:dyDescent="0.2">
      <c r="B41" s="112" t="s">
        <v>3466</v>
      </c>
      <c r="C41" s="112" t="s">
        <v>3467</v>
      </c>
      <c r="D41" s="112" t="s">
        <v>3485</v>
      </c>
      <c r="E41" s="112" t="s">
        <v>3400</v>
      </c>
      <c r="F41" s="112" t="s">
        <v>3469</v>
      </c>
      <c r="G41" s="112" t="s">
        <v>3425</v>
      </c>
      <c r="H41" s="116" t="str">
        <f>Settings!$B$3&amp;".mit.t2.rnga"</f>
        <v>egy.mit.t2.rnga</v>
      </c>
      <c r="L41" s="149">
        <f>IF($D$15="-",0,INDEX(CPAT_National!L$6:L$133,MATCH($G41&amp;"|"&amp;$D$15,CPAT_National!$B$6:$B$133,0)))</f>
        <v>0</v>
      </c>
      <c r="M41" s="149">
        <f>IF($D$15="-",0,INDEX(CPAT_National!M$6:M$133,MATCH($G41&amp;"|"&amp;$D$15,CPAT_National!$B$6:$B$133,0)))</f>
        <v>0</v>
      </c>
      <c r="N41" s="149">
        <f>IF($D$15="-",0,INDEX(CPAT_National!N$6:N$133,MATCH($G41&amp;"|"&amp;$D$15,CPAT_National!$B$6:$B$133,0)))</f>
        <v>0</v>
      </c>
      <c r="O41" s="149">
        <f>IF($D$15="-",0,INDEX(CPAT_National!O$6:O$133,MATCH($G41&amp;"|"&amp;$D$15,CPAT_National!$B$6:$B$133,0)))</f>
        <v>0</v>
      </c>
      <c r="P41" s="149">
        <f>IF($D$15="-",0,INDEX(CPAT_National!P$6:P$133,MATCH($G41&amp;"|"&amp;$D$15,CPAT_National!$B$6:$B$133,0)))</f>
        <v>0</v>
      </c>
      <c r="Q41" s="149">
        <f>IF($D$15="-",0,INDEX(CPAT_National!Q$6:Q$133,MATCH($G41&amp;"|"&amp;$D$15,CPAT_National!$B$6:$B$133,0)))</f>
        <v>0</v>
      </c>
      <c r="R41" s="149">
        <f>IF($D$15="-",0,INDEX(CPAT_National!R$6:R$133,MATCH($G41&amp;"|"&amp;$D$15,CPAT_National!$B$6:$B$133,0)))</f>
        <v>0</v>
      </c>
      <c r="S41" s="149">
        <f>IF($D$15="-",0,INDEX(CPAT_National!S$6:S$133,MATCH($G41&amp;"|"&amp;$D$15,CPAT_National!$B$6:$B$133,0)))</f>
        <v>0</v>
      </c>
      <c r="T41" s="149">
        <f>IF($D$15="-",0,INDEX(CPAT_National!T$6:T$133,MATCH($G41&amp;"|"&amp;$D$15,CPAT_National!$B$6:$B$133,0)))</f>
        <v>0</v>
      </c>
      <c r="U41" s="149">
        <f>IF($D$15="-",0,INDEX(CPAT_National!U$6:U$133,MATCH($G41&amp;"|"&amp;$D$15,CPAT_National!$B$6:$B$133,0)))</f>
        <v>0</v>
      </c>
      <c r="V41" s="149">
        <f>IF($D$15="-",0,INDEX(CPAT_National!V$6:V$133,MATCH($G41&amp;"|"&amp;$D$15,CPAT_National!$B$6:$B$133,0)))</f>
        <v>0</v>
      </c>
      <c r="W41" s="149">
        <f>IF($D$15="-",0,INDEX(CPAT_National!W$6:W$133,MATCH($G41&amp;"|"&amp;$D$15,CPAT_National!$B$6:$B$133,0)))</f>
        <v>0</v>
      </c>
      <c r="X41" s="149">
        <f>IF($D$15="-",0,INDEX(CPAT_National!X$6:X$133,MATCH($G41&amp;"|"&amp;$D$15,CPAT_National!$B$6:$B$133,0)))</f>
        <v>0</v>
      </c>
      <c r="Y41" s="149">
        <f>IF($D$15="-",0,INDEX(CPAT_National!Y$6:Y$133,MATCH($G41&amp;"|"&amp;$D$15,CPAT_National!$B$6:$B$133,0)))</f>
        <v>0</v>
      </c>
      <c r="Z41" s="149">
        <f>IF($D$15="-",0,INDEX(CPAT_National!Z$6:Z$133,MATCH($G41&amp;"|"&amp;$D$15,CPAT_National!$B$6:$B$133,0)))</f>
        <v>0</v>
      </c>
      <c r="AA41" s="149">
        <f>IF($D$15="-",0,INDEX(CPAT_National!AA$6:AA$133,MATCH($G41&amp;"|"&amp;$D$15,CPAT_National!$B$6:$B$133,0)))</f>
        <v>0</v>
      </c>
      <c r="AB41" s="149">
        <f>IF($D$15="-",0,INDEX(CPAT_National!AB$6:AB$133,MATCH($G41&amp;"|"&amp;$D$15,CPAT_National!$B$6:$B$133,0)))</f>
        <v>0</v>
      </c>
      <c r="AC41" s="149">
        <f>IF($D$15="-",0,INDEX(CPAT_National!AC$6:AC$133,MATCH($G41&amp;"|"&amp;$D$15,CPAT_National!$B$6:$B$133,0)))</f>
        <v>0</v>
      </c>
      <c r="AD41" s="149">
        <f>IF($D$15="-",0,INDEX(CPAT_National!AD$6:AD$133,MATCH($G41&amp;"|"&amp;$D$15,CPAT_National!$B$6:$B$133,0)))</f>
        <v>0</v>
      </c>
      <c r="AE41" s="149">
        <f>IF($D$15="-",0,INDEX(CPAT_National!AE$6:AE$133,MATCH($G41&amp;"|"&amp;$D$15,CPAT_National!$B$6:$B$133,0)))</f>
        <v>0</v>
      </c>
    </row>
    <row r="42" spans="2:31" x14ac:dyDescent="0.2">
      <c r="B42" s="112" t="s">
        <v>3466</v>
      </c>
      <c r="C42" s="112" t="s">
        <v>3467</v>
      </c>
      <c r="D42" s="112" t="s">
        <v>3486</v>
      </c>
      <c r="E42" s="112" t="s">
        <v>3400</v>
      </c>
      <c r="F42" s="112" t="s">
        <v>3469</v>
      </c>
      <c r="G42" s="112" t="s">
        <v>3431</v>
      </c>
      <c r="H42" s="116" t="str">
        <f>Settings!$B$3&amp;".mit.t2.roil"</f>
        <v>egy.mit.t2.roil</v>
      </c>
      <c r="L42" s="149">
        <f>IF($D$15="-",0,INDEX(CPAT_National!L$6:L$133,MATCH($G42&amp;"|"&amp;$D$15,CPAT_National!$B$6:$B$133,0)))</f>
        <v>0</v>
      </c>
      <c r="M42" s="149">
        <f>IF($D$15="-",0,INDEX(CPAT_National!M$6:M$133,MATCH($G42&amp;"|"&amp;$D$15,CPAT_National!$B$6:$B$133,0)))</f>
        <v>0</v>
      </c>
      <c r="N42" s="149">
        <f>IF($D$15="-",0,INDEX(CPAT_National!N$6:N$133,MATCH($G42&amp;"|"&amp;$D$15,CPAT_National!$B$6:$B$133,0)))</f>
        <v>0</v>
      </c>
      <c r="O42" s="149">
        <f>IF($D$15="-",0,INDEX(CPAT_National!O$6:O$133,MATCH($G42&amp;"|"&amp;$D$15,CPAT_National!$B$6:$B$133,0)))</f>
        <v>0</v>
      </c>
      <c r="P42" s="149">
        <f>IF($D$15="-",0,INDEX(CPAT_National!P$6:P$133,MATCH($G42&amp;"|"&amp;$D$15,CPAT_National!$B$6:$B$133,0)))</f>
        <v>0</v>
      </c>
      <c r="Q42" s="149">
        <f>IF($D$15="-",0,INDEX(CPAT_National!Q$6:Q$133,MATCH($G42&amp;"|"&amp;$D$15,CPAT_National!$B$6:$B$133,0)))</f>
        <v>0</v>
      </c>
      <c r="R42" s="149">
        <f>IF($D$15="-",0,INDEX(CPAT_National!R$6:R$133,MATCH($G42&amp;"|"&amp;$D$15,CPAT_National!$B$6:$B$133,0)))</f>
        <v>0</v>
      </c>
      <c r="S42" s="149">
        <f>IF($D$15="-",0,INDEX(CPAT_National!S$6:S$133,MATCH($G42&amp;"|"&amp;$D$15,CPAT_National!$B$6:$B$133,0)))</f>
        <v>0</v>
      </c>
      <c r="T42" s="149">
        <f>IF($D$15="-",0,INDEX(CPAT_National!T$6:T$133,MATCH($G42&amp;"|"&amp;$D$15,CPAT_National!$B$6:$B$133,0)))</f>
        <v>0</v>
      </c>
      <c r="U42" s="149">
        <f>IF($D$15="-",0,INDEX(CPAT_National!U$6:U$133,MATCH($G42&amp;"|"&amp;$D$15,CPAT_National!$B$6:$B$133,0)))</f>
        <v>0</v>
      </c>
      <c r="V42" s="149">
        <f>IF($D$15="-",0,INDEX(CPAT_National!V$6:V$133,MATCH($G42&amp;"|"&amp;$D$15,CPAT_National!$B$6:$B$133,0)))</f>
        <v>0</v>
      </c>
      <c r="W42" s="149">
        <f>IF($D$15="-",0,INDEX(CPAT_National!W$6:W$133,MATCH($G42&amp;"|"&amp;$D$15,CPAT_National!$B$6:$B$133,0)))</f>
        <v>0</v>
      </c>
      <c r="X42" s="149">
        <f>IF($D$15="-",0,INDEX(CPAT_National!X$6:X$133,MATCH($G42&amp;"|"&amp;$D$15,CPAT_National!$B$6:$B$133,0)))</f>
        <v>0</v>
      </c>
      <c r="Y42" s="149">
        <f>IF($D$15="-",0,INDEX(CPAT_National!Y$6:Y$133,MATCH($G42&amp;"|"&amp;$D$15,CPAT_National!$B$6:$B$133,0)))</f>
        <v>0</v>
      </c>
      <c r="Z42" s="149">
        <f>IF($D$15="-",0,INDEX(CPAT_National!Z$6:Z$133,MATCH($G42&amp;"|"&amp;$D$15,CPAT_National!$B$6:$B$133,0)))</f>
        <v>0</v>
      </c>
      <c r="AA42" s="149">
        <f>IF($D$15="-",0,INDEX(CPAT_National!AA$6:AA$133,MATCH($G42&amp;"|"&amp;$D$15,CPAT_National!$B$6:$B$133,0)))</f>
        <v>0</v>
      </c>
      <c r="AB42" s="149">
        <f>IF($D$15="-",0,INDEX(CPAT_National!AB$6:AB$133,MATCH($G42&amp;"|"&amp;$D$15,CPAT_National!$B$6:$B$133,0)))</f>
        <v>0</v>
      </c>
      <c r="AC42" s="149">
        <f>IF($D$15="-",0,INDEX(CPAT_National!AC$6:AC$133,MATCH($G42&amp;"|"&amp;$D$15,CPAT_National!$B$6:$B$133,0)))</f>
        <v>0</v>
      </c>
      <c r="AD42" s="149">
        <f>IF($D$15="-",0,INDEX(CPAT_National!AD$6:AD$133,MATCH($G42&amp;"|"&amp;$D$15,CPAT_National!$B$6:$B$133,0)))</f>
        <v>0</v>
      </c>
      <c r="AE42" s="149">
        <f>IF($D$15="-",0,INDEX(CPAT_National!AE$6:AE$133,MATCH($G42&amp;"|"&amp;$D$15,CPAT_National!$B$6:$B$133,0)))</f>
        <v>0</v>
      </c>
    </row>
    <row r="43" spans="2:31" x14ac:dyDescent="0.2">
      <c r="B43" s="112" t="s">
        <v>3466</v>
      </c>
      <c r="C43" s="112" t="s">
        <v>3467</v>
      </c>
      <c r="D43" s="112" t="s">
        <v>3487</v>
      </c>
      <c r="E43" s="112" t="s">
        <v>3258</v>
      </c>
      <c r="F43" s="112" t="s">
        <v>3469</v>
      </c>
      <c r="G43" s="112" t="s">
        <v>3259</v>
      </c>
      <c r="H43" s="116" t="str">
        <f>Settings!$B$3&amp;".mit.t2.d2464"</f>
        <v>egy.mit.t2.d2464</v>
      </c>
      <c r="L43" s="149">
        <f>IF($D$15="-",0,INDEX(CPAT_National!L$6:L$133,MATCH($G43&amp;"|"&amp;$D$15,CPAT_National!$B$6:$B$133,0)))</f>
        <v>0</v>
      </c>
      <c r="M43" s="149">
        <f>IF($D$15="-",0,INDEX(CPAT_National!M$6:M$133,MATCH($G43&amp;"|"&amp;$D$15,CPAT_National!$B$6:$B$133,0)))</f>
        <v>0</v>
      </c>
      <c r="N43" s="149">
        <f>IF($D$15="-",0,INDEX(CPAT_National!N$6:N$133,MATCH($G43&amp;"|"&amp;$D$15,CPAT_National!$B$6:$B$133,0)))</f>
        <v>0</v>
      </c>
      <c r="O43" s="149">
        <f>IF($D$15="-",0,INDEX(CPAT_National!O$6:O$133,MATCH($G43&amp;"|"&amp;$D$15,CPAT_National!$B$6:$B$133,0)))</f>
        <v>0</v>
      </c>
      <c r="P43" s="149">
        <f>IF($D$15="-",0,INDEX(CPAT_National!P$6:P$133,MATCH($G43&amp;"|"&amp;$D$15,CPAT_National!$B$6:$B$133,0)))</f>
        <v>0</v>
      </c>
      <c r="Q43" s="149">
        <f>IF($D$15="-",0,INDEX(CPAT_National!Q$6:Q$133,MATCH($G43&amp;"|"&amp;$D$15,CPAT_National!$B$6:$B$133,0)))</f>
        <v>0</v>
      </c>
      <c r="R43" s="149">
        <f>IF($D$15="-",0,INDEX(CPAT_National!R$6:R$133,MATCH($G43&amp;"|"&amp;$D$15,CPAT_National!$B$6:$B$133,0)))</f>
        <v>0</v>
      </c>
      <c r="S43" s="149">
        <f>IF($D$15="-",0,INDEX(CPAT_National!S$6:S$133,MATCH($G43&amp;"|"&amp;$D$15,CPAT_National!$B$6:$B$133,0)))</f>
        <v>0</v>
      </c>
      <c r="T43" s="149">
        <f>IF($D$15="-",0,INDEX(CPAT_National!T$6:T$133,MATCH($G43&amp;"|"&amp;$D$15,CPAT_National!$B$6:$B$133,0)))</f>
        <v>0</v>
      </c>
      <c r="U43" s="149">
        <f>IF($D$15="-",0,INDEX(CPAT_National!U$6:U$133,MATCH($G43&amp;"|"&amp;$D$15,CPAT_National!$B$6:$B$133,0)))</f>
        <v>0</v>
      </c>
      <c r="V43" s="149">
        <f>IF($D$15="-",0,INDEX(CPAT_National!V$6:V$133,MATCH($G43&amp;"|"&amp;$D$15,CPAT_National!$B$6:$B$133,0)))</f>
        <v>0</v>
      </c>
      <c r="W43" s="149">
        <f>IF($D$15="-",0,INDEX(CPAT_National!W$6:W$133,MATCH($G43&amp;"|"&amp;$D$15,CPAT_National!$B$6:$B$133,0)))</f>
        <v>0</v>
      </c>
      <c r="X43" s="149">
        <f>IF($D$15="-",0,INDEX(CPAT_National!X$6:X$133,MATCH($G43&amp;"|"&amp;$D$15,CPAT_National!$B$6:$B$133,0)))</f>
        <v>0</v>
      </c>
      <c r="Y43" s="149">
        <f>IF($D$15="-",0,INDEX(CPAT_National!Y$6:Y$133,MATCH($G43&amp;"|"&amp;$D$15,CPAT_National!$B$6:$B$133,0)))</f>
        <v>0</v>
      </c>
      <c r="Z43" s="149">
        <f>IF($D$15="-",0,INDEX(CPAT_National!Z$6:Z$133,MATCH($G43&amp;"|"&amp;$D$15,CPAT_National!$B$6:$B$133,0)))</f>
        <v>0</v>
      </c>
      <c r="AA43" s="149">
        <f>IF($D$15="-",0,INDEX(CPAT_National!AA$6:AA$133,MATCH($G43&amp;"|"&amp;$D$15,CPAT_National!$B$6:$B$133,0)))</f>
        <v>0</v>
      </c>
      <c r="AB43" s="149">
        <f>IF($D$15="-",0,INDEX(CPAT_National!AB$6:AB$133,MATCH($G43&amp;"|"&amp;$D$15,CPAT_National!$B$6:$B$133,0)))</f>
        <v>0</v>
      </c>
      <c r="AC43" s="149">
        <f>IF($D$15="-",0,INDEX(CPAT_National!AC$6:AC$133,MATCH($G43&amp;"|"&amp;$D$15,CPAT_National!$B$6:$B$133,0)))</f>
        <v>0</v>
      </c>
      <c r="AD43" s="149">
        <f>IF($D$15="-",0,INDEX(CPAT_National!AD$6:AD$133,MATCH($G43&amp;"|"&amp;$D$15,CPAT_National!$B$6:$B$133,0)))</f>
        <v>0</v>
      </c>
      <c r="AE43" s="149">
        <f>IF($D$15="-",0,INDEX(CPAT_National!AE$6:AE$133,MATCH($G43&amp;"|"&amp;$D$15,CPAT_National!$B$6:$B$133,0)))</f>
        <v>0</v>
      </c>
    </row>
    <row r="44" spans="2:31" x14ac:dyDescent="0.2">
      <c r="B44" s="112" t="s">
        <v>3466</v>
      </c>
      <c r="C44" s="112" t="s">
        <v>3467</v>
      </c>
      <c r="D44" s="112" t="s">
        <v>3488</v>
      </c>
      <c r="E44" s="112" t="s">
        <v>3258</v>
      </c>
      <c r="F44" s="112" t="s">
        <v>3469</v>
      </c>
      <c r="G44" s="112" t="s">
        <v>3268</v>
      </c>
      <c r="H44" s="116" t="str">
        <f>Settings!$B$3&amp;".mit.t2.d65"</f>
        <v>egy.mit.t2.d65</v>
      </c>
      <c r="L44" s="149">
        <f>IF($D$15="-",0,INDEX(CPAT_National!L$6:L$133,MATCH($G44&amp;"|"&amp;$D$15,CPAT_National!$B$6:$B$133,0)))</f>
        <v>0</v>
      </c>
      <c r="M44" s="149">
        <f>IF($D$15="-",0,INDEX(CPAT_National!M$6:M$133,MATCH($G44&amp;"|"&amp;$D$15,CPAT_National!$B$6:$B$133,0)))</f>
        <v>0</v>
      </c>
      <c r="N44" s="149">
        <f>IF($D$15="-",0,INDEX(CPAT_National!N$6:N$133,MATCH($G44&amp;"|"&amp;$D$15,CPAT_National!$B$6:$B$133,0)))</f>
        <v>0</v>
      </c>
      <c r="O44" s="149">
        <f>IF($D$15="-",0,INDEX(CPAT_National!O$6:O$133,MATCH($G44&amp;"|"&amp;$D$15,CPAT_National!$B$6:$B$133,0)))</f>
        <v>0</v>
      </c>
      <c r="P44" s="149">
        <f>IF($D$15="-",0,INDEX(CPAT_National!P$6:P$133,MATCH($G44&amp;"|"&amp;$D$15,CPAT_National!$B$6:$B$133,0)))</f>
        <v>0</v>
      </c>
      <c r="Q44" s="149">
        <f>IF($D$15="-",0,INDEX(CPAT_National!Q$6:Q$133,MATCH($G44&amp;"|"&amp;$D$15,CPAT_National!$B$6:$B$133,0)))</f>
        <v>0</v>
      </c>
      <c r="R44" s="149">
        <f>IF($D$15="-",0,INDEX(CPAT_National!R$6:R$133,MATCH($G44&amp;"|"&amp;$D$15,CPAT_National!$B$6:$B$133,0)))</f>
        <v>0</v>
      </c>
      <c r="S44" s="149">
        <f>IF($D$15="-",0,INDEX(CPAT_National!S$6:S$133,MATCH($G44&amp;"|"&amp;$D$15,CPAT_National!$B$6:$B$133,0)))</f>
        <v>0</v>
      </c>
      <c r="T44" s="149">
        <f>IF($D$15="-",0,INDEX(CPAT_National!T$6:T$133,MATCH($G44&amp;"|"&amp;$D$15,CPAT_National!$B$6:$B$133,0)))</f>
        <v>0</v>
      </c>
      <c r="U44" s="149">
        <f>IF($D$15="-",0,INDEX(CPAT_National!U$6:U$133,MATCH($G44&amp;"|"&amp;$D$15,CPAT_National!$B$6:$B$133,0)))</f>
        <v>0</v>
      </c>
      <c r="V44" s="149">
        <f>IF($D$15="-",0,INDEX(CPAT_National!V$6:V$133,MATCH($G44&amp;"|"&amp;$D$15,CPAT_National!$B$6:$B$133,0)))</f>
        <v>0</v>
      </c>
      <c r="W44" s="149">
        <f>IF($D$15="-",0,INDEX(CPAT_National!W$6:W$133,MATCH($G44&amp;"|"&amp;$D$15,CPAT_National!$B$6:$B$133,0)))</f>
        <v>0</v>
      </c>
      <c r="X44" s="149">
        <f>IF($D$15="-",0,INDEX(CPAT_National!X$6:X$133,MATCH($G44&amp;"|"&amp;$D$15,CPAT_National!$B$6:$B$133,0)))</f>
        <v>0</v>
      </c>
      <c r="Y44" s="149">
        <f>IF($D$15="-",0,INDEX(CPAT_National!Y$6:Y$133,MATCH($G44&amp;"|"&amp;$D$15,CPAT_National!$B$6:$B$133,0)))</f>
        <v>0</v>
      </c>
      <c r="Z44" s="149">
        <f>IF($D$15="-",0,INDEX(CPAT_National!Z$6:Z$133,MATCH($G44&amp;"|"&amp;$D$15,CPAT_National!$B$6:$B$133,0)))</f>
        <v>0</v>
      </c>
      <c r="AA44" s="149">
        <f>IF($D$15="-",0,INDEX(CPAT_National!AA$6:AA$133,MATCH($G44&amp;"|"&amp;$D$15,CPAT_National!$B$6:$B$133,0)))</f>
        <v>0</v>
      </c>
      <c r="AB44" s="149">
        <f>IF($D$15="-",0,INDEX(CPAT_National!AB$6:AB$133,MATCH($G44&amp;"|"&amp;$D$15,CPAT_National!$B$6:$B$133,0)))</f>
        <v>0</v>
      </c>
      <c r="AC44" s="149">
        <f>IF($D$15="-",0,INDEX(CPAT_National!AC$6:AC$133,MATCH($G44&amp;"|"&amp;$D$15,CPAT_National!$B$6:$B$133,0)))</f>
        <v>0</v>
      </c>
      <c r="AD44" s="149">
        <f>IF($D$15="-",0,INDEX(CPAT_National!AD$6:AD$133,MATCH($G44&amp;"|"&amp;$D$15,CPAT_National!$B$6:$B$133,0)))</f>
        <v>0</v>
      </c>
      <c r="AE44" s="149">
        <f>IF($D$15="-",0,INDEX(CPAT_National!AE$6:AE$133,MATCH($G44&amp;"|"&amp;$D$15,CPAT_National!$B$6:$B$133,0)))</f>
        <v>0</v>
      </c>
    </row>
    <row r="45" spans="2:31" x14ac:dyDescent="0.2">
      <c r="B45" s="112" t="s">
        <v>3466</v>
      </c>
      <c r="C45" s="112" t="s">
        <v>3467</v>
      </c>
      <c r="D45" s="112" t="s">
        <v>3489</v>
      </c>
      <c r="E45" s="112" t="s">
        <v>3258</v>
      </c>
      <c r="F45" s="112" t="s">
        <v>3469</v>
      </c>
      <c r="G45" s="112" t="s">
        <v>3274</v>
      </c>
      <c r="H45" s="116" t="str">
        <f>Settings!$B$3&amp;".mit.t2.du24"</f>
        <v>egy.mit.t2.du24</v>
      </c>
      <c r="L45" s="149">
        <f>IF($D$15="-",0,INDEX(CPAT_National!L$6:L$133,MATCH($G45&amp;"|"&amp;$D$15,CPAT_National!$B$6:$B$133,0)))</f>
        <v>0</v>
      </c>
      <c r="M45" s="149">
        <f>IF($D$15="-",0,INDEX(CPAT_National!M$6:M$133,MATCH($G45&amp;"|"&amp;$D$15,CPAT_National!$B$6:$B$133,0)))</f>
        <v>0</v>
      </c>
      <c r="N45" s="149">
        <f>IF($D$15="-",0,INDEX(CPAT_National!N$6:N$133,MATCH($G45&amp;"|"&amp;$D$15,CPAT_National!$B$6:$B$133,0)))</f>
        <v>0</v>
      </c>
      <c r="O45" s="149">
        <f>IF($D$15="-",0,INDEX(CPAT_National!O$6:O$133,MATCH($G45&amp;"|"&amp;$D$15,CPAT_National!$B$6:$B$133,0)))</f>
        <v>0</v>
      </c>
      <c r="P45" s="149">
        <f>IF($D$15="-",0,INDEX(CPAT_National!P$6:P$133,MATCH($G45&amp;"|"&amp;$D$15,CPAT_National!$B$6:$B$133,0)))</f>
        <v>0</v>
      </c>
      <c r="Q45" s="149">
        <f>IF($D$15="-",0,INDEX(CPAT_National!Q$6:Q$133,MATCH($G45&amp;"|"&amp;$D$15,CPAT_National!$B$6:$B$133,0)))</f>
        <v>0</v>
      </c>
      <c r="R45" s="149">
        <f>IF($D$15="-",0,INDEX(CPAT_National!R$6:R$133,MATCH($G45&amp;"|"&amp;$D$15,CPAT_National!$B$6:$B$133,0)))</f>
        <v>0</v>
      </c>
      <c r="S45" s="149">
        <f>IF($D$15="-",0,INDEX(CPAT_National!S$6:S$133,MATCH($G45&amp;"|"&amp;$D$15,CPAT_National!$B$6:$B$133,0)))</f>
        <v>0</v>
      </c>
      <c r="T45" s="149">
        <f>IF($D$15="-",0,INDEX(CPAT_National!T$6:T$133,MATCH($G45&amp;"|"&amp;$D$15,CPAT_National!$B$6:$B$133,0)))</f>
        <v>0</v>
      </c>
      <c r="U45" s="149">
        <f>IF($D$15="-",0,INDEX(CPAT_National!U$6:U$133,MATCH($G45&amp;"|"&amp;$D$15,CPAT_National!$B$6:$B$133,0)))</f>
        <v>0</v>
      </c>
      <c r="V45" s="149">
        <f>IF($D$15="-",0,INDEX(CPAT_National!V$6:V$133,MATCH($G45&amp;"|"&amp;$D$15,CPAT_National!$B$6:$B$133,0)))</f>
        <v>0</v>
      </c>
      <c r="W45" s="149">
        <f>IF($D$15="-",0,INDEX(CPAT_National!W$6:W$133,MATCH($G45&amp;"|"&amp;$D$15,CPAT_National!$B$6:$B$133,0)))</f>
        <v>0</v>
      </c>
      <c r="X45" s="149">
        <f>IF($D$15="-",0,INDEX(CPAT_National!X$6:X$133,MATCH($G45&amp;"|"&amp;$D$15,CPAT_National!$B$6:$B$133,0)))</f>
        <v>0</v>
      </c>
      <c r="Y45" s="149">
        <f>IF($D$15="-",0,INDEX(CPAT_National!Y$6:Y$133,MATCH($G45&amp;"|"&amp;$D$15,CPAT_National!$B$6:$B$133,0)))</f>
        <v>0</v>
      </c>
      <c r="Z45" s="149">
        <f>IF($D$15="-",0,INDEX(CPAT_National!Z$6:Z$133,MATCH($G45&amp;"|"&amp;$D$15,CPAT_National!$B$6:$B$133,0)))</f>
        <v>0</v>
      </c>
      <c r="AA45" s="149">
        <f>IF($D$15="-",0,INDEX(CPAT_National!AA$6:AA$133,MATCH($G45&amp;"|"&amp;$D$15,CPAT_National!$B$6:$B$133,0)))</f>
        <v>0</v>
      </c>
      <c r="AB45" s="149">
        <f>IF($D$15="-",0,INDEX(CPAT_National!AB$6:AB$133,MATCH($G45&amp;"|"&amp;$D$15,CPAT_National!$B$6:$B$133,0)))</f>
        <v>0</v>
      </c>
      <c r="AC45" s="149">
        <f>IF($D$15="-",0,INDEX(CPAT_National!AC$6:AC$133,MATCH($G45&amp;"|"&amp;$D$15,CPAT_National!$B$6:$B$133,0)))</f>
        <v>0</v>
      </c>
      <c r="AD45" s="149">
        <f>IF($D$15="-",0,INDEX(CPAT_National!AD$6:AD$133,MATCH($G45&amp;"|"&amp;$D$15,CPAT_National!$B$6:$B$133,0)))</f>
        <v>0</v>
      </c>
      <c r="AE45" s="149">
        <f>IF($D$15="-",0,INDEX(CPAT_National!AE$6:AE$133,MATCH($G45&amp;"|"&amp;$D$15,CPAT_National!$B$6:$B$133,0)))</f>
        <v>0</v>
      </c>
    </row>
    <row r="46" spans="2:31" x14ac:dyDescent="0.2">
      <c r="B46" s="112" t="s">
        <v>3466</v>
      </c>
      <c r="C46" s="112" t="s">
        <v>3467</v>
      </c>
      <c r="D46" s="112" t="s">
        <v>3490</v>
      </c>
      <c r="E46" s="112" t="s">
        <v>3258</v>
      </c>
      <c r="F46" s="112" t="s">
        <v>3469</v>
      </c>
      <c r="G46" s="112" t="s">
        <v>3287</v>
      </c>
      <c r="H46" s="116" t="str">
        <f>Settings!$B$3&amp;".mit.t2.mort"</f>
        <v>egy.mit.t2.mort</v>
      </c>
      <c r="L46" s="149">
        <f>IF($D$15="-",0,INDEX(CPAT_National!L$6:L$133,MATCH($G46&amp;"|"&amp;$D$15,CPAT_National!$B$6:$B$133,0)))</f>
        <v>0</v>
      </c>
      <c r="M46" s="149">
        <f>IF($D$15="-",0,INDEX(CPAT_National!M$6:M$133,MATCH($G46&amp;"|"&amp;$D$15,CPAT_National!$B$6:$B$133,0)))</f>
        <v>0</v>
      </c>
      <c r="N46" s="149">
        <f>IF($D$15="-",0,INDEX(CPAT_National!N$6:N$133,MATCH($G46&amp;"|"&amp;$D$15,CPAT_National!$B$6:$B$133,0)))</f>
        <v>0</v>
      </c>
      <c r="O46" s="149">
        <f>IF($D$15="-",0,INDEX(CPAT_National!O$6:O$133,MATCH($G46&amp;"|"&amp;$D$15,CPAT_National!$B$6:$B$133,0)))</f>
        <v>0</v>
      </c>
      <c r="P46" s="149">
        <f>IF($D$15="-",0,INDEX(CPAT_National!P$6:P$133,MATCH($G46&amp;"|"&amp;$D$15,CPAT_National!$B$6:$B$133,0)))</f>
        <v>0</v>
      </c>
      <c r="Q46" s="149">
        <f>IF($D$15="-",0,INDEX(CPAT_National!Q$6:Q$133,MATCH($G46&amp;"|"&amp;$D$15,CPAT_National!$B$6:$B$133,0)))</f>
        <v>0</v>
      </c>
      <c r="R46" s="149">
        <f>IF($D$15="-",0,INDEX(CPAT_National!R$6:R$133,MATCH($G46&amp;"|"&amp;$D$15,CPAT_National!$B$6:$B$133,0)))</f>
        <v>0</v>
      </c>
      <c r="S46" s="149">
        <f>IF($D$15="-",0,INDEX(CPAT_National!S$6:S$133,MATCH($G46&amp;"|"&amp;$D$15,CPAT_National!$B$6:$B$133,0)))</f>
        <v>0</v>
      </c>
      <c r="T46" s="149">
        <f>IF($D$15="-",0,INDEX(CPAT_National!T$6:T$133,MATCH($G46&amp;"|"&amp;$D$15,CPAT_National!$B$6:$B$133,0)))</f>
        <v>0</v>
      </c>
      <c r="U46" s="149">
        <f>IF($D$15="-",0,INDEX(CPAT_National!U$6:U$133,MATCH($G46&amp;"|"&amp;$D$15,CPAT_National!$B$6:$B$133,0)))</f>
        <v>0</v>
      </c>
      <c r="V46" s="149">
        <f>IF($D$15="-",0,INDEX(CPAT_National!V$6:V$133,MATCH($G46&amp;"|"&amp;$D$15,CPAT_National!$B$6:$B$133,0)))</f>
        <v>0</v>
      </c>
      <c r="W46" s="149">
        <f>IF($D$15="-",0,INDEX(CPAT_National!W$6:W$133,MATCH($G46&amp;"|"&amp;$D$15,CPAT_National!$B$6:$B$133,0)))</f>
        <v>0</v>
      </c>
      <c r="X46" s="149">
        <f>IF($D$15="-",0,INDEX(CPAT_National!X$6:X$133,MATCH($G46&amp;"|"&amp;$D$15,CPAT_National!$B$6:$B$133,0)))</f>
        <v>0</v>
      </c>
      <c r="Y46" s="149">
        <f>IF($D$15="-",0,INDEX(CPAT_National!Y$6:Y$133,MATCH($G46&amp;"|"&amp;$D$15,CPAT_National!$B$6:$B$133,0)))</f>
        <v>0</v>
      </c>
      <c r="Z46" s="149">
        <f>IF($D$15="-",0,INDEX(CPAT_National!Z$6:Z$133,MATCH($G46&amp;"|"&amp;$D$15,CPAT_National!$B$6:$B$133,0)))</f>
        <v>0</v>
      </c>
      <c r="AA46" s="149">
        <f>IF($D$15="-",0,INDEX(CPAT_National!AA$6:AA$133,MATCH($G46&amp;"|"&amp;$D$15,CPAT_National!$B$6:$B$133,0)))</f>
        <v>0</v>
      </c>
      <c r="AB46" s="149">
        <f>IF($D$15="-",0,INDEX(CPAT_National!AB$6:AB$133,MATCH($G46&amp;"|"&amp;$D$15,CPAT_National!$B$6:$B$133,0)))</f>
        <v>0</v>
      </c>
      <c r="AC46" s="149">
        <f>IF($D$15="-",0,INDEX(CPAT_National!AC$6:AC$133,MATCH($G46&amp;"|"&amp;$D$15,CPAT_National!$B$6:$B$133,0)))</f>
        <v>0</v>
      </c>
      <c r="AD46" s="149">
        <f>IF($D$15="-",0,INDEX(CPAT_National!AD$6:AD$133,MATCH($G46&amp;"|"&amp;$D$15,CPAT_National!$B$6:$B$133,0)))</f>
        <v>0</v>
      </c>
      <c r="AE46" s="149">
        <f>IF($D$15="-",0,INDEX(CPAT_National!AE$6:AE$133,MATCH($G46&amp;"|"&amp;$D$15,CPAT_National!$B$6:$B$133,0)))</f>
        <v>0</v>
      </c>
    </row>
    <row r="47" spans="2:31" x14ac:dyDescent="0.2">
      <c r="B47" s="112" t="s">
        <v>3491</v>
      </c>
      <c r="C47" s="112" t="s">
        <v>3467</v>
      </c>
      <c r="D47" s="112" t="s">
        <v>3492</v>
      </c>
      <c r="E47" s="112" t="s">
        <v>3400</v>
      </c>
      <c r="H47" s="116" t="str">
        <f>Settings!$B$3&amp;".mit.t2.revctax"</f>
        <v>egy.mit.t2.revctax</v>
      </c>
      <c r="I47" s="112" t="s">
        <v>3493</v>
      </c>
      <c r="L47" s="149">
        <f t="shared" ref="L47:AE47" si="0">SUM(L37:L42)</f>
        <v>0</v>
      </c>
      <c r="M47" s="149">
        <f t="shared" si="0"/>
        <v>0</v>
      </c>
      <c r="N47" s="149">
        <f t="shared" si="0"/>
        <v>0</v>
      </c>
      <c r="O47" s="149">
        <f t="shared" si="0"/>
        <v>0</v>
      </c>
      <c r="P47" s="149">
        <f t="shared" si="0"/>
        <v>0</v>
      </c>
      <c r="Q47" s="149">
        <f t="shared" si="0"/>
        <v>0</v>
      </c>
      <c r="R47" s="149">
        <f t="shared" si="0"/>
        <v>0</v>
      </c>
      <c r="S47" s="149">
        <f t="shared" si="0"/>
        <v>0</v>
      </c>
      <c r="T47" s="149">
        <f t="shared" si="0"/>
        <v>0</v>
      </c>
      <c r="U47" s="149">
        <f t="shared" si="0"/>
        <v>0</v>
      </c>
      <c r="V47" s="149">
        <f t="shared" si="0"/>
        <v>0</v>
      </c>
      <c r="W47" s="149">
        <f t="shared" si="0"/>
        <v>0</v>
      </c>
      <c r="X47" s="149">
        <f t="shared" si="0"/>
        <v>0</v>
      </c>
      <c r="Y47" s="149">
        <f t="shared" si="0"/>
        <v>0</v>
      </c>
      <c r="Z47" s="149">
        <f t="shared" si="0"/>
        <v>0</v>
      </c>
      <c r="AA47" s="149">
        <f t="shared" si="0"/>
        <v>0</v>
      </c>
      <c r="AB47" s="149">
        <f t="shared" si="0"/>
        <v>0</v>
      </c>
      <c r="AC47" s="149">
        <f t="shared" si="0"/>
        <v>0</v>
      </c>
      <c r="AD47" s="149">
        <f t="shared" si="0"/>
        <v>0</v>
      </c>
      <c r="AE47" s="149">
        <f t="shared" si="0"/>
        <v>0</v>
      </c>
    </row>
    <row r="48" spans="2:31" x14ac:dyDescent="0.2">
      <c r="B48" s="112" t="s">
        <v>3491</v>
      </c>
      <c r="C48" s="112" t="s">
        <v>3467</v>
      </c>
      <c r="D48" s="112" t="s">
        <v>3494</v>
      </c>
      <c r="E48" s="112" t="s">
        <v>3258</v>
      </c>
      <c r="H48" s="116" t="str">
        <f>Settings!$B$3&amp;".mit.t2.deaths"</f>
        <v>egy.mit.t2.deaths</v>
      </c>
      <c r="I48" s="112" t="s">
        <v>3495</v>
      </c>
      <c r="L48" s="149">
        <f t="shared" ref="L48:AE48" si="1">SUM(L43:L45)</f>
        <v>0</v>
      </c>
      <c r="M48" s="149">
        <f t="shared" si="1"/>
        <v>0</v>
      </c>
      <c r="N48" s="149">
        <f t="shared" si="1"/>
        <v>0</v>
      </c>
      <c r="O48" s="149">
        <f t="shared" si="1"/>
        <v>0</v>
      </c>
      <c r="P48" s="149">
        <f t="shared" si="1"/>
        <v>0</v>
      </c>
      <c r="Q48" s="149">
        <f t="shared" si="1"/>
        <v>0</v>
      </c>
      <c r="R48" s="149">
        <f t="shared" si="1"/>
        <v>0</v>
      </c>
      <c r="S48" s="149">
        <f t="shared" si="1"/>
        <v>0</v>
      </c>
      <c r="T48" s="149">
        <f t="shared" si="1"/>
        <v>0</v>
      </c>
      <c r="U48" s="149">
        <f t="shared" si="1"/>
        <v>0</v>
      </c>
      <c r="V48" s="149">
        <f t="shared" si="1"/>
        <v>0</v>
      </c>
      <c r="W48" s="149">
        <f t="shared" si="1"/>
        <v>0</v>
      </c>
      <c r="X48" s="149">
        <f t="shared" si="1"/>
        <v>0</v>
      </c>
      <c r="Y48" s="149">
        <f t="shared" si="1"/>
        <v>0</v>
      </c>
      <c r="Z48" s="149">
        <f t="shared" si="1"/>
        <v>0</v>
      </c>
      <c r="AA48" s="149">
        <f t="shared" si="1"/>
        <v>0</v>
      </c>
      <c r="AB48" s="149">
        <f t="shared" si="1"/>
        <v>0</v>
      </c>
      <c r="AC48" s="149">
        <f t="shared" si="1"/>
        <v>0</v>
      </c>
      <c r="AD48" s="149">
        <f t="shared" si="1"/>
        <v>0</v>
      </c>
      <c r="AE48" s="149">
        <f t="shared" si="1"/>
        <v>0</v>
      </c>
    </row>
    <row r="49" spans="1:35" x14ac:dyDescent="0.2">
      <c r="B49" s="112" t="s">
        <v>3491</v>
      </c>
      <c r="C49" s="112" t="s">
        <v>3467</v>
      </c>
      <c r="D49" s="112" t="s">
        <v>3496</v>
      </c>
      <c r="E49" s="112" t="s">
        <v>1852</v>
      </c>
      <c r="H49" s="116" t="str">
        <f>Settings!$B$3&amp;".mit.t2.dghg"</f>
        <v>egy.mit.t2.dghg</v>
      </c>
      <c r="L49" s="149">
        <f t="shared" ref="L49:AE49" si="2">L26-L25</f>
        <v>0</v>
      </c>
      <c r="M49" s="149">
        <f t="shared" si="2"/>
        <v>0</v>
      </c>
      <c r="N49" s="149">
        <f t="shared" si="2"/>
        <v>0</v>
      </c>
      <c r="O49" s="149">
        <f t="shared" si="2"/>
        <v>0</v>
      </c>
      <c r="P49" s="149">
        <f t="shared" si="2"/>
        <v>0</v>
      </c>
      <c r="Q49" s="149">
        <f t="shared" si="2"/>
        <v>0</v>
      </c>
      <c r="R49" s="149">
        <f t="shared" si="2"/>
        <v>0</v>
      </c>
      <c r="S49" s="149">
        <f t="shared" si="2"/>
        <v>0</v>
      </c>
      <c r="T49" s="149">
        <f t="shared" si="2"/>
        <v>0</v>
      </c>
      <c r="U49" s="149">
        <f t="shared" si="2"/>
        <v>0</v>
      </c>
      <c r="V49" s="149">
        <f t="shared" si="2"/>
        <v>0</v>
      </c>
      <c r="W49" s="149">
        <f t="shared" si="2"/>
        <v>0</v>
      </c>
      <c r="X49" s="149">
        <f t="shared" si="2"/>
        <v>0</v>
      </c>
      <c r="Y49" s="149">
        <f t="shared" si="2"/>
        <v>0</v>
      </c>
      <c r="Z49" s="149">
        <f t="shared" si="2"/>
        <v>0</v>
      </c>
      <c r="AA49" s="149">
        <f t="shared" si="2"/>
        <v>0</v>
      </c>
      <c r="AB49" s="149">
        <f t="shared" si="2"/>
        <v>0</v>
      </c>
      <c r="AC49" s="149">
        <f t="shared" si="2"/>
        <v>0</v>
      </c>
      <c r="AD49" s="149">
        <f t="shared" si="2"/>
        <v>0</v>
      </c>
      <c r="AE49" s="149">
        <f t="shared" si="2"/>
        <v>0</v>
      </c>
    </row>
    <row r="50" spans="1:35" x14ac:dyDescent="0.2">
      <c r="B50" s="112" t="s">
        <v>3491</v>
      </c>
      <c r="C50" s="112" t="s">
        <v>3467</v>
      </c>
      <c r="D50" s="112" t="s">
        <v>3497</v>
      </c>
      <c r="E50" s="112" t="s">
        <v>1852</v>
      </c>
      <c r="H50" s="116" t="str">
        <f>Settings!$B$3&amp;".mit.t2.dipr"</f>
        <v>egy.mit.t2.dipr</v>
      </c>
      <c r="I50" s="112" t="s">
        <v>3498</v>
      </c>
      <c r="L50" s="149">
        <f t="shared" ref="L50:AE50" si="3">L28-L27</f>
        <v>0</v>
      </c>
      <c r="M50" s="149">
        <f t="shared" si="3"/>
        <v>0</v>
      </c>
      <c r="N50" s="149">
        <f t="shared" si="3"/>
        <v>0</v>
      </c>
      <c r="O50" s="149">
        <f t="shared" si="3"/>
        <v>0</v>
      </c>
      <c r="P50" s="149">
        <f t="shared" si="3"/>
        <v>0</v>
      </c>
      <c r="Q50" s="149">
        <f t="shared" si="3"/>
        <v>0</v>
      </c>
      <c r="R50" s="149">
        <f t="shared" si="3"/>
        <v>0</v>
      </c>
      <c r="S50" s="149">
        <f t="shared" si="3"/>
        <v>0</v>
      </c>
      <c r="T50" s="149">
        <f t="shared" si="3"/>
        <v>0</v>
      </c>
      <c r="U50" s="149">
        <f t="shared" si="3"/>
        <v>0</v>
      </c>
      <c r="V50" s="149">
        <f t="shared" si="3"/>
        <v>0</v>
      </c>
      <c r="W50" s="149">
        <f t="shared" si="3"/>
        <v>0</v>
      </c>
      <c r="X50" s="149">
        <f t="shared" si="3"/>
        <v>0</v>
      </c>
      <c r="Y50" s="149">
        <f t="shared" si="3"/>
        <v>0</v>
      </c>
      <c r="Z50" s="149">
        <f t="shared" si="3"/>
        <v>0</v>
      </c>
      <c r="AA50" s="149">
        <f t="shared" si="3"/>
        <v>0</v>
      </c>
      <c r="AB50" s="149">
        <f t="shared" si="3"/>
        <v>0</v>
      </c>
      <c r="AC50" s="149">
        <f t="shared" si="3"/>
        <v>0</v>
      </c>
      <c r="AD50" s="149">
        <f t="shared" si="3"/>
        <v>0</v>
      </c>
      <c r="AE50" s="149">
        <f t="shared" si="3"/>
        <v>0</v>
      </c>
    </row>
    <row r="51" spans="1:35" x14ac:dyDescent="0.2">
      <c r="B51" s="112" t="s">
        <v>3491</v>
      </c>
      <c r="C51" s="112" t="s">
        <v>3467</v>
      </c>
      <c r="D51" s="112" t="s">
        <v>3499</v>
      </c>
      <c r="E51" s="112" t="s">
        <v>2065</v>
      </c>
      <c r="H51" s="116" t="str">
        <f>Settings!$B$3&amp;".mit.t2.denr"</f>
        <v>egy.mit.t2.denr</v>
      </c>
      <c r="L51" s="149">
        <f t="shared" ref="L51:AE51" si="4">L30-L29</f>
        <v>0</v>
      </c>
      <c r="M51" s="149">
        <f t="shared" si="4"/>
        <v>0</v>
      </c>
      <c r="N51" s="149">
        <f t="shared" si="4"/>
        <v>0</v>
      </c>
      <c r="O51" s="149">
        <f t="shared" si="4"/>
        <v>0</v>
      </c>
      <c r="P51" s="149">
        <f t="shared" si="4"/>
        <v>0</v>
      </c>
      <c r="Q51" s="149">
        <f t="shared" si="4"/>
        <v>0</v>
      </c>
      <c r="R51" s="149">
        <f t="shared" si="4"/>
        <v>0</v>
      </c>
      <c r="S51" s="149">
        <f t="shared" si="4"/>
        <v>0</v>
      </c>
      <c r="T51" s="149">
        <f t="shared" si="4"/>
        <v>0</v>
      </c>
      <c r="U51" s="149">
        <f t="shared" si="4"/>
        <v>0</v>
      </c>
      <c r="V51" s="149">
        <f t="shared" si="4"/>
        <v>0</v>
      </c>
      <c r="W51" s="149">
        <f t="shared" si="4"/>
        <v>0</v>
      </c>
      <c r="X51" s="149">
        <f t="shared" si="4"/>
        <v>0</v>
      </c>
      <c r="Y51" s="149">
        <f t="shared" si="4"/>
        <v>0</v>
      </c>
      <c r="Z51" s="149">
        <f t="shared" si="4"/>
        <v>0</v>
      </c>
      <c r="AA51" s="149">
        <f t="shared" si="4"/>
        <v>0</v>
      </c>
      <c r="AB51" s="149">
        <f t="shared" si="4"/>
        <v>0</v>
      </c>
      <c r="AC51" s="149">
        <f t="shared" si="4"/>
        <v>0</v>
      </c>
      <c r="AD51" s="149">
        <f t="shared" si="4"/>
        <v>0</v>
      </c>
      <c r="AE51" s="149">
        <f t="shared" si="4"/>
        <v>0</v>
      </c>
    </row>
    <row r="52" spans="1:35" x14ac:dyDescent="0.2">
      <c r="B52" s="112" t="s">
        <v>3491</v>
      </c>
      <c r="C52" s="112" t="s">
        <v>3467</v>
      </c>
      <c r="D52" s="112" t="s">
        <v>3500</v>
      </c>
      <c r="E52" s="112" t="s">
        <v>2065</v>
      </c>
      <c r="H52" s="116" t="str">
        <f>Settings!$B$3&amp;".mit.t2.dind"</f>
        <v>egy.mit.t2.dind</v>
      </c>
      <c r="L52" s="149">
        <f t="shared" ref="L52:AE52" si="5">L32-L31</f>
        <v>0</v>
      </c>
      <c r="M52" s="149">
        <f t="shared" si="5"/>
        <v>0</v>
      </c>
      <c r="N52" s="149">
        <f t="shared" si="5"/>
        <v>0</v>
      </c>
      <c r="O52" s="149">
        <f t="shared" si="5"/>
        <v>0</v>
      </c>
      <c r="P52" s="149">
        <f t="shared" si="5"/>
        <v>0</v>
      </c>
      <c r="Q52" s="149">
        <f t="shared" si="5"/>
        <v>0</v>
      </c>
      <c r="R52" s="149">
        <f t="shared" si="5"/>
        <v>0</v>
      </c>
      <c r="S52" s="149">
        <f t="shared" si="5"/>
        <v>0</v>
      </c>
      <c r="T52" s="149">
        <f t="shared" si="5"/>
        <v>0</v>
      </c>
      <c r="U52" s="149">
        <f t="shared" si="5"/>
        <v>0</v>
      </c>
      <c r="V52" s="149">
        <f t="shared" si="5"/>
        <v>0</v>
      </c>
      <c r="W52" s="149">
        <f t="shared" si="5"/>
        <v>0</v>
      </c>
      <c r="X52" s="149">
        <f t="shared" si="5"/>
        <v>0</v>
      </c>
      <c r="Y52" s="149">
        <f t="shared" si="5"/>
        <v>0</v>
      </c>
      <c r="Z52" s="149">
        <f t="shared" si="5"/>
        <v>0</v>
      </c>
      <c r="AA52" s="149">
        <f t="shared" si="5"/>
        <v>0</v>
      </c>
      <c r="AB52" s="149">
        <f t="shared" si="5"/>
        <v>0</v>
      </c>
      <c r="AC52" s="149">
        <f t="shared" si="5"/>
        <v>0</v>
      </c>
      <c r="AD52" s="149">
        <f t="shared" si="5"/>
        <v>0</v>
      </c>
      <c r="AE52" s="149">
        <f t="shared" si="5"/>
        <v>0</v>
      </c>
    </row>
    <row r="53" spans="1:35" x14ac:dyDescent="0.2">
      <c r="B53" s="112" t="s">
        <v>3491</v>
      </c>
      <c r="C53" s="112" t="s">
        <v>3467</v>
      </c>
      <c r="D53" s="112" t="s">
        <v>3501</v>
      </c>
      <c r="E53" s="112" t="s">
        <v>3400</v>
      </c>
      <c r="H53" s="116" t="str">
        <f>Settings!$B$3&amp;".mit.t2.drev"</f>
        <v>egy.mit.t2.drev</v>
      </c>
      <c r="L53" s="149">
        <f t="shared" ref="L53:AE53" si="6">L36-L35</f>
        <v>0</v>
      </c>
      <c r="M53" s="149">
        <f t="shared" si="6"/>
        <v>0</v>
      </c>
      <c r="N53" s="149">
        <f t="shared" si="6"/>
        <v>0</v>
      </c>
      <c r="O53" s="149">
        <f t="shared" si="6"/>
        <v>0</v>
      </c>
      <c r="P53" s="149">
        <f t="shared" si="6"/>
        <v>0</v>
      </c>
      <c r="Q53" s="149">
        <f t="shared" si="6"/>
        <v>0</v>
      </c>
      <c r="R53" s="149">
        <f t="shared" si="6"/>
        <v>0</v>
      </c>
      <c r="S53" s="149">
        <f t="shared" si="6"/>
        <v>0</v>
      </c>
      <c r="T53" s="149">
        <f t="shared" si="6"/>
        <v>0</v>
      </c>
      <c r="U53" s="149">
        <f t="shared" si="6"/>
        <v>0</v>
      </c>
      <c r="V53" s="149">
        <f t="shared" si="6"/>
        <v>0</v>
      </c>
      <c r="W53" s="149">
        <f t="shared" si="6"/>
        <v>0</v>
      </c>
      <c r="X53" s="149">
        <f t="shared" si="6"/>
        <v>0</v>
      </c>
      <c r="Y53" s="149">
        <f t="shared" si="6"/>
        <v>0</v>
      </c>
      <c r="Z53" s="149">
        <f t="shared" si="6"/>
        <v>0</v>
      </c>
      <c r="AA53" s="149">
        <f t="shared" si="6"/>
        <v>0</v>
      </c>
      <c r="AB53" s="149">
        <f t="shared" si="6"/>
        <v>0</v>
      </c>
      <c r="AC53" s="149">
        <f t="shared" si="6"/>
        <v>0</v>
      </c>
      <c r="AD53" s="149">
        <f t="shared" si="6"/>
        <v>0</v>
      </c>
      <c r="AE53" s="149">
        <f t="shared" si="6"/>
        <v>0</v>
      </c>
    </row>
    <row r="54" spans="1:35" x14ac:dyDescent="0.2">
      <c r="B54" s="112" t="s">
        <v>3649</v>
      </c>
      <c r="C54" s="112" t="s">
        <v>3467</v>
      </c>
      <c r="D54" s="112" t="s">
        <v>3650</v>
      </c>
      <c r="E54" s="112" t="s">
        <v>79</v>
      </c>
      <c r="F54" s="112" t="s">
        <v>3651</v>
      </c>
      <c r="H54" s="116" t="str">
        <f>Settings!$B$3&amp;".mit.t2.kap"</f>
        <v>egy.mit.t2.kap</v>
      </c>
      <c r="L54" s="149">
        <f t="shared" ref="L54:AE54" si="7">IF(OR($D$15="-",$D$16="All sectors"),1,IF(OR(L33=0,L31=0),1,MIN(1,L34/L33*L29/L31)))</f>
        <v>1</v>
      </c>
      <c r="M54" s="149">
        <f t="shared" si="7"/>
        <v>1</v>
      </c>
      <c r="N54" s="149">
        <f t="shared" si="7"/>
        <v>1</v>
      </c>
      <c r="O54" s="149">
        <f t="shared" si="7"/>
        <v>1</v>
      </c>
      <c r="P54" s="149">
        <f t="shared" si="7"/>
        <v>1</v>
      </c>
      <c r="Q54" s="149">
        <f t="shared" si="7"/>
        <v>1</v>
      </c>
      <c r="R54" s="149">
        <f t="shared" si="7"/>
        <v>1</v>
      </c>
      <c r="S54" s="149">
        <f t="shared" si="7"/>
        <v>1</v>
      </c>
      <c r="T54" s="149">
        <f t="shared" si="7"/>
        <v>1</v>
      </c>
      <c r="U54" s="149">
        <f t="shared" si="7"/>
        <v>1</v>
      </c>
      <c r="V54" s="149">
        <f t="shared" si="7"/>
        <v>1</v>
      </c>
      <c r="W54" s="149">
        <f t="shared" si="7"/>
        <v>1</v>
      </c>
      <c r="X54" s="149">
        <f t="shared" si="7"/>
        <v>1</v>
      </c>
      <c r="Y54" s="149">
        <f t="shared" si="7"/>
        <v>1</v>
      </c>
      <c r="Z54" s="149">
        <f t="shared" si="7"/>
        <v>1</v>
      </c>
      <c r="AA54" s="149">
        <f t="shared" si="7"/>
        <v>1</v>
      </c>
      <c r="AB54" s="149">
        <f t="shared" si="7"/>
        <v>1</v>
      </c>
      <c r="AC54" s="149">
        <f t="shared" si="7"/>
        <v>1</v>
      </c>
      <c r="AD54" s="149">
        <f t="shared" si="7"/>
        <v>1</v>
      </c>
      <c r="AE54" s="149">
        <f t="shared" si="7"/>
        <v>1</v>
      </c>
    </row>
    <row r="56" spans="1:35" customFormat="1" ht="18" customHeight="1" x14ac:dyDescent="0.25">
      <c r="A56" s="8"/>
      <c r="B56" s="9" t="s">
        <v>3502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5" x14ac:dyDescent="0.2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2">
      <c r="B59" s="112" t="s">
        <v>3147</v>
      </c>
      <c r="C59" s="112" t="s">
        <v>4</v>
      </c>
      <c r="D59" s="112" t="s">
        <v>3652</v>
      </c>
      <c r="E59" s="112" t="s">
        <v>2065</v>
      </c>
      <c r="F59" s="112" t="s">
        <v>3654</v>
      </c>
      <c r="H59" s="116" t="str">
        <f>Settings!$B$3&amp;".mit.t2.ek1"</f>
        <v>egy.mit.t2.ek1</v>
      </c>
      <c r="L59" s="118">
        <f>MAX(IPPU_Industry!L51,IPPU_Industry!L52)+MAX(IPPU_Industry!L56,IPPU_Industry!L57)+MAX(IPPU_Industry!L61,IPPU_Industry!L62)+MAX(IPPU_Industry!L66,IPPU_Industry!L67)</f>
        <v>20.83918407271338</v>
      </c>
      <c r="M59" s="118">
        <f>MAX(IPPU_Industry!M51,IPPU_Industry!M52)+MAX(IPPU_Industry!M56,IPPU_Industry!M57)+MAX(IPPU_Industry!M61,IPPU_Industry!M62)+MAX(IPPU_Industry!M66,IPPU_Industry!M67)</f>
        <v>20.67721507612675</v>
      </c>
      <c r="N59" s="118">
        <f>MAX(IPPU_Industry!N51,IPPU_Industry!N52)+MAX(IPPU_Industry!N56,IPPU_Industry!N57)+MAX(IPPU_Industry!N61,IPPU_Industry!N62)+MAX(IPPU_Industry!N66,IPPU_Industry!N67)</f>
        <v>21.697764570821519</v>
      </c>
      <c r="O59" s="118">
        <f>MAX(IPPU_Industry!O51,IPPU_Industry!O52)+MAX(IPPU_Industry!O56,IPPU_Industry!O57)+MAX(IPPU_Industry!O61,IPPU_Industry!O62)+MAX(IPPU_Industry!O66,IPPU_Industry!O67)</f>
        <v>22.469646316251197</v>
      </c>
      <c r="P59" s="118">
        <f>MAX(IPPU_Industry!P51,IPPU_Industry!P52)+MAX(IPPU_Industry!P56,IPPU_Industry!P57)+MAX(IPPU_Industry!P61,IPPU_Industry!P62)+MAX(IPPU_Industry!P66,IPPU_Industry!P67)</f>
        <v>23.158920073315894</v>
      </c>
      <c r="Q59" s="118">
        <f>MAX(IPPU_Industry!Q51,IPPU_Industry!Q52)+MAX(IPPU_Industry!Q56,IPPU_Industry!Q57)+MAX(IPPU_Industry!Q61,IPPU_Industry!Q62)+MAX(IPPU_Industry!Q66,IPPU_Industry!Q67)</f>
        <v>23.923701807803141</v>
      </c>
      <c r="R59" s="118">
        <f>MAX(IPPU_Industry!R51,IPPU_Industry!R52)+MAX(IPPU_Industry!R56,IPPU_Industry!R57)+MAX(IPPU_Industry!R61,IPPU_Industry!R62)+MAX(IPPU_Industry!R66,IPPU_Industry!R67)</f>
        <v>24.755087383944943</v>
      </c>
      <c r="S59" s="118">
        <f>MAX(IPPU_Industry!S51,IPPU_Industry!S52)+MAX(IPPU_Industry!S56,IPPU_Industry!S57)+MAX(IPPU_Industry!S61,IPPU_Industry!S62)+MAX(IPPU_Industry!S66,IPPU_Industry!S67)</f>
        <v>25.60028920327699</v>
      </c>
      <c r="T59" s="118">
        <f>MAX(IPPU_Industry!T51,IPPU_Industry!T52)+MAX(IPPU_Industry!T56,IPPU_Industry!T57)+MAX(IPPU_Industry!T61,IPPU_Industry!T62)+MAX(IPPU_Industry!T66,IPPU_Industry!T67)</f>
        <v>26.455270599905141</v>
      </c>
      <c r="U59" s="118">
        <f>MAX(IPPU_Industry!U51,IPPU_Industry!U52)+MAX(IPPU_Industry!U56,IPPU_Industry!U57)+MAX(IPPU_Industry!U61,IPPU_Industry!U62)+MAX(IPPU_Industry!U66,IPPU_Industry!U67)</f>
        <v>27.335317560789679</v>
      </c>
      <c r="V59" s="118">
        <f>MAX(IPPU_Industry!V51,IPPU_Industry!V52)+MAX(IPPU_Industry!V56,IPPU_Industry!V57)+MAX(IPPU_Industry!V61,IPPU_Industry!V62)+MAX(IPPU_Industry!V66,IPPU_Industry!V67)</f>
        <v>28.237220842576157</v>
      </c>
      <c r="W59" s="118">
        <f>MAX(IPPU_Industry!W51,IPPU_Industry!W52)+MAX(IPPU_Industry!W56,IPPU_Industry!W57)+MAX(IPPU_Industry!W61,IPPU_Industry!W62)+MAX(IPPU_Industry!W66,IPPU_Industry!W67)</f>
        <v>29.166255480282349</v>
      </c>
      <c r="X59" s="118">
        <f>MAX(IPPU_Industry!X51,IPPU_Industry!X52)+MAX(IPPU_Industry!X56,IPPU_Industry!X57)+MAX(IPPU_Industry!X61,IPPU_Industry!X62)+MAX(IPPU_Industry!X66,IPPU_Industry!X67)</f>
        <v>30.123149765366598</v>
      </c>
      <c r="Y59" s="118">
        <f>MAX(IPPU_Industry!Y51,IPPU_Industry!Y52)+MAX(IPPU_Industry!Y56,IPPU_Industry!Y57)+MAX(IPPU_Industry!Y61,IPPU_Industry!Y62)+MAX(IPPU_Industry!Y66,IPPU_Industry!Y67)</f>
        <v>31.108652858750965</v>
      </c>
      <c r="Z59" s="118">
        <f>MAX(IPPU_Industry!Z51,IPPU_Industry!Z52)+MAX(IPPU_Industry!Z56,IPPU_Industry!Z57)+MAX(IPPU_Industry!Z61,IPPU_Industry!Z62)+MAX(IPPU_Industry!Z66,IPPU_Industry!Z67)</f>
        <v>32.123535534910978</v>
      </c>
      <c r="AA59" s="118">
        <f>MAX(IPPU_Industry!AA51,IPPU_Industry!AA52)+MAX(IPPU_Industry!AA56,IPPU_Industry!AA57)+MAX(IPPU_Industry!AA61,IPPU_Industry!AA62)+MAX(IPPU_Industry!AA66,IPPU_Industry!AA67)</f>
        <v>33.168590944993802</v>
      </c>
      <c r="AB59" s="118">
        <f>MAX(IPPU_Industry!AB51,IPPU_Industry!AB52)+MAX(IPPU_Industry!AB56,IPPU_Industry!AB57)+MAX(IPPU_Industry!AB61,IPPU_Industry!AB62)+MAX(IPPU_Industry!AB66,IPPU_Industry!AB67)</f>
        <v>34.244635399359936</v>
      </c>
      <c r="AC59" s="118">
        <f>MAX(IPPU_Industry!AC51,IPPU_Industry!AC52)+MAX(IPPU_Industry!AC56,IPPU_Industry!AC57)+MAX(IPPU_Industry!AC61,IPPU_Industry!AC62)+MAX(IPPU_Industry!AC66,IPPU_Industry!AC67)</f>
        <v>35.352509169996772</v>
      </c>
      <c r="AD59" s="118">
        <f>MAX(IPPU_Industry!AD51,IPPU_Industry!AD52)+MAX(IPPU_Industry!AD56,IPPU_Industry!AD57)+MAX(IPPU_Industry!AD61,IPPU_Industry!AD62)+MAX(IPPU_Industry!AD66,IPPU_Industry!AD67)</f>
        <v>36.493077313305449</v>
      </c>
      <c r="AE59" s="118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2">
      <c r="B60" s="112" t="s">
        <v>3147</v>
      </c>
      <c r="C60" s="112" t="s">
        <v>4</v>
      </c>
      <c r="D60" s="112" t="s">
        <v>3653</v>
      </c>
      <c r="E60" s="112" t="s">
        <v>2065</v>
      </c>
      <c r="F60" s="112" t="s">
        <v>3655</v>
      </c>
      <c r="H60" s="116" t="str">
        <f>Settings!$B$3&amp;".mit.t2.ek2"</f>
        <v>egy.mit.t2.ek2</v>
      </c>
      <c r="L60" s="118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18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18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18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18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18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18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18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18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18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18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18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18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18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18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18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18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18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18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18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2">
      <c r="B61" s="112" t="s">
        <v>3147</v>
      </c>
      <c r="C61" s="112" t="s">
        <v>4</v>
      </c>
      <c r="D61" s="112" t="s">
        <v>3503</v>
      </c>
      <c r="E61" s="112" t="s">
        <v>2065</v>
      </c>
      <c r="H61" s="116" t="str">
        <f>Settings!$B$3&amp;".mit.t2.dek"</f>
        <v>egy.mit.t2.dek</v>
      </c>
      <c r="L61" s="118">
        <f t="shared" ref="L61:AE61" si="8">L60-L59</f>
        <v>0</v>
      </c>
      <c r="M61" s="118">
        <f t="shared" si="8"/>
        <v>0</v>
      </c>
      <c r="N61" s="118">
        <f t="shared" si="8"/>
        <v>0</v>
      </c>
      <c r="O61" s="118">
        <f t="shared" si="8"/>
        <v>0</v>
      </c>
      <c r="P61" s="118">
        <f t="shared" si="8"/>
        <v>0</v>
      </c>
      <c r="Q61" s="118">
        <f t="shared" si="8"/>
        <v>-1.8034823734254672</v>
      </c>
      <c r="R61" s="118">
        <f t="shared" si="8"/>
        <v>-3.4038282715434818</v>
      </c>
      <c r="S61" s="118">
        <f t="shared" si="8"/>
        <v>-4.8656915372554792</v>
      </c>
      <c r="T61" s="118">
        <f t="shared" si="8"/>
        <v>-6.2225478602626296</v>
      </c>
      <c r="U61" s="118">
        <f t="shared" si="8"/>
        <v>-7.5066267443782131</v>
      </c>
      <c r="V61" s="118">
        <f t="shared" si="8"/>
        <v>-8.7157186760409893</v>
      </c>
      <c r="W61" s="118">
        <f t="shared" si="8"/>
        <v>-9.8758285091552231</v>
      </c>
      <c r="X61" s="118">
        <f t="shared" si="8"/>
        <v>-10.996332382813595</v>
      </c>
      <c r="Y61" s="118">
        <f t="shared" si="8"/>
        <v>-12.083160385890309</v>
      </c>
      <c r="Z61" s="118">
        <f t="shared" si="8"/>
        <v>-13.1383314216598</v>
      </c>
      <c r="AA61" s="118">
        <f t="shared" si="8"/>
        <v>-14.165699701689586</v>
      </c>
      <c r="AB61" s="118">
        <f t="shared" si="8"/>
        <v>-15.169163772360289</v>
      </c>
      <c r="AC61" s="118">
        <f t="shared" si="8"/>
        <v>-16.15454877901696</v>
      </c>
      <c r="AD61" s="118">
        <f t="shared" si="8"/>
        <v>-17.126796024833798</v>
      </c>
      <c r="AE61" s="118">
        <f t="shared" si="8"/>
        <v>-18.08974541351477</v>
      </c>
    </row>
    <row r="62" spans="1:35" x14ac:dyDescent="0.2">
      <c r="B62" s="112" t="s">
        <v>3147</v>
      </c>
      <c r="C62" s="112" t="s">
        <v>4</v>
      </c>
      <c r="D62" s="112" t="s">
        <v>3504</v>
      </c>
      <c r="E62" s="112" t="s">
        <v>2065</v>
      </c>
      <c r="F62" s="112" t="s">
        <v>3505</v>
      </c>
      <c r="H62" s="116" t="str">
        <f>Settings!$B$3&amp;".mit.t2.indx"</f>
        <v>egy.mit.t2.indx</v>
      </c>
      <c r="L62" s="118">
        <f>IPPU_Industry!L11</f>
        <v>59.804205879849356</v>
      </c>
      <c r="M62" s="118">
        <f>IPPU_Industry!M11</f>
        <v>48.931828957170424</v>
      </c>
      <c r="N62" s="118">
        <f>IPPU_Industry!N11</f>
        <v>57.158576789144817</v>
      </c>
      <c r="O62" s="118">
        <f>IPPU_Industry!O11</f>
        <v>63.720179343286866</v>
      </c>
      <c r="P62" s="118">
        <f>IPPU_Industry!P11</f>
        <v>61.946242160955606</v>
      </c>
      <c r="Q62" s="118">
        <f>IPPU_Industry!Q11</f>
        <v>67.559423563084593</v>
      </c>
      <c r="R62" s="118">
        <f>IPPU_Industry!R11</f>
        <v>70.271483517026113</v>
      </c>
      <c r="S62" s="118">
        <f>IPPU_Industry!S11</f>
        <v>72.898243967174636</v>
      </c>
      <c r="T62" s="118">
        <f>IPPU_Industry!T11</f>
        <v>75.384269563412914</v>
      </c>
      <c r="U62" s="118">
        <f>IPPU_Industry!U11</f>
        <v>77.910341033518762</v>
      </c>
      <c r="V62" s="118">
        <f>IPPU_Industry!V11</f>
        <v>80.451479009297159</v>
      </c>
      <c r="W62" s="118">
        <f>IPPU_Industry!W11</f>
        <v>83.040753204531725</v>
      </c>
      <c r="X62" s="118">
        <f>IPPU_Industry!X11</f>
        <v>85.677916059881724</v>
      </c>
      <c r="Y62" s="118">
        <f>IPPU_Industry!Y11</f>
        <v>88.362687782476257</v>
      </c>
      <c r="Z62" s="118">
        <f>IPPU_Industry!Z11</f>
        <v>91.094755740472323</v>
      </c>
      <c r="AA62" s="118">
        <f>IPPU_Industry!AA11</f>
        <v>93.873773761327016</v>
      </c>
      <c r="AB62" s="118">
        <f>IPPU_Industry!AB11</f>
        <v>96.699361329439938</v>
      </c>
      <c r="AC62" s="118">
        <f>IPPU_Industry!AC11</f>
        <v>99.571102679005023</v>
      </c>
      <c r="AD62" s="118">
        <f>IPPU_Industry!AD11</f>
        <v>102.4885457780901</v>
      </c>
      <c r="AE62" s="118">
        <f>IPPU_Industry!AE11</f>
        <v>105.45120120012244</v>
      </c>
    </row>
    <row r="63" spans="1:35" x14ac:dyDescent="0.2">
      <c r="B63" s="112" t="s">
        <v>3147</v>
      </c>
      <c r="C63" s="112" t="s">
        <v>4</v>
      </c>
      <c r="D63" s="112" t="s">
        <v>3506</v>
      </c>
      <c r="E63" s="112" t="s">
        <v>2065</v>
      </c>
      <c r="H63" s="116" t="str">
        <f>Settings!$B$3&amp;".mit.t2.nk1"</f>
        <v>egy.mit.t2.nk1</v>
      </c>
      <c r="L63" s="118">
        <f t="shared" ref="L63:AE63" si="9">L62-L59</f>
        <v>38.965021807135976</v>
      </c>
      <c r="M63" s="118">
        <f t="shared" si="9"/>
        <v>28.254613881043674</v>
      </c>
      <c r="N63" s="118">
        <f t="shared" si="9"/>
        <v>35.460812218323298</v>
      </c>
      <c r="O63" s="118">
        <f t="shared" si="9"/>
        <v>41.250533027035672</v>
      </c>
      <c r="P63" s="118">
        <f t="shared" si="9"/>
        <v>38.787322087639708</v>
      </c>
      <c r="Q63" s="118">
        <f t="shared" si="9"/>
        <v>43.635721755281452</v>
      </c>
      <c r="R63" s="118">
        <f t="shared" si="9"/>
        <v>45.516396133081173</v>
      </c>
      <c r="S63" s="118">
        <f t="shared" si="9"/>
        <v>47.29795476389765</v>
      </c>
      <c r="T63" s="118">
        <f t="shared" si="9"/>
        <v>48.928998963507773</v>
      </c>
      <c r="U63" s="118">
        <f t="shared" si="9"/>
        <v>50.575023472729086</v>
      </c>
      <c r="V63" s="118">
        <f t="shared" si="9"/>
        <v>52.214258166721002</v>
      </c>
      <c r="W63" s="118">
        <f t="shared" si="9"/>
        <v>53.87449772424938</v>
      </c>
      <c r="X63" s="118">
        <f t="shared" si="9"/>
        <v>55.554766294515126</v>
      </c>
      <c r="Y63" s="118">
        <f t="shared" si="9"/>
        <v>57.254034923725293</v>
      </c>
      <c r="Z63" s="118">
        <f t="shared" si="9"/>
        <v>58.971220205561345</v>
      </c>
      <c r="AA63" s="118">
        <f t="shared" si="9"/>
        <v>60.705182816333213</v>
      </c>
      <c r="AB63" s="118">
        <f t="shared" si="9"/>
        <v>62.454725930080002</v>
      </c>
      <c r="AC63" s="118">
        <f t="shared" si="9"/>
        <v>64.218593509008258</v>
      </c>
      <c r="AD63" s="118">
        <f t="shared" si="9"/>
        <v>65.995468464784651</v>
      </c>
      <c r="AE63" s="118">
        <f t="shared" si="9"/>
        <v>67.783970686305878</v>
      </c>
    </row>
    <row r="64" spans="1:35" x14ac:dyDescent="0.2">
      <c r="B64" s="112" t="s">
        <v>3147</v>
      </c>
      <c r="C64" s="112" t="s">
        <v>4</v>
      </c>
      <c r="D64" s="112" t="s">
        <v>3656</v>
      </c>
      <c r="E64" s="112" t="s">
        <v>2065</v>
      </c>
      <c r="H64" s="116" t="str">
        <f>Settings!$B$3&amp;".mit.t2.dnk"</f>
        <v>egy.mit.t2.dnk</v>
      </c>
      <c r="L64" s="118">
        <f t="shared" ref="L64:AE64" si="10">IF($D$15="-",0,IF(OR(L31=0,L54=0),0,L63*L52/L31/L54))</f>
        <v>0</v>
      </c>
      <c r="M64" s="118">
        <f t="shared" si="10"/>
        <v>0</v>
      </c>
      <c r="N64" s="118">
        <f t="shared" si="10"/>
        <v>0</v>
      </c>
      <c r="O64" s="118">
        <f t="shared" si="10"/>
        <v>0</v>
      </c>
      <c r="P64" s="118">
        <f t="shared" si="10"/>
        <v>0</v>
      </c>
      <c r="Q64" s="118">
        <f t="shared" si="10"/>
        <v>0</v>
      </c>
      <c r="R64" s="118">
        <f t="shared" si="10"/>
        <v>0</v>
      </c>
      <c r="S64" s="118">
        <f t="shared" si="10"/>
        <v>0</v>
      </c>
      <c r="T64" s="118">
        <f t="shared" si="10"/>
        <v>0</v>
      </c>
      <c r="U64" s="118">
        <f t="shared" si="10"/>
        <v>0</v>
      </c>
      <c r="V64" s="118">
        <f t="shared" si="10"/>
        <v>0</v>
      </c>
      <c r="W64" s="118">
        <f t="shared" si="10"/>
        <v>0</v>
      </c>
      <c r="X64" s="118">
        <f t="shared" si="10"/>
        <v>0</v>
      </c>
      <c r="Y64" s="118">
        <f t="shared" si="10"/>
        <v>0</v>
      </c>
      <c r="Z64" s="118">
        <f t="shared" si="10"/>
        <v>0</v>
      </c>
      <c r="AA64" s="118">
        <f t="shared" si="10"/>
        <v>0</v>
      </c>
      <c r="AB64" s="118">
        <f t="shared" si="10"/>
        <v>0</v>
      </c>
      <c r="AC64" s="118">
        <f t="shared" si="10"/>
        <v>0</v>
      </c>
      <c r="AD64" s="118">
        <f t="shared" si="10"/>
        <v>0</v>
      </c>
      <c r="AE64" s="118">
        <f t="shared" si="10"/>
        <v>0</v>
      </c>
    </row>
    <row r="65" spans="1:35" x14ac:dyDescent="0.2">
      <c r="B65" s="112" t="s">
        <v>3147</v>
      </c>
      <c r="C65" s="112" t="s">
        <v>4</v>
      </c>
      <c r="D65" s="112" t="s">
        <v>3507</v>
      </c>
      <c r="E65" s="112" t="s">
        <v>2065</v>
      </c>
      <c r="H65" s="116" t="str">
        <f>Settings!$B$3&amp;".mit.t2.dik"</f>
        <v>egy.mit.t2.dik</v>
      </c>
      <c r="L65" s="118">
        <f t="shared" ref="L65:AE65" si="11">L61+L64</f>
        <v>0</v>
      </c>
      <c r="M65" s="118">
        <f t="shared" si="11"/>
        <v>0</v>
      </c>
      <c r="N65" s="118">
        <f t="shared" si="11"/>
        <v>0</v>
      </c>
      <c r="O65" s="118">
        <f t="shared" si="11"/>
        <v>0</v>
      </c>
      <c r="P65" s="118">
        <f t="shared" si="11"/>
        <v>0</v>
      </c>
      <c r="Q65" s="118">
        <f t="shared" si="11"/>
        <v>-1.8034823734254672</v>
      </c>
      <c r="R65" s="118">
        <f t="shared" si="11"/>
        <v>-3.4038282715434818</v>
      </c>
      <c r="S65" s="118">
        <f t="shared" si="11"/>
        <v>-4.8656915372554792</v>
      </c>
      <c r="T65" s="118">
        <f t="shared" si="11"/>
        <v>-6.2225478602626296</v>
      </c>
      <c r="U65" s="118">
        <f t="shared" si="11"/>
        <v>-7.5066267443782131</v>
      </c>
      <c r="V65" s="118">
        <f t="shared" si="11"/>
        <v>-8.7157186760409893</v>
      </c>
      <c r="W65" s="118">
        <f t="shared" si="11"/>
        <v>-9.8758285091552231</v>
      </c>
      <c r="X65" s="118">
        <f t="shared" si="11"/>
        <v>-10.996332382813595</v>
      </c>
      <c r="Y65" s="118">
        <f t="shared" si="11"/>
        <v>-12.083160385890309</v>
      </c>
      <c r="Z65" s="118">
        <f t="shared" si="11"/>
        <v>-13.1383314216598</v>
      </c>
      <c r="AA65" s="118">
        <f t="shared" si="11"/>
        <v>-14.165699701689586</v>
      </c>
      <c r="AB65" s="118">
        <f t="shared" si="11"/>
        <v>-15.169163772360289</v>
      </c>
      <c r="AC65" s="118">
        <f t="shared" si="11"/>
        <v>-16.15454877901696</v>
      </c>
      <c r="AD65" s="118">
        <f t="shared" si="11"/>
        <v>-17.126796024833798</v>
      </c>
      <c r="AE65" s="118">
        <f t="shared" si="11"/>
        <v>-18.08974541351477</v>
      </c>
    </row>
    <row r="66" spans="1:35" x14ac:dyDescent="0.2">
      <c r="B66" s="112" t="s">
        <v>3147</v>
      </c>
      <c r="C66" s="112" t="s">
        <v>4</v>
      </c>
      <c r="D66" s="112" t="s">
        <v>3508</v>
      </c>
      <c r="E66" s="112" t="s">
        <v>1852</v>
      </c>
      <c r="F66" s="112" t="s">
        <v>3509</v>
      </c>
      <c r="H66" s="116" t="str">
        <f>Settings!$B$3&amp;".mit.t2.ik1"</f>
        <v>egy.mit.t2.ik1</v>
      </c>
      <c r="L66" s="118">
        <f>IPPU_Industry!L26</f>
        <v>52.200349760476598</v>
      </c>
      <c r="M66" s="118">
        <f>IPPU_Industry!M26</f>
        <v>56.903431130804279</v>
      </c>
      <c r="N66" s="118">
        <f>IPPU_Industry!N26</f>
        <v>66.470418277289212</v>
      </c>
      <c r="O66" s="118">
        <f>IPPU_Industry!O26</f>
        <v>74.100987315984753</v>
      </c>
      <c r="P66" s="118">
        <f>IPPU_Industry!P26</f>
        <v>72.038053752362728</v>
      </c>
      <c r="Q66" s="118">
        <f>IPPU_Industry!Q26</f>
        <v>78.565692063620887</v>
      </c>
      <c r="R66" s="118">
        <f>IPPU_Industry!R26</f>
        <v>81.719580240308588</v>
      </c>
      <c r="S66" s="118">
        <f>IPPU_Industry!S26</f>
        <v>84.774272565481596</v>
      </c>
      <c r="T66" s="118">
        <f>IPPU_Industry!T26</f>
        <v>87.665302582544385</v>
      </c>
      <c r="U66" s="118">
        <f>IPPU_Industry!U26</f>
        <v>90.60290244329093</v>
      </c>
      <c r="V66" s="118">
        <f>IPPU_Industry!V26</f>
        <v>93.558023330457104</v>
      </c>
      <c r="W66" s="118">
        <f>IPPU_Industry!W26</f>
        <v>96.569122424591995</v>
      </c>
      <c r="X66" s="118">
        <f>IPPU_Industry!X26</f>
        <v>99.635911835866054</v>
      </c>
      <c r="Y66" s="118">
        <f>IPPU_Industry!Y26</f>
        <v>102.75806618967755</v>
      </c>
      <c r="Z66" s="118">
        <f>IPPU_Industry!Z26</f>
        <v>105.93522192257653</v>
      </c>
      <c r="AA66" s="118">
        <f>IPPU_Industry!AA26</f>
        <v>109.16697646621689</v>
      </c>
      <c r="AB66" s="118">
        <f>IPPU_Industry!AB26</f>
        <v>112.45288731428481</v>
      </c>
      <c r="AC66" s="118">
        <f>IPPU_Industry!AC26</f>
        <v>115.79247096756482</v>
      </c>
      <c r="AD66" s="118">
        <f>IPPU_Industry!AD26</f>
        <v>119.18520175251334</v>
      </c>
      <c r="AE66" s="118">
        <f>IPPU_Industry!AE26</f>
        <v>122.63051050889524</v>
      </c>
    </row>
    <row r="67" spans="1:35" x14ac:dyDescent="0.2">
      <c r="B67" s="112" t="s">
        <v>3147</v>
      </c>
      <c r="C67" s="112" t="s">
        <v>4</v>
      </c>
      <c r="D67" s="112" t="s">
        <v>3510</v>
      </c>
      <c r="E67" s="112" t="s">
        <v>1852</v>
      </c>
      <c r="F67" s="112" t="s">
        <v>3511</v>
      </c>
      <c r="H67" s="116" t="str">
        <f>Settings!$B$3&amp;".mit.t2.ik2"</f>
        <v>egy.mit.t2.ik2</v>
      </c>
      <c r="L67" s="118">
        <f>IPPU_Industry!L43</f>
        <v>52.200349760476598</v>
      </c>
      <c r="M67" s="118">
        <f>IPPU_Industry!M43</f>
        <v>56.903431130804279</v>
      </c>
      <c r="N67" s="118">
        <f>IPPU_Industry!N43</f>
        <v>66.470418277289212</v>
      </c>
      <c r="O67" s="118">
        <f>IPPU_Industry!O43</f>
        <v>74.100987315984753</v>
      </c>
      <c r="P67" s="118">
        <f>IPPU_Industry!P43</f>
        <v>72.038053752362728</v>
      </c>
      <c r="Q67" s="118">
        <f>IPPU_Industry!Q43</f>
        <v>78.565692063620887</v>
      </c>
      <c r="R67" s="118">
        <f>IPPU_Industry!R43</f>
        <v>81.719580240308588</v>
      </c>
      <c r="S67" s="118">
        <f>IPPU_Industry!S43</f>
        <v>84.774272565481596</v>
      </c>
      <c r="T67" s="118">
        <f>IPPU_Industry!T43</f>
        <v>87.665302582544385</v>
      </c>
      <c r="U67" s="118">
        <f>IPPU_Industry!U43</f>
        <v>90.60290244329093</v>
      </c>
      <c r="V67" s="118">
        <f>IPPU_Industry!V43</f>
        <v>93.558023330457104</v>
      </c>
      <c r="W67" s="118">
        <f>IPPU_Industry!W43</f>
        <v>96.569122424591995</v>
      </c>
      <c r="X67" s="118">
        <f>IPPU_Industry!X43</f>
        <v>99.635911835866054</v>
      </c>
      <c r="Y67" s="118">
        <f>IPPU_Industry!Y43</f>
        <v>102.75806618967755</v>
      </c>
      <c r="Z67" s="118">
        <f>IPPU_Industry!Z43</f>
        <v>105.93522192257653</v>
      </c>
      <c r="AA67" s="118">
        <f>IPPU_Industry!AA43</f>
        <v>109.16697646621689</v>
      </c>
      <c r="AB67" s="118">
        <f>IPPU_Industry!AB43</f>
        <v>112.45288731428481</v>
      </c>
      <c r="AC67" s="118">
        <f>IPPU_Industry!AC43</f>
        <v>115.79247096756482</v>
      </c>
      <c r="AD67" s="118">
        <f>IPPU_Industry!AD43</f>
        <v>119.18520175251334</v>
      </c>
      <c r="AE67" s="118">
        <f>IPPU_Industry!AE43</f>
        <v>122.63051050889524</v>
      </c>
    </row>
    <row r="68" spans="1:35" x14ac:dyDescent="0.2">
      <c r="B68" s="112" t="s">
        <v>3147</v>
      </c>
      <c r="C68" s="112" t="s">
        <v>4</v>
      </c>
      <c r="D68" s="112" t="s">
        <v>3512</v>
      </c>
      <c r="E68" s="112" t="s">
        <v>1852</v>
      </c>
      <c r="H68" s="116" t="str">
        <f>Settings!$B$3&amp;".mit.t2.dik_p"</f>
        <v>egy.mit.t2.dik_p</v>
      </c>
      <c r="L68" s="118">
        <f t="shared" ref="L68:AE68" si="12">L67-L66</f>
        <v>0</v>
      </c>
      <c r="M68" s="118">
        <f t="shared" si="12"/>
        <v>0</v>
      </c>
      <c r="N68" s="118">
        <f t="shared" si="12"/>
        <v>0</v>
      </c>
      <c r="O68" s="118">
        <f t="shared" si="12"/>
        <v>0</v>
      </c>
      <c r="P68" s="118">
        <f t="shared" si="12"/>
        <v>0</v>
      </c>
      <c r="Q68" s="118">
        <f t="shared" si="12"/>
        <v>0</v>
      </c>
      <c r="R68" s="118">
        <f t="shared" si="12"/>
        <v>0</v>
      </c>
      <c r="S68" s="118">
        <f t="shared" si="12"/>
        <v>0</v>
      </c>
      <c r="T68" s="118">
        <f t="shared" si="12"/>
        <v>0</v>
      </c>
      <c r="U68" s="118">
        <f t="shared" si="12"/>
        <v>0</v>
      </c>
      <c r="V68" s="118">
        <f t="shared" si="12"/>
        <v>0</v>
      </c>
      <c r="W68" s="118">
        <f t="shared" si="12"/>
        <v>0</v>
      </c>
      <c r="X68" s="118">
        <f t="shared" si="12"/>
        <v>0</v>
      </c>
      <c r="Y68" s="118">
        <f t="shared" si="12"/>
        <v>0</v>
      </c>
      <c r="Z68" s="118">
        <f t="shared" si="12"/>
        <v>0</v>
      </c>
      <c r="AA68" s="118">
        <f t="shared" si="12"/>
        <v>0</v>
      </c>
      <c r="AB68" s="118">
        <f t="shared" si="12"/>
        <v>0</v>
      </c>
      <c r="AC68" s="118">
        <f t="shared" si="12"/>
        <v>0</v>
      </c>
      <c r="AD68" s="118">
        <f t="shared" si="12"/>
        <v>0</v>
      </c>
      <c r="AE68" s="118">
        <f t="shared" si="12"/>
        <v>0</v>
      </c>
    </row>
    <row r="69" spans="1:35" x14ac:dyDescent="0.2">
      <c r="B69" s="112" t="s">
        <v>3147</v>
      </c>
      <c r="C69" s="112" t="s">
        <v>4</v>
      </c>
      <c r="D69" s="112" t="s">
        <v>3513</v>
      </c>
      <c r="E69" s="112" t="s">
        <v>1852</v>
      </c>
      <c r="F69" s="112" t="s">
        <v>3514</v>
      </c>
      <c r="H69" s="116" t="str">
        <f>Settings!$B$3&amp;".mit.t2.bp1"</f>
        <v>egy.mit.t2.bp1</v>
      </c>
      <c r="L69" s="118">
        <f>Mitigation_Industry!L390</f>
        <v>26.751620146588561</v>
      </c>
      <c r="M69" s="118">
        <f>Mitigation_Industry!M390</f>
        <v>27.646438017449757</v>
      </c>
      <c r="N69" s="118">
        <f>Mitigation_Industry!N390</f>
        <v>28.571608133999998</v>
      </c>
      <c r="O69" s="118">
        <f>Mitigation_Industry!O390</f>
        <v>29.528179985927999</v>
      </c>
      <c r="P69" s="118">
        <f>Mitigation_Industry!P390</f>
        <v>30.517240342133586</v>
      </c>
      <c r="Q69" s="118">
        <f>Mitigation_Industry!Q390</f>
        <v>31.539914624858142</v>
      </c>
      <c r="R69" s="118">
        <f>Mitigation_Industry!R390</f>
        <v>32.597368336956976</v>
      </c>
      <c r="S69" s="118">
        <f>Mitigation_Industry!S390</f>
        <v>33.690808544489862</v>
      </c>
      <c r="T69" s="118">
        <f>Mitigation_Industry!T390</f>
        <v>34.821485416900551</v>
      </c>
      <c r="U69" s="118">
        <f>Mitigation_Industry!U390</f>
        <v>35.990693827155248</v>
      </c>
      <c r="V69" s="118">
        <f>Mitigation_Industry!V390</f>
        <v>37.19977501431368</v>
      </c>
      <c r="W69" s="118">
        <f>Mitigation_Industry!W390</f>
        <v>38.450118311115105</v>
      </c>
      <c r="X69" s="118">
        <f>Mitigation_Industry!X390</f>
        <v>39.743162939274711</v>
      </c>
      <c r="Y69" s="118">
        <f>Mitigation_Industry!Y390</f>
        <v>41.08039987530541</v>
      </c>
      <c r="Z69" s="118">
        <f>Mitigation_Industry!Z390</f>
        <v>42.463373789803512</v>
      </c>
      <c r="AA69" s="118">
        <f>Mitigation_Industry!AA390</f>
        <v>43.893685063268059</v>
      </c>
      <c r="AB69" s="118">
        <f>Mitigation_Industry!AB390</f>
        <v>45.372991881658805</v>
      </c>
      <c r="AC69" s="118">
        <f>Mitigation_Industry!AC390</f>
        <v>46.903012415041424</v>
      </c>
      <c r="AD69" s="118">
        <f>Mitigation_Industry!AD390</f>
        <v>48.485527082817555</v>
      </c>
      <c r="AE69" s="118">
        <f>Mitigation_Industry!AE390</f>
        <v>50.122380909193787</v>
      </c>
    </row>
    <row r="70" spans="1:35" x14ac:dyDescent="0.2">
      <c r="B70" s="112" t="s">
        <v>3147</v>
      </c>
      <c r="C70" s="112" t="s">
        <v>4</v>
      </c>
      <c r="D70" s="112" t="s">
        <v>3515</v>
      </c>
      <c r="E70" s="112" t="s">
        <v>1852</v>
      </c>
      <c r="F70" s="112" t="s">
        <v>3516</v>
      </c>
      <c r="H70" s="116" t="str">
        <f>Settings!$B$3&amp;".mit.t2.be1"</f>
        <v>egy.mit.t2.be1</v>
      </c>
      <c r="L70" s="118">
        <f>Mitigation_Industry!L380</f>
        <v>48.086991333544489</v>
      </c>
      <c r="M70" s="118">
        <f>Mitigation_Industry!M380</f>
        <v>49.677032012339083</v>
      </c>
      <c r="N70" s="118">
        <f>Mitigation_Industry!N380</f>
        <v>51.320891261</v>
      </c>
      <c r="O70" s="118">
        <f>Mitigation_Industry!O380</f>
        <v>53.020436367115991</v>
      </c>
      <c r="P70" s="118">
        <f>Mitigation_Industry!P380</f>
        <v>54.77760125723205</v>
      </c>
      <c r="Q70" s="118">
        <f>Mitigation_Industry!Q380</f>
        <v>56.594388955214242</v>
      </c>
      <c r="R70" s="118">
        <f>Mitigation_Industry!R380</f>
        <v>58.472874134897971</v>
      </c>
      <c r="S70" s="118">
        <f>Mitigation_Industry!S380</f>
        <v>60.415205770798046</v>
      </c>
      <c r="T70" s="118">
        <f>Mitigation_Industry!T380</f>
        <v>62.423609890817644</v>
      </c>
      <c r="U70" s="118">
        <f>Mitigation_Industry!U380</f>
        <v>64.500392435059069</v>
      </c>
      <c r="V70" s="118">
        <f>Mitigation_Industry!V380</f>
        <v>66.647942225012031</v>
      </c>
      <c r="W70" s="118">
        <f>Mitigation_Industry!W380</f>
        <v>68.868734047575941</v>
      </c>
      <c r="X70" s="118">
        <f>Mitigation_Industry!X380</f>
        <v>71.165331858561302</v>
      </c>
      <c r="Y70" s="118">
        <f>Mitigation_Industry!Y380</f>
        <v>73.540392110512528</v>
      </c>
      <c r="Z70" s="118">
        <f>Mitigation_Industry!Z380</f>
        <v>75.996667209899613</v>
      </c>
      <c r="AA70" s="118">
        <f>Mitigation_Industry!AA380</f>
        <v>78.537009108942158</v>
      </c>
      <c r="AB70" s="118">
        <f>Mitigation_Industry!AB380</f>
        <v>81.164373037552508</v>
      </c>
      <c r="AC70" s="118">
        <f>Mitigation_Industry!AC380</f>
        <v>83.881821381120091</v>
      </c>
      <c r="AD70" s="118">
        <f>Mitigation_Industry!AD380</f>
        <v>86.692527710104301</v>
      </c>
      <c r="AE70" s="118">
        <f>Mitigation_Industry!AE380</f>
        <v>89.599780967658063</v>
      </c>
    </row>
    <row r="71" spans="1:35" x14ac:dyDescent="0.2">
      <c r="B71" s="112" t="s">
        <v>3147</v>
      </c>
      <c r="C71" s="112" t="s">
        <v>4</v>
      </c>
      <c r="D71" s="112" t="s">
        <v>3517</v>
      </c>
      <c r="E71" s="112" t="s">
        <v>16</v>
      </c>
      <c r="F71" s="112" t="s">
        <v>3518</v>
      </c>
      <c r="H71" s="116" t="str">
        <f>Settings!$B$3&amp;".mit.t2.cp"</f>
        <v>egy.mit.t2.cp</v>
      </c>
      <c r="L71" s="118">
        <f>Scenarios!L42</f>
        <v>0</v>
      </c>
      <c r="M71" s="118">
        <f>Scenarios!M42</f>
        <v>0</v>
      </c>
      <c r="N71" s="118">
        <f>Scenarios!N42</f>
        <v>0</v>
      </c>
      <c r="O71" s="118">
        <f>Scenarios!O42</f>
        <v>0</v>
      </c>
      <c r="P71" s="118">
        <f>Scenarios!P42</f>
        <v>0</v>
      </c>
      <c r="Q71" s="118">
        <f>Scenarios!Q42</f>
        <v>12.5</v>
      </c>
      <c r="R71" s="118">
        <f>Scenarios!R42</f>
        <v>25</v>
      </c>
      <c r="S71" s="118">
        <f>Scenarios!S42</f>
        <v>37.5</v>
      </c>
      <c r="T71" s="118">
        <f>Scenarios!T42</f>
        <v>50</v>
      </c>
      <c r="U71" s="118">
        <f>Scenarios!U42</f>
        <v>62.5</v>
      </c>
      <c r="V71" s="118">
        <f>Scenarios!V42</f>
        <v>75</v>
      </c>
      <c r="W71" s="118">
        <f>Scenarios!W42</f>
        <v>87.5</v>
      </c>
      <c r="X71" s="118">
        <f>Scenarios!X42</f>
        <v>100</v>
      </c>
      <c r="Y71" s="118">
        <f>Scenarios!Y42</f>
        <v>112.5</v>
      </c>
      <c r="Z71" s="118">
        <f>Scenarios!Z42</f>
        <v>125</v>
      </c>
      <c r="AA71" s="118">
        <f>Scenarios!AA42</f>
        <v>137.5</v>
      </c>
      <c r="AB71" s="118">
        <f>Scenarios!AB42</f>
        <v>150</v>
      </c>
      <c r="AC71" s="118">
        <f>Scenarios!AC42</f>
        <v>162.5</v>
      </c>
      <c r="AD71" s="118">
        <f>Scenarios!AD42</f>
        <v>175</v>
      </c>
      <c r="AE71" s="118">
        <f>Scenarios!AE42</f>
        <v>187.5</v>
      </c>
    </row>
    <row r="72" spans="1:35" x14ac:dyDescent="0.2">
      <c r="B72" s="112" t="s">
        <v>3147</v>
      </c>
      <c r="C72" s="112" t="s">
        <v>4</v>
      </c>
      <c r="D72" s="112" t="s">
        <v>3519</v>
      </c>
      <c r="E72" s="112" t="s">
        <v>79</v>
      </c>
      <c r="F72" s="112" t="s">
        <v>3520</v>
      </c>
      <c r="H72" s="116" t="str">
        <f>Settings!$B$3&amp;".mit.t2.encov"</f>
        <v>egy.mit.t2.encov</v>
      </c>
      <c r="L72" s="118">
        <f>Scenarios!L45</f>
        <v>1</v>
      </c>
      <c r="M72" s="118">
        <f>Scenarios!M45</f>
        <v>1</v>
      </c>
      <c r="N72" s="118">
        <f>Scenarios!N45</f>
        <v>1</v>
      </c>
      <c r="O72" s="118">
        <f>Scenarios!O45</f>
        <v>1</v>
      </c>
      <c r="P72" s="118">
        <f>Scenarios!P45</f>
        <v>1</v>
      </c>
      <c r="Q72" s="118">
        <f>Scenarios!Q45</f>
        <v>1</v>
      </c>
      <c r="R72" s="118">
        <f>Scenarios!R45</f>
        <v>1</v>
      </c>
      <c r="S72" s="118">
        <f>Scenarios!S45</f>
        <v>1</v>
      </c>
      <c r="T72" s="118">
        <f>Scenarios!T45</f>
        <v>1</v>
      </c>
      <c r="U72" s="118">
        <f>Scenarios!U45</f>
        <v>1</v>
      </c>
      <c r="V72" s="118">
        <f>Scenarios!V45</f>
        <v>1</v>
      </c>
      <c r="W72" s="118">
        <f>Scenarios!W45</f>
        <v>1</v>
      </c>
      <c r="X72" s="118">
        <f>Scenarios!X45</f>
        <v>1</v>
      </c>
      <c r="Y72" s="118">
        <f>Scenarios!Y45</f>
        <v>1</v>
      </c>
      <c r="Z72" s="118">
        <f>Scenarios!Z45</f>
        <v>1</v>
      </c>
      <c r="AA72" s="118">
        <f>Scenarios!AA45</f>
        <v>1</v>
      </c>
      <c r="AB72" s="118">
        <f>Scenarios!AB45</f>
        <v>1</v>
      </c>
      <c r="AC72" s="118">
        <f>Scenarios!AC45</f>
        <v>1</v>
      </c>
      <c r="AD72" s="118">
        <f>Scenarios!AD45</f>
        <v>1</v>
      </c>
      <c r="AE72" s="118">
        <f>Scenarios!AE45</f>
        <v>1</v>
      </c>
    </row>
    <row r="73" spans="1:35" x14ac:dyDescent="0.2">
      <c r="B73" s="112" t="s">
        <v>3147</v>
      </c>
      <c r="C73" s="112" t="s">
        <v>4</v>
      </c>
      <c r="D73" s="112" t="s">
        <v>3521</v>
      </c>
      <c r="E73" s="112" t="s">
        <v>3400</v>
      </c>
      <c r="F73" s="112" t="s">
        <v>3522</v>
      </c>
      <c r="H73" s="116" t="str">
        <f>Settings!$B$3&amp;".mit.t2.revp"</f>
        <v>egy.mit.t2.revp</v>
      </c>
      <c r="L73" s="118">
        <f>Mitigation_Industry!L782/1000</f>
        <v>0</v>
      </c>
      <c r="M73" s="118">
        <f>Mitigation_Industry!M782/1000</f>
        <v>0</v>
      </c>
      <c r="N73" s="118">
        <f>Mitigation_Industry!N782/1000</f>
        <v>0</v>
      </c>
      <c r="O73" s="118">
        <f>Mitigation_Industry!O782/1000</f>
        <v>0</v>
      </c>
      <c r="P73" s="118">
        <f>Mitigation_Industry!P782/1000</f>
        <v>0</v>
      </c>
      <c r="Q73" s="118">
        <f>Mitigation_Industry!Q782/1000</f>
        <v>0</v>
      </c>
      <c r="R73" s="118">
        <f>Mitigation_Industry!R782/1000</f>
        <v>0</v>
      </c>
      <c r="S73" s="118">
        <f>Mitigation_Industry!S782/1000</f>
        <v>0</v>
      </c>
      <c r="T73" s="118">
        <f>Mitigation_Industry!T782/1000</f>
        <v>0</v>
      </c>
      <c r="U73" s="118">
        <f>Mitigation_Industry!U782/1000</f>
        <v>0</v>
      </c>
      <c r="V73" s="118">
        <f>Mitigation_Industry!V782/1000</f>
        <v>0</v>
      </c>
      <c r="W73" s="118">
        <f>Mitigation_Industry!W782/1000</f>
        <v>0</v>
      </c>
      <c r="X73" s="118">
        <f>Mitigation_Industry!X782/1000</f>
        <v>0</v>
      </c>
      <c r="Y73" s="118">
        <f>Mitigation_Industry!Y782/1000</f>
        <v>0</v>
      </c>
      <c r="Z73" s="118">
        <f>Mitigation_Industry!Z782/1000</f>
        <v>0</v>
      </c>
      <c r="AA73" s="118">
        <f>Mitigation_Industry!AA782/1000</f>
        <v>0</v>
      </c>
      <c r="AB73" s="118">
        <f>Mitigation_Industry!AB782/1000</f>
        <v>0</v>
      </c>
      <c r="AC73" s="118">
        <f>Mitigation_Industry!AC782/1000</f>
        <v>0</v>
      </c>
      <c r="AD73" s="118">
        <f>Mitigation_Industry!AD782/1000</f>
        <v>0</v>
      </c>
      <c r="AE73" s="118">
        <f>Mitigation_Industry!AE782/1000</f>
        <v>0</v>
      </c>
    </row>
    <row r="74" spans="1:35" x14ac:dyDescent="0.2">
      <c r="B74" s="112" t="s">
        <v>3147</v>
      </c>
      <c r="C74" s="112" t="s">
        <v>4</v>
      </c>
      <c r="D74" s="112" t="s">
        <v>3523</v>
      </c>
      <c r="E74" s="112" t="s">
        <v>3400</v>
      </c>
      <c r="F74" s="112" t="s">
        <v>3524</v>
      </c>
      <c r="H74" s="116" t="str">
        <f>Settings!$B$3&amp;".mit.t2.obr"</f>
        <v>egy.mit.t2.obr</v>
      </c>
      <c r="L74" s="118">
        <f>Rebate_Industry!L217/1000</f>
        <v>0</v>
      </c>
      <c r="M74" s="118">
        <f>Rebate_Industry!M217/1000</f>
        <v>0</v>
      </c>
      <c r="N74" s="118">
        <f>Rebate_Industry!N217/1000</f>
        <v>0</v>
      </c>
      <c r="O74" s="118">
        <f>Rebate_Industry!O217/1000</f>
        <v>0</v>
      </c>
      <c r="P74" s="118">
        <f>Rebate_Industry!P217/1000</f>
        <v>0</v>
      </c>
      <c r="Q74" s="118">
        <f>Rebate_Industry!Q217/1000</f>
        <v>0</v>
      </c>
      <c r="R74" s="118">
        <f>Rebate_Industry!R217/1000</f>
        <v>0</v>
      </c>
      <c r="S74" s="118">
        <f>Rebate_Industry!S217/1000</f>
        <v>0</v>
      </c>
      <c r="T74" s="118">
        <f>Rebate_Industry!T217/1000</f>
        <v>0</v>
      </c>
      <c r="U74" s="118">
        <f>Rebate_Industry!U217/1000</f>
        <v>0</v>
      </c>
      <c r="V74" s="118">
        <f>Rebate_Industry!V217/1000</f>
        <v>0</v>
      </c>
      <c r="W74" s="118">
        <f>Rebate_Industry!W217/1000</f>
        <v>0</v>
      </c>
      <c r="X74" s="118">
        <f>Rebate_Industry!X217/1000</f>
        <v>0</v>
      </c>
      <c r="Y74" s="118">
        <f>Rebate_Industry!Y217/1000</f>
        <v>0</v>
      </c>
      <c r="Z74" s="118">
        <f>Rebate_Industry!Z217/1000</f>
        <v>0</v>
      </c>
      <c r="AA74" s="118">
        <f>Rebate_Industry!AA217/1000</f>
        <v>0</v>
      </c>
      <c r="AB74" s="118">
        <f>Rebate_Industry!AB217/1000</f>
        <v>0</v>
      </c>
      <c r="AC74" s="118">
        <f>Rebate_Industry!AC217/1000</f>
        <v>0</v>
      </c>
      <c r="AD74" s="118">
        <f>Rebate_Industry!AD217/1000</f>
        <v>0</v>
      </c>
      <c r="AE74" s="118">
        <f>Rebate_Industry!AE217/1000</f>
        <v>0</v>
      </c>
    </row>
    <row r="75" spans="1:35" x14ac:dyDescent="0.2">
      <c r="B75" s="112" t="s">
        <v>3147</v>
      </c>
      <c r="C75" s="112" t="s">
        <v>4</v>
      </c>
      <c r="D75" s="112" t="s">
        <v>3525</v>
      </c>
      <c r="E75" s="112" t="s">
        <v>3400</v>
      </c>
      <c r="F75" s="112" t="s">
        <v>3526</v>
      </c>
      <c r="H75" s="116" t="str">
        <f>Settings!$B$3&amp;".mit.t2.fund"</f>
        <v>egy.mit.t2.fund</v>
      </c>
      <c r="L75" s="118">
        <f>Fund_Industry!L329/1000</f>
        <v>0</v>
      </c>
      <c r="M75" s="118">
        <f>Fund_Industry!M329/1000</f>
        <v>0</v>
      </c>
      <c r="N75" s="118">
        <f>Fund_Industry!N329/1000</f>
        <v>0</v>
      </c>
      <c r="O75" s="118">
        <f>Fund_Industry!O329/1000</f>
        <v>0</v>
      </c>
      <c r="P75" s="118">
        <f>Fund_Industry!P329/1000</f>
        <v>0</v>
      </c>
      <c r="Q75" s="118">
        <f>Fund_Industry!Q329/1000</f>
        <v>0</v>
      </c>
      <c r="R75" s="118">
        <f>Fund_Industry!R329/1000</f>
        <v>0</v>
      </c>
      <c r="S75" s="118">
        <f>Fund_Industry!S329/1000</f>
        <v>0</v>
      </c>
      <c r="T75" s="118">
        <f>Fund_Industry!T329/1000</f>
        <v>0</v>
      </c>
      <c r="U75" s="118">
        <f>Fund_Industry!U329/1000</f>
        <v>0</v>
      </c>
      <c r="V75" s="118">
        <f>Fund_Industry!V329/1000</f>
        <v>0</v>
      </c>
      <c r="W75" s="118">
        <f>Fund_Industry!W329/1000</f>
        <v>0</v>
      </c>
      <c r="X75" s="118">
        <f>Fund_Industry!X329/1000</f>
        <v>0</v>
      </c>
      <c r="Y75" s="118">
        <f>Fund_Industry!Y329/1000</f>
        <v>0</v>
      </c>
      <c r="Z75" s="118">
        <f>Fund_Industry!Z329/1000</f>
        <v>0</v>
      </c>
      <c r="AA75" s="118">
        <f>Fund_Industry!AA329/1000</f>
        <v>0</v>
      </c>
      <c r="AB75" s="118">
        <f>Fund_Industry!AB329/1000</f>
        <v>0</v>
      </c>
      <c r="AC75" s="118">
        <f>Fund_Industry!AC329/1000</f>
        <v>0</v>
      </c>
      <c r="AD75" s="118">
        <f>Fund_Industry!AD329/1000</f>
        <v>0</v>
      </c>
      <c r="AE75" s="118">
        <f>Fund_Industry!AE329/1000</f>
        <v>0</v>
      </c>
    </row>
    <row r="78" spans="1:35" customFormat="1" ht="18" customHeight="1" x14ac:dyDescent="0.25">
      <c r="A78" s="8"/>
      <c r="B78" s="9" t="s">
        <v>3527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5" x14ac:dyDescent="0.2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2">
      <c r="B81" s="112" t="s">
        <v>3528</v>
      </c>
      <c r="C81" s="112" t="s">
        <v>3529</v>
      </c>
      <c r="D81" s="112" t="s">
        <v>3530</v>
      </c>
      <c r="E81" s="112" t="s">
        <v>1852</v>
      </c>
      <c r="H81" s="116" t="str">
        <f>Settings!$B$3&amp;".mit.t2.col.ripr"</f>
        <v>egy.mit.t2.col.ripr</v>
      </c>
      <c r="L81" s="118">
        <f t="shared" ref="L81:AE81" si="13">IF($D$15="-",0,L68-L50)</f>
        <v>0</v>
      </c>
      <c r="M81" s="118">
        <f t="shared" si="13"/>
        <v>0</v>
      </c>
      <c r="N81" s="118">
        <f t="shared" si="13"/>
        <v>0</v>
      </c>
      <c r="O81" s="118">
        <f t="shared" si="13"/>
        <v>0</v>
      </c>
      <c r="P81" s="118">
        <f t="shared" si="13"/>
        <v>0</v>
      </c>
      <c r="Q81" s="118">
        <f t="shared" si="13"/>
        <v>0</v>
      </c>
      <c r="R81" s="118">
        <f t="shared" si="13"/>
        <v>0</v>
      </c>
      <c r="S81" s="118">
        <f t="shared" si="13"/>
        <v>0</v>
      </c>
      <c r="T81" s="118">
        <f t="shared" si="13"/>
        <v>0</v>
      </c>
      <c r="U81" s="118">
        <f t="shared" si="13"/>
        <v>0</v>
      </c>
      <c r="V81" s="118">
        <f t="shared" si="13"/>
        <v>0</v>
      </c>
      <c r="W81" s="118">
        <f t="shared" si="13"/>
        <v>0</v>
      </c>
      <c r="X81" s="118">
        <f t="shared" si="13"/>
        <v>0</v>
      </c>
      <c r="Y81" s="118">
        <f t="shared" si="13"/>
        <v>0</v>
      </c>
      <c r="Z81" s="118">
        <f t="shared" si="13"/>
        <v>0</v>
      </c>
      <c r="AA81" s="118">
        <f t="shared" si="13"/>
        <v>0</v>
      </c>
      <c r="AB81" s="118">
        <f t="shared" si="13"/>
        <v>0</v>
      </c>
      <c r="AC81" s="118">
        <f t="shared" si="13"/>
        <v>0</v>
      </c>
      <c r="AD81" s="118">
        <f t="shared" si="13"/>
        <v>0</v>
      </c>
      <c r="AE81" s="118">
        <f t="shared" si="13"/>
        <v>0</v>
      </c>
    </row>
    <row r="82" spans="2:35" x14ac:dyDescent="0.2">
      <c r="B82" s="112" t="s">
        <v>3528</v>
      </c>
      <c r="C82" s="112" t="s">
        <v>3529</v>
      </c>
      <c r="D82" s="112" t="s">
        <v>3531</v>
      </c>
      <c r="E82" s="112" t="s">
        <v>1852</v>
      </c>
      <c r="H82" s="116" t="str">
        <f>Settings!$B$3&amp;".mit.t2.col.rind"</f>
        <v>egy.mit.t2.col.rind</v>
      </c>
      <c r="L82" s="118">
        <f t="shared" ref="L82:AE82" si="14">IF($D$15="-",0,L65-L52)</f>
        <v>0</v>
      </c>
      <c r="M82" s="118">
        <f t="shared" si="14"/>
        <v>0</v>
      </c>
      <c r="N82" s="118">
        <f t="shared" si="14"/>
        <v>0</v>
      </c>
      <c r="O82" s="118">
        <f t="shared" si="14"/>
        <v>0</v>
      </c>
      <c r="P82" s="118">
        <f t="shared" si="14"/>
        <v>0</v>
      </c>
      <c r="Q82" s="118">
        <f t="shared" si="14"/>
        <v>0</v>
      </c>
      <c r="R82" s="118">
        <f t="shared" si="14"/>
        <v>0</v>
      </c>
      <c r="S82" s="118">
        <f t="shared" si="14"/>
        <v>0</v>
      </c>
      <c r="T82" s="118">
        <f t="shared" si="14"/>
        <v>0</v>
      </c>
      <c r="U82" s="118">
        <f t="shared" si="14"/>
        <v>0</v>
      </c>
      <c r="V82" s="118">
        <f t="shared" si="14"/>
        <v>0</v>
      </c>
      <c r="W82" s="118">
        <f t="shared" si="14"/>
        <v>0</v>
      </c>
      <c r="X82" s="118">
        <f t="shared" si="14"/>
        <v>0</v>
      </c>
      <c r="Y82" s="118">
        <f t="shared" si="14"/>
        <v>0</v>
      </c>
      <c r="Z82" s="118">
        <f t="shared" si="14"/>
        <v>0</v>
      </c>
      <c r="AA82" s="118">
        <f t="shared" si="14"/>
        <v>0</v>
      </c>
      <c r="AB82" s="118">
        <f t="shared" si="14"/>
        <v>0</v>
      </c>
      <c r="AC82" s="118">
        <f t="shared" si="14"/>
        <v>0</v>
      </c>
      <c r="AD82" s="118">
        <f t="shared" si="14"/>
        <v>0</v>
      </c>
      <c r="AE82" s="118">
        <f t="shared" si="14"/>
        <v>0</v>
      </c>
    </row>
    <row r="83" spans="2:35" ht="15" x14ac:dyDescent="0.25">
      <c r="B83" s="121" t="s">
        <v>3532</v>
      </c>
      <c r="C83" s="121" t="s">
        <v>3529</v>
      </c>
      <c r="D83" s="121" t="s">
        <v>3533</v>
      </c>
      <c r="E83" s="121" t="s">
        <v>1852</v>
      </c>
      <c r="F83" s="121"/>
      <c r="G83" s="121"/>
      <c r="H83" s="142" t="str">
        <f>Settings!$B$3&amp;".mit.t2.col.k"</f>
        <v>egy.mit.t2.col.k</v>
      </c>
      <c r="I83" s="121"/>
      <c r="J83" s="121"/>
      <c r="K83" s="121"/>
      <c r="L83" s="143">
        <f t="shared" ref="L83:AE83" si="15">IF($D$15="-",0,L49+L81+L82)</f>
        <v>0</v>
      </c>
      <c r="M83" s="143">
        <f t="shared" si="15"/>
        <v>0</v>
      </c>
      <c r="N83" s="143">
        <f t="shared" si="15"/>
        <v>0</v>
      </c>
      <c r="O83" s="143">
        <f t="shared" si="15"/>
        <v>0</v>
      </c>
      <c r="P83" s="143">
        <f t="shared" si="15"/>
        <v>0</v>
      </c>
      <c r="Q83" s="143">
        <f t="shared" si="15"/>
        <v>0</v>
      </c>
      <c r="R83" s="143">
        <f t="shared" si="15"/>
        <v>0</v>
      </c>
      <c r="S83" s="143">
        <f t="shared" si="15"/>
        <v>0</v>
      </c>
      <c r="T83" s="143">
        <f t="shared" si="15"/>
        <v>0</v>
      </c>
      <c r="U83" s="143">
        <f t="shared" si="15"/>
        <v>0</v>
      </c>
      <c r="V83" s="143">
        <f t="shared" si="15"/>
        <v>0</v>
      </c>
      <c r="W83" s="143">
        <f t="shared" si="15"/>
        <v>0</v>
      </c>
      <c r="X83" s="143">
        <f t="shared" si="15"/>
        <v>0</v>
      </c>
      <c r="Y83" s="143">
        <f t="shared" si="15"/>
        <v>0</v>
      </c>
      <c r="Z83" s="143">
        <f t="shared" si="15"/>
        <v>0</v>
      </c>
      <c r="AA83" s="143">
        <f t="shared" si="15"/>
        <v>0</v>
      </c>
      <c r="AB83" s="143">
        <f t="shared" si="15"/>
        <v>0</v>
      </c>
      <c r="AC83" s="143">
        <f t="shared" si="15"/>
        <v>0</v>
      </c>
      <c r="AD83" s="143">
        <f t="shared" si="15"/>
        <v>0</v>
      </c>
      <c r="AE83" s="143">
        <f t="shared" si="15"/>
        <v>0</v>
      </c>
      <c r="AF83" s="121"/>
      <c r="AG83" s="121"/>
      <c r="AH83" s="121"/>
      <c r="AI83" s="121"/>
    </row>
    <row r="84" spans="2:35" x14ac:dyDescent="0.2">
      <c r="B84" s="112" t="s">
        <v>3534</v>
      </c>
      <c r="C84" s="112" t="s">
        <v>3529</v>
      </c>
      <c r="D84" s="112" t="s">
        <v>3657</v>
      </c>
      <c r="E84" s="112" t="s">
        <v>84</v>
      </c>
      <c r="H84" s="116" t="str">
        <f>Settings!$B$3&amp;".mit.t2.col.j"</f>
        <v>egy.mit.t2.col.j</v>
      </c>
      <c r="I84" s="112" t="s">
        <v>3535</v>
      </c>
      <c r="L84" s="118">
        <f t="shared" ref="L84:AE84" si="16">IF(L25=0,0,100*(IF($D$16="All sectors",L29,L72*L62)+$D$17*L69)/L25)</f>
        <v>0</v>
      </c>
      <c r="M84" s="118">
        <f t="shared" si="16"/>
        <v>0</v>
      </c>
      <c r="N84" s="118">
        <f t="shared" si="16"/>
        <v>0</v>
      </c>
      <c r="O84" s="118">
        <f t="shared" si="16"/>
        <v>0</v>
      </c>
      <c r="P84" s="118">
        <f t="shared" si="16"/>
        <v>0</v>
      </c>
      <c r="Q84" s="118">
        <f t="shared" si="16"/>
        <v>0</v>
      </c>
      <c r="R84" s="118">
        <f t="shared" si="16"/>
        <v>0</v>
      </c>
      <c r="S84" s="118">
        <f t="shared" si="16"/>
        <v>0</v>
      </c>
      <c r="T84" s="118">
        <f t="shared" si="16"/>
        <v>0</v>
      </c>
      <c r="U84" s="118">
        <f t="shared" si="16"/>
        <v>0</v>
      </c>
      <c r="V84" s="118">
        <f t="shared" si="16"/>
        <v>0</v>
      </c>
      <c r="W84" s="118">
        <f t="shared" si="16"/>
        <v>0</v>
      </c>
      <c r="X84" s="118">
        <f t="shared" si="16"/>
        <v>0</v>
      </c>
      <c r="Y84" s="118">
        <f t="shared" si="16"/>
        <v>0</v>
      </c>
      <c r="Z84" s="118">
        <f t="shared" si="16"/>
        <v>0</v>
      </c>
      <c r="AA84" s="118">
        <f t="shared" si="16"/>
        <v>0</v>
      </c>
      <c r="AB84" s="118">
        <f t="shared" si="16"/>
        <v>0</v>
      </c>
      <c r="AC84" s="118">
        <f t="shared" si="16"/>
        <v>0</v>
      </c>
      <c r="AD84" s="118">
        <f t="shared" si="16"/>
        <v>0</v>
      </c>
      <c r="AE84" s="118">
        <f t="shared" si="16"/>
        <v>0</v>
      </c>
    </row>
    <row r="85" spans="2:35" x14ac:dyDescent="0.2">
      <c r="B85" s="112" t="s">
        <v>3536</v>
      </c>
      <c r="C85" s="112" t="s">
        <v>3529</v>
      </c>
      <c r="D85" s="112" t="s">
        <v>3537</v>
      </c>
      <c r="E85" s="112" t="s">
        <v>84</v>
      </c>
      <c r="H85" s="116" t="str">
        <f>Settings!$B$3&amp;".mit.t2.col.l"</f>
        <v>egy.mit.t2.col.l</v>
      </c>
      <c r="L85" s="118">
        <f t="shared" ref="L85:AE85" si="17">IF(L25=0,0,100*L83/L25)</f>
        <v>0</v>
      </c>
      <c r="M85" s="118">
        <f t="shared" si="17"/>
        <v>0</v>
      </c>
      <c r="N85" s="118">
        <f t="shared" si="17"/>
        <v>0</v>
      </c>
      <c r="O85" s="118">
        <f t="shared" si="17"/>
        <v>0</v>
      </c>
      <c r="P85" s="118">
        <f t="shared" si="17"/>
        <v>0</v>
      </c>
      <c r="Q85" s="118">
        <f t="shared" si="17"/>
        <v>0</v>
      </c>
      <c r="R85" s="118">
        <f t="shared" si="17"/>
        <v>0</v>
      </c>
      <c r="S85" s="118">
        <f t="shared" si="17"/>
        <v>0</v>
      </c>
      <c r="T85" s="118">
        <f t="shared" si="17"/>
        <v>0</v>
      </c>
      <c r="U85" s="118">
        <f t="shared" si="17"/>
        <v>0</v>
      </c>
      <c r="V85" s="118">
        <f t="shared" si="17"/>
        <v>0</v>
      </c>
      <c r="W85" s="118">
        <f t="shared" si="17"/>
        <v>0</v>
      </c>
      <c r="X85" s="118">
        <f t="shared" si="17"/>
        <v>0</v>
      </c>
      <c r="Y85" s="118">
        <f t="shared" si="17"/>
        <v>0</v>
      </c>
      <c r="Z85" s="118">
        <f t="shared" si="17"/>
        <v>0</v>
      </c>
      <c r="AA85" s="118">
        <f t="shared" si="17"/>
        <v>0</v>
      </c>
      <c r="AB85" s="118">
        <f t="shared" si="17"/>
        <v>0</v>
      </c>
      <c r="AC85" s="118">
        <f t="shared" si="17"/>
        <v>0</v>
      </c>
      <c r="AD85" s="118">
        <f t="shared" si="17"/>
        <v>0</v>
      </c>
      <c r="AE85" s="118">
        <f t="shared" si="17"/>
        <v>0</v>
      </c>
    </row>
    <row r="86" spans="2:35" x14ac:dyDescent="0.2">
      <c r="B86" s="112" t="s">
        <v>3538</v>
      </c>
      <c r="C86" s="112" t="s">
        <v>3529</v>
      </c>
      <c r="D86" s="112" t="s">
        <v>3539</v>
      </c>
      <c r="E86" s="112" t="s">
        <v>84</v>
      </c>
      <c r="H86" s="116" t="str">
        <f>Settings!$B$3&amp;".mit.t2.col.m"</f>
        <v>egy.mit.t2.col.m</v>
      </c>
      <c r="I86" s="112" t="s">
        <v>3540</v>
      </c>
      <c r="L86" s="118">
        <f>100*Mitigation_Industry!L683</f>
        <v>44.368280475207889</v>
      </c>
      <c r="M86" s="118">
        <f>100*Mitigation_Industry!M683</f>
        <v>44.347645385531962</v>
      </c>
      <c r="N86" s="118">
        <f>100*Mitigation_Industry!N683</f>
        <v>44.32752933168122</v>
      </c>
      <c r="O86" s="118">
        <f>100*Mitigation_Industry!O683</f>
        <v>44.307927265114358</v>
      </c>
      <c r="P86" s="118">
        <f>100*Mitigation_Industry!P683</f>
        <v>44.288834045823563</v>
      </c>
      <c r="Q86" s="118">
        <f>100*Mitigation_Industry!Q683</f>
        <v>44.270244440986659</v>
      </c>
      <c r="R86" s="118">
        <f>100*Mitigation_Industry!R683</f>
        <v>44.252153123593246</v>
      </c>
      <c r="S86" s="118">
        <f>100*Mitigation_Industry!S683</f>
        <v>44.234554671045309</v>
      </c>
      <c r="T86" s="118">
        <f>100*Mitigation_Industry!T683</f>
        <v>44.217443563732914</v>
      </c>
      <c r="U86" s="118">
        <f>100*Mitigation_Industry!U683</f>
        <v>44.2008141835854</v>
      </c>
      <c r="V86" s="118">
        <f>100*Mitigation_Industry!V683</f>
        <v>44.184660812598779</v>
      </c>
      <c r="W86" s="118">
        <f>100*Mitigation_Industry!W683</f>
        <v>44.168977631339978</v>
      </c>
      <c r="X86" s="118">
        <f>100*Mitigation_Industry!X683</f>
        <v>44.153758717428722</v>
      </c>
      <c r="Y86" s="118">
        <f>100*Mitigation_Industry!Y683</f>
        <v>44.138998043997361</v>
      </c>
      <c r="Z86" s="118">
        <f>100*Mitigation_Industry!Z683</f>
        <v>44.12468947813008</v>
      </c>
      <c r="AA86" s="118">
        <f>100*Mitigation_Industry!AA683</f>
        <v>44.110826779281624</v>
      </c>
      <c r="AB86" s="118">
        <f>100*Mitigation_Industry!AB683</f>
        <v>44.097403597677044</v>
      </c>
      <c r="AC86" s="118">
        <f>100*Mitigation_Industry!AC683</f>
        <v>44.084413472692866</v>
      </c>
      <c r="AD86" s="118">
        <f>100*Mitigation_Industry!AD683</f>
        <v>44.071849831220909</v>
      </c>
      <c r="AE86" s="118">
        <f>100*Mitigation_Industry!AE683</f>
        <v>44.059705986015793</v>
      </c>
    </row>
    <row r="87" spans="2:35" x14ac:dyDescent="0.2">
      <c r="B87" s="112" t="s">
        <v>3541</v>
      </c>
      <c r="C87" s="112" t="s">
        <v>3529</v>
      </c>
      <c r="D87" s="112" t="s">
        <v>3542</v>
      </c>
      <c r="E87" s="112" t="s">
        <v>84</v>
      </c>
      <c r="H87" s="116" t="str">
        <f>Settings!$B$3&amp;".mit.t2.col.n"</f>
        <v>egy.mit.t2.col.n</v>
      </c>
      <c r="I87" s="112" t="s">
        <v>3543</v>
      </c>
      <c r="L87" s="118">
        <f>100*Mitigation_Industry!L685</f>
        <v>0</v>
      </c>
      <c r="M87" s="118">
        <f>100*Mitigation_Industry!M685</f>
        <v>0</v>
      </c>
      <c r="N87" s="118">
        <f>100*Mitigation_Industry!N685</f>
        <v>0</v>
      </c>
      <c r="O87" s="118">
        <f>100*Mitigation_Industry!O685</f>
        <v>0</v>
      </c>
      <c r="P87" s="118">
        <f>100*Mitigation_Industry!P685</f>
        <v>-1.1102230246251565E-14</v>
      </c>
      <c r="Q87" s="118">
        <f>100*Mitigation_Industry!Q685</f>
        <v>0</v>
      </c>
      <c r="R87" s="118">
        <f>100*Mitigation_Industry!R685</f>
        <v>2.2204460492503131E-14</v>
      </c>
      <c r="S87" s="118">
        <f>100*Mitigation_Industry!S685</f>
        <v>-1.1102230246251565E-14</v>
      </c>
      <c r="T87" s="118">
        <f>100*Mitigation_Industry!T685</f>
        <v>0</v>
      </c>
      <c r="U87" s="118">
        <f>100*Mitigation_Industry!U685</f>
        <v>0</v>
      </c>
      <c r="V87" s="118">
        <f>100*Mitigation_Industry!V685</f>
        <v>0</v>
      </c>
      <c r="W87" s="118">
        <f>100*Mitigation_Industry!W685</f>
        <v>0</v>
      </c>
      <c r="X87" s="118">
        <f>100*Mitigation_Industry!X685</f>
        <v>0</v>
      </c>
      <c r="Y87" s="118">
        <f>100*Mitigation_Industry!Y685</f>
        <v>0</v>
      </c>
      <c r="Z87" s="118">
        <f>100*Mitigation_Industry!Z685</f>
        <v>0</v>
      </c>
      <c r="AA87" s="118">
        <f>100*Mitigation_Industry!AA685</f>
        <v>0</v>
      </c>
      <c r="AB87" s="118">
        <f>100*Mitigation_Industry!AB685</f>
        <v>2.2204460492503131E-14</v>
      </c>
      <c r="AC87" s="118">
        <f>100*Mitigation_Industry!AC685</f>
        <v>0</v>
      </c>
      <c r="AD87" s="118">
        <f>100*Mitigation_Industry!AD685</f>
        <v>2.2204460492503131E-14</v>
      </c>
      <c r="AE87" s="118">
        <f>100*Mitigation_Industry!AE685</f>
        <v>0</v>
      </c>
    </row>
    <row r="88" spans="2:35" x14ac:dyDescent="0.2">
      <c r="B88" s="112" t="s">
        <v>3544</v>
      </c>
      <c r="C88" s="112" t="s">
        <v>3529</v>
      </c>
      <c r="D88" s="112" t="s">
        <v>3545</v>
      </c>
      <c r="E88" s="112" t="s">
        <v>84</v>
      </c>
      <c r="H88" s="116" t="str">
        <f>Settings!$B$3&amp;".mit.t2.col.o"</f>
        <v>egy.mit.t2.col.o</v>
      </c>
      <c r="I88" s="112" t="s">
        <v>3546</v>
      </c>
      <c r="L88" s="118">
        <f>100*Mitigation_Industry!L771</f>
        <v>0</v>
      </c>
      <c r="M88" s="118">
        <f>100*Mitigation_Industry!M771</f>
        <v>0</v>
      </c>
      <c r="N88" s="118">
        <f>100*Mitigation_Industry!N771</f>
        <v>0</v>
      </c>
      <c r="O88" s="118">
        <f>100*Mitigation_Industry!O771</f>
        <v>0</v>
      </c>
      <c r="P88" s="118">
        <f>100*Mitigation_Industry!P771</f>
        <v>-2.2204460492503131E-14</v>
      </c>
      <c r="Q88" s="118">
        <f>100*Mitigation_Industry!Q771</f>
        <v>-75.386771619452347</v>
      </c>
      <c r="R88" s="118">
        <f>100*Mitigation_Industry!R771</f>
        <v>-75.386771619452333</v>
      </c>
      <c r="S88" s="118">
        <f>100*Mitigation_Industry!S771</f>
        <v>-63.408719017979905</v>
      </c>
      <c r="T88" s="118">
        <f>100*Mitigation_Industry!T771</f>
        <v>-53.410854810573127</v>
      </c>
      <c r="U88" s="118">
        <f>100*Mitigation_Industry!U771</f>
        <v>-53.211410779092596</v>
      </c>
      <c r="V88" s="118">
        <f>100*Mitigation_Industry!V771</f>
        <v>-53.079804853557832</v>
      </c>
      <c r="W88" s="118">
        <f>100*Mitigation_Industry!W771</f>
        <v>-52.986456464515733</v>
      </c>
      <c r="X88" s="118">
        <f>100*Mitigation_Industry!X771</f>
        <v>-52.437567936948149</v>
      </c>
      <c r="Y88" s="118">
        <f>100*Mitigation_Industry!Y771</f>
        <v>-55.393861451477044</v>
      </c>
      <c r="Z88" s="118">
        <f>100*Mitigation_Industry!Z771</f>
        <v>-57.243443966823882</v>
      </c>
      <c r="AA88" s="118">
        <f>100*Mitigation_Industry!AA771</f>
        <v>-59.093026482170671</v>
      </c>
      <c r="AB88" s="118">
        <f>100*Mitigation_Industry!AB771</f>
        <v>-60.942608997517489</v>
      </c>
      <c r="AC88" s="118">
        <f>100*Mitigation_Industry!AC771</f>
        <v>-62.792191512864306</v>
      </c>
      <c r="AD88" s="118">
        <f>100*Mitigation_Industry!AD771</f>
        <v>-64.641774028211117</v>
      </c>
      <c r="AE88" s="118">
        <f>100*Mitigation_Industry!AE771</f>
        <v>-66.491356543557927</v>
      </c>
    </row>
    <row r="89" spans="2:35" x14ac:dyDescent="0.2">
      <c r="B89" s="112" t="s">
        <v>3547</v>
      </c>
      <c r="C89" s="112" t="s">
        <v>3529</v>
      </c>
      <c r="D89" s="112" t="s">
        <v>3548</v>
      </c>
      <c r="E89" s="112" t="s">
        <v>84</v>
      </c>
      <c r="H89" s="116" t="str">
        <f>Settings!$B$3&amp;".mit.t2.col.t"</f>
        <v>egy.mit.t2.col.t</v>
      </c>
      <c r="I89" s="112" t="s">
        <v>3549</v>
      </c>
      <c r="L89" s="118">
        <f>IF(L70=0,0,100*Mitigation_Industry!L727/L70)</f>
        <v>0</v>
      </c>
      <c r="M89" s="118">
        <f>IF(M70=0,0,100*Mitigation_Industry!M727/M70)</f>
        <v>0</v>
      </c>
      <c r="N89" s="118">
        <f>IF(N70=0,0,100*Mitigation_Industry!N727/N70)</f>
        <v>0</v>
      </c>
      <c r="O89" s="118">
        <f>IF(O70=0,0,100*Mitigation_Industry!O727/O70)</f>
        <v>0</v>
      </c>
      <c r="P89" s="118">
        <f>IF(P70=0,0,100*Mitigation_Industry!P727/P70)</f>
        <v>0</v>
      </c>
      <c r="Q89" s="118">
        <f>IF(Q70=0,0,100*Mitigation_Industry!Q727/Q70)</f>
        <v>0</v>
      </c>
      <c r="R89" s="118">
        <f>IF(R70=0,0,100*Mitigation_Industry!R727/R70)</f>
        <v>0</v>
      </c>
      <c r="S89" s="118">
        <f>IF(S70=0,0,100*Mitigation_Industry!S727/S70)</f>
        <v>0</v>
      </c>
      <c r="T89" s="118">
        <f>IF(T70=0,0,100*Mitigation_Industry!T727/T70)</f>
        <v>0</v>
      </c>
      <c r="U89" s="118">
        <f>IF(U70=0,0,100*Mitigation_Industry!U727/U70)</f>
        <v>0</v>
      </c>
      <c r="V89" s="118">
        <f>IF(V70=0,0,100*Mitigation_Industry!V727/V70)</f>
        <v>0</v>
      </c>
      <c r="W89" s="118">
        <f>IF(W70=0,0,100*Mitigation_Industry!W727/W70)</f>
        <v>0</v>
      </c>
      <c r="X89" s="118">
        <f>IF(X70=0,0,100*Mitigation_Industry!X727/X70)</f>
        <v>0</v>
      </c>
      <c r="Y89" s="118">
        <f>IF(Y70=0,0,100*Mitigation_Industry!Y727/Y70)</f>
        <v>0</v>
      </c>
      <c r="Z89" s="118">
        <f>IF(Z70=0,0,100*Mitigation_Industry!Z727/Z70)</f>
        <v>0</v>
      </c>
      <c r="AA89" s="118">
        <f>IF(AA70=0,0,100*Mitigation_Industry!AA727/AA70)</f>
        <v>0</v>
      </c>
      <c r="AB89" s="118">
        <f>IF(AB70=0,0,100*Mitigation_Industry!AB727/AB70)</f>
        <v>0</v>
      </c>
      <c r="AC89" s="118">
        <f>IF(AC70=0,0,100*Mitigation_Industry!AC727/AC70)</f>
        <v>0</v>
      </c>
      <c r="AD89" s="118">
        <f>IF(AD70=0,0,100*Mitigation_Industry!AD727/AD70)</f>
        <v>0</v>
      </c>
      <c r="AE89" s="118">
        <f>IF(AE70=0,0,100*Mitigation_Industry!AE727/AE70)</f>
        <v>0</v>
      </c>
    </row>
    <row r="90" spans="2:35" x14ac:dyDescent="0.2">
      <c r="B90" s="112" t="s">
        <v>3550</v>
      </c>
      <c r="C90" s="112" t="s">
        <v>3529</v>
      </c>
      <c r="D90" s="112" t="s">
        <v>3551</v>
      </c>
      <c r="E90" s="112" t="s">
        <v>84</v>
      </c>
      <c r="H90" s="116" t="str">
        <f>Settings!$B$3&amp;".mit.t2.col.u"</f>
        <v>egy.mit.t2.col.u</v>
      </c>
      <c r="I90" s="112" t="s">
        <v>3552</v>
      </c>
      <c r="L90" s="118">
        <f>100*Mitigation_Industry!L706</f>
        <v>0</v>
      </c>
      <c r="M90" s="118">
        <f>100*Mitigation_Industry!M706</f>
        <v>0</v>
      </c>
      <c r="N90" s="118">
        <f>100*Mitigation_Industry!N706</f>
        <v>0</v>
      </c>
      <c r="O90" s="118">
        <f>100*Mitigation_Industry!O706</f>
        <v>0</v>
      </c>
      <c r="P90" s="118">
        <f>100*Mitigation_Industry!P706</f>
        <v>0</v>
      </c>
      <c r="Q90" s="118">
        <f>100*Mitigation_Industry!Q706</f>
        <v>0</v>
      </c>
      <c r="R90" s="118">
        <f>100*Mitigation_Industry!R706</f>
        <v>0</v>
      </c>
      <c r="S90" s="118">
        <f>100*Mitigation_Industry!S706</f>
        <v>0</v>
      </c>
      <c r="T90" s="118">
        <f>100*Mitigation_Industry!T706</f>
        <v>0</v>
      </c>
      <c r="U90" s="118">
        <f>100*Mitigation_Industry!U706</f>
        <v>0</v>
      </c>
      <c r="V90" s="118">
        <f>100*Mitigation_Industry!V706</f>
        <v>0</v>
      </c>
      <c r="W90" s="118">
        <f>100*Mitigation_Industry!W706</f>
        <v>0</v>
      </c>
      <c r="X90" s="118">
        <f>100*Mitigation_Industry!X706</f>
        <v>0</v>
      </c>
      <c r="Y90" s="118">
        <f>100*Mitigation_Industry!Y706</f>
        <v>0</v>
      </c>
      <c r="Z90" s="118">
        <f>100*Mitigation_Industry!Z706</f>
        <v>0</v>
      </c>
      <c r="AA90" s="118">
        <f>100*Mitigation_Industry!AA706</f>
        <v>0</v>
      </c>
      <c r="AB90" s="118">
        <f>100*Mitigation_Industry!AB706</f>
        <v>0</v>
      </c>
      <c r="AC90" s="118">
        <f>100*Mitigation_Industry!AC706</f>
        <v>0</v>
      </c>
      <c r="AD90" s="118">
        <f>100*Mitigation_Industry!AD706</f>
        <v>0</v>
      </c>
      <c r="AE90" s="118">
        <f>100*Mitigation_Industry!AE706</f>
        <v>0</v>
      </c>
    </row>
    <row r="91" spans="2:35" x14ac:dyDescent="0.2">
      <c r="B91" s="112" t="s">
        <v>3553</v>
      </c>
      <c r="C91" s="112" t="s">
        <v>3529</v>
      </c>
      <c r="D91" s="112" t="s">
        <v>3658</v>
      </c>
      <c r="E91" s="112" t="s">
        <v>3400</v>
      </c>
      <c r="H91" s="116" t="str">
        <f>Settings!$B$3&amp;".mit.t2.col.pg"</f>
        <v>egy.mit.t2.col.pg</v>
      </c>
      <c r="L91" s="118">
        <f t="shared" ref="L91:AE91" si="18">IF($D$15="-",0,IF($D$16="All sectors",L47+L71*L72*L82/1000,L71*L72*(L60+L63+L64)/1000)+L73)</f>
        <v>0</v>
      </c>
      <c r="M91" s="118">
        <f t="shared" si="18"/>
        <v>0</v>
      </c>
      <c r="N91" s="118">
        <f t="shared" si="18"/>
        <v>0</v>
      </c>
      <c r="O91" s="118">
        <f t="shared" si="18"/>
        <v>0</v>
      </c>
      <c r="P91" s="118">
        <f t="shared" si="18"/>
        <v>0</v>
      </c>
      <c r="Q91" s="118">
        <f t="shared" si="18"/>
        <v>0</v>
      </c>
      <c r="R91" s="118">
        <f t="shared" si="18"/>
        <v>0</v>
      </c>
      <c r="S91" s="118">
        <f t="shared" si="18"/>
        <v>0</v>
      </c>
      <c r="T91" s="118">
        <f t="shared" si="18"/>
        <v>0</v>
      </c>
      <c r="U91" s="118">
        <f t="shared" si="18"/>
        <v>0</v>
      </c>
      <c r="V91" s="118">
        <f t="shared" si="18"/>
        <v>0</v>
      </c>
      <c r="W91" s="118">
        <f t="shared" si="18"/>
        <v>0</v>
      </c>
      <c r="X91" s="118">
        <f t="shared" si="18"/>
        <v>0</v>
      </c>
      <c r="Y91" s="118">
        <f t="shared" si="18"/>
        <v>0</v>
      </c>
      <c r="Z91" s="118">
        <f t="shared" si="18"/>
        <v>0</v>
      </c>
      <c r="AA91" s="118">
        <f t="shared" si="18"/>
        <v>0</v>
      </c>
      <c r="AB91" s="118">
        <f t="shared" si="18"/>
        <v>0</v>
      </c>
      <c r="AC91" s="118">
        <f t="shared" si="18"/>
        <v>0</v>
      </c>
      <c r="AD91" s="118">
        <f t="shared" si="18"/>
        <v>0</v>
      </c>
      <c r="AE91" s="118">
        <f t="shared" si="18"/>
        <v>0</v>
      </c>
    </row>
    <row r="92" spans="2:35" ht="15" x14ac:dyDescent="0.25">
      <c r="B92" s="121" t="s">
        <v>3553</v>
      </c>
      <c r="C92" s="121" t="s">
        <v>3529</v>
      </c>
      <c r="D92" s="121" t="s">
        <v>3554</v>
      </c>
      <c r="E92" s="121" t="s">
        <v>3400</v>
      </c>
      <c r="F92" s="121"/>
      <c r="G92" s="121"/>
      <c r="H92" s="142" t="str">
        <f>Settings!$B$3&amp;".mit.t2.col.p"</f>
        <v>egy.mit.t2.col.p</v>
      </c>
      <c r="I92" s="121"/>
      <c r="J92" s="121"/>
      <c r="K92" s="121"/>
      <c r="L92" s="143">
        <f t="shared" ref="L92:AE92" si="19">IF($D$15="-",0,L91-L74-L75)</f>
        <v>0</v>
      </c>
      <c r="M92" s="143">
        <f t="shared" si="19"/>
        <v>0</v>
      </c>
      <c r="N92" s="143">
        <f t="shared" si="19"/>
        <v>0</v>
      </c>
      <c r="O92" s="143">
        <f t="shared" si="19"/>
        <v>0</v>
      </c>
      <c r="P92" s="143">
        <f t="shared" si="19"/>
        <v>0</v>
      </c>
      <c r="Q92" s="143">
        <f t="shared" si="19"/>
        <v>0</v>
      </c>
      <c r="R92" s="143">
        <f t="shared" si="19"/>
        <v>0</v>
      </c>
      <c r="S92" s="143">
        <f t="shared" si="19"/>
        <v>0</v>
      </c>
      <c r="T92" s="143">
        <f t="shared" si="19"/>
        <v>0</v>
      </c>
      <c r="U92" s="143">
        <f t="shared" si="19"/>
        <v>0</v>
      </c>
      <c r="V92" s="143">
        <f t="shared" si="19"/>
        <v>0</v>
      </c>
      <c r="W92" s="143">
        <f t="shared" si="19"/>
        <v>0</v>
      </c>
      <c r="X92" s="143">
        <f t="shared" si="19"/>
        <v>0</v>
      </c>
      <c r="Y92" s="143">
        <f t="shared" si="19"/>
        <v>0</v>
      </c>
      <c r="Z92" s="143">
        <f t="shared" si="19"/>
        <v>0</v>
      </c>
      <c r="AA92" s="143">
        <f t="shared" si="19"/>
        <v>0</v>
      </c>
      <c r="AB92" s="143">
        <f t="shared" si="19"/>
        <v>0</v>
      </c>
      <c r="AC92" s="143">
        <f t="shared" si="19"/>
        <v>0</v>
      </c>
      <c r="AD92" s="143">
        <f t="shared" si="19"/>
        <v>0</v>
      </c>
      <c r="AE92" s="143">
        <f t="shared" si="19"/>
        <v>0</v>
      </c>
      <c r="AF92" s="121"/>
      <c r="AG92" s="121"/>
      <c r="AH92" s="121"/>
      <c r="AI92" s="121"/>
    </row>
    <row r="93" spans="2:35" x14ac:dyDescent="0.2">
      <c r="B93" s="112" t="s">
        <v>3555</v>
      </c>
      <c r="C93" s="112" t="s">
        <v>3529</v>
      </c>
      <c r="D93" s="112" t="s">
        <v>3556</v>
      </c>
      <c r="E93" s="112" t="s">
        <v>2065</v>
      </c>
      <c r="H93" s="116" t="str">
        <f>Settings!$B$3&amp;".mit.t2.col.denk"</f>
        <v>egy.mit.t2.col.denk</v>
      </c>
      <c r="L93" s="118">
        <f t="shared" ref="L93:AE93" si="20">IF($D$15="-",0,L51-L52+L65)</f>
        <v>0</v>
      </c>
      <c r="M93" s="118">
        <f t="shared" si="20"/>
        <v>0</v>
      </c>
      <c r="N93" s="118">
        <f t="shared" si="20"/>
        <v>0</v>
      </c>
      <c r="O93" s="118">
        <f t="shared" si="20"/>
        <v>0</v>
      </c>
      <c r="P93" s="118">
        <f t="shared" si="20"/>
        <v>0</v>
      </c>
      <c r="Q93" s="118">
        <f t="shared" si="20"/>
        <v>0</v>
      </c>
      <c r="R93" s="118">
        <f t="shared" si="20"/>
        <v>0</v>
      </c>
      <c r="S93" s="118">
        <f t="shared" si="20"/>
        <v>0</v>
      </c>
      <c r="T93" s="118">
        <f t="shared" si="20"/>
        <v>0</v>
      </c>
      <c r="U93" s="118">
        <f t="shared" si="20"/>
        <v>0</v>
      </c>
      <c r="V93" s="118">
        <f t="shared" si="20"/>
        <v>0</v>
      </c>
      <c r="W93" s="118">
        <f t="shared" si="20"/>
        <v>0</v>
      </c>
      <c r="X93" s="118">
        <f t="shared" si="20"/>
        <v>0</v>
      </c>
      <c r="Y93" s="118">
        <f t="shared" si="20"/>
        <v>0</v>
      </c>
      <c r="Z93" s="118">
        <f t="shared" si="20"/>
        <v>0</v>
      </c>
      <c r="AA93" s="118">
        <f t="shared" si="20"/>
        <v>0</v>
      </c>
      <c r="AB93" s="118">
        <f t="shared" si="20"/>
        <v>0</v>
      </c>
      <c r="AC93" s="118">
        <f t="shared" si="20"/>
        <v>0</v>
      </c>
      <c r="AD93" s="118">
        <f t="shared" si="20"/>
        <v>0</v>
      </c>
      <c r="AE93" s="118">
        <f t="shared" si="20"/>
        <v>0</v>
      </c>
    </row>
    <row r="94" spans="2:35" x14ac:dyDescent="0.2">
      <c r="B94" s="112" t="s">
        <v>3555</v>
      </c>
      <c r="C94" s="112" t="s">
        <v>3529</v>
      </c>
      <c r="D94" s="112" t="s">
        <v>3659</v>
      </c>
      <c r="E94" s="112" t="s">
        <v>3258</v>
      </c>
      <c r="H94" s="116" t="str">
        <f>Settings!$B$3&amp;".mit.t2.col.q"</f>
        <v>egy.mit.t2.col.q</v>
      </c>
      <c r="L94" s="118">
        <f t="shared" ref="L94:AE94" si="21">IF(L51+(1/L54-1)*L52=0,0,L48/L54*L93/(L51+(1/L54-1)*L52))</f>
        <v>0</v>
      </c>
      <c r="M94" s="118">
        <f t="shared" si="21"/>
        <v>0</v>
      </c>
      <c r="N94" s="118">
        <f t="shared" si="21"/>
        <v>0</v>
      </c>
      <c r="O94" s="118">
        <f t="shared" si="21"/>
        <v>0</v>
      </c>
      <c r="P94" s="118">
        <f t="shared" si="21"/>
        <v>0</v>
      </c>
      <c r="Q94" s="118">
        <f t="shared" si="21"/>
        <v>0</v>
      </c>
      <c r="R94" s="118">
        <f t="shared" si="21"/>
        <v>0</v>
      </c>
      <c r="S94" s="118">
        <f t="shared" si="21"/>
        <v>0</v>
      </c>
      <c r="T94" s="118">
        <f t="shared" si="21"/>
        <v>0</v>
      </c>
      <c r="U94" s="118">
        <f t="shared" si="21"/>
        <v>0</v>
      </c>
      <c r="V94" s="118">
        <f t="shared" si="21"/>
        <v>0</v>
      </c>
      <c r="W94" s="118">
        <f t="shared" si="21"/>
        <v>0</v>
      </c>
      <c r="X94" s="118">
        <f t="shared" si="21"/>
        <v>0</v>
      </c>
      <c r="Y94" s="118">
        <f t="shared" si="21"/>
        <v>0</v>
      </c>
      <c r="Z94" s="118">
        <f t="shared" si="21"/>
        <v>0</v>
      </c>
      <c r="AA94" s="118">
        <f t="shared" si="21"/>
        <v>0</v>
      </c>
      <c r="AB94" s="118">
        <f t="shared" si="21"/>
        <v>0</v>
      </c>
      <c r="AC94" s="118">
        <f t="shared" si="21"/>
        <v>0</v>
      </c>
      <c r="AD94" s="118">
        <f t="shared" si="21"/>
        <v>0</v>
      </c>
      <c r="AE94" s="118">
        <f t="shared" si="21"/>
        <v>0</v>
      </c>
    </row>
    <row r="95" spans="2:35" x14ac:dyDescent="0.2">
      <c r="B95" s="112" t="s">
        <v>3557</v>
      </c>
      <c r="C95" s="112" t="s">
        <v>3529</v>
      </c>
      <c r="D95" s="112" t="s">
        <v>3558</v>
      </c>
      <c r="E95" s="112" t="s">
        <v>84</v>
      </c>
      <c r="H95" s="116" t="str">
        <f>Settings!$B$3&amp;".mit.t2.col.r"</f>
        <v>egy.mit.t2.col.r</v>
      </c>
      <c r="L95" s="118">
        <f t="shared" ref="L95:AE95" si="22">IF(L46=0,0,100*L94/L46)</f>
        <v>0</v>
      </c>
      <c r="M95" s="118">
        <f t="shared" si="22"/>
        <v>0</v>
      </c>
      <c r="N95" s="118">
        <f t="shared" si="22"/>
        <v>0</v>
      </c>
      <c r="O95" s="118">
        <f t="shared" si="22"/>
        <v>0</v>
      </c>
      <c r="P95" s="118">
        <f t="shared" si="22"/>
        <v>0</v>
      </c>
      <c r="Q95" s="118">
        <f t="shared" si="22"/>
        <v>0</v>
      </c>
      <c r="R95" s="118">
        <f t="shared" si="22"/>
        <v>0</v>
      </c>
      <c r="S95" s="118">
        <f t="shared" si="22"/>
        <v>0</v>
      </c>
      <c r="T95" s="118">
        <f t="shared" si="22"/>
        <v>0</v>
      </c>
      <c r="U95" s="118">
        <f t="shared" si="22"/>
        <v>0</v>
      </c>
      <c r="V95" s="118">
        <f t="shared" si="22"/>
        <v>0</v>
      </c>
      <c r="W95" s="118">
        <f t="shared" si="22"/>
        <v>0</v>
      </c>
      <c r="X95" s="118">
        <f t="shared" si="22"/>
        <v>0</v>
      </c>
      <c r="Y95" s="118">
        <f t="shared" si="22"/>
        <v>0</v>
      </c>
      <c r="Z95" s="118">
        <f t="shared" si="22"/>
        <v>0</v>
      </c>
      <c r="AA95" s="118">
        <f t="shared" si="22"/>
        <v>0</v>
      </c>
      <c r="AB95" s="118">
        <f t="shared" si="22"/>
        <v>0</v>
      </c>
      <c r="AC95" s="118">
        <f t="shared" si="22"/>
        <v>0</v>
      </c>
      <c r="AD95" s="118">
        <f t="shared" si="22"/>
        <v>0</v>
      </c>
      <c r="AE95" s="118">
        <f t="shared" si="22"/>
        <v>0</v>
      </c>
    </row>
    <row r="96" spans="2:35" x14ac:dyDescent="0.2">
      <c r="B96" s="112" t="s">
        <v>3559</v>
      </c>
      <c r="C96" s="112" t="s">
        <v>3529</v>
      </c>
      <c r="D96" s="112" t="s">
        <v>3660</v>
      </c>
      <c r="E96" s="112" t="s">
        <v>3400</v>
      </c>
      <c r="H96" s="116" t="str">
        <f>Settings!$B$3&amp;".mit.t2.col.ar"</f>
        <v>egy.mit.t2.col.ar</v>
      </c>
      <c r="I96" s="112" t="s">
        <v>3560</v>
      </c>
      <c r="L96" s="118">
        <f t="shared" ref="L96:AE96" si="23">IF($D$15="-",0,L53-L47/L54+L92)</f>
        <v>0</v>
      </c>
      <c r="M96" s="118">
        <f t="shared" si="23"/>
        <v>0</v>
      </c>
      <c r="N96" s="118">
        <f t="shared" si="23"/>
        <v>0</v>
      </c>
      <c r="O96" s="118">
        <f t="shared" si="23"/>
        <v>0</v>
      </c>
      <c r="P96" s="118">
        <f t="shared" si="23"/>
        <v>0</v>
      </c>
      <c r="Q96" s="118">
        <f t="shared" si="23"/>
        <v>0</v>
      </c>
      <c r="R96" s="118">
        <f t="shared" si="23"/>
        <v>0</v>
      </c>
      <c r="S96" s="118">
        <f t="shared" si="23"/>
        <v>0</v>
      </c>
      <c r="T96" s="118">
        <f t="shared" si="23"/>
        <v>0</v>
      </c>
      <c r="U96" s="118">
        <f t="shared" si="23"/>
        <v>0</v>
      </c>
      <c r="V96" s="118">
        <f t="shared" si="23"/>
        <v>0</v>
      </c>
      <c r="W96" s="118">
        <f t="shared" si="23"/>
        <v>0</v>
      </c>
      <c r="X96" s="118">
        <f t="shared" si="23"/>
        <v>0</v>
      </c>
      <c r="Y96" s="118">
        <f t="shared" si="23"/>
        <v>0</v>
      </c>
      <c r="Z96" s="118">
        <f t="shared" si="23"/>
        <v>0</v>
      </c>
      <c r="AA96" s="118">
        <f t="shared" si="23"/>
        <v>0</v>
      </c>
      <c r="AB96" s="118">
        <f t="shared" si="23"/>
        <v>0</v>
      </c>
      <c r="AC96" s="118">
        <f t="shared" si="23"/>
        <v>0</v>
      </c>
      <c r="AD96" s="118">
        <f t="shared" si="23"/>
        <v>0</v>
      </c>
      <c r="AE96" s="118">
        <f t="shared" si="23"/>
        <v>0</v>
      </c>
    </row>
    <row r="99" spans="1:35" customFormat="1" ht="18" customHeight="1" x14ac:dyDescent="0.25">
      <c r="A99" s="8"/>
      <c r="B99" s="9" t="s">
        <v>3561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90" x14ac:dyDescent="0.25">
      <c r="A101" s="11"/>
      <c r="B101" s="150" t="s">
        <v>1726</v>
      </c>
      <c r="C101" s="151" t="s">
        <v>3456</v>
      </c>
      <c r="D101" s="150" t="s">
        <v>3461</v>
      </c>
      <c r="E101" s="151" t="s">
        <v>1735</v>
      </c>
      <c r="F101" s="151" t="s">
        <v>3562</v>
      </c>
      <c r="G101" s="151" t="s">
        <v>3563</v>
      </c>
      <c r="H101" s="152" t="s">
        <v>3564</v>
      </c>
      <c r="I101" s="150" t="s">
        <v>3565</v>
      </c>
      <c r="J101" s="153" t="s">
        <v>3566</v>
      </c>
      <c r="K101" s="150" t="s">
        <v>3567</v>
      </c>
      <c r="L101" s="154" t="s">
        <v>3568</v>
      </c>
      <c r="M101" s="150" t="s">
        <v>3569</v>
      </c>
      <c r="N101" s="150" t="s">
        <v>3570</v>
      </c>
      <c r="O101" s="150" t="s">
        <v>3571</v>
      </c>
      <c r="P101" s="150" t="s">
        <v>3572</v>
      </c>
      <c r="Q101" s="150" t="s">
        <v>3573</v>
      </c>
      <c r="R101" s="150" t="s">
        <v>3666</v>
      </c>
      <c r="S101" s="150" t="s">
        <v>3574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5" x14ac:dyDescent="0.25">
      <c r="A102" s="112" t="s">
        <v>3575</v>
      </c>
      <c r="B102" s="121" t="str">
        <f>$D$14</f>
        <v>LEGACY</v>
      </c>
      <c r="C102" s="121" t="str">
        <f>$D$15</f>
        <v>-</v>
      </c>
      <c r="D102" s="121" t="str">
        <f>$D$16</f>
        <v>All sectors</v>
      </c>
      <c r="E102" s="121" t="str">
        <f>$D$18</f>
        <v>CPAT default</v>
      </c>
      <c r="F102" s="156">
        <f>INDEX($L$84:$AE$84,MATCH($D$19,$L$80:$AE$80,0))</f>
        <v>0</v>
      </c>
      <c r="G102" s="157">
        <f>INDEX($L$83:$AE$83,MATCH($D$19,$L$80:$AE$80,0))</f>
        <v>0</v>
      </c>
      <c r="H102" s="157">
        <f>INDEX($L$85:$AE$85,MATCH($D$19,$L$80:$AE$80,0))</f>
        <v>0</v>
      </c>
      <c r="I102" s="156">
        <f>INDEX($L$86:$AE$86,MATCH($D$19,$L$80:$AE$80,0))</f>
        <v>44.217443563732914</v>
      </c>
      <c r="J102" s="156">
        <f>INDEX($L$87:$AE$87,MATCH($D$19,$L$80:$AE$80,0))</f>
        <v>0</v>
      </c>
      <c r="K102" s="156">
        <f>INDEX($L$88:$AE$88,MATCH($D$19,$L$80:$AE$80,0))</f>
        <v>-53.410854810573127</v>
      </c>
      <c r="L102" s="157">
        <f>INDEX($L$92:$AE$92,MATCH($D$19,$L$80:$AE$80,0))</f>
        <v>0</v>
      </c>
      <c r="M102" s="158">
        <f>INDEX($L$94:$AE$94,MATCH($D$19,$L$80:$AE$80,0))</f>
        <v>0</v>
      </c>
      <c r="N102" s="157">
        <f>INDEX($L$95:$AE$95,MATCH($D$19,$L$80:$AE$80,0))</f>
        <v>0</v>
      </c>
      <c r="O102" s="156">
        <f>INDEX($L$89:$AE$89,MATCH($D$19,$L$80:$AE$80,0))</f>
        <v>0</v>
      </c>
      <c r="P102" s="156">
        <f>INDEX($L$90:$AE$90,MATCH($D$19,$L$80:$AE$80,0))</f>
        <v>0</v>
      </c>
      <c r="Q102" s="157">
        <f>INDEX($L$96:$AE$96,MATCH($D$19,$L$80:$AE$80,0))</f>
        <v>0</v>
      </c>
    </row>
    <row r="103" spans="1:35" x14ac:dyDescent="0.2">
      <c r="A103" s="112" t="s">
        <v>3576</v>
      </c>
      <c r="B103" s="112" t="s">
        <v>1741</v>
      </c>
      <c r="C103" s="114" t="s">
        <v>3256</v>
      </c>
      <c r="D103" s="114" t="s">
        <v>1740</v>
      </c>
      <c r="E103" s="114" t="s">
        <v>1743</v>
      </c>
      <c r="F103" s="159">
        <v>63.195774412258828</v>
      </c>
      <c r="G103" s="160">
        <v>-27.283298855542867</v>
      </c>
      <c r="H103" s="160">
        <v>-4.591941990915327</v>
      </c>
      <c r="I103" s="159">
        <v>100</v>
      </c>
      <c r="J103" s="159">
        <v>-3.6465253705346146</v>
      </c>
      <c r="K103" s="159">
        <v>-42.923407386224397</v>
      </c>
      <c r="L103" s="160">
        <v>6.9209028344040879</v>
      </c>
      <c r="M103" s="161">
        <v>1420.29601211522</v>
      </c>
      <c r="N103" s="160">
        <v>1.7184256840391769</v>
      </c>
      <c r="O103" s="159">
        <v>-5.0800078336163779</v>
      </c>
      <c r="P103" s="159">
        <v>-1.4877330252949854</v>
      </c>
      <c r="Q103" s="160">
        <v>11.120902834404088</v>
      </c>
      <c r="R103" s="114">
        <v>-31.35</v>
      </c>
      <c r="S103" s="155">
        <f t="shared" ref="S103:S108" si="24">G103-R103</f>
        <v>4.0667011444571344</v>
      </c>
    </row>
    <row r="104" spans="1:35" x14ac:dyDescent="0.2">
      <c r="A104" s="112" t="s">
        <v>3576</v>
      </c>
      <c r="B104" s="112" t="s">
        <v>1744</v>
      </c>
      <c r="C104" s="114" t="s">
        <v>3256</v>
      </c>
      <c r="D104" s="114" t="s">
        <v>1740</v>
      </c>
      <c r="E104" s="114" t="s">
        <v>1743</v>
      </c>
      <c r="F104" s="159">
        <v>57.335110644342571</v>
      </c>
      <c r="G104" s="160">
        <v>-24.727115708659085</v>
      </c>
      <c r="H104" s="160">
        <v>-4.1617211151042968</v>
      </c>
      <c r="I104" s="159">
        <v>44.113056794060142</v>
      </c>
      <c r="J104" s="159">
        <v>0</v>
      </c>
      <c r="K104" s="159">
        <v>-21.623739355442538</v>
      </c>
      <c r="L104" s="160">
        <v>6.2792859970453243</v>
      </c>
      <c r="M104" s="161">
        <v>1420.1610386660068</v>
      </c>
      <c r="N104" s="160">
        <v>1.7182623787564659</v>
      </c>
      <c r="O104" s="159">
        <v>-0.71552416328848001</v>
      </c>
      <c r="P104" s="159">
        <v>-0.71552416328848001</v>
      </c>
      <c r="Q104" s="160">
        <v>10.479285997045324</v>
      </c>
      <c r="R104" s="114">
        <v>-27.82</v>
      </c>
      <c r="S104" s="155">
        <f t="shared" si="24"/>
        <v>3.0928842913409156</v>
      </c>
    </row>
    <row r="105" spans="1:35" x14ac:dyDescent="0.2">
      <c r="A105" s="112" t="s">
        <v>3576</v>
      </c>
      <c r="B105" s="112" t="s">
        <v>1746</v>
      </c>
      <c r="C105" s="114" t="s">
        <v>3261</v>
      </c>
      <c r="D105" s="114" t="s">
        <v>1740</v>
      </c>
      <c r="E105" s="114" t="s">
        <v>1748</v>
      </c>
      <c r="F105" s="159">
        <v>57.335110644342571</v>
      </c>
      <c r="G105" s="160">
        <v>-25.961022223534904</v>
      </c>
      <c r="H105" s="160">
        <v>-4.3693949440104802</v>
      </c>
      <c r="I105" s="159">
        <v>44.113056794060142</v>
      </c>
      <c r="J105" s="159">
        <v>0</v>
      </c>
      <c r="K105" s="159">
        <v>-21.623739355442538</v>
      </c>
      <c r="L105" s="160">
        <v>6.2449478667478084</v>
      </c>
      <c r="M105" s="161">
        <v>1472.4591518085297</v>
      </c>
      <c r="N105" s="160">
        <v>1.7815382170917831</v>
      </c>
      <c r="O105" s="159">
        <v>-0.71552416328848001</v>
      </c>
      <c r="P105" s="159">
        <v>-0.71552416328848001</v>
      </c>
      <c r="Q105" s="160">
        <v>10.674947866747805</v>
      </c>
      <c r="R105" s="114">
        <v>-29.34</v>
      </c>
      <c r="S105" s="155">
        <f t="shared" si="24"/>
        <v>3.3789777764650957</v>
      </c>
    </row>
    <row r="106" spans="1:35" x14ac:dyDescent="0.2">
      <c r="A106" s="112" t="s">
        <v>3576</v>
      </c>
      <c r="B106" s="112" t="s">
        <v>1749</v>
      </c>
      <c r="C106" s="114" t="s">
        <v>3263</v>
      </c>
      <c r="D106" s="114" t="s">
        <v>1751</v>
      </c>
      <c r="E106" s="114" t="s">
        <v>1748</v>
      </c>
      <c r="F106" s="159">
        <v>18.548286137026885</v>
      </c>
      <c r="G106" s="160">
        <v>-19.409842932115978</v>
      </c>
      <c r="H106" s="160">
        <v>-3.2667923797985678</v>
      </c>
      <c r="I106" s="159">
        <v>100</v>
      </c>
      <c r="J106" s="159">
        <v>-3.6465253705346146</v>
      </c>
      <c r="K106" s="159">
        <v>-42.923407386224397</v>
      </c>
      <c r="L106" s="160">
        <v>1.9121973441408828</v>
      </c>
      <c r="M106" s="161">
        <v>815.74208512365692</v>
      </c>
      <c r="N106" s="160">
        <v>0.98697182747172674</v>
      </c>
      <c r="O106" s="159">
        <v>-5.0800078336163779</v>
      </c>
      <c r="P106" s="159">
        <v>-1.4877330252949854</v>
      </c>
      <c r="Q106" s="160">
        <v>2.8715538109805081</v>
      </c>
      <c r="R106" s="114">
        <v>-25.07</v>
      </c>
      <c r="S106" s="155">
        <f t="shared" si="24"/>
        <v>5.6601570678840218</v>
      </c>
    </row>
    <row r="107" spans="1:35" x14ac:dyDescent="0.2">
      <c r="A107" s="112" t="s">
        <v>3576</v>
      </c>
      <c r="B107" s="112" t="s">
        <v>1752</v>
      </c>
      <c r="C107" s="114" t="s">
        <v>3263</v>
      </c>
      <c r="D107" s="114" t="s">
        <v>1751</v>
      </c>
      <c r="E107" s="114" t="s">
        <v>1754</v>
      </c>
      <c r="F107" s="159">
        <v>18.548286137026885</v>
      </c>
      <c r="G107" s="160">
        <v>-17.448010060389201</v>
      </c>
      <c r="H107" s="160">
        <v>-2.9366042016556602</v>
      </c>
      <c r="I107" s="159">
        <v>100</v>
      </c>
      <c r="J107" s="159">
        <v>-3.6456080040097483</v>
      </c>
      <c r="K107" s="159">
        <v>-2.8696581835748636</v>
      </c>
      <c r="L107" s="160">
        <v>0.98459223811734098</v>
      </c>
      <c r="M107" s="161">
        <v>745.87967521003213</v>
      </c>
      <c r="N107" s="160">
        <v>0.9024448285078609</v>
      </c>
      <c r="O107" s="159">
        <v>-3.6456080040097518</v>
      </c>
      <c r="P107" s="159">
        <v>0</v>
      </c>
      <c r="Q107" s="160">
        <v>1.9439487049569664</v>
      </c>
      <c r="R107" s="114">
        <v>-19.63</v>
      </c>
      <c r="S107" s="155">
        <f t="shared" si="24"/>
        <v>2.1819899396107978</v>
      </c>
    </row>
    <row r="108" spans="1:35" x14ac:dyDescent="0.2">
      <c r="A108" s="112" t="s">
        <v>3576</v>
      </c>
      <c r="B108" s="112" t="s">
        <v>1755</v>
      </c>
      <c r="C108" s="114" t="s">
        <v>3263</v>
      </c>
      <c r="D108" s="114" t="s">
        <v>1751</v>
      </c>
      <c r="E108" s="114" t="s">
        <v>1757</v>
      </c>
      <c r="F108" s="159">
        <v>18.548286137026885</v>
      </c>
      <c r="G108" s="160">
        <v>-31.599940870584497</v>
      </c>
      <c r="H108" s="160">
        <v>-5.3184585985136055</v>
      </c>
      <c r="I108" s="159">
        <v>100</v>
      </c>
      <c r="J108" s="159">
        <v>-21.14619086449774</v>
      </c>
      <c r="K108" s="159">
        <v>-51.917264770639569</v>
      </c>
      <c r="L108" s="160">
        <v>0.70670438106178834</v>
      </c>
      <c r="M108" s="161">
        <v>984.252204880308</v>
      </c>
      <c r="N108" s="160">
        <v>1.1908533531116476</v>
      </c>
      <c r="O108" s="159">
        <v>-22.31932502470967</v>
      </c>
      <c r="P108" s="159">
        <v>-1.4877330252949854</v>
      </c>
      <c r="Q108" s="160">
        <v>1.6660608479014136</v>
      </c>
      <c r="R108" s="114">
        <v>-30.6</v>
      </c>
      <c r="S108" s="155">
        <f t="shared" si="24"/>
        <v>-0.99994087058449566</v>
      </c>
    </row>
    <row r="110" spans="1:35" x14ac:dyDescent="0.2">
      <c r="B110" s="112" t="s">
        <v>3679</v>
      </c>
    </row>
    <row r="112" spans="1:35" ht="15" x14ac:dyDescent="0.25">
      <c r="B112" s="121" t="s">
        <v>3774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DEA-AD39-4D93-A6E2-EF86317851B7}">
  <dimension ref="B1:W98"/>
  <sheetViews>
    <sheetView workbookViewId="0"/>
  </sheetViews>
  <sheetFormatPr defaultRowHeight="15" x14ac:dyDescent="0.25"/>
  <cols>
    <col min="2" max="2" width="58.5703125" customWidth="1"/>
    <col min="3" max="3" width="12.5703125" customWidth="1"/>
    <col min="4" max="5" width="14.5703125" customWidth="1"/>
    <col min="6" max="23" width="12.5703125" customWidth="1"/>
  </cols>
  <sheetData>
    <row r="1" spans="2:8" ht="17.25" x14ac:dyDescent="0.3">
      <c r="B1" s="164" t="s">
        <v>3873</v>
      </c>
    </row>
    <row r="2" spans="2:8" x14ac:dyDescent="0.25">
      <c r="B2" t="s">
        <v>3680</v>
      </c>
    </row>
    <row r="3" spans="2:8" x14ac:dyDescent="0.25">
      <c r="B3" t="s">
        <v>3780</v>
      </c>
    </row>
    <row r="5" spans="2:8" x14ac:dyDescent="0.25">
      <c r="B5" s="52" t="s">
        <v>3681</v>
      </c>
    </row>
    <row r="6" spans="2:8" x14ac:dyDescent="0.25">
      <c r="B6" t="s">
        <v>3460</v>
      </c>
      <c r="D6" s="165" t="str">
        <f>Table2_Industry!$D$14</f>
        <v>LEGACY</v>
      </c>
      <c r="G6" s="52" t="s">
        <v>1726</v>
      </c>
      <c r="H6" s="52" t="s">
        <v>3704</v>
      </c>
    </row>
    <row r="7" spans="2:8" x14ac:dyDescent="0.25">
      <c r="B7" t="s">
        <v>3456</v>
      </c>
      <c r="D7" s="165" t="str">
        <f>Table2_Industry!$D$15</f>
        <v>-</v>
      </c>
      <c r="E7" t="s">
        <v>3682</v>
      </c>
      <c r="G7" t="s">
        <v>1741</v>
      </c>
      <c r="H7" s="43">
        <v>-22.3</v>
      </c>
    </row>
    <row r="8" spans="2:8" x14ac:dyDescent="0.25">
      <c r="B8" t="s">
        <v>3461</v>
      </c>
      <c r="D8" s="165" t="str">
        <f>Table2_Industry!$D$16</f>
        <v>All sectors</v>
      </c>
      <c r="G8" t="s">
        <v>1744</v>
      </c>
      <c r="H8" s="43">
        <v>-10.5</v>
      </c>
    </row>
    <row r="9" spans="2:8" x14ac:dyDescent="0.25">
      <c r="B9" t="s">
        <v>3683</v>
      </c>
      <c r="D9" s="131">
        <f>Table2_Industry!$D$17</f>
        <v>0</v>
      </c>
      <c r="G9" t="s">
        <v>1746</v>
      </c>
      <c r="H9" s="43">
        <v>-10.5</v>
      </c>
    </row>
    <row r="10" spans="2:8" x14ac:dyDescent="0.25">
      <c r="B10" t="s">
        <v>1735</v>
      </c>
      <c r="D10" s="165" t="str">
        <f>Table2_Industry!$D$18</f>
        <v>CPAT default</v>
      </c>
      <c r="G10" t="s">
        <v>1749</v>
      </c>
      <c r="H10" s="43">
        <v>-22.3</v>
      </c>
    </row>
    <row r="11" spans="2:8" x14ac:dyDescent="0.25">
      <c r="B11" t="s">
        <v>3684</v>
      </c>
      <c r="D11" s="131">
        <f>IF(ISNUMBER(SEARCH("output-based",D10)),1,0)</f>
        <v>0</v>
      </c>
      <c r="E11" t="s">
        <v>3685</v>
      </c>
      <c r="G11" t="s">
        <v>1752</v>
      </c>
      <c r="H11" s="43">
        <v>-2.9</v>
      </c>
    </row>
    <row r="12" spans="2:8" x14ac:dyDescent="0.25">
      <c r="B12" t="s">
        <v>3686</v>
      </c>
      <c r="C12" t="s">
        <v>1852</v>
      </c>
      <c r="D12" s="145">
        <f>Table2_Industry!$T$25</f>
        <v>0</v>
      </c>
      <c r="G12" t="s">
        <v>1755</v>
      </c>
      <c r="H12" s="43">
        <v>-34.6</v>
      </c>
    </row>
    <row r="13" spans="2:8" x14ac:dyDescent="0.25">
      <c r="B13" t="s">
        <v>3687</v>
      </c>
      <c r="C13" t="s">
        <v>2065</v>
      </c>
      <c r="D13" s="145">
        <f>Table2_Industry!$T$29</f>
        <v>0</v>
      </c>
    </row>
    <row r="14" spans="2:8" x14ac:dyDescent="0.25">
      <c r="B14" t="s">
        <v>3688</v>
      </c>
      <c r="C14" t="s">
        <v>2065</v>
      </c>
      <c r="D14" s="145">
        <f>Table2_Industry!$T$31</f>
        <v>0</v>
      </c>
    </row>
    <row r="15" spans="2:8" x14ac:dyDescent="0.25">
      <c r="B15" t="s">
        <v>3689</v>
      </c>
      <c r="C15" t="s">
        <v>2065</v>
      </c>
      <c r="D15" s="145">
        <f>Table2_Industry!$T$32</f>
        <v>0</v>
      </c>
    </row>
    <row r="16" spans="2:8" x14ac:dyDescent="0.25">
      <c r="B16" t="s">
        <v>3690</v>
      </c>
      <c r="C16" t="s">
        <v>79</v>
      </c>
      <c r="D16" s="145">
        <f>Table2_Industry!$T$54</f>
        <v>1</v>
      </c>
    </row>
    <row r="17" spans="2:5" x14ac:dyDescent="0.25">
      <c r="B17" t="s">
        <v>3691</v>
      </c>
      <c r="C17" t="s">
        <v>16</v>
      </c>
      <c r="D17" s="145">
        <f>Table2_Industry!$T$71</f>
        <v>50</v>
      </c>
    </row>
    <row r="18" spans="2:5" x14ac:dyDescent="0.25">
      <c r="B18" t="s">
        <v>2000</v>
      </c>
      <c r="C18" t="s">
        <v>16</v>
      </c>
      <c r="D18" s="145">
        <f>'Manual inputs'!$T$79</f>
        <v>100</v>
      </c>
    </row>
    <row r="19" spans="2:5" x14ac:dyDescent="0.25">
      <c r="B19" t="s">
        <v>3692</v>
      </c>
      <c r="C19" t="s">
        <v>79</v>
      </c>
      <c r="D19" s="145">
        <f>'Manual inputs'!$T$81</f>
        <v>0.48499999999999999</v>
      </c>
    </row>
    <row r="20" spans="2:5" x14ac:dyDescent="0.25">
      <c r="B20" t="s">
        <v>3693</v>
      </c>
      <c r="C20" t="s">
        <v>79</v>
      </c>
      <c r="D20" s="166">
        <f>1/3</f>
        <v>0.33333333333333331</v>
      </c>
      <c r="E20" t="s">
        <v>3694</v>
      </c>
    </row>
    <row r="21" spans="2:5" x14ac:dyDescent="0.25">
      <c r="B21" t="s">
        <v>3695</v>
      </c>
      <c r="D21" s="165" t="str">
        <f>IF(D7="EG3","EG1",D7)</f>
        <v>-</v>
      </c>
      <c r="E21" t="s">
        <v>3696</v>
      </c>
    </row>
    <row r="22" spans="2:5" x14ac:dyDescent="0.25">
      <c r="B22" t="s">
        <v>3697</v>
      </c>
      <c r="C22" t="s">
        <v>2065</v>
      </c>
      <c r="D22" s="145" t="e">
        <f>INDEX(CPAT_National!$T$6:$T$133,MATCH(Table2_Industry!$G$31&amp;"|"&amp;D21,CPAT_National!$B$6:$B$133,0))</f>
        <v>#N/A</v>
      </c>
    </row>
    <row r="23" spans="2:5" x14ac:dyDescent="0.25">
      <c r="B23" t="s">
        <v>3698</v>
      </c>
      <c r="C23" t="s">
        <v>2065</v>
      </c>
      <c r="D23" s="145" t="e">
        <f>INDEX(CPAT_National!$T$6:$T$133,MATCH(Table2_Industry!$G$32&amp;"|"&amp;D21,CPAT_National!$B$6:$B$133,0))</f>
        <v>#N/A</v>
      </c>
    </row>
    <row r="24" spans="2:5" x14ac:dyDescent="0.25">
      <c r="B24" t="s">
        <v>3699</v>
      </c>
      <c r="C24" t="s">
        <v>87</v>
      </c>
      <c r="D24" s="145">
        <f>Emissions_Industry!$T$15/Emissions_Industry!$N$15</f>
        <v>1.2635446530457402</v>
      </c>
    </row>
    <row r="25" spans="2:5" x14ac:dyDescent="0.25">
      <c r="B25" t="s">
        <v>3700</v>
      </c>
      <c r="C25" t="s">
        <v>87</v>
      </c>
      <c r="D25" s="145">
        <f>Emissions_Industry!$T$27/Emissions_Industry!$N$27</f>
        <v>1.2161641007698121</v>
      </c>
    </row>
    <row r="26" spans="2:5" x14ac:dyDescent="0.25">
      <c r="B26" t="s">
        <v>3701</v>
      </c>
      <c r="C26" t="s">
        <v>87</v>
      </c>
      <c r="D26" s="145">
        <f>IPPU_Industry!$T$11/IPPU_Industry!$N$11</f>
        <v>1.3188619066129268</v>
      </c>
      <c r="E26" t="s">
        <v>3702</v>
      </c>
    </row>
    <row r="27" spans="2:5" x14ac:dyDescent="0.25">
      <c r="B27" t="s">
        <v>3703</v>
      </c>
      <c r="C27" t="s">
        <v>84</v>
      </c>
      <c r="D27" s="145" t="e">
        <f>INDEX($H$7:$H$12,MATCH(D6,$G$7:$G$12,0))</f>
        <v>#N/A</v>
      </c>
    </row>
    <row r="29" spans="2:5" x14ac:dyDescent="0.25">
      <c r="B29" s="52" t="s">
        <v>3705</v>
      </c>
    </row>
    <row r="30" spans="2:5" x14ac:dyDescent="0.25">
      <c r="B30" t="s">
        <v>3706</v>
      </c>
      <c r="C30" t="s">
        <v>79</v>
      </c>
      <c r="D30" s="19" t="e">
        <f>D15/D14-1</f>
        <v>#DIV/0!</v>
      </c>
      <c r="E30" t="s">
        <v>3707</v>
      </c>
    </row>
    <row r="31" spans="2:5" x14ac:dyDescent="0.25">
      <c r="B31" t="s">
        <v>3708</v>
      </c>
      <c r="C31" t="s">
        <v>79</v>
      </c>
      <c r="D31" s="19" t="e">
        <f>(D23/D22)^D20-1</f>
        <v>#N/A</v>
      </c>
    </row>
    <row r="32" spans="2:5" x14ac:dyDescent="0.25">
      <c r="B32" t="s">
        <v>3709</v>
      </c>
      <c r="C32" t="s">
        <v>79</v>
      </c>
      <c r="D32" s="19">
        <f>IF(D11=1,1,(D19*D18-D17)/(D19*D18))</f>
        <v>-3.0927835051546393E-2</v>
      </c>
    </row>
    <row r="33" spans="2:23" x14ac:dyDescent="0.25">
      <c r="B33" t="s">
        <v>3710</v>
      </c>
      <c r="C33" t="s">
        <v>79</v>
      </c>
      <c r="D33" s="19">
        <f>IF(D11=1,1,(D18-D17)/D18)</f>
        <v>0.5</v>
      </c>
    </row>
    <row r="35" spans="2:23" x14ac:dyDescent="0.25">
      <c r="B35" s="52" t="s">
        <v>3711</v>
      </c>
    </row>
    <row r="36" spans="2:23" ht="60" customHeight="1" x14ac:dyDescent="0.25">
      <c r="B36" s="167" t="s">
        <v>33</v>
      </c>
      <c r="C36" s="167" t="s">
        <v>34</v>
      </c>
      <c r="D36" s="167" t="s">
        <v>3712</v>
      </c>
      <c r="E36" s="52" t="s">
        <v>3713</v>
      </c>
      <c r="F36" s="167" t="s">
        <v>3714</v>
      </c>
      <c r="G36" s="167" t="s">
        <v>3715</v>
      </c>
      <c r="H36" s="167" t="s">
        <v>3716</v>
      </c>
      <c r="I36" s="167" t="s">
        <v>3717</v>
      </c>
      <c r="J36" s="167" t="s">
        <v>3718</v>
      </c>
      <c r="K36" s="167" t="s">
        <v>3719</v>
      </c>
      <c r="L36" s="167" t="s">
        <v>3720</v>
      </c>
      <c r="M36" s="167" t="s">
        <v>3721</v>
      </c>
      <c r="N36" s="167" t="s">
        <v>3722</v>
      </c>
      <c r="O36" s="167" t="s">
        <v>3723</v>
      </c>
      <c r="P36" s="167" t="s">
        <v>3724</v>
      </c>
      <c r="Q36" s="167" t="s">
        <v>3725</v>
      </c>
      <c r="R36" s="167" t="s">
        <v>3726</v>
      </c>
      <c r="S36" s="167" t="s">
        <v>3727</v>
      </c>
      <c r="T36" s="167" t="s">
        <v>3728</v>
      </c>
      <c r="U36" s="167" t="s">
        <v>3729</v>
      </c>
      <c r="V36" s="167" t="s">
        <v>3730</v>
      </c>
      <c r="W36" s="167" t="s">
        <v>3731</v>
      </c>
    </row>
    <row r="37" spans="2:23" x14ac:dyDescent="0.25">
      <c r="B37" t="s">
        <v>117</v>
      </c>
      <c r="C37" t="s">
        <v>3732</v>
      </c>
      <c r="D37">
        <v>374</v>
      </c>
      <c r="E37">
        <v>385</v>
      </c>
      <c r="F37" s="19">
        <f>Mitigation_Industry!N374+Mitigation_Industry!N385</f>
        <v>4.5030026999999997</v>
      </c>
      <c r="G37" s="19">
        <f>Mitigation_Industry!T374</f>
        <v>4.4511999700969529</v>
      </c>
      <c r="H37" s="19">
        <f>Mitigation_Industry!T385</f>
        <v>0.67986580794250906</v>
      </c>
      <c r="I37" s="19">
        <f>Mitigation_Industry!T773</f>
        <v>4.4511999700969529</v>
      </c>
      <c r="J37" s="19">
        <f>Mitigation_Industry!T784</f>
        <v>0.67986580794250906</v>
      </c>
      <c r="K37" s="19">
        <f>SUM(Mitigation_Industry!T280:T282)</f>
        <v>5908.1856777777657</v>
      </c>
      <c r="L37" s="19">
        <f>SUM(Mitigation_Industry!T679:T681)</f>
        <v>5908.1856777777657</v>
      </c>
      <c r="M37" s="19">
        <f>L37/K37-1</f>
        <v>0</v>
      </c>
      <c r="N37" s="19">
        <f>$D$26</f>
        <v>1.3188619066129268</v>
      </c>
      <c r="O37" s="19">
        <f>(G37+H37)/F37</f>
        <v>1.1394765048751718</v>
      </c>
      <c r="P37" s="19">
        <f>N37/O37</f>
        <v>1.1574279074384306</v>
      </c>
      <c r="Q37" s="19">
        <f>P37*G37</f>
        <v>5.1519430669793209</v>
      </c>
      <c r="R37" s="19">
        <f>P37*H37</f>
        <v>0.78689565942583617</v>
      </c>
      <c r="S37" s="19" t="e">
        <f>P37*(I37*(1+$D$31)-G37)</f>
        <v>#N/A</v>
      </c>
      <c r="T37" s="19">
        <f>P37*(J37-H37)</f>
        <v>0</v>
      </c>
      <c r="U37" s="19">
        <f>G37+H37</f>
        <v>5.1310657780394617</v>
      </c>
      <c r="V37" s="19" t="e">
        <f>(I37*(1+$D$31)+J37)/(1+M37)</f>
        <v>#N/A</v>
      </c>
      <c r="W37" s="19">
        <f>(I37+J37)/(1+M37)</f>
        <v>5.1310657780394617</v>
      </c>
    </row>
    <row r="38" spans="2:23" x14ac:dyDescent="0.25">
      <c r="B38" t="s">
        <v>43</v>
      </c>
      <c r="C38" t="s">
        <v>3733</v>
      </c>
      <c r="D38">
        <v>375</v>
      </c>
      <c r="E38">
        <v>386</v>
      </c>
      <c r="F38" s="19">
        <f>Mitigation_Industry!N375+Mitigation_Industry!N386</f>
        <v>3.5318816489999998</v>
      </c>
      <c r="G38" s="19">
        <f>Mitigation_Industry!T375</f>
        <v>4.0494599341595423</v>
      </c>
      <c r="H38" s="19">
        <f>Mitigation_Industry!T386</f>
        <v>0.52362359727935659</v>
      </c>
      <c r="I38" s="19">
        <f>Mitigation_Industry!T774</f>
        <v>4.0494599341595423</v>
      </c>
      <c r="J38" s="19">
        <f>Mitigation_Industry!T785</f>
        <v>0.52362359727935659</v>
      </c>
      <c r="K38" s="19">
        <f>SUM(Mitigation_Industry!T276:T278)</f>
        <v>12818.528892117214</v>
      </c>
      <c r="L38" s="19">
        <f>SUM(Mitigation_Industry!T675:T677)</f>
        <v>12818.528892117214</v>
      </c>
      <c r="M38" s="19">
        <f>L38/K38-1</f>
        <v>0</v>
      </c>
      <c r="N38" s="19">
        <f>$D$24</f>
        <v>1.2635446530457402</v>
      </c>
      <c r="O38" s="19">
        <f>(G38+H38)/F38</f>
        <v>1.2948008981936583</v>
      </c>
      <c r="P38" s="19">
        <f>N38/O38</f>
        <v>0.9758601919480262</v>
      </c>
      <c r="Q38" s="19">
        <f>P38*G38</f>
        <v>3.9517067486347726</v>
      </c>
      <c r="R38" s="19">
        <f>P38*H38</f>
        <v>0.51098342414954889</v>
      </c>
      <c r="S38" s="19" t="e">
        <f>P38*(I38*(1+$D$31)-G38)</f>
        <v>#N/A</v>
      </c>
      <c r="T38" s="19">
        <f>P38*(J38-H38)</f>
        <v>0</v>
      </c>
      <c r="U38" s="19">
        <f>G38+H38</f>
        <v>4.5730835314388987</v>
      </c>
      <c r="V38" s="19" t="e">
        <f>(I38*(1+$D$31)+J38)/(1+M38)</f>
        <v>#N/A</v>
      </c>
      <c r="W38" s="19">
        <f>(I38+J38)/(1+M38)</f>
        <v>4.5730835314388987</v>
      </c>
    </row>
    <row r="39" spans="2:23" x14ac:dyDescent="0.25">
      <c r="B39" t="s">
        <v>115</v>
      </c>
      <c r="C39" t="s">
        <v>3734</v>
      </c>
      <c r="D39">
        <v>376</v>
      </c>
      <c r="E39">
        <v>387</v>
      </c>
      <c r="F39" s="19">
        <f>Mitigation_Industry!N376+Mitigation_Industry!N387</f>
        <v>0.75627391200000005</v>
      </c>
      <c r="G39" s="19">
        <f>Mitigation_Industry!T376</f>
        <v>5.105303376316575E-2</v>
      </c>
      <c r="H39" s="19">
        <f>Mitigation_Industry!T387</f>
        <v>0.99172980973970914</v>
      </c>
      <c r="I39" s="19">
        <f>Mitigation_Industry!T775</f>
        <v>5.105303376316575E-2</v>
      </c>
      <c r="J39" s="19">
        <f>Mitigation_Industry!T786</f>
        <v>0.99172980973970914</v>
      </c>
      <c r="K39" s="19">
        <f>SUM(Mitigation_Industry!T283:T283)</f>
        <v>413.65284202856708</v>
      </c>
      <c r="L39" s="19">
        <f>SUM(Mitigation_Industry!T682:T682)</f>
        <v>413.65284202856708</v>
      </c>
      <c r="M39" s="19">
        <f>L39/K39-1</f>
        <v>0</v>
      </c>
      <c r="N39" s="19">
        <f>$D$26</f>
        <v>1.3188619066129268</v>
      </c>
      <c r="O39" s="19">
        <f>(G39+H39)/F39</f>
        <v>1.3788428067618903</v>
      </c>
      <c r="P39" s="19">
        <f>N39/O39</f>
        <v>0.95649910210589983</v>
      </c>
      <c r="Q39" s="19">
        <f>P39*G39</f>
        <v>4.883218095425023E-2</v>
      </c>
      <c r="R39" s="19">
        <f>P39*H39</f>
        <v>0.94858867254768664</v>
      </c>
      <c r="S39" s="19" t="e">
        <f>P39*(I39*(1+$D$31)-G39)</f>
        <v>#N/A</v>
      </c>
      <c r="T39" s="19">
        <f>P39*(J39-H39)</f>
        <v>0</v>
      </c>
      <c r="U39" s="19">
        <f>G39+H39</f>
        <v>1.042782843502875</v>
      </c>
      <c r="V39" s="19" t="e">
        <f>(I39*(1+$D$31)+J39)/(1+M39)</f>
        <v>#N/A</v>
      </c>
      <c r="W39" s="19">
        <f>(I39+J39)/(1+M39)</f>
        <v>1.042782843502875</v>
      </c>
    </row>
    <row r="40" spans="2:23" x14ac:dyDescent="0.25">
      <c r="B40" t="s">
        <v>113</v>
      </c>
      <c r="C40" t="s">
        <v>3735</v>
      </c>
      <c r="D40">
        <v>378</v>
      </c>
      <c r="E40">
        <v>389</v>
      </c>
      <c r="F40" s="19">
        <f>Mitigation_Industry!N378+Mitigation_Industry!N389</f>
        <v>42.529733</v>
      </c>
      <c r="G40" s="19">
        <f>Mitigation_Industry!T378</f>
        <v>19.050411535897432</v>
      </c>
      <c r="H40" s="19">
        <f>Mitigation_Industry!T389</f>
        <v>32.626266201938975</v>
      </c>
      <c r="I40" s="19">
        <f>Mitigation_Industry!T777</f>
        <v>19.050411535897432</v>
      </c>
      <c r="J40" s="19">
        <f>Mitigation_Industry!T788</f>
        <v>32.626266201938975</v>
      </c>
      <c r="K40" s="19">
        <f>SUM(Mitigation_Industry!T279:T279)</f>
        <v>60753.588245941261</v>
      </c>
      <c r="L40" s="19">
        <f>SUM(Mitigation_Industry!T678:T678)</f>
        <v>60753.588245941261</v>
      </c>
      <c r="M40" s="19">
        <f>L40/K40-1</f>
        <v>0</v>
      </c>
      <c r="N40" s="19">
        <f>$D$25</f>
        <v>1.2161641007698121</v>
      </c>
      <c r="O40" s="19">
        <f>(G40+H40)/F40</f>
        <v>1.2150717649188254</v>
      </c>
      <c r="P40" s="19">
        <f>N40/O40</f>
        <v>1.0008989887531949</v>
      </c>
      <c r="Q40" s="19">
        <f>P40*G40</f>
        <v>19.067537641611938</v>
      </c>
      <c r="R40" s="19">
        <f>P40*H40</f>
        <v>32.655596848313266</v>
      </c>
      <c r="S40" s="19" t="e">
        <f>P40*(I40*(1+$D$31)-G40)</f>
        <v>#N/A</v>
      </c>
      <c r="T40" s="19">
        <f>P40*(J40-H40)</f>
        <v>0</v>
      </c>
      <c r="U40" s="19">
        <f>G40+H40</f>
        <v>51.676677737836407</v>
      </c>
      <c r="V40" s="19" t="e">
        <f>(I40*(1+$D$31)+J40)/(1+M40)</f>
        <v>#N/A</v>
      </c>
      <c r="W40" s="19">
        <f>(I40+J40)/(1+M40)</f>
        <v>51.676677737836407</v>
      </c>
    </row>
    <row r="41" spans="2:23" x14ac:dyDescent="0.25">
      <c r="B41" s="52" t="s">
        <v>111</v>
      </c>
      <c r="F41" s="19">
        <f t="shared" ref="F41:L41" si="0">SUM(F37:F40)</f>
        <v>51.320891261</v>
      </c>
      <c r="G41" s="19">
        <f t="shared" si="0"/>
        <v>27.602124473917094</v>
      </c>
      <c r="H41" s="19">
        <f t="shared" si="0"/>
        <v>34.821485416900551</v>
      </c>
      <c r="I41" s="19">
        <f t="shared" si="0"/>
        <v>27.602124473917094</v>
      </c>
      <c r="J41" s="19">
        <f t="shared" si="0"/>
        <v>34.821485416900551</v>
      </c>
      <c r="K41" s="19">
        <f t="shared" si="0"/>
        <v>79893.955657864804</v>
      </c>
      <c r="L41" s="19">
        <f t="shared" si="0"/>
        <v>79893.955657864804</v>
      </c>
      <c r="Q41" s="19">
        <f t="shared" ref="Q41:W41" si="1">SUM(Q37:Q40)</f>
        <v>28.220019638180283</v>
      </c>
      <c r="R41" s="19">
        <f t="shared" si="1"/>
        <v>34.90206460443634</v>
      </c>
      <c r="S41" s="19" t="e">
        <f t="shared" si="1"/>
        <v>#N/A</v>
      </c>
      <c r="T41" s="19">
        <f t="shared" si="1"/>
        <v>0</v>
      </c>
      <c r="U41" s="19">
        <f t="shared" si="1"/>
        <v>62.423609890817644</v>
      </c>
      <c r="V41" s="19" t="e">
        <f t="shared" si="1"/>
        <v>#N/A</v>
      </c>
      <c r="W41" s="19">
        <f t="shared" si="1"/>
        <v>62.423609890817644</v>
      </c>
    </row>
    <row r="43" spans="2:23" x14ac:dyDescent="0.25">
      <c r="B43" s="52" t="s">
        <v>3736</v>
      </c>
    </row>
    <row r="44" spans="2:23" x14ac:dyDescent="0.25">
      <c r="B44" t="s">
        <v>3737</v>
      </c>
      <c r="C44" t="s">
        <v>2065</v>
      </c>
      <c r="D44" s="145">
        <f>Q41</f>
        <v>28.220019638180283</v>
      </c>
    </row>
    <row r="45" spans="2:23" x14ac:dyDescent="0.25">
      <c r="B45" t="s">
        <v>3738</v>
      </c>
      <c r="C45" t="s">
        <v>2065</v>
      </c>
      <c r="D45" s="145">
        <f>R41</f>
        <v>34.90206460443634</v>
      </c>
    </row>
    <row r="46" spans="2:23" x14ac:dyDescent="0.25">
      <c r="B46" t="s">
        <v>3739</v>
      </c>
      <c r="C46" t="s">
        <v>2065</v>
      </c>
      <c r="D46" s="145" t="e">
        <f>S41</f>
        <v>#N/A</v>
      </c>
    </row>
    <row r="47" spans="2:23" x14ac:dyDescent="0.25">
      <c r="B47" t="s">
        <v>3740</v>
      </c>
      <c r="C47" t="s">
        <v>2065</v>
      </c>
      <c r="D47" s="145">
        <f>T41</f>
        <v>0</v>
      </c>
    </row>
    <row r="48" spans="2:23" x14ac:dyDescent="0.25">
      <c r="B48" t="s">
        <v>3741</v>
      </c>
      <c r="C48" t="s">
        <v>2065</v>
      </c>
      <c r="D48" s="145" t="e">
        <f>D30*(D44+D45)</f>
        <v>#DIV/0!</v>
      </c>
    </row>
    <row r="49" spans="2:5" x14ac:dyDescent="0.25">
      <c r="B49" t="s">
        <v>3742</v>
      </c>
      <c r="C49" t="s">
        <v>2065</v>
      </c>
      <c r="D49" s="145" t="e">
        <f>D46-D30*D44</f>
        <v>#N/A</v>
      </c>
    </row>
    <row r="50" spans="2:5" x14ac:dyDescent="0.25">
      <c r="B50" t="s">
        <v>3743</v>
      </c>
      <c r="C50" t="s">
        <v>2065</v>
      </c>
      <c r="D50" s="145" t="e">
        <f>D47-D30*D45</f>
        <v>#DIV/0!</v>
      </c>
    </row>
    <row r="51" spans="2:5" x14ac:dyDescent="0.25">
      <c r="B51" t="s">
        <v>3744</v>
      </c>
      <c r="C51" t="s">
        <v>3745</v>
      </c>
      <c r="D51" s="145" t="e">
        <f>100*(V41-W41)/U41</f>
        <v>#N/A</v>
      </c>
    </row>
    <row r="52" spans="2:5" x14ac:dyDescent="0.25">
      <c r="B52" t="s">
        <v>3746</v>
      </c>
      <c r="C52" t="s">
        <v>3745</v>
      </c>
      <c r="D52" s="145">
        <f>100*(W41/U41-1)-Table2_Industry!$T$87</f>
        <v>0</v>
      </c>
      <c r="E52" t="s">
        <v>3747</v>
      </c>
    </row>
    <row r="54" spans="2:5" x14ac:dyDescent="0.25">
      <c r="B54" t="s">
        <v>3748</v>
      </c>
      <c r="C54" t="s">
        <v>1852</v>
      </c>
      <c r="D54" s="145">
        <f>Table2_Industry!$T$49</f>
        <v>0</v>
      </c>
    </row>
    <row r="55" spans="2:5" x14ac:dyDescent="0.25">
      <c r="B55" t="s">
        <v>3749</v>
      </c>
      <c r="C55" t="s">
        <v>3400</v>
      </c>
      <c r="D55" s="145">
        <f>Table2_Industry!$T$47</f>
        <v>0</v>
      </c>
    </row>
    <row r="56" spans="2:5" x14ac:dyDescent="0.25">
      <c r="B56" t="s">
        <v>3750</v>
      </c>
      <c r="C56" t="s">
        <v>3258</v>
      </c>
      <c r="D56" s="131">
        <f>Table2_Industry!$T$48</f>
        <v>0</v>
      </c>
    </row>
    <row r="57" spans="2:5" x14ac:dyDescent="0.25">
      <c r="B57" t="s">
        <v>3751</v>
      </c>
      <c r="C57" t="s">
        <v>2065</v>
      </c>
      <c r="D57" s="145">
        <f>Table2_Industry!$T$51</f>
        <v>0</v>
      </c>
    </row>
    <row r="58" spans="2:5" x14ac:dyDescent="0.25">
      <c r="B58" t="s">
        <v>3752</v>
      </c>
      <c r="C58" t="s">
        <v>3400</v>
      </c>
      <c r="D58" s="145">
        <f>Table2_Industry!$T$73</f>
        <v>0</v>
      </c>
    </row>
    <row r="59" spans="2:5" x14ac:dyDescent="0.25">
      <c r="B59" t="s">
        <v>3753</v>
      </c>
      <c r="C59" t="s">
        <v>3400</v>
      </c>
      <c r="D59" s="145">
        <f>Table2_Industry!$T$74</f>
        <v>0</v>
      </c>
    </row>
    <row r="60" spans="2:5" x14ac:dyDescent="0.25">
      <c r="B60" t="s">
        <v>3754</v>
      </c>
      <c r="C60" t="s">
        <v>3400</v>
      </c>
      <c r="D60" s="145">
        <f>Table2_Industry!$T$75</f>
        <v>0</v>
      </c>
    </row>
    <row r="61" spans="2:5" x14ac:dyDescent="0.25">
      <c r="B61" t="s">
        <v>3755</v>
      </c>
      <c r="C61" t="s">
        <v>84</v>
      </c>
      <c r="D61" s="145">
        <f>Table2_Industry!$T$87</f>
        <v>0</v>
      </c>
    </row>
    <row r="62" spans="2:5" x14ac:dyDescent="0.25">
      <c r="B62" t="s">
        <v>3756</v>
      </c>
      <c r="C62" t="s">
        <v>84</v>
      </c>
      <c r="D62" s="145">
        <f>Table2_Industry!$T$88</f>
        <v>-53.410854810573127</v>
      </c>
    </row>
    <row r="63" spans="2:5" x14ac:dyDescent="0.25">
      <c r="B63" t="s">
        <v>3757</v>
      </c>
      <c r="C63" t="s">
        <v>84</v>
      </c>
      <c r="D63" s="145">
        <f>Table2_Industry!$T$86</f>
        <v>44.217443563732914</v>
      </c>
    </row>
    <row r="65" spans="2:13" x14ac:dyDescent="0.25">
      <c r="B65" s="52" t="s">
        <v>3758</v>
      </c>
    </row>
    <row r="66" spans="2:13" x14ac:dyDescent="0.25">
      <c r="B66" t="s">
        <v>3562</v>
      </c>
      <c r="C66" t="s">
        <v>84</v>
      </c>
      <c r="D66" s="168" t="e">
        <f>100*(IF(D8="All sectors",D13,D16*D14)+IF(D9=1,D45,0))/D12</f>
        <v>#DIV/0!</v>
      </c>
      <c r="E66" t="s">
        <v>3759</v>
      </c>
    </row>
    <row r="67" spans="2:13" x14ac:dyDescent="0.25">
      <c r="B67" t="s">
        <v>3760</v>
      </c>
      <c r="C67" t="s">
        <v>1852</v>
      </c>
      <c r="D67" s="170" t="e">
        <f>D54+D49+D50+D96</f>
        <v>#N/A</v>
      </c>
      <c r="E67" t="s">
        <v>3817</v>
      </c>
    </row>
    <row r="68" spans="2:13" x14ac:dyDescent="0.25">
      <c r="B68" t="s">
        <v>3761</v>
      </c>
      <c r="C68" t="s">
        <v>84</v>
      </c>
      <c r="D68" s="170" t="e">
        <f>100*D67/D12</f>
        <v>#N/A</v>
      </c>
    </row>
    <row r="69" spans="2:13" x14ac:dyDescent="0.25">
      <c r="B69" t="s">
        <v>3565</v>
      </c>
      <c r="C69" t="s">
        <v>84</v>
      </c>
      <c r="D69" s="168">
        <f>D63</f>
        <v>44.217443563732914</v>
      </c>
      <c r="E69" t="s">
        <v>1160</v>
      </c>
    </row>
    <row r="70" spans="2:13" x14ac:dyDescent="0.25">
      <c r="B70" t="s">
        <v>3762</v>
      </c>
      <c r="C70" t="s">
        <v>84</v>
      </c>
      <c r="D70" s="170" t="e">
        <f>D61+D51</f>
        <v>#N/A</v>
      </c>
      <c r="E70" t="s">
        <v>3763</v>
      </c>
    </row>
    <row r="71" spans="2:13" x14ac:dyDescent="0.25">
      <c r="B71" t="s">
        <v>3781</v>
      </c>
      <c r="C71" t="s">
        <v>84</v>
      </c>
      <c r="D71" s="170" t="e">
        <f>D62+D32*D51</f>
        <v>#N/A</v>
      </c>
      <c r="E71" t="s">
        <v>3764</v>
      </c>
    </row>
    <row r="72" spans="2:13" x14ac:dyDescent="0.25">
      <c r="B72" t="s">
        <v>3765</v>
      </c>
      <c r="C72" t="s">
        <v>84</v>
      </c>
      <c r="D72" s="170" t="e">
        <f>D27+D33*D51</f>
        <v>#N/A</v>
      </c>
      <c r="E72" t="s">
        <v>3766</v>
      </c>
    </row>
    <row r="73" spans="2:13" x14ac:dyDescent="0.25">
      <c r="B73" t="s">
        <v>3568</v>
      </c>
      <c r="C73" t="s">
        <v>3400</v>
      </c>
      <c r="D73" s="170" t="e">
        <f>D55+D17*D49/1000+D58-D59-D60-D98</f>
        <v>#N/A</v>
      </c>
      <c r="E73" t="s">
        <v>3818</v>
      </c>
    </row>
    <row r="74" spans="2:13" x14ac:dyDescent="0.25">
      <c r="B74" t="s">
        <v>3569</v>
      </c>
      <c r="C74" t="s">
        <v>3258</v>
      </c>
      <c r="D74" s="168" t="e">
        <f>D56*(D57+D49+D97)/D57</f>
        <v>#N/A</v>
      </c>
      <c r="E74" t="s">
        <v>3819</v>
      </c>
    </row>
    <row r="75" spans="2:13" x14ac:dyDescent="0.25">
      <c r="B75" t="s">
        <v>3767</v>
      </c>
      <c r="C75" t="s">
        <v>84</v>
      </c>
      <c r="D75" s="170" t="e">
        <f>100*(D46+D47)/(D44+D45)</f>
        <v>#N/A</v>
      </c>
    </row>
    <row r="78" spans="2:13" x14ac:dyDescent="0.25">
      <c r="B78" s="52" t="s">
        <v>3874</v>
      </c>
      <c r="M78" t="s">
        <v>3783</v>
      </c>
    </row>
    <row r="79" spans="2:13" x14ac:dyDescent="0.25">
      <c r="B79" s="52" t="s">
        <v>1726</v>
      </c>
      <c r="C79" s="52" t="s">
        <v>3534</v>
      </c>
      <c r="D79" s="52" t="s">
        <v>3532</v>
      </c>
      <c r="E79" s="52" t="s">
        <v>3536</v>
      </c>
      <c r="F79" s="52" t="s">
        <v>3538</v>
      </c>
      <c r="G79" s="52" t="s">
        <v>3541</v>
      </c>
      <c r="H79" s="52" t="s">
        <v>3544</v>
      </c>
      <c r="I79" s="52" t="s">
        <v>3768</v>
      </c>
      <c r="J79" s="52" t="s">
        <v>3553</v>
      </c>
      <c r="K79" s="52" t="s">
        <v>3555</v>
      </c>
      <c r="L79" s="52" t="s">
        <v>3547</v>
      </c>
      <c r="M79" s="52" t="s">
        <v>3782</v>
      </c>
    </row>
    <row r="80" spans="2:13" x14ac:dyDescent="0.25">
      <c r="B80" t="s">
        <v>1741</v>
      </c>
      <c r="C80" s="169">
        <v>63.209336370319647</v>
      </c>
      <c r="D80" s="169">
        <v>-34.660469811446859</v>
      </c>
      <c r="E80" s="169">
        <v>-5.833563880773208</v>
      </c>
      <c r="F80" s="169">
        <v>100</v>
      </c>
      <c r="G80" s="169">
        <v>-5.793407659481673</v>
      </c>
      <c r="H80" s="169">
        <v>-44.184977391069573</v>
      </c>
      <c r="I80" s="169">
        <v>-24.017505831157649</v>
      </c>
      <c r="J80" s="169">
        <v>6.914038294455505</v>
      </c>
      <c r="K80" s="169">
        <v>1440.3298626089386</v>
      </c>
      <c r="L80" s="169">
        <v>-7.2265056738843718</v>
      </c>
      <c r="M80">
        <v>-5.42</v>
      </c>
    </row>
    <row r="81" spans="2:13" x14ac:dyDescent="0.25">
      <c r="B81" t="s">
        <v>1744</v>
      </c>
      <c r="C81" s="169">
        <v>57.335110644342571</v>
      </c>
      <c r="D81" s="169">
        <v>-31.926808026883492</v>
      </c>
      <c r="E81" s="169">
        <v>-5.3734722912641617</v>
      </c>
      <c r="F81" s="169">
        <v>44.113056794060142</v>
      </c>
      <c r="G81" s="169">
        <v>-2.1460634865029422</v>
      </c>
      <c r="H81" s="169">
        <v>-22.884828208336021</v>
      </c>
      <c r="I81" s="169">
        <v>-12.216850789202354</v>
      </c>
      <c r="J81" s="169">
        <v>6.2756281499590898</v>
      </c>
      <c r="K81" s="169">
        <v>1430.8363005485799</v>
      </c>
      <c r="L81" s="169">
        <v>-2.8957523133707386</v>
      </c>
      <c r="M81">
        <v>-2.5499999999999998</v>
      </c>
    </row>
    <row r="82" spans="2:13" x14ac:dyDescent="0.25">
      <c r="B82" t="s">
        <v>1746</v>
      </c>
      <c r="C82" s="169">
        <v>57.335110644342571</v>
      </c>
      <c r="D82" s="169">
        <v>-33.678508296274991</v>
      </c>
      <c r="E82" s="169">
        <v>-5.6682938986183755</v>
      </c>
      <c r="F82" s="169">
        <v>44.113056794060142</v>
      </c>
      <c r="G82" s="169">
        <v>-2.2611561918673608</v>
      </c>
      <c r="H82" s="169">
        <v>-22.952460004271813</v>
      </c>
      <c r="I82" s="169">
        <v>-12.308924953493889</v>
      </c>
      <c r="J82" s="169">
        <v>6.2381592994752895</v>
      </c>
      <c r="K82" s="169">
        <v>1492.046176329967</v>
      </c>
      <c r="L82" s="169">
        <v>-3.0113151297594736</v>
      </c>
      <c r="M82">
        <v>-2.69</v>
      </c>
    </row>
    <row r="83" spans="2:13" x14ac:dyDescent="0.25">
      <c r="B83" t="s">
        <v>1749</v>
      </c>
      <c r="C83" s="169">
        <v>13.921208504910556</v>
      </c>
      <c r="D83" s="169">
        <v>-20.036995847157446</v>
      </c>
      <c r="E83" s="169">
        <v>-3.372345957485483</v>
      </c>
      <c r="F83" s="169">
        <v>100</v>
      </c>
      <c r="G83" s="169">
        <v>-5.793407659481673</v>
      </c>
      <c r="H83" s="169">
        <v>-44.184977391069573</v>
      </c>
      <c r="I83" s="169">
        <v>-24.017505831157649</v>
      </c>
      <c r="J83" s="169">
        <v>1.5897934302703867</v>
      </c>
      <c r="K83" s="169">
        <v>508.52302497803402</v>
      </c>
      <c r="L83" s="169">
        <v>-7.2265056738843718</v>
      </c>
      <c r="M83">
        <v>-5.42</v>
      </c>
    </row>
    <row r="84" spans="2:13" x14ac:dyDescent="0.25">
      <c r="B84" t="s">
        <v>1752</v>
      </c>
      <c r="C84" s="169">
        <v>13.921208504910556</v>
      </c>
      <c r="D84" s="169">
        <v>-11.976031347226275</v>
      </c>
      <c r="E84" s="169">
        <v>-2.0156375341200419</v>
      </c>
      <c r="F84" s="169">
        <v>100</v>
      </c>
      <c r="G84" s="169">
        <v>-5.798414912468858</v>
      </c>
      <c r="H84" s="169">
        <v>-5.0224650920339737</v>
      </c>
      <c r="I84" s="169">
        <v>-5.0528069084591092</v>
      </c>
      <c r="J84" s="169">
        <v>0.31512739847496368</v>
      </c>
      <c r="K84" s="169">
        <v>329.75066741669281</v>
      </c>
      <c r="L84" s="169">
        <v>-5.8060076890201664</v>
      </c>
      <c r="M84">
        <v>-5.42</v>
      </c>
    </row>
    <row r="85" spans="2:13" x14ac:dyDescent="0.25">
      <c r="B85" t="s">
        <v>1755</v>
      </c>
      <c r="C85" s="169">
        <v>13.921208504910556</v>
      </c>
      <c r="D85" s="169">
        <v>-30.820457038766094</v>
      </c>
      <c r="E85" s="169">
        <v>-5.1872668186075872</v>
      </c>
      <c r="F85" s="169">
        <v>100</v>
      </c>
      <c r="G85" s="169">
        <v>-23.10424755699233</v>
      </c>
      <c r="H85" s="169">
        <v>-53.067875404373503</v>
      </c>
      <c r="I85" s="169">
        <v>-36.166445353995677</v>
      </c>
      <c r="J85" s="169">
        <v>0.40516618285479145</v>
      </c>
      <c r="K85" s="169">
        <v>606.41878314116309</v>
      </c>
      <c r="L85" s="169">
        <v>-24.310005563021804</v>
      </c>
      <c r="M85">
        <v>-20.73</v>
      </c>
    </row>
    <row r="86" spans="2:13" x14ac:dyDescent="0.25">
      <c r="B86" t="s">
        <v>3575</v>
      </c>
      <c r="C86" s="169" t="e">
        <f>D66</f>
        <v>#DIV/0!</v>
      </c>
      <c r="D86" s="169" t="e">
        <f>D67</f>
        <v>#N/A</v>
      </c>
      <c r="E86" s="169" t="e">
        <f>D68</f>
        <v>#N/A</v>
      </c>
      <c r="F86" s="169">
        <f>D69</f>
        <v>44.217443563732914</v>
      </c>
      <c r="G86" s="169" t="e">
        <f>D70</f>
        <v>#N/A</v>
      </c>
      <c r="H86" s="169" t="e">
        <f>D71</f>
        <v>#N/A</v>
      </c>
      <c r="I86" s="169" t="e">
        <f>D72</f>
        <v>#N/A</v>
      </c>
      <c r="J86" s="169" t="e">
        <f>D73</f>
        <v>#N/A</v>
      </c>
      <c r="K86" s="169" t="e">
        <f>D74</f>
        <v>#N/A</v>
      </c>
      <c r="L86" s="169" t="e">
        <f>D75</f>
        <v>#N/A</v>
      </c>
    </row>
    <row r="87" spans="2:13" x14ac:dyDescent="0.25">
      <c r="B87" t="s">
        <v>3769</v>
      </c>
      <c r="C87" s="145" t="str">
        <f t="shared" ref="C87:L87" si="2">IFERROR(C86-INDEX(C$80:C$85,MATCH($D$6,$B$80:$B$85,0)),"n/a")</f>
        <v>n/a</v>
      </c>
      <c r="D87" s="145" t="str">
        <f t="shared" si="2"/>
        <v>n/a</v>
      </c>
      <c r="E87" s="145" t="str">
        <f t="shared" si="2"/>
        <v>n/a</v>
      </c>
      <c r="F87" s="145" t="str">
        <f t="shared" si="2"/>
        <v>n/a</v>
      </c>
      <c r="G87" s="145" t="str">
        <f t="shared" si="2"/>
        <v>n/a</v>
      </c>
      <c r="H87" s="145" t="str">
        <f t="shared" si="2"/>
        <v>n/a</v>
      </c>
      <c r="I87" s="145" t="str">
        <f t="shared" si="2"/>
        <v>n/a</v>
      </c>
      <c r="J87" s="145" t="str">
        <f t="shared" si="2"/>
        <v>n/a</v>
      </c>
      <c r="K87" s="145" t="str">
        <f t="shared" si="2"/>
        <v>n/a</v>
      </c>
      <c r="L87" s="145" t="str">
        <f t="shared" si="2"/>
        <v>n/a</v>
      </c>
    </row>
    <row r="88" spans="2:13" x14ac:dyDescent="0.25">
      <c r="B88" t="s">
        <v>3770</v>
      </c>
      <c r="D88" s="89" t="str">
        <f>IFERROR(MAX(INDEX(ABS(C87:L87),0)),"n/a")</f>
        <v>n/a</v>
      </c>
    </row>
    <row r="90" spans="2:13" x14ac:dyDescent="0.25">
      <c r="B90" t="s">
        <v>3820</v>
      </c>
    </row>
    <row r="92" spans="2:13" x14ac:dyDescent="0.25">
      <c r="B92" s="52" t="s">
        <v>3810</v>
      </c>
    </row>
    <row r="93" spans="2:13" x14ac:dyDescent="0.25">
      <c r="B93" t="s">
        <v>3811</v>
      </c>
      <c r="C93" t="s">
        <v>2839</v>
      </c>
      <c r="D93" s="176">
        <f>IF(AND(D11=1,'Manual inputs'!$E$112=1),1,0)</f>
        <v>0</v>
      </c>
    </row>
    <row r="94" spans="2:13" x14ac:dyDescent="0.25">
      <c r="B94" t="s">
        <v>3812</v>
      </c>
      <c r="C94" t="s">
        <v>1852</v>
      </c>
      <c r="D94" s="176">
        <f>Table2_Industry!$T$50</f>
        <v>0</v>
      </c>
    </row>
    <row r="95" spans="2:13" x14ac:dyDescent="0.25">
      <c r="B95" t="s">
        <v>3813</v>
      </c>
      <c r="C95" t="s">
        <v>1852</v>
      </c>
      <c r="D95" s="176" t="e">
        <f>(D15-D14)+D94-D30*(D44+D45)</f>
        <v>#DIV/0!</v>
      </c>
    </row>
    <row r="96" spans="2:13" x14ac:dyDescent="0.25">
      <c r="B96" t="s">
        <v>3814</v>
      </c>
      <c r="C96" t="s">
        <v>1852</v>
      </c>
      <c r="D96" s="176" t="e">
        <f>-(1-D20)*D95*D93</f>
        <v>#DIV/0!</v>
      </c>
    </row>
    <row r="97" spans="2:4" x14ac:dyDescent="0.25">
      <c r="B97" t="s">
        <v>3815</v>
      </c>
      <c r="C97" t="s">
        <v>2065</v>
      </c>
      <c r="D97" s="176" t="e">
        <f>-(1-D20)*((D15-D14)-D30*D44)*D93</f>
        <v>#DIV/0!</v>
      </c>
    </row>
    <row r="98" spans="2:4" x14ac:dyDescent="0.25">
      <c r="B98" t="s">
        <v>3816</v>
      </c>
      <c r="C98" t="s">
        <v>3400</v>
      </c>
      <c r="D98" s="176" t="e">
        <f>D93*D17*(D16*D15-(D44+D46))/1000</f>
        <v>#N/A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C1EA-6E8D-4BA0-988A-6BC8DC97B2C5}">
  <dimension ref="B1:L65"/>
  <sheetViews>
    <sheetView workbookViewId="0">
      <selection activeCell="D20" sqref="D20"/>
    </sheetView>
  </sheetViews>
  <sheetFormatPr defaultRowHeight="15" x14ac:dyDescent="0.25"/>
  <cols>
    <col min="2" max="2" width="62.5703125" customWidth="1"/>
    <col min="3" max="3" width="14.5703125" customWidth="1"/>
    <col min="4" max="12" width="13.5703125" customWidth="1"/>
  </cols>
  <sheetData>
    <row r="1" spans="2:10" ht="15.75" x14ac:dyDescent="0.25">
      <c r="B1" s="177" t="s">
        <v>3872</v>
      </c>
    </row>
    <row r="2" spans="2:10" x14ac:dyDescent="0.25">
      <c r="B2" t="s">
        <v>3821</v>
      </c>
    </row>
    <row r="4" spans="2:10" x14ac:dyDescent="0.25">
      <c r="B4" s="178" t="s">
        <v>3822</v>
      </c>
      <c r="C4" s="36"/>
      <c r="D4" s="36"/>
      <c r="E4" s="36"/>
      <c r="F4" s="36"/>
      <c r="G4" s="36"/>
      <c r="H4" s="36"/>
      <c r="I4" s="36"/>
      <c r="J4" s="36"/>
    </row>
    <row r="5" spans="2:10" x14ac:dyDescent="0.25">
      <c r="B5" s="52" t="s">
        <v>3823</v>
      </c>
      <c r="C5" s="52" t="s">
        <v>35</v>
      </c>
      <c r="D5" s="52" t="s">
        <v>1741</v>
      </c>
      <c r="E5" s="52" t="s">
        <v>1744</v>
      </c>
      <c r="F5" s="52" t="s">
        <v>1746</v>
      </c>
      <c r="G5" s="52" t="s">
        <v>1749</v>
      </c>
      <c r="H5" s="52" t="s">
        <v>1752</v>
      </c>
      <c r="I5" s="52" t="s">
        <v>1755</v>
      </c>
    </row>
    <row r="6" spans="2:10" x14ac:dyDescent="0.25">
      <c r="B6" t="s">
        <v>3824</v>
      </c>
      <c r="C6" t="s">
        <v>84</v>
      </c>
      <c r="D6" s="179">
        <f>INDEX(CarveOut_Table2!$C$80:$C$85,MATCH(D$5,CarveOut_Table2!$B$80:$B$85,0))</f>
        <v>63.209336370319647</v>
      </c>
      <c r="E6" s="179">
        <f>INDEX(CarveOut_Table2!$C$80:$C$85,MATCH(E$5,CarveOut_Table2!$B$80:$B$85,0))</f>
        <v>57.335110644342571</v>
      </c>
      <c r="F6" s="179">
        <f>INDEX(CarveOut_Table2!$C$80:$C$85,MATCH(F$5,CarveOut_Table2!$B$80:$B$85,0))</f>
        <v>57.335110644342571</v>
      </c>
      <c r="G6" s="179">
        <f>INDEX(CarveOut_Table2!$C$80:$C$85,MATCH(G$5,CarveOut_Table2!$B$80:$B$85,0))</f>
        <v>13.921208504910556</v>
      </c>
      <c r="H6" s="179">
        <f>INDEX(CarveOut_Table2!$C$80:$C$85,MATCH(H$5,CarveOut_Table2!$B$80:$B$85,0))</f>
        <v>13.921208504910556</v>
      </c>
      <c r="I6" s="179">
        <f>INDEX(CarveOut_Table2!$C$80:$C$85,MATCH(I$5,CarveOut_Table2!$B$80:$B$85,0))</f>
        <v>13.921208504910556</v>
      </c>
      <c r="J6" t="s">
        <v>36</v>
      </c>
    </row>
    <row r="7" spans="2:10" x14ac:dyDescent="0.25">
      <c r="B7" t="s">
        <v>3825</v>
      </c>
      <c r="C7" t="s">
        <v>3826</v>
      </c>
      <c r="D7" s="180">
        <f>INDEX(CarveOut_Table2!$J$80:$J$85,MATCH(D$5,CarveOut_Table2!$B$80:$B$85,0))</f>
        <v>6.914038294455505</v>
      </c>
      <c r="E7" s="180">
        <f>INDEX(CarveOut_Table2!$J$80:$J$85,MATCH(E$5,CarveOut_Table2!$B$80:$B$85,0))</f>
        <v>6.2756281499590898</v>
      </c>
      <c r="F7" s="180">
        <f>INDEX(CarveOut_Table2!$J$80:$J$85,MATCH(F$5,CarveOut_Table2!$B$80:$B$85,0))</f>
        <v>6.2381592994752895</v>
      </c>
      <c r="G7" s="180">
        <f>INDEX(CarveOut_Table2!$J$80:$J$85,MATCH(G$5,CarveOut_Table2!$B$80:$B$85,0))</f>
        <v>1.5897934302703867</v>
      </c>
      <c r="H7" s="180">
        <f>INDEX(CarveOut_Table2!$J$80:$J$85,MATCH(H$5,CarveOut_Table2!$B$80:$B$85,0))</f>
        <v>0.31512739847496368</v>
      </c>
      <c r="I7" s="180">
        <f>INDEX(CarveOut_Table2!$J$80:$J$85,MATCH(I$5,CarveOut_Table2!$B$80:$B$85,0))</f>
        <v>0.40516618285479145</v>
      </c>
      <c r="J7" t="s">
        <v>3834</v>
      </c>
    </row>
    <row r="8" spans="2:10" x14ac:dyDescent="0.25">
      <c r="B8" t="s">
        <v>3827</v>
      </c>
      <c r="C8" t="s">
        <v>1852</v>
      </c>
      <c r="D8" s="180">
        <f>INDEX(CarveOut_Table2!$D$80:$D$85,MATCH(D$5,CarveOut_Table2!$B$80:$B$85,0))</f>
        <v>-34.660469811446859</v>
      </c>
      <c r="E8" s="180">
        <f>INDEX(CarveOut_Table2!$D$80:$D$85,MATCH(E$5,CarveOut_Table2!$B$80:$B$85,0))</f>
        <v>-31.926808026883492</v>
      </c>
      <c r="F8" s="180">
        <f>INDEX(CarveOut_Table2!$D$80:$D$85,MATCH(F$5,CarveOut_Table2!$B$80:$B$85,0))</f>
        <v>-33.678508296274991</v>
      </c>
      <c r="G8" s="180">
        <f>INDEX(CarveOut_Table2!$D$80:$D$85,MATCH(G$5,CarveOut_Table2!$B$80:$B$85,0))</f>
        <v>-20.036995847157446</v>
      </c>
      <c r="H8" s="180">
        <f>INDEX(CarveOut_Table2!$D$80:$D$85,MATCH(H$5,CarveOut_Table2!$B$80:$B$85,0))</f>
        <v>-11.976031347226275</v>
      </c>
      <c r="I8" s="180">
        <f>INDEX(CarveOut_Table2!$D$80:$D$85,MATCH(I$5,CarveOut_Table2!$B$80:$B$85,0))</f>
        <v>-30.820457038766094</v>
      </c>
    </row>
    <row r="9" spans="2:10" x14ac:dyDescent="0.25">
      <c r="B9" t="s">
        <v>3828</v>
      </c>
      <c r="C9" t="s">
        <v>84</v>
      </c>
      <c r="D9" s="180">
        <f>INDEX(CarveOut_Table2!$E$80:$E$85,MATCH(D$5,CarveOut_Table2!$B$80:$B$85,0))</f>
        <v>-5.833563880773208</v>
      </c>
      <c r="E9" s="180">
        <f>INDEX(CarveOut_Table2!$E$80:$E$85,MATCH(E$5,CarveOut_Table2!$B$80:$B$85,0))</f>
        <v>-5.3734722912641617</v>
      </c>
      <c r="F9" s="180">
        <f>INDEX(CarveOut_Table2!$E$80:$E$85,MATCH(F$5,CarveOut_Table2!$B$80:$B$85,0))</f>
        <v>-5.6682938986183755</v>
      </c>
      <c r="G9" s="180">
        <f>INDEX(CarveOut_Table2!$E$80:$E$85,MATCH(G$5,CarveOut_Table2!$B$80:$B$85,0))</f>
        <v>-3.372345957485483</v>
      </c>
      <c r="H9" s="180">
        <f>INDEX(CarveOut_Table2!$E$80:$E$85,MATCH(H$5,CarveOut_Table2!$B$80:$B$85,0))</f>
        <v>-2.0156375341200419</v>
      </c>
      <c r="I9" s="180">
        <f>INDEX(CarveOut_Table2!$E$80:$E$85,MATCH(I$5,CarveOut_Table2!$B$80:$B$85,0))</f>
        <v>-5.1872668186075872</v>
      </c>
    </row>
    <row r="10" spans="2:10" x14ac:dyDescent="0.25">
      <c r="B10" t="s">
        <v>3829</v>
      </c>
      <c r="C10" t="s">
        <v>84</v>
      </c>
      <c r="D10" s="179">
        <f>INDEX(CarveOut_Table2!$F$80:$F$85,MATCH(D$5,CarveOut_Table2!$B$80:$B$85,0))</f>
        <v>100</v>
      </c>
      <c r="E10" s="179">
        <f>INDEX(CarveOut_Table2!$F$80:$F$85,MATCH(E$5,CarveOut_Table2!$B$80:$B$85,0))</f>
        <v>44.113056794060142</v>
      </c>
      <c r="F10" s="179">
        <f>INDEX(CarveOut_Table2!$F$80:$F$85,MATCH(F$5,CarveOut_Table2!$B$80:$B$85,0))</f>
        <v>44.113056794060142</v>
      </c>
      <c r="G10" s="179">
        <f>INDEX(CarveOut_Table2!$F$80:$F$85,MATCH(G$5,CarveOut_Table2!$B$80:$B$85,0))</f>
        <v>100</v>
      </c>
      <c r="H10" s="179">
        <f>INDEX(CarveOut_Table2!$F$80:$F$85,MATCH(H$5,CarveOut_Table2!$B$80:$B$85,0))</f>
        <v>100</v>
      </c>
      <c r="I10" s="179">
        <f>INDEX(CarveOut_Table2!$F$80:$F$85,MATCH(I$5,CarveOut_Table2!$B$80:$B$85,0))</f>
        <v>100</v>
      </c>
    </row>
    <row r="11" spans="2:10" x14ac:dyDescent="0.25">
      <c r="B11" t="s">
        <v>3830</v>
      </c>
      <c r="C11" t="s">
        <v>84</v>
      </c>
      <c r="D11" s="180">
        <f>INDEX(CarveOut_Table2!$G$80:$G$85,MATCH(D$5,CarveOut_Table2!$B$80:$B$85,0))</f>
        <v>-5.793407659481673</v>
      </c>
      <c r="E11" s="180">
        <f>INDEX(CarveOut_Table2!$G$80:$G$85,MATCH(E$5,CarveOut_Table2!$B$80:$B$85,0))</f>
        <v>-2.1460634865029422</v>
      </c>
      <c r="F11" s="180">
        <f>INDEX(CarveOut_Table2!$G$80:$G$85,MATCH(F$5,CarveOut_Table2!$B$80:$B$85,0))</f>
        <v>-2.2611561918673608</v>
      </c>
      <c r="G11" s="180">
        <f>INDEX(CarveOut_Table2!$G$80:$G$85,MATCH(G$5,CarveOut_Table2!$B$80:$B$85,0))</f>
        <v>-5.793407659481673</v>
      </c>
      <c r="H11" s="180">
        <f>INDEX(CarveOut_Table2!$G$80:$G$85,MATCH(H$5,CarveOut_Table2!$B$80:$B$85,0))</f>
        <v>-5.798414912468858</v>
      </c>
      <c r="I11" s="180">
        <f>INDEX(CarveOut_Table2!$G$80:$G$85,MATCH(I$5,CarveOut_Table2!$B$80:$B$85,0))</f>
        <v>-23.10424755699233</v>
      </c>
    </row>
    <row r="12" spans="2:10" x14ac:dyDescent="0.25">
      <c r="B12" t="s">
        <v>3831</v>
      </c>
      <c r="C12" t="s">
        <v>84</v>
      </c>
      <c r="D12" s="180">
        <f>INDEX(CarveOut_Table2!$M$80:$M$85,MATCH(D$5,CarveOut_Table2!$B$80:$B$85,0))</f>
        <v>-5.42</v>
      </c>
      <c r="E12" s="180">
        <f>INDEX(CarveOut_Table2!$M$80:$M$85,MATCH(E$5,CarveOut_Table2!$B$80:$B$85,0))</f>
        <v>-2.5499999999999998</v>
      </c>
      <c r="F12" s="180">
        <f>INDEX(CarveOut_Table2!$M$80:$M$85,MATCH(F$5,CarveOut_Table2!$B$80:$B$85,0))</f>
        <v>-2.69</v>
      </c>
      <c r="G12" s="180">
        <f>INDEX(CarveOut_Table2!$M$80:$M$85,MATCH(G$5,CarveOut_Table2!$B$80:$B$85,0))</f>
        <v>-5.42</v>
      </c>
      <c r="H12" s="180">
        <f>INDEX(CarveOut_Table2!$M$80:$M$85,MATCH(H$5,CarveOut_Table2!$B$80:$B$85,0))</f>
        <v>-5.42</v>
      </c>
      <c r="I12" s="180">
        <f>INDEX(CarveOut_Table2!$M$80:$M$85,MATCH(I$5,CarveOut_Table2!$B$80:$B$85,0))</f>
        <v>-20.73</v>
      </c>
    </row>
    <row r="13" spans="2:10" x14ac:dyDescent="0.25">
      <c r="B13" t="s">
        <v>3832</v>
      </c>
      <c r="C13" t="s">
        <v>84</v>
      </c>
      <c r="D13" s="180">
        <f>INDEX(CarveOut_Table2!$L$80:$L$85,MATCH(D$5,CarveOut_Table2!$B$80:$B$85,0))</f>
        <v>-7.2265056738843718</v>
      </c>
      <c r="E13" s="180">
        <f>INDEX(CarveOut_Table2!$L$80:$L$85,MATCH(E$5,CarveOut_Table2!$B$80:$B$85,0))</f>
        <v>-2.8957523133707386</v>
      </c>
      <c r="F13" s="180">
        <f>INDEX(CarveOut_Table2!$L$80:$L$85,MATCH(F$5,CarveOut_Table2!$B$80:$B$85,0))</f>
        <v>-3.0113151297594736</v>
      </c>
      <c r="G13" s="180">
        <f>INDEX(CarveOut_Table2!$L$80:$L$85,MATCH(G$5,CarveOut_Table2!$B$80:$B$85,0))</f>
        <v>-7.2265056738843718</v>
      </c>
      <c r="H13" s="180">
        <f>INDEX(CarveOut_Table2!$L$80:$L$85,MATCH(H$5,CarveOut_Table2!$B$80:$B$85,0))</f>
        <v>-5.8060076890201664</v>
      </c>
      <c r="I13" s="180">
        <f>INDEX(CarveOut_Table2!$L$80:$L$85,MATCH(I$5,CarveOut_Table2!$B$80:$B$85,0))</f>
        <v>-24.310005563021804</v>
      </c>
    </row>
    <row r="14" spans="2:10" x14ac:dyDescent="0.25">
      <c r="B14" t="s">
        <v>3833</v>
      </c>
      <c r="C14" t="s">
        <v>3258</v>
      </c>
      <c r="D14" s="179">
        <f>INDEX(CarveOut_Table2!$K$80:$K$85,MATCH(D$5,CarveOut_Table2!$B$80:$B$85,0))</f>
        <v>1440.3298626089386</v>
      </c>
      <c r="E14" s="179">
        <f>INDEX(CarveOut_Table2!$K$80:$K$85,MATCH(E$5,CarveOut_Table2!$B$80:$B$85,0))</f>
        <v>1430.8363005485799</v>
      </c>
      <c r="F14" s="179">
        <f>INDEX(CarveOut_Table2!$K$80:$K$85,MATCH(F$5,CarveOut_Table2!$B$80:$B$85,0))</f>
        <v>1492.046176329967</v>
      </c>
      <c r="G14" s="179">
        <f>INDEX(CarveOut_Table2!$K$80:$K$85,MATCH(G$5,CarveOut_Table2!$B$80:$B$85,0))</f>
        <v>508.52302497803402</v>
      </c>
      <c r="H14" s="179">
        <f>INDEX(CarveOut_Table2!$K$80:$K$85,MATCH(H$5,CarveOut_Table2!$B$80:$B$85,0))</f>
        <v>329.75066741669281</v>
      </c>
      <c r="I14" s="179">
        <f>INDEX(CarveOut_Table2!$K$80:$K$85,MATCH(I$5,CarveOut_Table2!$B$80:$B$85,0))</f>
        <v>606.41878314116309</v>
      </c>
    </row>
    <row r="17" spans="2:10" x14ac:dyDescent="0.25">
      <c r="B17" s="178" t="s">
        <v>3871</v>
      </c>
      <c r="C17" s="36"/>
      <c r="D17" s="36"/>
      <c r="E17" s="36"/>
      <c r="F17" s="36"/>
      <c r="G17" s="36"/>
      <c r="H17" s="36"/>
      <c r="I17" s="36"/>
      <c r="J17" s="36"/>
    </row>
    <row r="18" spans="2:10" x14ac:dyDescent="0.25">
      <c r="B18" s="52" t="s">
        <v>3823</v>
      </c>
      <c r="C18" s="52" t="s">
        <v>35</v>
      </c>
      <c r="D18" s="52" t="s">
        <v>1741</v>
      </c>
      <c r="E18" s="52" t="s">
        <v>1744</v>
      </c>
      <c r="F18" s="52" t="s">
        <v>1746</v>
      </c>
      <c r="G18" s="52" t="s">
        <v>1749</v>
      </c>
      <c r="H18" s="52" t="s">
        <v>1752</v>
      </c>
      <c r="I18" s="52" t="s">
        <v>1755</v>
      </c>
    </row>
    <row r="19" spans="2:10" x14ac:dyDescent="0.25">
      <c r="B19" t="s">
        <v>3824</v>
      </c>
      <c r="C19" t="s">
        <v>84</v>
      </c>
      <c r="D19" s="181">
        <v>63</v>
      </c>
      <c r="E19" s="181">
        <v>57</v>
      </c>
      <c r="F19" s="181">
        <v>57</v>
      </c>
      <c r="G19" s="181">
        <v>14</v>
      </c>
      <c r="H19" s="181">
        <v>14</v>
      </c>
      <c r="I19" s="181">
        <v>14</v>
      </c>
    </row>
    <row r="20" spans="2:10" x14ac:dyDescent="0.25">
      <c r="B20" t="s">
        <v>3825</v>
      </c>
      <c r="C20" t="s">
        <v>3826</v>
      </c>
      <c r="D20" s="170">
        <v>6.9</v>
      </c>
      <c r="E20" s="170">
        <v>6.3</v>
      </c>
      <c r="F20" s="170">
        <v>6.2</v>
      </c>
      <c r="G20" s="170">
        <v>1.6</v>
      </c>
      <c r="H20" s="170">
        <v>0.3</v>
      </c>
      <c r="I20" s="170">
        <v>0.4</v>
      </c>
    </row>
    <row r="21" spans="2:10" x14ac:dyDescent="0.25">
      <c r="B21" t="s">
        <v>3827</v>
      </c>
      <c r="C21" t="s">
        <v>1852</v>
      </c>
      <c r="D21" s="170">
        <v>-34.700000000000003</v>
      </c>
      <c r="E21" s="170">
        <v>-31.9</v>
      </c>
      <c r="F21" s="170">
        <v>-33.700000000000003</v>
      </c>
      <c r="G21" s="170">
        <v>-20</v>
      </c>
      <c r="H21" s="170">
        <v>-12</v>
      </c>
      <c r="I21" s="170">
        <v>-30.8</v>
      </c>
    </row>
    <row r="22" spans="2:10" x14ac:dyDescent="0.25">
      <c r="B22" t="s">
        <v>3828</v>
      </c>
      <c r="C22" t="s">
        <v>84</v>
      </c>
      <c r="D22" s="170">
        <v>-5.8</v>
      </c>
      <c r="E22" s="170">
        <v>-5.4</v>
      </c>
      <c r="F22" s="170">
        <v>-5.7</v>
      </c>
      <c r="G22" s="170">
        <v>-3.4</v>
      </c>
      <c r="H22" s="170">
        <v>-2</v>
      </c>
      <c r="I22" s="170">
        <v>-5.2</v>
      </c>
    </row>
    <row r="23" spans="2:10" x14ac:dyDescent="0.25">
      <c r="B23" t="s">
        <v>3829</v>
      </c>
      <c r="C23" t="s">
        <v>84</v>
      </c>
      <c r="D23" s="181">
        <v>100</v>
      </c>
      <c r="E23" s="181">
        <v>44</v>
      </c>
      <c r="F23" s="181">
        <v>44</v>
      </c>
      <c r="G23" s="181">
        <v>100</v>
      </c>
      <c r="H23" s="181">
        <v>100</v>
      </c>
      <c r="I23" s="181">
        <v>100</v>
      </c>
    </row>
    <row r="24" spans="2:10" x14ac:dyDescent="0.25">
      <c r="B24" t="s">
        <v>3830</v>
      </c>
      <c r="C24" t="s">
        <v>84</v>
      </c>
      <c r="D24" s="170">
        <v>-5.8</v>
      </c>
      <c r="E24" s="170">
        <v>-2.1</v>
      </c>
      <c r="F24" s="170">
        <v>-2.2999999999999998</v>
      </c>
      <c r="G24" s="170">
        <v>-5.8</v>
      </c>
      <c r="H24" s="170">
        <v>-5.8</v>
      </c>
      <c r="I24" s="170">
        <v>-23.1</v>
      </c>
    </row>
    <row r="25" spans="2:10" x14ac:dyDescent="0.25">
      <c r="B25" t="s">
        <v>3831</v>
      </c>
      <c r="C25" t="s">
        <v>84</v>
      </c>
      <c r="D25" s="170">
        <v>-5.4</v>
      </c>
      <c r="E25" s="170">
        <v>-2.6</v>
      </c>
      <c r="F25" s="170">
        <v>-2.7</v>
      </c>
      <c r="G25" s="170">
        <v>-5.4</v>
      </c>
      <c r="H25" s="170">
        <v>-5.4</v>
      </c>
      <c r="I25" s="170">
        <v>-20.7</v>
      </c>
    </row>
    <row r="26" spans="2:10" x14ac:dyDescent="0.25">
      <c r="B26" t="s">
        <v>3832</v>
      </c>
      <c r="C26" t="s">
        <v>84</v>
      </c>
      <c r="D26" s="170">
        <v>-7.2</v>
      </c>
      <c r="E26" s="170">
        <v>-2.9</v>
      </c>
      <c r="F26" s="170">
        <v>-3</v>
      </c>
      <c r="G26" s="170">
        <v>-7.2</v>
      </c>
      <c r="H26" s="170">
        <v>-5.8</v>
      </c>
      <c r="I26" s="170">
        <v>-24.3</v>
      </c>
    </row>
    <row r="27" spans="2:10" x14ac:dyDescent="0.25">
      <c r="B27" t="s">
        <v>3833</v>
      </c>
      <c r="C27" t="s">
        <v>3258</v>
      </c>
      <c r="D27" s="181">
        <v>1440</v>
      </c>
      <c r="E27" s="181">
        <v>1431</v>
      </c>
      <c r="F27" s="181">
        <v>1492</v>
      </c>
      <c r="G27" s="181">
        <v>509</v>
      </c>
      <c r="H27" s="181">
        <v>330</v>
      </c>
      <c r="I27" s="181">
        <v>606</v>
      </c>
    </row>
    <row r="30" spans="2:10" x14ac:dyDescent="0.25">
      <c r="B30" s="178" t="s">
        <v>3835</v>
      </c>
      <c r="C30" s="36"/>
      <c r="D30" s="36"/>
      <c r="E30" s="36"/>
      <c r="F30" s="36"/>
      <c r="G30" s="36"/>
      <c r="H30" s="36"/>
      <c r="I30" s="36"/>
      <c r="J30" s="36"/>
    </row>
    <row r="31" spans="2:10" x14ac:dyDescent="0.25">
      <c r="B31" s="52" t="s">
        <v>3823</v>
      </c>
      <c r="C31" s="52" t="s">
        <v>35</v>
      </c>
      <c r="D31" s="52" t="s">
        <v>1741</v>
      </c>
      <c r="E31" s="52" t="s">
        <v>1744</v>
      </c>
      <c r="F31" s="52" t="s">
        <v>1746</v>
      </c>
      <c r="G31" s="52" t="s">
        <v>1749</v>
      </c>
      <c r="H31" s="52" t="s">
        <v>1752</v>
      </c>
      <c r="I31" s="52" t="s">
        <v>1755</v>
      </c>
    </row>
    <row r="32" spans="2:10" x14ac:dyDescent="0.25">
      <c r="B32" t="s">
        <v>3824</v>
      </c>
      <c r="C32" t="s">
        <v>3836</v>
      </c>
      <c r="D32" s="169">
        <f t="shared" ref="D32:I32" si="0">ROUND(D6,0)-D19</f>
        <v>0</v>
      </c>
      <c r="E32" s="169">
        <f t="shared" si="0"/>
        <v>0</v>
      </c>
      <c r="F32" s="169">
        <f t="shared" si="0"/>
        <v>0</v>
      </c>
      <c r="G32" s="169">
        <f t="shared" si="0"/>
        <v>0</v>
      </c>
      <c r="H32" s="169">
        <f t="shared" si="0"/>
        <v>0</v>
      </c>
      <c r="I32" s="169">
        <f t="shared" si="0"/>
        <v>0</v>
      </c>
    </row>
    <row r="33" spans="2:10" x14ac:dyDescent="0.25">
      <c r="B33" t="s">
        <v>3825</v>
      </c>
      <c r="C33" t="s">
        <v>3837</v>
      </c>
      <c r="D33" s="169">
        <f t="shared" ref="D33:I35" si="1">ROUND(D7,1)-D20</f>
        <v>0</v>
      </c>
      <c r="E33" s="169">
        <f t="shared" si="1"/>
        <v>0</v>
      </c>
      <c r="F33" s="169">
        <f t="shared" si="1"/>
        <v>0</v>
      </c>
      <c r="G33" s="169">
        <f t="shared" si="1"/>
        <v>0</v>
      </c>
      <c r="H33" s="169">
        <f t="shared" si="1"/>
        <v>0</v>
      </c>
      <c r="I33" s="169">
        <f t="shared" si="1"/>
        <v>0</v>
      </c>
    </row>
    <row r="34" spans="2:10" x14ac:dyDescent="0.25">
      <c r="B34" t="s">
        <v>3827</v>
      </c>
      <c r="C34" t="s">
        <v>3837</v>
      </c>
      <c r="D34" s="169">
        <f t="shared" si="1"/>
        <v>0</v>
      </c>
      <c r="E34" s="169">
        <f t="shared" si="1"/>
        <v>0</v>
      </c>
      <c r="F34" s="169">
        <f t="shared" si="1"/>
        <v>0</v>
      </c>
      <c r="G34" s="169">
        <f t="shared" si="1"/>
        <v>0</v>
      </c>
      <c r="H34" s="169">
        <f t="shared" si="1"/>
        <v>0</v>
      </c>
      <c r="I34" s="169">
        <f t="shared" si="1"/>
        <v>0</v>
      </c>
    </row>
    <row r="35" spans="2:10" x14ac:dyDescent="0.25">
      <c r="B35" t="s">
        <v>3828</v>
      </c>
      <c r="C35" t="s">
        <v>3837</v>
      </c>
      <c r="D35" s="169">
        <f t="shared" si="1"/>
        <v>0</v>
      </c>
      <c r="E35" s="169">
        <f t="shared" si="1"/>
        <v>0</v>
      </c>
      <c r="F35" s="169">
        <f t="shared" si="1"/>
        <v>0</v>
      </c>
      <c r="G35" s="169">
        <f t="shared" si="1"/>
        <v>0</v>
      </c>
      <c r="H35" s="169">
        <f t="shared" si="1"/>
        <v>0</v>
      </c>
      <c r="I35" s="169">
        <f t="shared" si="1"/>
        <v>0</v>
      </c>
    </row>
    <row r="36" spans="2:10" x14ac:dyDescent="0.25">
      <c r="B36" t="s">
        <v>3829</v>
      </c>
      <c r="C36" t="s">
        <v>3836</v>
      </c>
      <c r="D36" s="169">
        <f t="shared" ref="D36:I36" si="2">ROUND(D10,0)-D23</f>
        <v>0</v>
      </c>
      <c r="E36" s="169">
        <f t="shared" si="2"/>
        <v>0</v>
      </c>
      <c r="F36" s="169">
        <f t="shared" si="2"/>
        <v>0</v>
      </c>
      <c r="G36" s="169">
        <f t="shared" si="2"/>
        <v>0</v>
      </c>
      <c r="H36" s="169">
        <f t="shared" si="2"/>
        <v>0</v>
      </c>
      <c r="I36" s="169">
        <f t="shared" si="2"/>
        <v>0</v>
      </c>
    </row>
    <row r="37" spans="2:10" x14ac:dyDescent="0.25">
      <c r="B37" t="s">
        <v>3830</v>
      </c>
      <c r="C37" t="s">
        <v>3837</v>
      </c>
      <c r="D37" s="169">
        <f t="shared" ref="D37:I39" si="3">ROUND(D11,1)-D24</f>
        <v>0</v>
      </c>
      <c r="E37" s="169">
        <f t="shared" si="3"/>
        <v>0</v>
      </c>
      <c r="F37" s="169">
        <f t="shared" si="3"/>
        <v>0</v>
      </c>
      <c r="G37" s="169">
        <f t="shared" si="3"/>
        <v>0</v>
      </c>
      <c r="H37" s="169">
        <f t="shared" si="3"/>
        <v>0</v>
      </c>
      <c r="I37" s="169">
        <f t="shared" si="3"/>
        <v>0</v>
      </c>
    </row>
    <row r="38" spans="2:10" x14ac:dyDescent="0.25">
      <c r="B38" t="s">
        <v>3831</v>
      </c>
      <c r="C38" t="s">
        <v>3837</v>
      </c>
      <c r="D38" s="169">
        <f t="shared" si="3"/>
        <v>0</v>
      </c>
      <c r="E38" s="169">
        <f t="shared" si="3"/>
        <v>0</v>
      </c>
      <c r="F38" s="169">
        <f t="shared" si="3"/>
        <v>0</v>
      </c>
      <c r="G38" s="169">
        <f t="shared" si="3"/>
        <v>0</v>
      </c>
      <c r="H38" s="169">
        <f t="shared" si="3"/>
        <v>0</v>
      </c>
      <c r="I38" s="169">
        <f t="shared" si="3"/>
        <v>0</v>
      </c>
    </row>
    <row r="39" spans="2:10" x14ac:dyDescent="0.25">
      <c r="B39" t="s">
        <v>3832</v>
      </c>
      <c r="C39" t="s">
        <v>3837</v>
      </c>
      <c r="D39" s="169">
        <f t="shared" si="3"/>
        <v>0</v>
      </c>
      <c r="E39" s="169">
        <f t="shared" si="3"/>
        <v>0</v>
      </c>
      <c r="F39" s="169">
        <f t="shared" si="3"/>
        <v>0</v>
      </c>
      <c r="G39" s="169">
        <f t="shared" si="3"/>
        <v>0</v>
      </c>
      <c r="H39" s="169">
        <f t="shared" si="3"/>
        <v>0</v>
      </c>
      <c r="I39" s="169">
        <f t="shared" si="3"/>
        <v>0</v>
      </c>
    </row>
    <row r="40" spans="2:10" x14ac:dyDescent="0.25">
      <c r="B40" t="s">
        <v>3833</v>
      </c>
      <c r="C40" t="s">
        <v>3836</v>
      </c>
      <c r="D40" s="169">
        <f t="shared" ref="D40:I40" si="4">ROUND(D14,0)-D27</f>
        <v>0</v>
      </c>
      <c r="E40" s="169">
        <f t="shared" si="4"/>
        <v>0</v>
      </c>
      <c r="F40" s="169">
        <f t="shared" si="4"/>
        <v>0</v>
      </c>
      <c r="G40" s="169">
        <f t="shared" si="4"/>
        <v>0</v>
      </c>
      <c r="H40" s="169">
        <f t="shared" si="4"/>
        <v>0</v>
      </c>
      <c r="I40" s="169">
        <f t="shared" si="4"/>
        <v>0</v>
      </c>
    </row>
    <row r="42" spans="2:10" x14ac:dyDescent="0.25">
      <c r="B42" s="52" t="s">
        <v>3838</v>
      </c>
      <c r="D42" s="89">
        <f>SUMPRODUCT(--(ABS(D32:I40)&gt;0.00001))</f>
        <v>0</v>
      </c>
    </row>
    <row r="45" spans="2:10" x14ac:dyDescent="0.25">
      <c r="B45" s="178" t="s">
        <v>3839</v>
      </c>
      <c r="C45" s="36"/>
      <c r="D45" s="36"/>
      <c r="E45" s="36"/>
      <c r="F45" s="36"/>
      <c r="G45" s="36"/>
      <c r="H45" s="36"/>
      <c r="I45" s="36"/>
      <c r="J45" s="36"/>
    </row>
    <row r="46" spans="2:10" x14ac:dyDescent="0.25">
      <c r="B46" s="52" t="s">
        <v>3823</v>
      </c>
      <c r="C46" s="52" t="s">
        <v>35</v>
      </c>
      <c r="D46" s="52" t="s">
        <v>1741</v>
      </c>
      <c r="E46" s="52" t="s">
        <v>1744</v>
      </c>
      <c r="F46" s="52" t="s">
        <v>1746</v>
      </c>
      <c r="G46" s="52" t="s">
        <v>1749</v>
      </c>
      <c r="H46" s="52" t="s">
        <v>1752</v>
      </c>
      <c r="I46" s="52" t="s">
        <v>1755</v>
      </c>
    </row>
    <row r="47" spans="2:10" x14ac:dyDescent="0.25">
      <c r="B47" t="s">
        <v>3840</v>
      </c>
      <c r="C47" t="s">
        <v>84</v>
      </c>
      <c r="D47" s="180">
        <f>INDEX(CarveOut_Table2!$H$80:$H$85,MATCH(D$46,CarveOut_Table2!$B$80:$B$85,0))</f>
        <v>-44.184977391069573</v>
      </c>
      <c r="E47" s="180">
        <f>INDEX(CarveOut_Table2!$H$80:$H$85,MATCH(E$46,CarveOut_Table2!$B$80:$B$85,0))</f>
        <v>-22.884828208336021</v>
      </c>
      <c r="F47" s="180">
        <f>INDEX(CarveOut_Table2!$H$80:$H$85,MATCH(F$46,CarveOut_Table2!$B$80:$B$85,0))</f>
        <v>-22.952460004271813</v>
      </c>
      <c r="G47" s="180">
        <f>INDEX(CarveOut_Table2!$H$80:$H$85,MATCH(G$46,CarveOut_Table2!$B$80:$B$85,0))</f>
        <v>-44.184977391069573</v>
      </c>
      <c r="H47" s="180">
        <f>INDEX(CarveOut_Table2!$H$80:$H$85,MATCH(H$46,CarveOut_Table2!$B$80:$B$85,0))</f>
        <v>-5.0224650920339737</v>
      </c>
      <c r="I47" s="180">
        <f>INDEX(CarveOut_Table2!$H$80:$H$85,MATCH(I$46,CarveOut_Table2!$B$80:$B$85,0))</f>
        <v>-53.067875404373503</v>
      </c>
    </row>
    <row r="48" spans="2:10" x14ac:dyDescent="0.25">
      <c r="B48" t="s">
        <v>3841</v>
      </c>
      <c r="C48" t="s">
        <v>84</v>
      </c>
      <c r="D48" s="180">
        <f>INDEX(CarveOut_Table2!$I$80:$I$85,MATCH(D$46,CarveOut_Table2!$B$80:$B$85,0))</f>
        <v>-24.017505831157649</v>
      </c>
      <c r="E48" s="180">
        <f>INDEX(CarveOut_Table2!$I$80:$I$85,MATCH(E$46,CarveOut_Table2!$B$80:$B$85,0))</f>
        <v>-12.216850789202354</v>
      </c>
      <c r="F48" s="180">
        <f>INDEX(CarveOut_Table2!$I$80:$I$85,MATCH(F$46,CarveOut_Table2!$B$80:$B$85,0))</f>
        <v>-12.308924953493889</v>
      </c>
      <c r="G48" s="180">
        <f>INDEX(CarveOut_Table2!$I$80:$I$85,MATCH(G$46,CarveOut_Table2!$B$80:$B$85,0))</f>
        <v>-24.017505831157649</v>
      </c>
      <c r="H48" s="180">
        <f>INDEX(CarveOut_Table2!$I$80:$I$85,MATCH(H$46,CarveOut_Table2!$B$80:$B$85,0))</f>
        <v>-5.0528069084591092</v>
      </c>
      <c r="I48" s="180">
        <f>INDEX(CarveOut_Table2!$I$80:$I$85,MATCH(I$46,CarveOut_Table2!$B$80:$B$85,0))</f>
        <v>-36.166445353995677</v>
      </c>
    </row>
    <row r="49" spans="2:12" x14ac:dyDescent="0.25">
      <c r="B49" t="s">
        <v>3842</v>
      </c>
    </row>
    <row r="52" spans="2:12" x14ac:dyDescent="0.25">
      <c r="B52" s="178" t="s">
        <v>3843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 spans="2:12" ht="45" customHeight="1" x14ac:dyDescent="0.25">
      <c r="B53" s="167" t="s">
        <v>1323</v>
      </c>
      <c r="C53" s="167" t="s">
        <v>3844</v>
      </c>
      <c r="D53" s="167" t="s">
        <v>3845</v>
      </c>
      <c r="E53" s="167" t="s">
        <v>3846</v>
      </c>
      <c r="F53" s="167" t="s">
        <v>3847</v>
      </c>
      <c r="G53" s="167" t="s">
        <v>3848</v>
      </c>
      <c r="H53" s="167" t="s">
        <v>3849</v>
      </c>
      <c r="I53" s="167" t="s">
        <v>3850</v>
      </c>
      <c r="J53" s="167" t="s">
        <v>3851</v>
      </c>
      <c r="K53" s="167" t="s">
        <v>3852</v>
      </c>
      <c r="L53" s="167" t="s">
        <v>3853</v>
      </c>
    </row>
    <row r="54" spans="2:12" x14ac:dyDescent="0.25">
      <c r="B54" s="176" t="str">
        <f>Mitigation_Industry!D675</f>
        <v>DRI-EAF steel</v>
      </c>
      <c r="C54" s="179">
        <f>Mitigation_Industry!I675</f>
        <v>580</v>
      </c>
      <c r="D54" s="182">
        <f>Mitigation_Industry!T675</f>
        <v>6603.4845807876563</v>
      </c>
      <c r="E54" s="183">
        <f>Mitigation_Industry!F729</f>
        <v>0.57099076999999998</v>
      </c>
      <c r="F54" s="183">
        <f>Mitigation_Industry!G729</f>
        <v>3.7901020000000001E-2</v>
      </c>
      <c r="G54" s="183">
        <f>IF(D54&gt;0,Mitigation_Industry!T751*1000/D54,0)</f>
        <v>0</v>
      </c>
      <c r="H54" s="183">
        <f>IF(D54&gt;0,(Mitigation_Industry!T740+Mitigation_Industry!T762)*1000/D54,0)</f>
        <v>3.7901020000000007E-2</v>
      </c>
      <c r="I54" s="183">
        <f t="shared" ref="I54:I61" si="5">E54+F54</f>
        <v>0.60889178999999993</v>
      </c>
      <c r="J54" s="183" t="e">
        <f>E54*(1+CarveOut_Table2!$D$31)+G54+H54</f>
        <v>#N/A</v>
      </c>
      <c r="K54" s="183">
        <f t="shared" ref="K54:K61" si="6">C54*I54</f>
        <v>353.15723819999994</v>
      </c>
      <c r="L54" s="183" t="e">
        <f t="shared" ref="L54:L61" si="7">C54*J54</f>
        <v>#N/A</v>
      </c>
    </row>
    <row r="55" spans="2:12" x14ac:dyDescent="0.25">
      <c r="B55" s="176" t="str">
        <f>Mitigation_Industry!D676</f>
        <v>Scrap-EAF steel</v>
      </c>
      <c r="C55" s="179">
        <f>Mitigation_Industry!I676</f>
        <v>300</v>
      </c>
      <c r="D55" s="182">
        <f>Mitigation_Industry!T676</f>
        <v>6215.0443113295587</v>
      </c>
      <c r="E55" s="183">
        <f>Mitigation_Industry!F730</f>
        <v>4.4880000000000003E-2</v>
      </c>
      <c r="F55" s="183">
        <f>Mitigation_Industry!G730</f>
        <v>4.3981149999999997E-2</v>
      </c>
      <c r="G55" s="183">
        <f>IF(D55&gt;0,Mitigation_Industry!T752*1000/D55,0)</f>
        <v>0</v>
      </c>
      <c r="H55" s="183">
        <f>IF(D55&gt;0,(Mitigation_Industry!T741+Mitigation_Industry!T763)*1000/D55,0)</f>
        <v>4.3981149999999997E-2</v>
      </c>
      <c r="I55" s="183">
        <f t="shared" si="5"/>
        <v>8.886115E-2</v>
      </c>
      <c r="J55" s="183" t="e">
        <f>E55*(1+CarveOut_Table2!$D$31)+G55+H55</f>
        <v>#N/A</v>
      </c>
      <c r="K55" s="183">
        <f t="shared" si="6"/>
        <v>26.658345000000001</v>
      </c>
      <c r="L55" s="183" t="e">
        <f t="shared" si="7"/>
        <v>#N/A</v>
      </c>
    </row>
    <row r="56" spans="2:12" x14ac:dyDescent="0.25">
      <c r="B56" s="176" t="str">
        <f>Mitigation_Industry!D677</f>
        <v>BF-BOF steel (reference)</v>
      </c>
      <c r="C56" s="179">
        <f>Mitigation_Industry!I677</f>
        <v>0</v>
      </c>
      <c r="D56" s="182">
        <f>Mitigation_Industry!T677</f>
        <v>0</v>
      </c>
      <c r="E56" s="183">
        <f>Mitigation_Industry!F731</f>
        <v>1.4249802699999998</v>
      </c>
      <c r="F56" s="183">
        <f>Mitigation_Industry!G731</f>
        <v>5.276542E-2</v>
      </c>
      <c r="G56" s="183">
        <f>IF(D56&gt;0,Mitigation_Industry!T753*1000/D56,0)</f>
        <v>0</v>
      </c>
      <c r="H56" s="183">
        <f>IF(D56&gt;0,(Mitigation_Industry!T742+Mitigation_Industry!T764)*1000/D56,0)</f>
        <v>0</v>
      </c>
      <c r="I56" s="183">
        <f t="shared" si="5"/>
        <v>1.4777456899999999</v>
      </c>
      <c r="J56" s="183" t="e">
        <f>E56*(1+CarveOut_Table2!$D$31)+G56+H56</f>
        <v>#N/A</v>
      </c>
      <c r="K56" s="183">
        <f t="shared" si="6"/>
        <v>0</v>
      </c>
      <c r="L56" s="183" t="e">
        <f t="shared" si="7"/>
        <v>#N/A</v>
      </c>
    </row>
    <row r="57" spans="2:12" x14ac:dyDescent="0.25">
      <c r="B57" s="176" t="str">
        <f>Mitigation_Industry!D678</f>
        <v>Grey clinker (dry-process)</v>
      </c>
      <c r="C57" s="179">
        <f>Mitigation_Industry!I678</f>
        <v>800</v>
      </c>
      <c r="D57" s="182">
        <f>Mitigation_Industry!T678</f>
        <v>60753.588245941261</v>
      </c>
      <c r="E57" s="183">
        <f>Mitigation_Industry!F732</f>
        <v>0.31356849999999997</v>
      </c>
      <c r="F57" s="183">
        <f>Mitigation_Industry!G732</f>
        <v>0.53702616000000003</v>
      </c>
      <c r="G57" s="183">
        <f>IF(D57&gt;0,Mitigation_Industry!T754*1000/D57,0)</f>
        <v>0</v>
      </c>
      <c r="H57" s="183">
        <f>IF(D57&gt;0,(Mitigation_Industry!T743+Mitigation_Industry!T765)*1000/D57,0)</f>
        <v>0.53702616000000003</v>
      </c>
      <c r="I57" s="183">
        <f t="shared" si="5"/>
        <v>0.85059466000000006</v>
      </c>
      <c r="J57" s="183" t="e">
        <f>E57*(1+CarveOut_Table2!$D$31)+G57+H57</f>
        <v>#N/A</v>
      </c>
      <c r="K57" s="183">
        <f t="shared" si="6"/>
        <v>680.475728</v>
      </c>
      <c r="L57" s="183" t="e">
        <f t="shared" si="7"/>
        <v>#N/A</v>
      </c>
    </row>
    <row r="58" spans="2:12" x14ac:dyDescent="0.25">
      <c r="B58" s="176" t="str">
        <f>Mitigation_Industry!D679</f>
        <v>Ammonia (net)</v>
      </c>
      <c r="C58" s="179">
        <f>Mitigation_Industry!I679</f>
        <v>120</v>
      </c>
      <c r="D58" s="182">
        <f>Mitigation_Industry!T679</f>
        <v>2033.9655612021818</v>
      </c>
      <c r="E58" s="183">
        <f>Mitigation_Industry!F733</f>
        <v>1.97472</v>
      </c>
      <c r="F58" s="183">
        <f>Mitigation_Industry!G733</f>
        <v>0</v>
      </c>
      <c r="G58" s="183">
        <f>IF(D58&gt;0,Mitigation_Industry!T755*1000/D58,0)</f>
        <v>0</v>
      </c>
      <c r="H58" s="183">
        <f>IF(D58&gt;0,(Mitigation_Industry!T744+Mitigation_Industry!T766)*1000/D58,0)</f>
        <v>0</v>
      </c>
      <c r="I58" s="183">
        <f t="shared" si="5"/>
        <v>1.97472</v>
      </c>
      <c r="J58" s="183" t="e">
        <f>E58*(1+CarveOut_Table2!$D$31)+G58+H58</f>
        <v>#N/A</v>
      </c>
      <c r="K58" s="183">
        <f t="shared" si="6"/>
        <v>236.96639999999999</v>
      </c>
      <c r="L58" s="183" t="e">
        <f t="shared" si="7"/>
        <v>#N/A</v>
      </c>
    </row>
    <row r="59" spans="2:12" x14ac:dyDescent="0.25">
      <c r="B59" s="176" t="str">
        <f>Mitigation_Industry!D680</f>
        <v>Urea</v>
      </c>
      <c r="C59" s="179">
        <f>Mitigation_Industry!I680</f>
        <v>1600</v>
      </c>
      <c r="D59" s="182">
        <f>Mitigation_Industry!T680</f>
        <v>3190.534213650481</v>
      </c>
      <c r="E59" s="183">
        <f>Mitigation_Industry!F734</f>
        <v>0.11219999999999999</v>
      </c>
      <c r="F59" s="183">
        <f>Mitigation_Industry!G734</f>
        <v>0</v>
      </c>
      <c r="G59" s="183">
        <f>IF(D59&gt;0,Mitigation_Industry!T756*1000/D59,0)</f>
        <v>0</v>
      </c>
      <c r="H59" s="183">
        <f>IF(D59&gt;0,(Mitigation_Industry!T745+Mitigation_Industry!T767)*1000/D59,0)</f>
        <v>0</v>
      </c>
      <c r="I59" s="183">
        <f t="shared" si="5"/>
        <v>0.11219999999999999</v>
      </c>
      <c r="J59" s="183" t="e">
        <f>E59*(1+CarveOut_Table2!$D$31)+G59+H59</f>
        <v>#N/A</v>
      </c>
      <c r="K59" s="183">
        <f t="shared" si="6"/>
        <v>179.51999999999998</v>
      </c>
      <c r="L59" s="183" t="e">
        <f t="shared" si="7"/>
        <v>#N/A</v>
      </c>
    </row>
    <row r="60" spans="2:12" x14ac:dyDescent="0.25">
      <c r="B60" s="176" t="str">
        <f>Mitigation_Industry!D681</f>
        <v>Ammonium nitrate</v>
      </c>
      <c r="C60" s="179">
        <f>Mitigation_Industry!I681</f>
        <v>80</v>
      </c>
      <c r="D60" s="182">
        <f>Mitigation_Industry!T681</f>
        <v>683.68590292510305</v>
      </c>
      <c r="E60" s="183">
        <f>Mitigation_Industry!F735</f>
        <v>0.11219999999999999</v>
      </c>
      <c r="F60" s="183">
        <f>Mitigation_Industry!G735</f>
        <v>0.99441250000000003</v>
      </c>
      <c r="G60" s="183">
        <f>IF(D60&gt;0,Mitigation_Industry!T757*1000/D60,0)</f>
        <v>0</v>
      </c>
      <c r="H60" s="183">
        <f>IF(D60&gt;0,(Mitigation_Industry!T746+Mitigation_Industry!T768)*1000/D60,0)</f>
        <v>0.99441250000000003</v>
      </c>
      <c r="I60" s="183">
        <f t="shared" si="5"/>
        <v>1.1066125</v>
      </c>
      <c r="J60" s="183" t="e">
        <f>E60*(1+CarveOut_Table2!$D$31)+G60+H60</f>
        <v>#N/A</v>
      </c>
      <c r="K60" s="183">
        <f t="shared" si="6"/>
        <v>88.528999999999996</v>
      </c>
      <c r="L60" s="183" t="e">
        <f t="shared" si="7"/>
        <v>#N/A</v>
      </c>
    </row>
    <row r="61" spans="2:12" x14ac:dyDescent="0.25">
      <c r="B61" s="176" t="str">
        <f>Mitigation_Industry!D682</f>
        <v>Primary aluminium</v>
      </c>
      <c r="C61" s="179">
        <f>Mitigation_Industry!I682</f>
        <v>167</v>
      </c>
      <c r="D61" s="182">
        <f>Mitigation_Industry!T682</f>
        <v>413.65284202856708</v>
      </c>
      <c r="E61" s="183">
        <f>Mitigation_Industry!F736</f>
        <v>0.12342</v>
      </c>
      <c r="F61" s="183">
        <f>Mitigation_Industry!G736</f>
        <v>2.3974930400000001</v>
      </c>
      <c r="G61" s="183">
        <f>IF(D61&gt;0,Mitigation_Industry!T758*1000/D61,0)</f>
        <v>0</v>
      </c>
      <c r="H61" s="183">
        <f>IF(D61&gt;0,(Mitigation_Industry!T747+Mitigation_Industry!T769)*1000/D61,0)</f>
        <v>2.3974930400000001</v>
      </c>
      <c r="I61" s="183">
        <f t="shared" si="5"/>
        <v>2.5209130399999999</v>
      </c>
      <c r="J61" s="183" t="e">
        <f>E61*(1+CarveOut_Table2!$D$31)+G61+H61</f>
        <v>#N/A</v>
      </c>
      <c r="K61" s="183">
        <f t="shared" si="6"/>
        <v>420.99247767999998</v>
      </c>
      <c r="L61" s="183" t="e">
        <f t="shared" si="7"/>
        <v>#N/A</v>
      </c>
    </row>
    <row r="63" spans="2:12" x14ac:dyDescent="0.25">
      <c r="B63" t="s">
        <v>3854</v>
      </c>
      <c r="D63" s="184" t="str">
        <f>IFERROR(100*(SUM(L54:L61)/SUM(K54:K61)-1),"n/a")</f>
        <v>n/a</v>
      </c>
    </row>
    <row r="64" spans="2:12" x14ac:dyDescent="0.25">
      <c r="B64" t="s">
        <v>3855</v>
      </c>
      <c r="D64" s="184" t="str">
        <f>IFERROR(INDEX(CarveOut_Table2!$M$80:$M$85,MATCH(CarveOut_Table2!$D$6,CarveOut_Table2!$B$80:$B$85,0)),"n/a")</f>
        <v>n/a</v>
      </c>
    </row>
    <row r="65" spans="2:4" x14ac:dyDescent="0.25">
      <c r="B65" t="s">
        <v>3856</v>
      </c>
      <c r="D65" s="184" t="str">
        <f>IFERROR(D63-D64,"n/a")</f>
        <v>n/a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2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2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2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25">
      <c r="C5" s="27" t="b">
        <f>FALSE()</f>
        <v>0</v>
      </c>
      <c r="D5" s="27" t="s">
        <v>124</v>
      </c>
    </row>
    <row r="6" spans="1:8" x14ac:dyDescent="0.25">
      <c r="D6" s="27">
        <v>6</v>
      </c>
    </row>
    <row r="7" spans="1:8" x14ac:dyDescent="0.2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2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25">
      <c r="B9" s="41" t="s">
        <v>135</v>
      </c>
    </row>
    <row r="10" spans="1:8" x14ac:dyDescent="0.2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2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2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2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2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2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2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25">
      <c r="B17" s="41" t="s">
        <v>152</v>
      </c>
    </row>
    <row r="18" spans="1:8" x14ac:dyDescent="0.2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2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2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2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25">
      <c r="A22" s="27"/>
      <c r="B22" s="41" t="s">
        <v>164</v>
      </c>
    </row>
    <row r="23" spans="1:8" x14ac:dyDescent="0.2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2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2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2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2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2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2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25">
      <c r="A30" s="27"/>
      <c r="B30" s="41" t="s">
        <v>179</v>
      </c>
    </row>
    <row r="31" spans="1:8" x14ac:dyDescent="0.2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2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2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2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2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2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2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2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2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2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2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2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2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2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2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2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2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25">
      <c r="A48" s="27"/>
      <c r="B48" s="41" t="s">
        <v>214</v>
      </c>
    </row>
    <row r="49" spans="1:8" x14ac:dyDescent="0.2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2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2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25">
      <c r="A52" s="27"/>
      <c r="B52" s="41" t="s">
        <v>221</v>
      </c>
    </row>
    <row r="53" spans="1:8" x14ac:dyDescent="0.2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2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25">
      <c r="A55" s="27"/>
      <c r="B55" s="41" t="s">
        <v>226</v>
      </c>
    </row>
    <row r="56" spans="1:8" x14ac:dyDescent="0.2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2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2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2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25">
      <c r="A60" s="27"/>
      <c r="B60" s="41" t="s">
        <v>236</v>
      </c>
    </row>
    <row r="61" spans="1:8" x14ac:dyDescent="0.2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2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2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2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25">
      <c r="B65" s="41" t="s">
        <v>241</v>
      </c>
    </row>
    <row r="66" spans="2:8" x14ac:dyDescent="0.2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2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2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2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2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2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2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2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2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2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2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2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2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2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2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2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2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25">
      <c r="A83" s="27"/>
      <c r="B83" s="41" t="s">
        <v>242</v>
      </c>
    </row>
    <row r="84" spans="1:8" x14ac:dyDescent="0.2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2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2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2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2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2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2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2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2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2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25">
      <c r="B94" s="41" t="s">
        <v>266</v>
      </c>
    </row>
    <row r="95" spans="1:8" x14ac:dyDescent="0.2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2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2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25">
      <c r="B98" s="41" t="s">
        <v>274</v>
      </c>
    </row>
    <row r="99" spans="2:8" x14ac:dyDescent="0.2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2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2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2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2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2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2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2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2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2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2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2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2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2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2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2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2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25">
      <c r="B116" s="41" t="s">
        <v>292</v>
      </c>
    </row>
    <row r="117" spans="1:8" x14ac:dyDescent="0.2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2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2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2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2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25">
      <c r="A122" s="27"/>
      <c r="B122" s="41" t="s">
        <v>293</v>
      </c>
    </row>
    <row r="123" spans="1:8" x14ac:dyDescent="0.2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2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2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2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2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2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2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25">
      <c r="A130" s="27"/>
      <c r="B130" s="41" t="s">
        <v>310</v>
      </c>
    </row>
    <row r="131" spans="1:8" x14ac:dyDescent="0.2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2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2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2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2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2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2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2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25">
      <c r="B139" s="41" t="s">
        <v>329</v>
      </c>
    </row>
    <row r="140" spans="1:8" x14ac:dyDescent="0.2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2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2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2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2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2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2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2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2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2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2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2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2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2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2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2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2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2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2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2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2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2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2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2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2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2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2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2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2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2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2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2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2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2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2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2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2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2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2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2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2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2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2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2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25">
      <c r="A184" s="27"/>
      <c r="B184" s="41" t="s">
        <v>375</v>
      </c>
    </row>
    <row r="185" spans="1:8" x14ac:dyDescent="0.2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2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2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2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2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25">
      <c r="A190" s="27"/>
      <c r="B190" s="41" t="s">
        <v>387</v>
      </c>
    </row>
    <row r="191" spans="1:8" x14ac:dyDescent="0.2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2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2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2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2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25">
      <c r="A196" s="27"/>
      <c r="B196" s="41" t="s">
        <v>399</v>
      </c>
    </row>
    <row r="197" spans="1:8" x14ac:dyDescent="0.2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2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2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2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2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25">
      <c r="A202" s="27"/>
      <c r="B202" s="41" t="s">
        <v>411</v>
      </c>
    </row>
    <row r="203" spans="1:8" x14ac:dyDescent="0.2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2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2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25">
      <c r="A206" s="27"/>
      <c r="B206" s="41" t="s">
        <v>421</v>
      </c>
    </row>
    <row r="207" spans="1:8" x14ac:dyDescent="0.2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2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2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2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2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2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2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2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2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2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2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2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25">
      <c r="A219" s="27"/>
      <c r="B219" s="41" t="s">
        <v>449</v>
      </c>
    </row>
    <row r="220" spans="1:8" x14ac:dyDescent="0.2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2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2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2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2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2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2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2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2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2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2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25">
      <c r="A231" s="27"/>
      <c r="B231" s="41" t="s">
        <v>483</v>
      </c>
    </row>
    <row r="232" spans="1:8" x14ac:dyDescent="0.2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2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2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2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2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2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2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2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2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25">
      <c r="A241" s="27"/>
      <c r="B241" s="41" t="s">
        <v>503</v>
      </c>
    </row>
    <row r="242" spans="1:8" x14ac:dyDescent="0.2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2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2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2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25">
      <c r="A246" s="27"/>
      <c r="B246" s="41" t="s">
        <v>511</v>
      </c>
    </row>
    <row r="247" spans="1:8" x14ac:dyDescent="0.2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2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2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2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2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25">
      <c r="A252" s="27"/>
      <c r="B252" s="41" t="s">
        <v>522</v>
      </c>
    </row>
    <row r="253" spans="1:8" x14ac:dyDescent="0.2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2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2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2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25">
      <c r="A257" s="27"/>
      <c r="B257" s="41" t="s">
        <v>528</v>
      </c>
    </row>
    <row r="258" spans="1:8" x14ac:dyDescent="0.2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2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2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2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2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2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25">
      <c r="A264" s="27"/>
      <c r="B264" s="41" t="s">
        <v>542</v>
      </c>
    </row>
    <row r="265" spans="1:8" x14ac:dyDescent="0.2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2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2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2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2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2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2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25">
      <c r="A272" s="27"/>
      <c r="B272" s="41" t="s">
        <v>560</v>
      </c>
    </row>
    <row r="273" spans="1:8" x14ac:dyDescent="0.2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2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2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25">
      <c r="A276" s="27"/>
      <c r="B276" s="41" t="s">
        <v>569</v>
      </c>
    </row>
    <row r="277" spans="1:8" x14ac:dyDescent="0.2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2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25">
      <c r="A279" s="27"/>
      <c r="B279" s="41" t="s">
        <v>575</v>
      </c>
    </row>
    <row r="280" spans="1:8" x14ac:dyDescent="0.2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2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2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25">
      <c r="A283" s="27"/>
      <c r="B283" s="41" t="s">
        <v>582</v>
      </c>
    </row>
    <row r="284" spans="1:8" x14ac:dyDescent="0.2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25">
      <c r="A285" s="27"/>
      <c r="B285" s="41" t="s">
        <v>585</v>
      </c>
    </row>
    <row r="286" spans="1:8" x14ac:dyDescent="0.2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2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2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2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2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2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2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2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2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2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2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2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2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2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2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2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2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25">
      <c r="A303" s="27"/>
      <c r="B303" s="41" t="s">
        <v>621</v>
      </c>
    </row>
    <row r="304" spans="1:8" x14ac:dyDescent="0.2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2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2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2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2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2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2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2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2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2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2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2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2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2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2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2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2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25">
      <c r="A321" s="27"/>
      <c r="B321" s="41" t="s">
        <v>664</v>
      </c>
    </row>
    <row r="322" spans="1:8" x14ac:dyDescent="0.2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2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2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2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2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2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2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2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2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2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2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25">
      <c r="A333" s="27"/>
      <c r="B333" s="41" t="s">
        <v>696</v>
      </c>
    </row>
    <row r="334" spans="1:8" x14ac:dyDescent="0.2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2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2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2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2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25">
      <c r="B339" s="41" t="s">
        <v>708</v>
      </c>
    </row>
    <row r="340" spans="1:8" x14ac:dyDescent="0.2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25">
      <c r="A341" s="27"/>
      <c r="B341" s="41" t="s">
        <v>713</v>
      </c>
    </row>
    <row r="342" spans="1:8" x14ac:dyDescent="0.2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2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2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2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2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2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2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2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2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2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25">
      <c r="A352" s="27"/>
      <c r="B352" s="41" t="s">
        <v>737</v>
      </c>
    </row>
    <row r="353" spans="1:8" x14ac:dyDescent="0.2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2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2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2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2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25">
      <c r="A358" s="27"/>
      <c r="B358" s="41" t="s">
        <v>750</v>
      </c>
    </row>
    <row r="359" spans="1:8" x14ac:dyDescent="0.2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2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2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2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25">
      <c r="A363" s="27"/>
      <c r="B363" s="41" t="s">
        <v>760</v>
      </c>
    </row>
    <row r="364" spans="1:8" x14ac:dyDescent="0.2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2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2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2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2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2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2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2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2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2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2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2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2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2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2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2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2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25">
      <c r="A381" s="27"/>
      <c r="B381" s="41" t="s">
        <v>797</v>
      </c>
    </row>
    <row r="382" spans="1:8" x14ac:dyDescent="0.2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2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2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2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2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25">
      <c r="A387" s="27"/>
      <c r="B387" s="41" t="s">
        <v>808</v>
      </c>
    </row>
    <row r="388" spans="1:8" x14ac:dyDescent="0.2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2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2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25">
      <c r="A391" s="27"/>
      <c r="B391" s="41" t="s">
        <v>815</v>
      </c>
    </row>
    <row r="392" spans="1:8" x14ac:dyDescent="0.2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2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2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2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25">
      <c r="A396" s="27"/>
      <c r="B396" s="41" t="s">
        <v>824</v>
      </c>
    </row>
    <row r="397" spans="1:8" x14ac:dyDescent="0.2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2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2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2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2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2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2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2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2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25">
      <c r="A406" s="27"/>
      <c r="B406" s="41" t="s">
        <v>845</v>
      </c>
    </row>
    <row r="407" spans="1:8" x14ac:dyDescent="0.2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2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2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2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2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2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2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2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2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109375" defaultRowHeight="15" x14ac:dyDescent="0.25"/>
  <cols>
    <col min="1" max="1" width="18" customWidth="1"/>
    <col min="2" max="2" width="30" customWidth="1"/>
  </cols>
  <sheetData>
    <row r="1" spans="1:21" x14ac:dyDescent="0.2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2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2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2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2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2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2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2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2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2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2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2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2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2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2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2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2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2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2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2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2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2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7109375" defaultRowHeight="15" x14ac:dyDescent="0.2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2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2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2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2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2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2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2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2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2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2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2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2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2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2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2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2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2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2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2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2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2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2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2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2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2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2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2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2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2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2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2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2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2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2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2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2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2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2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2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2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2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2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2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2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2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2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2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2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2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2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2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2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2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2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2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2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2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2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2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2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2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2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2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2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2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2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2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2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2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2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2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2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2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2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2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2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2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2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2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2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2866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2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2867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2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2868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2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2869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2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2870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2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2871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2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2872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2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2873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2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2874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2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2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2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2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2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2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2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2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2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2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2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2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2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2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2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2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2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2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2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2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2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2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2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2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2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2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2875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2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2875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2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2875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2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2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2875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2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2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2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2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2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2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2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2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2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2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2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2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2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2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2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2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2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2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2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2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26" customWidth="1"/>
    <col min="4" max="4" width="60" customWidth="1"/>
  </cols>
  <sheetData>
    <row r="1" spans="1:35" x14ac:dyDescent="0.2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2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2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2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2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2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2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7109375" defaultRowHeight="15" x14ac:dyDescent="0.25"/>
  <cols>
    <col min="1" max="1" width="14" customWidth="1"/>
    <col min="10" max="10" width="16" customWidth="1"/>
    <col min="11" max="11" width="12" customWidth="1"/>
  </cols>
  <sheetData>
    <row r="1" spans="1:11" x14ac:dyDescent="0.2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2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2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2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2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2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2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2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2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2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2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2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2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2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2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2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2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2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2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2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2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2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2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2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2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2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2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2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2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2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2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2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ColWidth="9" defaultRowHeight="14.25" x14ac:dyDescent="0.2"/>
  <cols>
    <col min="1" max="1" width="22.5703125" style="112" customWidth="1"/>
    <col min="2" max="2" width="24.5703125" style="112" customWidth="1"/>
    <col min="3" max="3" width="6.5703125" style="112" customWidth="1"/>
    <col min="4" max="7" width="12.5703125" style="112" customWidth="1"/>
    <col min="8" max="8" width="14.5703125" style="112" customWidth="1"/>
    <col min="9" max="9" width="10.5703125" style="112" customWidth="1"/>
    <col min="10" max="10" width="22.5703125" style="112" customWidth="1"/>
    <col min="11" max="11" width="90.5703125" style="112" customWidth="1"/>
    <col min="12" max="16384" width="9" style="112"/>
  </cols>
  <sheetData>
    <row r="1" spans="1:11" ht="15" x14ac:dyDescent="0.25">
      <c r="A1" s="113" t="s">
        <v>2025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x14ac:dyDescent="0.2">
      <c r="A2" s="112" t="s">
        <v>2026</v>
      </c>
    </row>
    <row r="3" spans="1:11" ht="15" x14ac:dyDescent="0.25">
      <c r="A3" s="115" t="s">
        <v>877</v>
      </c>
      <c r="B3" s="115" t="s">
        <v>32</v>
      </c>
      <c r="C3" s="115" t="s">
        <v>878</v>
      </c>
      <c r="D3" s="115" t="s">
        <v>2027</v>
      </c>
      <c r="E3" s="115" t="s">
        <v>2028</v>
      </c>
      <c r="F3" s="115" t="s">
        <v>2029</v>
      </c>
      <c r="G3" s="115" t="s">
        <v>2030</v>
      </c>
      <c r="H3" s="115" t="s">
        <v>2031</v>
      </c>
      <c r="I3" s="115" t="s">
        <v>2032</v>
      </c>
      <c r="J3" s="115" t="s">
        <v>2033</v>
      </c>
      <c r="K3" s="115" t="s">
        <v>2034</v>
      </c>
    </row>
    <row r="4" spans="1:11" x14ac:dyDescent="0.2">
      <c r="A4" s="116" t="str">
        <f>Settings!$B$3&amp;".mit.efc."&amp;C4</f>
        <v>egy.mit.efc.coa</v>
      </c>
      <c r="B4" s="112" t="s">
        <v>50</v>
      </c>
      <c r="C4" s="112" t="s">
        <v>49</v>
      </c>
      <c r="D4" s="117">
        <v>0.1</v>
      </c>
      <c r="E4" s="118">
        <f t="shared" ref="E4:E12" si="0">D4*$D$17</f>
        <v>4186.8</v>
      </c>
      <c r="F4" s="118">
        <f t="shared" ref="F4:F12" si="1">$D$21</f>
        <v>0.92961501403768609</v>
      </c>
      <c r="G4" s="118">
        <f t="shared" ref="G4:G12" si="2">E4*F4</f>
        <v>3892.1121407729843</v>
      </c>
      <c r="H4" s="119">
        <v>3892.1121407729843</v>
      </c>
      <c r="I4" s="120">
        <f t="shared" ref="I4:I12" si="3">G4-H4</f>
        <v>0</v>
      </c>
      <c r="J4" s="112" t="s">
        <v>2035</v>
      </c>
      <c r="K4" s="112" t="s">
        <v>2036</v>
      </c>
    </row>
    <row r="5" spans="1:11" x14ac:dyDescent="0.2">
      <c r="A5" s="116" t="str">
        <f>Settings!$B$3&amp;".mit.efc."&amp;C5</f>
        <v>egy.mit.efc.nga</v>
      </c>
      <c r="B5" s="112" t="s">
        <v>54</v>
      </c>
      <c r="C5" s="112" t="s">
        <v>53</v>
      </c>
      <c r="D5" s="117">
        <v>5.5799999999999995E-2</v>
      </c>
      <c r="E5" s="118">
        <f t="shared" si="0"/>
        <v>2336.2343999999998</v>
      </c>
      <c r="F5" s="118">
        <f t="shared" si="1"/>
        <v>0.92961501403768609</v>
      </c>
      <c r="G5" s="118">
        <f t="shared" si="2"/>
        <v>2171.7985745513251</v>
      </c>
      <c r="H5" s="119">
        <v>2171.7985745513251</v>
      </c>
      <c r="I5" s="120">
        <f t="shared" si="3"/>
        <v>0</v>
      </c>
      <c r="J5" s="112" t="s">
        <v>2037</v>
      </c>
      <c r="K5" s="112" t="s">
        <v>2038</v>
      </c>
    </row>
    <row r="6" spans="1:11" x14ac:dyDescent="0.2">
      <c r="A6" s="116" t="str">
        <f>Settings!$B$3&amp;".mit.efc."&amp;C6</f>
        <v>egy.mit.efc.gso</v>
      </c>
      <c r="B6" s="112" t="s">
        <v>56</v>
      </c>
      <c r="C6" s="112" t="s">
        <v>55</v>
      </c>
      <c r="D6" s="117">
        <v>6.7793000000000006E-2</v>
      </c>
      <c r="E6" s="118">
        <f t="shared" si="0"/>
        <v>2838.3573240000001</v>
      </c>
      <c r="F6" s="118">
        <f t="shared" si="1"/>
        <v>0.92961501403768609</v>
      </c>
      <c r="G6" s="118">
        <f t="shared" si="2"/>
        <v>2638.579583594229</v>
      </c>
      <c r="H6" s="119">
        <v>2638.579583594229</v>
      </c>
      <c r="I6" s="120">
        <f t="shared" si="3"/>
        <v>0</v>
      </c>
      <c r="J6" s="112" t="s">
        <v>2039</v>
      </c>
      <c r="K6" s="112" t="s">
        <v>2040</v>
      </c>
    </row>
    <row r="7" spans="1:11" x14ac:dyDescent="0.2">
      <c r="A7" s="116" t="str">
        <f>Settings!$B$3&amp;".mit.efc."&amp;C7</f>
        <v>egy.mit.efc.die</v>
      </c>
      <c r="B7" s="112" t="s">
        <v>59</v>
      </c>
      <c r="C7" s="112" t="s">
        <v>58</v>
      </c>
      <c r="D7" s="117">
        <v>7.1844999999999992E-2</v>
      </c>
      <c r="E7" s="118">
        <f t="shared" si="0"/>
        <v>3008.0064599999996</v>
      </c>
      <c r="F7" s="118">
        <f t="shared" si="1"/>
        <v>0.92961501403768609</v>
      </c>
      <c r="G7" s="118">
        <f t="shared" si="2"/>
        <v>2796.2879675383501</v>
      </c>
      <c r="H7" s="119">
        <v>2796.2879675383501</v>
      </c>
      <c r="I7" s="120">
        <f t="shared" si="3"/>
        <v>0</v>
      </c>
      <c r="J7" s="112" t="s">
        <v>2041</v>
      </c>
      <c r="K7" s="112" t="s">
        <v>2042</v>
      </c>
    </row>
    <row r="8" spans="1:11" x14ac:dyDescent="0.2">
      <c r="A8" s="116" t="str">
        <f>Settings!$B$3&amp;".mit.efc."&amp;C8</f>
        <v>egy.mit.efc.lpg</v>
      </c>
      <c r="B8" s="112" t="s">
        <v>61</v>
      </c>
      <c r="C8" s="112" t="s">
        <v>60</v>
      </c>
      <c r="D8" s="117">
        <v>6.8599999999999994E-2</v>
      </c>
      <c r="E8" s="118">
        <f t="shared" si="0"/>
        <v>2872.1447999999996</v>
      </c>
      <c r="F8" s="118">
        <f t="shared" si="1"/>
        <v>0.92961501403768609</v>
      </c>
      <c r="G8" s="118">
        <f t="shared" si="2"/>
        <v>2669.9889285702666</v>
      </c>
      <c r="H8" s="119">
        <v>2669.9889285702666</v>
      </c>
      <c r="I8" s="120">
        <f t="shared" si="3"/>
        <v>0</v>
      </c>
      <c r="J8" s="112" t="s">
        <v>2043</v>
      </c>
      <c r="K8" s="112" t="s">
        <v>2044</v>
      </c>
    </row>
    <row r="9" spans="1:11" x14ac:dyDescent="0.2">
      <c r="A9" s="116" t="str">
        <f>Settings!$B$3&amp;".mit.efc."&amp;C9</f>
        <v>egy.mit.efc.ker</v>
      </c>
      <c r="B9" s="112" t="s">
        <v>63</v>
      </c>
      <c r="C9" s="112" t="s">
        <v>62</v>
      </c>
      <c r="D9" s="117">
        <v>6.7793000000000006E-2</v>
      </c>
      <c r="E9" s="118">
        <f t="shared" si="0"/>
        <v>2838.3573240000001</v>
      </c>
      <c r="F9" s="118">
        <f t="shared" si="1"/>
        <v>0.92961501403768609</v>
      </c>
      <c r="G9" s="118">
        <f t="shared" si="2"/>
        <v>2638.579583594229</v>
      </c>
      <c r="H9" s="119">
        <v>2638.579583594229</v>
      </c>
      <c r="I9" s="120">
        <f t="shared" si="3"/>
        <v>0</v>
      </c>
      <c r="J9" s="112" t="s">
        <v>2045</v>
      </c>
      <c r="K9" s="112" t="s">
        <v>2046</v>
      </c>
    </row>
    <row r="10" spans="1:11" x14ac:dyDescent="0.2">
      <c r="A10" s="116" t="str">
        <f>Settings!$B$3&amp;".mit.efc."&amp;C10</f>
        <v>egy.mit.efc.oop</v>
      </c>
      <c r="B10" s="112" t="s">
        <v>65</v>
      </c>
      <c r="C10" s="112" t="s">
        <v>64</v>
      </c>
      <c r="D10" s="117">
        <v>7.6700000000000004E-2</v>
      </c>
      <c r="E10" s="118">
        <f t="shared" si="0"/>
        <v>3211.2756000000004</v>
      </c>
      <c r="F10" s="118">
        <f t="shared" si="1"/>
        <v>0.92961501403768609</v>
      </c>
      <c r="G10" s="118">
        <f t="shared" si="2"/>
        <v>2985.2500119728793</v>
      </c>
      <c r="H10" s="119">
        <v>2985.2500119728793</v>
      </c>
      <c r="I10" s="120">
        <f t="shared" si="3"/>
        <v>0</v>
      </c>
      <c r="J10" s="112" t="s">
        <v>2047</v>
      </c>
      <c r="K10" s="112" t="s">
        <v>2048</v>
      </c>
    </row>
    <row r="11" spans="1:11" x14ac:dyDescent="0.2">
      <c r="A11" s="116" t="str">
        <f>Settings!$B$3&amp;".mit.efc."&amp;C11</f>
        <v>egy.mit.efc.bio</v>
      </c>
      <c r="B11" s="112" t="s">
        <v>68</v>
      </c>
      <c r="C11" s="112" t="s">
        <v>67</v>
      </c>
      <c r="D11" s="117">
        <v>0</v>
      </c>
      <c r="E11" s="118">
        <f t="shared" si="0"/>
        <v>0</v>
      </c>
      <c r="F11" s="118">
        <f t="shared" si="1"/>
        <v>0.92961501403768609</v>
      </c>
      <c r="G11" s="118">
        <f t="shared" si="2"/>
        <v>0</v>
      </c>
      <c r="H11" s="119">
        <v>0</v>
      </c>
      <c r="I11" s="120">
        <f t="shared" si="3"/>
        <v>0</v>
      </c>
      <c r="K11" s="112" t="s">
        <v>2049</v>
      </c>
    </row>
    <row r="12" spans="1:11" x14ac:dyDescent="0.2">
      <c r="A12" s="116" t="str">
        <f>Settings!$B$3&amp;".mit.efc."&amp;C12</f>
        <v>egy.mit.efc.ren</v>
      </c>
      <c r="B12" s="112" t="s">
        <v>70</v>
      </c>
      <c r="C12" s="112" t="s">
        <v>69</v>
      </c>
      <c r="D12" s="117">
        <v>0</v>
      </c>
      <c r="E12" s="118">
        <f t="shared" si="0"/>
        <v>0</v>
      </c>
      <c r="F12" s="118">
        <f t="shared" si="1"/>
        <v>0.92961501403768609</v>
      </c>
      <c r="G12" s="118">
        <f t="shared" si="2"/>
        <v>0</v>
      </c>
      <c r="H12" s="119">
        <v>0</v>
      </c>
      <c r="I12" s="120">
        <f t="shared" si="3"/>
        <v>0</v>
      </c>
      <c r="K12" s="112" t="s">
        <v>2050</v>
      </c>
    </row>
    <row r="16" spans="1:11" ht="15" x14ac:dyDescent="0.25">
      <c r="A16" s="121" t="s">
        <v>125</v>
      </c>
    </row>
    <row r="17" spans="1:11" x14ac:dyDescent="0.2">
      <c r="A17" s="112" t="s">
        <v>2051</v>
      </c>
      <c r="D17" s="114">
        <v>41868</v>
      </c>
      <c r="K17" s="112" t="s">
        <v>2052</v>
      </c>
    </row>
    <row r="18" spans="1:11" x14ac:dyDescent="0.2">
      <c r="A18" s="112" t="s">
        <v>2053</v>
      </c>
      <c r="D18" s="112" t="str">
        <f>INDEX(MTInputs!$F$8:$F$415,MATCH("EmissionsFactCO2",MTInputs!$H$8:$H$415,0))</f>
        <v>IIASA*</v>
      </c>
      <c r="K18" s="124" t="s">
        <v>2054</v>
      </c>
    </row>
    <row r="19" spans="1:11" x14ac:dyDescent="0.2">
      <c r="A19" s="112" t="s">
        <v>2055</v>
      </c>
      <c r="D19" s="112" t="str">
        <f>INDEX(MTInputs!$F$8:$F$415,MATCH("EFsAdjustmentNonAnnexI",MTInputs!$H$8:$H$415,0))</f>
        <v>Yes*</v>
      </c>
      <c r="K19" s="112" t="s">
        <v>2056</v>
      </c>
    </row>
    <row r="20" spans="1:11" x14ac:dyDescent="0.2">
      <c r="A20" s="112" t="s">
        <v>2057</v>
      </c>
      <c r="D20" s="122">
        <v>0.92961501403768609</v>
      </c>
      <c r="K20" s="112" t="s">
        <v>2058</v>
      </c>
    </row>
    <row r="21" spans="1:11" x14ac:dyDescent="0.2">
      <c r="A21" s="112" t="s">
        <v>2059</v>
      </c>
      <c r="D21" s="123">
        <f>IF(LEFT(D19,3)="Yes",D20,1)</f>
        <v>0.92961501403768609</v>
      </c>
      <c r="K21" s="112" t="s">
        <v>2060</v>
      </c>
    </row>
    <row r="23" spans="1:11" x14ac:dyDescent="0.2">
      <c r="A23" s="112" t="s">
        <v>2061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37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7109375" defaultRowHeight="15" x14ac:dyDescent="0.25"/>
  <cols>
    <col min="1" max="1" width="30" customWidth="1"/>
    <col min="5" max="5" width="10" customWidth="1"/>
    <col min="11" max="35" width="11" customWidth="1"/>
  </cols>
  <sheetData>
    <row r="1" spans="1:35" ht="15.75" x14ac:dyDescent="0.25">
      <c r="A1" s="29" t="s">
        <v>1152</v>
      </c>
    </row>
    <row r="2" spans="1:35" x14ac:dyDescent="0.2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2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2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2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2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2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2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2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2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2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2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2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2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2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2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2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2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2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2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2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2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2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2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2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2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2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2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2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2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2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2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2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2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2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2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2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2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2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2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2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2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2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2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2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2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2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2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2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2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2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2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2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2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2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2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2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2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2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2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2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2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2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2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2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2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2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2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2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2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2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2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2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2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2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2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2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2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2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2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2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2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2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2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2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2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2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2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2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2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2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2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2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2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2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2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2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2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2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2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2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2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2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2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2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2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2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2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2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2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2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2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2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2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2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2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2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2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2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2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2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2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2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2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2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2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2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2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2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2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2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2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2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2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2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2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2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2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2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2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2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2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2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2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2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2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2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2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2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2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2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2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2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2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2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2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2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2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2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2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2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2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2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2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2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2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2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2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2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2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2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2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2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2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2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2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2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2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2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2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2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2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2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2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2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2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2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2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2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2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2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2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2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2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2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2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2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2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2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2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2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2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2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2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2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2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2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2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2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2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2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2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2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2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2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2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2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2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2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2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2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2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2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2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2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2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2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2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2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2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2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2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2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2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2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2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2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2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2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2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2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2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2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2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2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2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2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2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2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2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2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2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2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2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2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2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2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2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2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2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2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2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2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2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2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2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2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2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2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2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2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2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2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2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2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2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2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2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2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2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2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2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2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2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2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2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2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2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2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2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2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2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2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2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2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2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2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2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2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2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2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2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2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2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2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2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2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2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2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2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2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2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2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2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2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2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2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2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2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2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2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2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2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2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2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2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2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2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2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2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2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2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2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2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2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2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2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2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2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2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2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2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2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2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2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2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2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2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2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2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2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2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2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2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2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2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2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2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2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2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2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2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2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2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2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2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2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2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2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2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2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2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2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2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2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2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2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2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2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2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2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2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2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2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2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2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2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2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2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2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2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2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2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2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2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2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2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2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2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2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2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2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2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2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2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2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2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2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2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2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2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2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2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2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2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2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2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2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2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2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2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2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2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2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2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2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2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2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2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2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2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2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2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2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2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2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2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25">
      <c r="A583" s="52" t="s">
        <v>1485</v>
      </c>
    </row>
    <row r="584" spans="1:35" x14ac:dyDescent="0.25">
      <c r="A584" t="s">
        <v>1694</v>
      </c>
      <c r="D584" s="89">
        <f>SUMPRODUCT(MAX((I587:I1378="same")    *F587:F1378))</f>
        <v>2.1940924958231562</v>
      </c>
    </row>
    <row r="585" spans="1:35" x14ac:dyDescent="0.25">
      <c r="A585" t="s">
        <v>1695</v>
      </c>
      <c r="D585" s="89">
        <f>SUMPRODUCT(MAX((I587:I1378="changed")*F587:F1378))</f>
        <v>7402.012510962054</v>
      </c>
    </row>
    <row r="586" spans="1:35" x14ac:dyDescent="0.2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2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2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2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2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2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2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2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2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2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2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2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2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2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2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2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2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2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2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2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2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2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2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2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2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2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2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2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2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2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2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2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2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2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2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2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2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2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2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2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2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2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2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2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2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2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2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2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2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2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2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2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2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2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2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2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2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2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2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2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2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2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2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2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2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2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2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2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2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2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2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2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2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2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2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2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2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2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2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2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2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2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2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2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2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2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2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2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2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2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2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2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2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2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2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2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2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2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2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2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2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2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2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2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2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2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2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2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2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2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2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2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2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2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2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2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2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2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2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2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2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2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2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2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2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2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2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2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2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2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2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2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2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2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2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2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2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2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2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2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2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2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2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2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2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2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2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2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2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2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2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2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2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2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2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2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2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2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2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2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2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2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2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2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2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2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2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2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2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2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2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2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2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2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2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2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2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2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2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2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2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2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2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2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2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2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2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2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2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2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2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2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2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2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2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2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2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2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2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2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2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2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2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2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2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2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2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2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2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2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2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2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2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2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2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2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2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2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2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2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2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2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2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2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2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2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2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2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2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2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2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2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2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2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2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2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2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2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2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2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2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2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2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2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2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2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2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2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2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2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2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2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2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2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2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2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2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2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2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2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2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2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2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2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2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2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2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2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2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2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2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2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2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2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2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2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2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2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2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2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2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2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2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2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2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2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2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2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2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2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2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2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2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2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2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2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2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2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2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2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2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2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2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2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2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2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2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2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2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2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2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2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2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2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2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2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2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2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2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2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2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2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2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2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2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2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2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2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2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2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2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2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2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2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2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2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2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2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2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2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2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2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2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2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2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2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2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2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2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2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2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2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2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2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2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2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2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2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2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2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2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2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2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2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2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2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2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2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2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2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2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2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2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2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2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2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2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2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2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2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2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2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2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2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2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2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2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2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2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2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2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2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2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2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2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2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2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2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2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2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2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2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2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2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2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2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2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2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2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2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2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2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2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2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2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2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2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2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2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2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2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2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2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2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2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2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2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2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2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2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2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2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2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2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2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2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2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2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2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2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2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2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2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2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2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2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2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2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2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2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2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2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2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2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2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2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2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2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2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2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2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2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2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2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2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2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2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2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2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2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2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2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2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2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2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2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2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2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2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2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2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2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2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2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2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2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2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2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2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2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2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2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2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2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2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2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2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2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2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2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2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2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2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2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2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2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2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2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2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2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2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2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2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2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2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2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2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2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2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2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2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2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2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2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2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2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2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2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2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2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2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2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2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2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2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2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2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2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2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2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2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2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2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2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2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2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2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2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2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2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2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2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2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2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2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2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2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2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2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2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2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2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2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2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2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2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2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2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2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2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2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2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2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2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2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2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2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2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2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2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2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2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2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2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2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2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2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2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2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2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2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2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2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2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25">
      <c r="A1380" s="52" t="s">
        <v>1848</v>
      </c>
    </row>
    <row r="1381" spans="1:35" x14ac:dyDescent="0.25">
      <c r="A1381" t="s">
        <v>1850</v>
      </c>
      <c r="D1381" s="89">
        <f>MAX(F1383:F1426)</f>
        <v>8.3266726846886741E-16</v>
      </c>
    </row>
    <row r="1382" spans="1:35" x14ac:dyDescent="0.2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2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2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2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2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2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2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2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2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2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2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2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2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2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2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2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2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2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2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2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2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2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2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2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2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2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2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2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2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2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2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2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2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2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25">
      <c r="A1428" s="52" t="s">
        <v>1859</v>
      </c>
    </row>
    <row r="1429" spans="1:35" x14ac:dyDescent="0.25">
      <c r="A1429" t="s">
        <v>1865</v>
      </c>
      <c r="D1429" s="95">
        <f>MAX(F1431:F1439)</f>
        <v>0</v>
      </c>
    </row>
    <row r="1430" spans="1:35" x14ac:dyDescent="0.2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25">
      <c r="A1431" t="s">
        <v>1860</v>
      </c>
      <c r="D1431">
        <v>1</v>
      </c>
      <c r="E1431" t="s">
        <v>1161</v>
      </c>
      <c r="F1431" s="94">
        <f t="shared" ref="F1431:F1438" si="353">MAX(MAX(L1431:AE1431),-MIN(L1431:AE1431))</f>
        <v>0</v>
      </c>
      <c r="I1431">
        <v>0</v>
      </c>
      <c r="L1431" s="94">
        <f>Mitigation_Industry!L400-Mitigation_Industry!L382-Mitigation_Industry!L383</f>
        <v>0</v>
      </c>
      <c r="M1431" s="94">
        <f>Mitigation_Industry!M400-Mitigation_Industry!M382-Mitigation_Industry!M383</f>
        <v>0</v>
      </c>
      <c r="N1431" s="94">
        <f>Mitigation_Industry!N400-Mitigation_Industry!N382-Mitigation_Industry!N383</f>
        <v>0</v>
      </c>
      <c r="O1431" s="94">
        <f>Mitigation_Industry!O400-Mitigation_Industry!O382-Mitigation_Industry!O383</f>
        <v>0</v>
      </c>
      <c r="P1431" s="94">
        <f>Mitigation_Industry!P400-Mitigation_Industry!P382-Mitigation_Industry!P383</f>
        <v>0</v>
      </c>
      <c r="Q1431" s="94">
        <f>Mitigation_Industry!Q400-Mitigation_Industry!Q382-Mitigation_Industry!Q383</f>
        <v>0</v>
      </c>
      <c r="R1431" s="94">
        <f>Mitigation_Industry!R400-Mitigation_Industry!R382-Mitigation_Industry!R383</f>
        <v>0</v>
      </c>
      <c r="S1431" s="94">
        <f>Mitigation_Industry!S400-Mitigation_Industry!S382-Mitigation_Industry!S383</f>
        <v>0</v>
      </c>
      <c r="T1431" s="94">
        <f>Mitigation_Industry!T400-Mitigation_Industry!T382-Mitigation_Industry!T383</f>
        <v>0</v>
      </c>
      <c r="U1431" s="94">
        <f>Mitigation_Industry!U400-Mitigation_Industry!U382-Mitigation_Industry!U383</f>
        <v>0</v>
      </c>
      <c r="V1431" s="94">
        <f>Mitigation_Industry!V400-Mitigation_Industry!V382-Mitigation_Industry!V383</f>
        <v>0</v>
      </c>
      <c r="W1431" s="94">
        <f>Mitigation_Industry!W400-Mitigation_Industry!W382-Mitigation_Industry!W383</f>
        <v>0</v>
      </c>
      <c r="X1431" s="94">
        <f>Mitigation_Industry!X400-Mitigation_Industry!X382-Mitigation_Industry!X383</f>
        <v>0</v>
      </c>
      <c r="Y1431" s="94">
        <f>Mitigation_Industry!Y400-Mitigation_Industry!Y382-Mitigation_Industry!Y383</f>
        <v>0</v>
      </c>
      <c r="Z1431" s="94">
        <f>Mitigation_Industry!Z400-Mitigation_Industry!Z382-Mitigation_Industry!Z383</f>
        <v>0</v>
      </c>
      <c r="AA1431" s="94">
        <f>Mitigation_Industry!AA400-Mitigation_Industry!AA382-Mitigation_Industry!AA383</f>
        <v>0</v>
      </c>
      <c r="AB1431" s="94">
        <f>Mitigation_Industry!AB400-Mitigation_Industry!AB382-Mitigation_Industry!AB383</f>
        <v>0</v>
      </c>
      <c r="AC1431" s="94">
        <f>Mitigation_Industry!AC400-Mitigation_Industry!AC382-Mitigation_Industry!AC383</f>
        <v>0</v>
      </c>
      <c r="AD1431" s="94">
        <f>Mitigation_Industry!AD400-Mitigation_Industry!AD382-Mitigation_Industry!AD383</f>
        <v>0</v>
      </c>
      <c r="AE1431" s="94">
        <f>Mitigation_Industry!AE400-Mitigation_Industry!AE382-Mitigation_Industry!AE383</f>
        <v>0</v>
      </c>
    </row>
    <row r="1432" spans="1:35" x14ac:dyDescent="0.25">
      <c r="A1432" t="s">
        <v>1861</v>
      </c>
      <c r="D1432">
        <v>1</v>
      </c>
      <c r="E1432" t="s">
        <v>1161</v>
      </c>
      <c r="F1432" s="94">
        <f t="shared" si="353"/>
        <v>0</v>
      </c>
      <c r="I1432">
        <v>0</v>
      </c>
      <c r="L1432" s="94">
        <f>Mitigation_Industry!L400-SUM(Mitigation_Industry!L392:L399)</f>
        <v>0</v>
      </c>
      <c r="M1432" s="94">
        <f>Mitigation_Industry!M400-SUM(Mitigation_Industry!M392:M399)</f>
        <v>0</v>
      </c>
      <c r="N1432" s="94">
        <f>Mitigation_Industry!N400-SUM(Mitigation_Industry!N392:N399)</f>
        <v>0</v>
      </c>
      <c r="O1432" s="94">
        <f>Mitigation_Industry!O400-SUM(Mitigation_Industry!O392:O399)</f>
        <v>0</v>
      </c>
      <c r="P1432" s="94">
        <f>Mitigation_Industry!P400-SUM(Mitigation_Industry!P392:P399)</f>
        <v>0</v>
      </c>
      <c r="Q1432" s="94">
        <f>Mitigation_Industry!Q400-SUM(Mitigation_Industry!Q392:Q399)</f>
        <v>0</v>
      </c>
      <c r="R1432" s="94">
        <f>Mitigation_Industry!R400-SUM(Mitigation_Industry!R392:R399)</f>
        <v>0</v>
      </c>
      <c r="S1432" s="94">
        <f>Mitigation_Industry!S400-SUM(Mitigation_Industry!S392:S399)</f>
        <v>0</v>
      </c>
      <c r="T1432" s="94">
        <f>Mitigation_Industry!T400-SUM(Mitigation_Industry!T392:T399)</f>
        <v>0</v>
      </c>
      <c r="U1432" s="94">
        <f>Mitigation_Industry!U400-SUM(Mitigation_Industry!U392:U399)</f>
        <v>0</v>
      </c>
      <c r="V1432" s="94">
        <f>Mitigation_Industry!V400-SUM(Mitigation_Industry!V392:V399)</f>
        <v>0</v>
      </c>
      <c r="W1432" s="94">
        <f>Mitigation_Industry!W400-SUM(Mitigation_Industry!W392:W399)</f>
        <v>0</v>
      </c>
      <c r="X1432" s="94">
        <f>Mitigation_Industry!X400-SUM(Mitigation_Industry!X392:X399)</f>
        <v>0</v>
      </c>
      <c r="Y1432" s="94">
        <f>Mitigation_Industry!Y400-SUM(Mitigation_Industry!Y392:Y399)</f>
        <v>0</v>
      </c>
      <c r="Z1432" s="94">
        <f>Mitigation_Industry!Z400-SUM(Mitigation_Industry!Z392:Z399)</f>
        <v>0</v>
      </c>
      <c r="AA1432" s="94">
        <f>Mitigation_Industry!AA400-SUM(Mitigation_Industry!AA392:AA399)</f>
        <v>0</v>
      </c>
      <c r="AB1432" s="94">
        <f>Mitigation_Industry!AB400-SUM(Mitigation_Industry!AB392:AB399)</f>
        <v>0</v>
      </c>
      <c r="AC1432" s="94">
        <f>Mitigation_Industry!AC400-SUM(Mitigation_Industry!AC392:AC399)</f>
        <v>0</v>
      </c>
      <c r="AD1432" s="94">
        <f>Mitigation_Industry!AD400-SUM(Mitigation_Industry!AD392:AD399)</f>
        <v>0</v>
      </c>
      <c r="AE1432" s="94">
        <f>Mitigation_Industry!AE400-SUM(Mitigation_Industry!AE392:AE399)</f>
        <v>0</v>
      </c>
    </row>
    <row r="1433" spans="1:35" x14ac:dyDescent="0.25">
      <c r="A1433" t="s">
        <v>1862</v>
      </c>
      <c r="D1433">
        <v>1</v>
      </c>
      <c r="E1433" t="s">
        <v>1161</v>
      </c>
      <c r="F1433" s="94">
        <f t="shared" si="353"/>
        <v>0</v>
      </c>
      <c r="I1433">
        <v>0</v>
      </c>
      <c r="L1433" s="94">
        <f>Mitigation_Industry!L380-SUM(Mitigation_Industry!L374:L378)-SUM(Mitigation_Industry!L385:L389)</f>
        <v>0</v>
      </c>
      <c r="M1433" s="94">
        <f>Mitigation_Industry!M380-SUM(Mitigation_Industry!M374:M378)-SUM(Mitigation_Industry!M385:M389)</f>
        <v>0</v>
      </c>
      <c r="N1433" s="94">
        <f>Mitigation_Industry!N380-SUM(Mitigation_Industry!N374:N378)-SUM(Mitigation_Industry!N385:N389)</f>
        <v>0</v>
      </c>
      <c r="O1433" s="94">
        <f>Mitigation_Industry!O380-SUM(Mitigation_Industry!O374:O378)-SUM(Mitigation_Industry!O385:O389)</f>
        <v>0</v>
      </c>
      <c r="P1433" s="94">
        <f>Mitigation_Industry!P380-SUM(Mitigation_Industry!P374:P378)-SUM(Mitigation_Industry!P385:P389)</f>
        <v>0</v>
      </c>
      <c r="Q1433" s="94">
        <f>Mitigation_Industry!Q380-SUM(Mitigation_Industry!Q374:Q378)-SUM(Mitigation_Industry!Q385:Q389)</f>
        <v>0</v>
      </c>
      <c r="R1433" s="94">
        <f>Mitigation_Industry!R380-SUM(Mitigation_Industry!R374:R378)-SUM(Mitigation_Industry!R385:R389)</f>
        <v>0</v>
      </c>
      <c r="S1433" s="94">
        <f>Mitigation_Industry!S380-SUM(Mitigation_Industry!S374:S378)-SUM(Mitigation_Industry!S385:S389)</f>
        <v>0</v>
      </c>
      <c r="T1433" s="94">
        <f>Mitigation_Industry!T380-SUM(Mitigation_Industry!T374:T378)-SUM(Mitigation_Industry!T385:T389)</f>
        <v>0</v>
      </c>
      <c r="U1433" s="94">
        <f>Mitigation_Industry!U380-SUM(Mitigation_Industry!U374:U378)-SUM(Mitigation_Industry!U385:U389)</f>
        <v>0</v>
      </c>
      <c r="V1433" s="94">
        <f>Mitigation_Industry!V380-SUM(Mitigation_Industry!V374:V378)-SUM(Mitigation_Industry!V385:V389)</f>
        <v>0</v>
      </c>
      <c r="W1433" s="94">
        <f>Mitigation_Industry!W380-SUM(Mitigation_Industry!W374:W378)-SUM(Mitigation_Industry!W385:W389)</f>
        <v>0</v>
      </c>
      <c r="X1433" s="94">
        <f>Mitigation_Industry!X380-SUM(Mitigation_Industry!X374:X378)-SUM(Mitigation_Industry!X385:X389)</f>
        <v>0</v>
      </c>
      <c r="Y1433" s="94">
        <f>Mitigation_Industry!Y380-SUM(Mitigation_Industry!Y374:Y378)-SUM(Mitigation_Industry!Y385:Y389)</f>
        <v>0</v>
      </c>
      <c r="Z1433" s="94">
        <f>Mitigation_Industry!Z380-SUM(Mitigation_Industry!Z374:Z378)-SUM(Mitigation_Industry!Z385:Z389)</f>
        <v>0</v>
      </c>
      <c r="AA1433" s="94">
        <f>Mitigation_Industry!AA380-SUM(Mitigation_Industry!AA374:AA378)-SUM(Mitigation_Industry!AA385:AA389)</f>
        <v>0</v>
      </c>
      <c r="AB1433" s="94">
        <f>Mitigation_Industry!AB380-SUM(Mitigation_Industry!AB374:AB378)-SUM(Mitigation_Industry!AB385:AB389)</f>
        <v>0</v>
      </c>
      <c r="AC1433" s="94">
        <f>Mitigation_Industry!AC380-SUM(Mitigation_Industry!AC374:AC378)-SUM(Mitigation_Industry!AC385:AC389)</f>
        <v>0</v>
      </c>
      <c r="AD1433" s="94">
        <f>Mitigation_Industry!AD380-SUM(Mitigation_Industry!AD374:AD378)-SUM(Mitigation_Industry!AD385:AD389)</f>
        <v>0</v>
      </c>
      <c r="AE1433" s="94">
        <f>Mitigation_Industry!AE380-SUM(Mitigation_Industry!AE374:AE378)-SUM(Mitigation_Industry!AE385:AE389)</f>
        <v>0</v>
      </c>
    </row>
    <row r="1434" spans="1:35" x14ac:dyDescent="0.25">
      <c r="A1434" t="s">
        <v>1863</v>
      </c>
      <c r="D1434">
        <v>1</v>
      </c>
      <c r="E1434" t="s">
        <v>1161</v>
      </c>
      <c r="F1434" s="94">
        <f t="shared" si="353"/>
        <v>0</v>
      </c>
      <c r="I1434">
        <v>0</v>
      </c>
      <c r="L1434" s="94">
        <f>Mitigation_Industry!L381-SUM(Mitigation_Industry!L352:L359)-SUM(Mitigation_Industry!L363:L370)</f>
        <v>0</v>
      </c>
      <c r="M1434" s="94">
        <f>Mitigation_Industry!M381-SUM(Mitigation_Industry!M352:M359)-SUM(Mitigation_Industry!M363:M370)</f>
        <v>0</v>
      </c>
      <c r="N1434" s="94">
        <f>Mitigation_Industry!N381-SUM(Mitigation_Industry!N352:N359)-SUM(Mitigation_Industry!N363:N370)</f>
        <v>0</v>
      </c>
      <c r="O1434" s="94">
        <f>Mitigation_Industry!O381-SUM(Mitigation_Industry!O352:O359)-SUM(Mitigation_Industry!O363:O370)</f>
        <v>0</v>
      </c>
      <c r="P1434" s="94">
        <f>Mitigation_Industry!P381-SUM(Mitigation_Industry!P352:P359)-SUM(Mitigation_Industry!P363:P370)</f>
        <v>0</v>
      </c>
      <c r="Q1434" s="94">
        <f>Mitigation_Industry!Q381-SUM(Mitigation_Industry!Q352:Q359)-SUM(Mitigation_Industry!Q363:Q370)</f>
        <v>0</v>
      </c>
      <c r="R1434" s="94">
        <f>Mitigation_Industry!R381-SUM(Mitigation_Industry!R352:R359)-SUM(Mitigation_Industry!R363:R370)</f>
        <v>0</v>
      </c>
      <c r="S1434" s="94">
        <f>Mitigation_Industry!S381-SUM(Mitigation_Industry!S352:S359)-SUM(Mitigation_Industry!S363:S370)</f>
        <v>0</v>
      </c>
      <c r="T1434" s="94">
        <f>Mitigation_Industry!T381-SUM(Mitigation_Industry!T352:T359)-SUM(Mitigation_Industry!T363:T370)</f>
        <v>0</v>
      </c>
      <c r="U1434" s="94">
        <f>Mitigation_Industry!U381-SUM(Mitigation_Industry!U352:U359)-SUM(Mitigation_Industry!U363:U370)</f>
        <v>0</v>
      </c>
      <c r="V1434" s="94">
        <f>Mitigation_Industry!V381-SUM(Mitigation_Industry!V352:V359)-SUM(Mitigation_Industry!V363:V370)</f>
        <v>0</v>
      </c>
      <c r="W1434" s="94">
        <f>Mitigation_Industry!W381-SUM(Mitigation_Industry!W352:W359)-SUM(Mitigation_Industry!W363:W370)</f>
        <v>0</v>
      </c>
      <c r="X1434" s="94">
        <f>Mitigation_Industry!X381-SUM(Mitigation_Industry!X352:X359)-SUM(Mitigation_Industry!X363:X370)</f>
        <v>0</v>
      </c>
      <c r="Y1434" s="94">
        <f>Mitigation_Industry!Y381-SUM(Mitigation_Industry!Y352:Y359)-SUM(Mitigation_Industry!Y363:Y370)</f>
        <v>0</v>
      </c>
      <c r="Z1434" s="94">
        <f>Mitigation_Industry!Z381-SUM(Mitigation_Industry!Z352:Z359)-SUM(Mitigation_Industry!Z363:Z370)</f>
        <v>0</v>
      </c>
      <c r="AA1434" s="94">
        <f>Mitigation_Industry!AA381-SUM(Mitigation_Industry!AA352:AA359)-SUM(Mitigation_Industry!AA363:AA370)</f>
        <v>0</v>
      </c>
      <c r="AB1434" s="94">
        <f>Mitigation_Industry!AB381-SUM(Mitigation_Industry!AB352:AB359)-SUM(Mitigation_Industry!AB363:AB370)</f>
        <v>0</v>
      </c>
      <c r="AC1434" s="94">
        <f>Mitigation_Industry!AC381-SUM(Mitigation_Industry!AC352:AC359)-SUM(Mitigation_Industry!AC363:AC370)</f>
        <v>0</v>
      </c>
      <c r="AD1434" s="94">
        <f>Mitigation_Industry!AD381-SUM(Mitigation_Industry!AD352:AD359)-SUM(Mitigation_Industry!AD363:AD370)</f>
        <v>0</v>
      </c>
      <c r="AE1434" s="94">
        <f>Mitigation_Industry!AE381-SUM(Mitigation_Industry!AE352:AE359)-SUM(Mitigation_Industry!AE363:AE370)</f>
        <v>0</v>
      </c>
    </row>
    <row r="1435" spans="1:35" x14ac:dyDescent="0.25">
      <c r="A1435" t="s">
        <v>1860</v>
      </c>
      <c r="D1435">
        <v>2</v>
      </c>
      <c r="E1435" t="s">
        <v>1161</v>
      </c>
      <c r="F1435" s="94">
        <f t="shared" si="353"/>
        <v>0</v>
      </c>
      <c r="I1435">
        <v>0</v>
      </c>
      <c r="L1435" s="94">
        <f>Mitigation_Industry!L799-Mitigation_Industry!L781-Mitigation_Industry!L782</f>
        <v>0</v>
      </c>
      <c r="M1435" s="94">
        <f>Mitigation_Industry!M799-Mitigation_Industry!M781-Mitigation_Industry!M782</f>
        <v>0</v>
      </c>
      <c r="N1435" s="94">
        <f>Mitigation_Industry!N799-Mitigation_Industry!N781-Mitigation_Industry!N782</f>
        <v>0</v>
      </c>
      <c r="O1435" s="94">
        <f>Mitigation_Industry!O799-Mitigation_Industry!O781-Mitigation_Industry!O782</f>
        <v>0</v>
      </c>
      <c r="P1435" s="94">
        <f>Mitigation_Industry!P799-Mitigation_Industry!P781-Mitigation_Industry!P782</f>
        <v>0</v>
      </c>
      <c r="Q1435" s="94">
        <f>Mitigation_Industry!Q799-Mitigation_Industry!Q781-Mitigation_Industry!Q782</f>
        <v>0</v>
      </c>
      <c r="R1435" s="94">
        <f>Mitigation_Industry!R799-Mitigation_Industry!R781-Mitigation_Industry!R782</f>
        <v>0</v>
      </c>
      <c r="S1435" s="94">
        <f>Mitigation_Industry!S799-Mitigation_Industry!S781-Mitigation_Industry!S782</f>
        <v>0</v>
      </c>
      <c r="T1435" s="94">
        <f>Mitigation_Industry!T799-Mitigation_Industry!T781-Mitigation_Industry!T782</f>
        <v>0</v>
      </c>
      <c r="U1435" s="94">
        <f>Mitigation_Industry!U799-Mitigation_Industry!U781-Mitigation_Industry!U782</f>
        <v>0</v>
      </c>
      <c r="V1435" s="94">
        <f>Mitigation_Industry!V799-Mitigation_Industry!V781-Mitigation_Industry!V782</f>
        <v>0</v>
      </c>
      <c r="W1435" s="94">
        <f>Mitigation_Industry!W799-Mitigation_Industry!W781-Mitigation_Industry!W782</f>
        <v>0</v>
      </c>
      <c r="X1435" s="94">
        <f>Mitigation_Industry!X799-Mitigation_Industry!X781-Mitigation_Industry!X782</f>
        <v>0</v>
      </c>
      <c r="Y1435" s="94">
        <f>Mitigation_Industry!Y799-Mitigation_Industry!Y781-Mitigation_Industry!Y782</f>
        <v>0</v>
      </c>
      <c r="Z1435" s="94">
        <f>Mitigation_Industry!Z799-Mitigation_Industry!Z781-Mitigation_Industry!Z782</f>
        <v>0</v>
      </c>
      <c r="AA1435" s="94">
        <f>Mitigation_Industry!AA799-Mitigation_Industry!AA781-Mitigation_Industry!AA782</f>
        <v>0</v>
      </c>
      <c r="AB1435" s="94">
        <f>Mitigation_Industry!AB799-Mitigation_Industry!AB781-Mitigation_Industry!AB782</f>
        <v>0</v>
      </c>
      <c r="AC1435" s="94">
        <f>Mitigation_Industry!AC799-Mitigation_Industry!AC781-Mitigation_Industry!AC782</f>
        <v>0</v>
      </c>
      <c r="AD1435" s="94">
        <f>Mitigation_Industry!AD799-Mitigation_Industry!AD781-Mitigation_Industry!AD782</f>
        <v>0</v>
      </c>
      <c r="AE1435" s="94">
        <f>Mitigation_Industry!AE799-Mitigation_Industry!AE781-Mitigation_Industry!AE782</f>
        <v>0</v>
      </c>
    </row>
    <row r="1436" spans="1:35" x14ac:dyDescent="0.25">
      <c r="A1436" t="s">
        <v>1861</v>
      </c>
      <c r="D1436">
        <v>2</v>
      </c>
      <c r="E1436" t="s">
        <v>1161</v>
      </c>
      <c r="F1436" s="94">
        <f t="shared" si="353"/>
        <v>0</v>
      </c>
      <c r="I1436">
        <v>0</v>
      </c>
      <c r="L1436" s="94">
        <f>Mitigation_Industry!L799-SUM(Mitigation_Industry!L791:L798)</f>
        <v>0</v>
      </c>
      <c r="M1436" s="94">
        <f>Mitigation_Industry!M799-SUM(Mitigation_Industry!M791:M798)</f>
        <v>0</v>
      </c>
      <c r="N1436" s="94">
        <f>Mitigation_Industry!N799-SUM(Mitigation_Industry!N791:N798)</f>
        <v>0</v>
      </c>
      <c r="O1436" s="94">
        <f>Mitigation_Industry!O799-SUM(Mitigation_Industry!O791:O798)</f>
        <v>0</v>
      </c>
      <c r="P1436" s="94">
        <f>Mitigation_Industry!P799-SUM(Mitigation_Industry!P791:P798)</f>
        <v>0</v>
      </c>
      <c r="Q1436" s="94">
        <f>Mitigation_Industry!Q799-SUM(Mitigation_Industry!Q791:Q798)</f>
        <v>0</v>
      </c>
      <c r="R1436" s="94">
        <f>Mitigation_Industry!R799-SUM(Mitigation_Industry!R791:R798)</f>
        <v>0</v>
      </c>
      <c r="S1436" s="94">
        <f>Mitigation_Industry!S799-SUM(Mitigation_Industry!S791:S798)</f>
        <v>0</v>
      </c>
      <c r="T1436" s="94">
        <f>Mitigation_Industry!T799-SUM(Mitigation_Industry!T791:T798)</f>
        <v>0</v>
      </c>
      <c r="U1436" s="94">
        <f>Mitigation_Industry!U799-SUM(Mitigation_Industry!U791:U798)</f>
        <v>0</v>
      </c>
      <c r="V1436" s="94">
        <f>Mitigation_Industry!V799-SUM(Mitigation_Industry!V791:V798)</f>
        <v>0</v>
      </c>
      <c r="W1436" s="94">
        <f>Mitigation_Industry!W799-SUM(Mitigation_Industry!W791:W798)</f>
        <v>0</v>
      </c>
      <c r="X1436" s="94">
        <f>Mitigation_Industry!X799-SUM(Mitigation_Industry!X791:X798)</f>
        <v>0</v>
      </c>
      <c r="Y1436" s="94">
        <f>Mitigation_Industry!Y799-SUM(Mitigation_Industry!Y791:Y798)</f>
        <v>0</v>
      </c>
      <c r="Z1436" s="94">
        <f>Mitigation_Industry!Z799-SUM(Mitigation_Industry!Z791:Z798)</f>
        <v>0</v>
      </c>
      <c r="AA1436" s="94">
        <f>Mitigation_Industry!AA799-SUM(Mitigation_Industry!AA791:AA798)</f>
        <v>0</v>
      </c>
      <c r="AB1436" s="94">
        <f>Mitigation_Industry!AB799-SUM(Mitigation_Industry!AB791:AB798)</f>
        <v>0</v>
      </c>
      <c r="AC1436" s="94">
        <f>Mitigation_Industry!AC799-SUM(Mitigation_Industry!AC791:AC798)</f>
        <v>0</v>
      </c>
      <c r="AD1436" s="94">
        <f>Mitigation_Industry!AD799-SUM(Mitigation_Industry!AD791:AD798)</f>
        <v>0</v>
      </c>
      <c r="AE1436" s="94">
        <f>Mitigation_Industry!AE799-SUM(Mitigation_Industry!AE791:AE798)</f>
        <v>0</v>
      </c>
    </row>
    <row r="1437" spans="1:35" x14ac:dyDescent="0.25">
      <c r="A1437" t="s">
        <v>1862</v>
      </c>
      <c r="D1437">
        <v>2</v>
      </c>
      <c r="E1437" t="s">
        <v>1161</v>
      </c>
      <c r="F1437" s="94">
        <f t="shared" si="353"/>
        <v>0</v>
      </c>
      <c r="I1437">
        <v>0</v>
      </c>
      <c r="L1437" s="94">
        <f>Mitigation_Industry!L779-SUM(Mitigation_Industry!L773:L777)-SUM(Mitigation_Industry!L784:L788)</f>
        <v>0</v>
      </c>
      <c r="M1437" s="94">
        <f>Mitigation_Industry!M779-SUM(Mitigation_Industry!M773:M777)-SUM(Mitigation_Industry!M784:M788)</f>
        <v>0</v>
      </c>
      <c r="N1437" s="94">
        <f>Mitigation_Industry!N779-SUM(Mitigation_Industry!N773:N777)-SUM(Mitigation_Industry!N784:N788)</f>
        <v>0</v>
      </c>
      <c r="O1437" s="94">
        <f>Mitigation_Industry!O779-SUM(Mitigation_Industry!O773:O777)-SUM(Mitigation_Industry!O784:O788)</f>
        <v>0</v>
      </c>
      <c r="P1437" s="94">
        <f>Mitigation_Industry!P779-SUM(Mitigation_Industry!P773:P777)-SUM(Mitigation_Industry!P784:P788)</f>
        <v>0</v>
      </c>
      <c r="Q1437" s="94">
        <f>Mitigation_Industry!Q779-SUM(Mitigation_Industry!Q773:Q777)-SUM(Mitigation_Industry!Q784:Q788)</f>
        <v>0</v>
      </c>
      <c r="R1437" s="94">
        <f>Mitigation_Industry!R779-SUM(Mitigation_Industry!R773:R777)-SUM(Mitigation_Industry!R784:R788)</f>
        <v>0</v>
      </c>
      <c r="S1437" s="94">
        <f>Mitigation_Industry!S779-SUM(Mitigation_Industry!S773:S777)-SUM(Mitigation_Industry!S784:S788)</f>
        <v>0</v>
      </c>
      <c r="T1437" s="94">
        <f>Mitigation_Industry!T779-SUM(Mitigation_Industry!T773:T777)-SUM(Mitigation_Industry!T784:T788)</f>
        <v>0</v>
      </c>
      <c r="U1437" s="94">
        <f>Mitigation_Industry!U779-SUM(Mitigation_Industry!U773:U777)-SUM(Mitigation_Industry!U784:U788)</f>
        <v>0</v>
      </c>
      <c r="V1437" s="94">
        <f>Mitigation_Industry!V779-SUM(Mitigation_Industry!V773:V777)-SUM(Mitigation_Industry!V784:V788)</f>
        <v>0</v>
      </c>
      <c r="W1437" s="94">
        <f>Mitigation_Industry!W779-SUM(Mitigation_Industry!W773:W777)-SUM(Mitigation_Industry!W784:W788)</f>
        <v>0</v>
      </c>
      <c r="X1437" s="94">
        <f>Mitigation_Industry!X779-SUM(Mitigation_Industry!X773:X777)-SUM(Mitigation_Industry!X784:X788)</f>
        <v>0</v>
      </c>
      <c r="Y1437" s="94">
        <f>Mitigation_Industry!Y779-SUM(Mitigation_Industry!Y773:Y777)-SUM(Mitigation_Industry!Y784:Y788)</f>
        <v>0</v>
      </c>
      <c r="Z1437" s="94">
        <f>Mitigation_Industry!Z779-SUM(Mitigation_Industry!Z773:Z777)-SUM(Mitigation_Industry!Z784:Z788)</f>
        <v>0</v>
      </c>
      <c r="AA1437" s="94">
        <f>Mitigation_Industry!AA779-SUM(Mitigation_Industry!AA773:AA777)-SUM(Mitigation_Industry!AA784:AA788)</f>
        <v>0</v>
      </c>
      <c r="AB1437" s="94">
        <f>Mitigation_Industry!AB779-SUM(Mitigation_Industry!AB773:AB777)-SUM(Mitigation_Industry!AB784:AB788)</f>
        <v>0</v>
      </c>
      <c r="AC1437" s="94">
        <f>Mitigation_Industry!AC779-SUM(Mitigation_Industry!AC773:AC777)-SUM(Mitigation_Industry!AC784:AC788)</f>
        <v>0</v>
      </c>
      <c r="AD1437" s="94">
        <f>Mitigation_Industry!AD779-SUM(Mitigation_Industry!AD773:AD777)-SUM(Mitigation_Industry!AD784:AD788)</f>
        <v>0</v>
      </c>
      <c r="AE1437" s="94">
        <f>Mitigation_Industry!AE779-SUM(Mitigation_Industry!AE773:AE777)-SUM(Mitigation_Industry!AE784:AE788)</f>
        <v>0</v>
      </c>
    </row>
    <row r="1438" spans="1:35" x14ac:dyDescent="0.25">
      <c r="A1438" t="s">
        <v>1863</v>
      </c>
      <c r="D1438">
        <v>2</v>
      </c>
      <c r="E1438" t="s">
        <v>1161</v>
      </c>
      <c r="F1438" s="94">
        <f t="shared" si="353"/>
        <v>0</v>
      </c>
      <c r="I1438">
        <v>0</v>
      </c>
      <c r="L1438" s="94">
        <f>Mitigation_Industry!L780-SUM(Mitigation_Industry!L751:L758)-SUM(Mitigation_Industry!L762:L769)</f>
        <v>0</v>
      </c>
      <c r="M1438" s="94">
        <f>Mitigation_Industry!M780-SUM(Mitigation_Industry!M751:M758)-SUM(Mitigation_Industry!M762:M769)</f>
        <v>0</v>
      </c>
      <c r="N1438" s="94">
        <f>Mitigation_Industry!N780-SUM(Mitigation_Industry!N751:N758)-SUM(Mitigation_Industry!N762:N769)</f>
        <v>0</v>
      </c>
      <c r="O1438" s="94">
        <f>Mitigation_Industry!O780-SUM(Mitigation_Industry!O751:O758)-SUM(Mitigation_Industry!O762:O769)</f>
        <v>0</v>
      </c>
      <c r="P1438" s="94">
        <f>Mitigation_Industry!P780-SUM(Mitigation_Industry!P751:P758)-SUM(Mitigation_Industry!P762:P769)</f>
        <v>0</v>
      </c>
      <c r="Q1438" s="94">
        <f>Mitigation_Industry!Q780-SUM(Mitigation_Industry!Q751:Q758)-SUM(Mitigation_Industry!Q762:Q769)</f>
        <v>0</v>
      </c>
      <c r="R1438" s="94">
        <f>Mitigation_Industry!R780-SUM(Mitigation_Industry!R751:R758)-SUM(Mitigation_Industry!R762:R769)</f>
        <v>0</v>
      </c>
      <c r="S1438" s="94">
        <f>Mitigation_Industry!S780-SUM(Mitigation_Industry!S751:S758)-SUM(Mitigation_Industry!S762:S769)</f>
        <v>0</v>
      </c>
      <c r="T1438" s="94">
        <f>Mitigation_Industry!T780-SUM(Mitigation_Industry!T751:T758)-SUM(Mitigation_Industry!T762:T769)</f>
        <v>0</v>
      </c>
      <c r="U1438" s="94">
        <f>Mitigation_Industry!U780-SUM(Mitigation_Industry!U751:U758)-SUM(Mitigation_Industry!U762:U769)</f>
        <v>0</v>
      </c>
      <c r="V1438" s="94">
        <f>Mitigation_Industry!V780-SUM(Mitigation_Industry!V751:V758)-SUM(Mitigation_Industry!V762:V769)</f>
        <v>0</v>
      </c>
      <c r="W1438" s="94">
        <f>Mitigation_Industry!W780-SUM(Mitigation_Industry!W751:W758)-SUM(Mitigation_Industry!W762:W769)</f>
        <v>0</v>
      </c>
      <c r="X1438" s="94">
        <f>Mitigation_Industry!X780-SUM(Mitigation_Industry!X751:X758)-SUM(Mitigation_Industry!X762:X769)</f>
        <v>0</v>
      </c>
      <c r="Y1438" s="94">
        <f>Mitigation_Industry!Y780-SUM(Mitigation_Industry!Y751:Y758)-SUM(Mitigation_Industry!Y762:Y769)</f>
        <v>0</v>
      </c>
      <c r="Z1438" s="94">
        <f>Mitigation_Industry!Z780-SUM(Mitigation_Industry!Z751:Z758)-SUM(Mitigation_Industry!Z762:Z769)</f>
        <v>0</v>
      </c>
      <c r="AA1438" s="94">
        <f>Mitigation_Industry!AA780-SUM(Mitigation_Industry!AA751:AA758)-SUM(Mitigation_Industry!AA762:AA769)</f>
        <v>0</v>
      </c>
      <c r="AB1438" s="94">
        <f>Mitigation_Industry!AB780-SUM(Mitigation_Industry!AB751:AB758)-SUM(Mitigation_Industry!AB762:AB769)</f>
        <v>0</v>
      </c>
      <c r="AC1438" s="94">
        <f>Mitigation_Industry!AC780-SUM(Mitigation_Industry!AC751:AC758)-SUM(Mitigation_Industry!AC762:AC769)</f>
        <v>0</v>
      </c>
      <c r="AD1438" s="94">
        <f>Mitigation_Industry!AD780-SUM(Mitigation_Industry!AD751:AD758)-SUM(Mitigation_Industry!AD762:AD769)</f>
        <v>0</v>
      </c>
      <c r="AE1438" s="94">
        <f>Mitigation_Industry!AE780-SUM(Mitigation_Industry!AE751:AE758)-SUM(Mitigation_Industry!AE762:AE769)</f>
        <v>0</v>
      </c>
    </row>
    <row r="1439" spans="1:35" x14ac:dyDescent="0.2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25">
      <c r="A1442" s="52" t="s">
        <v>1889</v>
      </c>
    </row>
    <row r="1443" spans="1:35" x14ac:dyDescent="0.25">
      <c r="A1443" t="s">
        <v>1894</v>
      </c>
      <c r="D1443" s="95">
        <f>MAX(F1445:F1451)</f>
        <v>0</v>
      </c>
    </row>
    <row r="1444" spans="1:35" x14ac:dyDescent="0.2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25">
      <c r="A1445" t="s">
        <v>1890</v>
      </c>
      <c r="D1445">
        <v>1</v>
      </c>
      <c r="E1445" t="s">
        <v>1161</v>
      </c>
      <c r="F1445" s="94">
        <f>MAX(MAX(L1445:AE1445),-MIN(L1445:AE1445))</f>
        <v>0</v>
      </c>
      <c r="I1445">
        <v>0</v>
      </c>
      <c r="L1445" s="94">
        <f>Mitigation_Industry!L380-SUM(Mitigation_Industry!L258:L261)</f>
        <v>0</v>
      </c>
      <c r="M1445" s="94">
        <f>Mitigation_Industry!M380-SUM(Mitigation_Industry!M258:M261)</f>
        <v>0</v>
      </c>
      <c r="N1445" s="94">
        <f>Mitigation_Industry!N380-SUM(Mitigation_Industry!N258:N261)</f>
        <v>0</v>
      </c>
      <c r="O1445" s="94">
        <f>Mitigation_Industry!O380-SUM(Mitigation_Industry!O258:O261)</f>
        <v>0</v>
      </c>
      <c r="P1445" s="94">
        <f>Mitigation_Industry!P380-SUM(Mitigation_Industry!P258:P261)</f>
        <v>0</v>
      </c>
      <c r="Q1445" s="94">
        <f>Mitigation_Industry!Q380-SUM(Mitigation_Industry!Q258:Q261)</f>
        <v>0</v>
      </c>
      <c r="R1445" s="94">
        <f>Mitigation_Industry!R380-SUM(Mitigation_Industry!R258:R261)</f>
        <v>0</v>
      </c>
      <c r="S1445" s="94">
        <f>Mitigation_Industry!S380-SUM(Mitigation_Industry!S258:S261)</f>
        <v>0</v>
      </c>
      <c r="T1445" s="94">
        <f>Mitigation_Industry!T380-SUM(Mitigation_Industry!T258:T261)</f>
        <v>0</v>
      </c>
      <c r="U1445" s="94">
        <f>Mitigation_Industry!U380-SUM(Mitigation_Industry!U258:U261)</f>
        <v>0</v>
      </c>
      <c r="V1445" s="94">
        <f>Mitigation_Industry!V380-SUM(Mitigation_Industry!V258:V261)</f>
        <v>0</v>
      </c>
      <c r="W1445" s="94">
        <f>Mitigation_Industry!W380-SUM(Mitigation_Industry!W258:W261)</f>
        <v>0</v>
      </c>
      <c r="X1445" s="94">
        <f>Mitigation_Industry!X380-SUM(Mitigation_Industry!X258:X261)</f>
        <v>0</v>
      </c>
      <c r="Y1445" s="94">
        <f>Mitigation_Industry!Y380-SUM(Mitigation_Industry!Y258:Y261)</f>
        <v>0</v>
      </c>
      <c r="Z1445" s="94">
        <f>Mitigation_Industry!Z380-SUM(Mitigation_Industry!Z258:Z261)</f>
        <v>0</v>
      </c>
      <c r="AA1445" s="94">
        <f>Mitigation_Industry!AA380-SUM(Mitigation_Industry!AA258:AA261)</f>
        <v>0</v>
      </c>
      <c r="AB1445" s="94">
        <f>Mitigation_Industry!AB380-SUM(Mitigation_Industry!AB258:AB261)</f>
        <v>0</v>
      </c>
      <c r="AC1445" s="94">
        <f>Mitigation_Industry!AC380-SUM(Mitigation_Industry!AC258:AC261)</f>
        <v>0</v>
      </c>
      <c r="AD1445" s="94">
        <f>Mitigation_Industry!AD380-SUM(Mitigation_Industry!AD258:AD261)</f>
        <v>0</v>
      </c>
      <c r="AE1445" s="94">
        <f>Mitigation_Industry!AE380-SUM(Mitigation_Industry!AE258:AE261)</f>
        <v>0</v>
      </c>
    </row>
    <row r="1446" spans="1:35" x14ac:dyDescent="0.2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2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25">
      <c r="A1448" t="s">
        <v>1890</v>
      </c>
      <c r="D1448">
        <v>2</v>
      </c>
      <c r="E1448" t="s">
        <v>1161</v>
      </c>
      <c r="F1448" s="94">
        <f>MAX(MAX(L1448:AE1448),-MIN(L1448:AE1448))</f>
        <v>0</v>
      </c>
      <c r="I1448">
        <v>0</v>
      </c>
      <c r="L1448" s="94">
        <f>Mitigation_Industry!L779-SUM(Mitigation_Industry!L657:L660)</f>
        <v>0</v>
      </c>
      <c r="M1448" s="94">
        <f>Mitigation_Industry!M779-SUM(Mitigation_Industry!M657:M660)</f>
        <v>0</v>
      </c>
      <c r="N1448" s="94">
        <f>Mitigation_Industry!N779-SUM(Mitigation_Industry!N657:N660)</f>
        <v>0</v>
      </c>
      <c r="O1448" s="94">
        <f>Mitigation_Industry!O779-SUM(Mitigation_Industry!O657:O660)</f>
        <v>0</v>
      </c>
      <c r="P1448" s="94">
        <f>Mitigation_Industry!P779-SUM(Mitigation_Industry!P657:P660)</f>
        <v>0</v>
      </c>
      <c r="Q1448" s="94">
        <f>Mitigation_Industry!Q779-SUM(Mitigation_Industry!Q657:Q660)</f>
        <v>0</v>
      </c>
      <c r="R1448" s="94">
        <f>Mitigation_Industry!R779-SUM(Mitigation_Industry!R657:R660)</f>
        <v>0</v>
      </c>
      <c r="S1448" s="94">
        <f>Mitigation_Industry!S779-SUM(Mitigation_Industry!S657:S660)</f>
        <v>0</v>
      </c>
      <c r="T1448" s="94">
        <f>Mitigation_Industry!T779-SUM(Mitigation_Industry!T657:T660)</f>
        <v>0</v>
      </c>
      <c r="U1448" s="94">
        <f>Mitigation_Industry!U779-SUM(Mitigation_Industry!U657:U660)</f>
        <v>0</v>
      </c>
      <c r="V1448" s="94">
        <f>Mitigation_Industry!V779-SUM(Mitigation_Industry!V657:V660)</f>
        <v>0</v>
      </c>
      <c r="W1448" s="94">
        <f>Mitigation_Industry!W779-SUM(Mitigation_Industry!W657:W660)</f>
        <v>0</v>
      </c>
      <c r="X1448" s="94">
        <f>Mitigation_Industry!X779-SUM(Mitigation_Industry!X657:X660)</f>
        <v>0</v>
      </c>
      <c r="Y1448" s="94">
        <f>Mitigation_Industry!Y779-SUM(Mitigation_Industry!Y657:Y660)</f>
        <v>0</v>
      </c>
      <c r="Z1448" s="94">
        <f>Mitigation_Industry!Z779-SUM(Mitigation_Industry!Z657:Z660)</f>
        <v>0</v>
      </c>
      <c r="AA1448" s="94">
        <f>Mitigation_Industry!AA779-SUM(Mitigation_Industry!AA657:AA660)</f>
        <v>0</v>
      </c>
      <c r="AB1448" s="94">
        <f>Mitigation_Industry!AB779-SUM(Mitigation_Industry!AB657:AB660)</f>
        <v>0</v>
      </c>
      <c r="AC1448" s="94">
        <f>Mitigation_Industry!AC779-SUM(Mitigation_Industry!AC657:AC660)</f>
        <v>0</v>
      </c>
      <c r="AD1448" s="94">
        <f>Mitigation_Industry!AD779-SUM(Mitigation_Industry!AD657:AD660)</f>
        <v>0</v>
      </c>
      <c r="AE1448" s="94">
        <f>Mitigation_Industry!AE779-SUM(Mitigation_Industry!AE657:AE660)</f>
        <v>0</v>
      </c>
    </row>
    <row r="1449" spans="1:35" x14ac:dyDescent="0.2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2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2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25">
      <c r="A1454" s="52" t="s">
        <v>1903</v>
      </c>
    </row>
    <row r="1455" spans="1:35" x14ac:dyDescent="0.25">
      <c r="A1455" t="s">
        <v>1907</v>
      </c>
      <c r="D1455" s="89">
        <f>MAX(F1457:F1460)</f>
        <v>0</v>
      </c>
    </row>
    <row r="1456" spans="1:35" x14ac:dyDescent="0.2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2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2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2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2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25">
      <c r="A1463" s="52" t="s">
        <v>1919</v>
      </c>
    </row>
    <row r="1464" spans="1:35" x14ac:dyDescent="0.25">
      <c r="A1464" t="s">
        <v>1924</v>
      </c>
      <c r="D1464" s="89">
        <f>MAX(F1466:F1472)</f>
        <v>8.8817841970012523E-16</v>
      </c>
    </row>
    <row r="1465" spans="1:35" x14ac:dyDescent="0.2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2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2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2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2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2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2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2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25">
      <c r="A1475" s="52" t="s">
        <v>1956</v>
      </c>
    </row>
    <row r="1476" spans="1:35" x14ac:dyDescent="0.25">
      <c r="A1476" t="s">
        <v>1964</v>
      </c>
      <c r="D1476" s="89">
        <f>MAX(F1478:F1485)</f>
        <v>1.9428902930940239E-16</v>
      </c>
    </row>
    <row r="1477" spans="1:35" x14ac:dyDescent="0.2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1957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25">
      <c r="A1478" t="s">
        <v>1958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25">
      <c r="A1479" t="s">
        <v>1959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25">
      <c r="A1480" t="s">
        <v>1960</v>
      </c>
      <c r="F1480">
        <f>1-OR('Manual inputs'!$E$50="IPCC",'Manual inputs'!$E$50="ADHOC")</f>
        <v>0</v>
      </c>
      <c r="I1480">
        <v>0</v>
      </c>
    </row>
    <row r="1481" spans="1:35" x14ac:dyDescent="0.25">
      <c r="A1481" t="s">
        <v>1961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25">
      <c r="A1482" t="s">
        <v>1962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25">
      <c r="A1483" t="s">
        <v>1963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25">
      <c r="A1484" t="s">
        <v>1962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25">
      <c r="A1485" t="s">
        <v>1963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25">
      <c r="A1488" s="52" t="s">
        <v>1982</v>
      </c>
    </row>
    <row r="1489" spans="1:35" x14ac:dyDescent="0.25">
      <c r="A1489" t="s">
        <v>1991</v>
      </c>
      <c r="D1489" s="89">
        <f>MAX(F1491:F1502)</f>
        <v>2.8421709430404007E-14</v>
      </c>
    </row>
    <row r="1490" spans="1:35" x14ac:dyDescent="0.2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1957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25">
      <c r="A1491" t="s">
        <v>1983</v>
      </c>
      <c r="F1491">
        <f>1-OR('Manual inputs'!$E$63="ON",'Manual inputs'!$E$63="OFF")</f>
        <v>0</v>
      </c>
      <c r="I1491">
        <v>0</v>
      </c>
    </row>
    <row r="1492" spans="1:35" x14ac:dyDescent="0.25">
      <c r="A1492" t="s">
        <v>1984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25">
      <c r="A1493" t="s">
        <v>1985</v>
      </c>
      <c r="F1493">
        <f>SUMPRODUCT(--('Manual inputs'!$E$66:$E$73&gt;0))</f>
        <v>0</v>
      </c>
      <c r="I1493">
        <v>0</v>
      </c>
    </row>
    <row r="1494" spans="1:35" x14ac:dyDescent="0.25">
      <c r="A1494" t="s">
        <v>1986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25">
      <c r="A1495" t="s">
        <v>1987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25">
      <c r="A1496" t="s">
        <v>1988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25">
      <c r="A1497" t="s">
        <v>1989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25">
      <c r="A1498" t="s">
        <v>1990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25">
      <c r="A1499" t="s">
        <v>1986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25">
      <c r="A1500" t="s">
        <v>1987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25">
      <c r="A1501" t="s">
        <v>1989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25">
      <c r="A1502" t="s">
        <v>1990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25">
      <c r="A1505" s="52" t="s">
        <v>2013</v>
      </c>
    </row>
    <row r="1506" spans="1:35" x14ac:dyDescent="0.25">
      <c r="A1506" t="s">
        <v>2021</v>
      </c>
      <c r="D1506" s="89">
        <f>MAX(F1508:F1516)</f>
        <v>4.0856207306205761E-13</v>
      </c>
    </row>
    <row r="1507" spans="1:35" x14ac:dyDescent="0.2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1957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25">
      <c r="A1508" t="s">
        <v>2014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25">
      <c r="A1509" t="s">
        <v>2015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25">
      <c r="A1510" t="s">
        <v>2016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25">
      <c r="A1511" t="s">
        <v>2017</v>
      </c>
      <c r="F1511">
        <f>SUMPRODUCT(--('Manual inputs'!$L$79:$AE$79&lt;0))</f>
        <v>0</v>
      </c>
      <c r="I1511">
        <v>0</v>
      </c>
    </row>
    <row r="1512" spans="1:35" x14ac:dyDescent="0.25">
      <c r="A1512" t="s">
        <v>2018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25">
      <c r="A1513" t="s">
        <v>2019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25">
      <c r="A1514" t="s">
        <v>2020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25">
      <c r="A1515" t="s">
        <v>2018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25">
      <c r="A1516" t="s">
        <v>2019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25">
      <c r="A1519" s="52" t="s">
        <v>2141</v>
      </c>
    </row>
    <row r="1520" spans="1:35" x14ac:dyDescent="0.25">
      <c r="A1520" t="s">
        <v>2165</v>
      </c>
      <c r="D1520" s="89">
        <f>MAX(F1522:F1546)</f>
        <v>1.4210854715202004E-14</v>
      </c>
    </row>
    <row r="1521" spans="1:35" x14ac:dyDescent="0.2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2142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25">
      <c r="A1522" t="s">
        <v>2143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25">
      <c r="A1523" t="s">
        <v>2144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25">
      <c r="A1524" t="s">
        <v>2145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25">
      <c r="A1525" t="s">
        <v>2146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25">
      <c r="A1526" t="s">
        <v>2147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25">
      <c r="A1527" t="s">
        <v>2148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25">
      <c r="A1528" t="s">
        <v>2149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25">
      <c r="A1529" t="s">
        <v>2150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25">
      <c r="A1530" t="s">
        <v>2151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25">
      <c r="A1531" t="s">
        <v>2152</v>
      </c>
      <c r="B1531" t="s">
        <v>110</v>
      </c>
      <c r="C1531" t="s">
        <v>43</v>
      </c>
      <c r="D1531">
        <v>1</v>
      </c>
      <c r="E1531" t="s">
        <v>1159</v>
      </c>
      <c r="J1531" t="s">
        <v>2153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25">
      <c r="A1532" t="s">
        <v>2154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25">
      <c r="A1533" t="s">
        <v>2154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28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25">
      <c r="A1534" t="s">
        <v>2155</v>
      </c>
      <c r="B1534" t="s">
        <v>110</v>
      </c>
      <c r="C1534" t="s">
        <v>113</v>
      </c>
      <c r="D1534">
        <v>1</v>
      </c>
      <c r="E1534" t="s">
        <v>1159</v>
      </c>
      <c r="J1534" t="s">
        <v>2156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25">
      <c r="A1535" t="s">
        <v>2157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25">
      <c r="A1536" t="s">
        <v>2157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28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25">
      <c r="A1537" t="s">
        <v>2158</v>
      </c>
      <c r="B1537" t="s">
        <v>110</v>
      </c>
      <c r="C1537" t="s">
        <v>115</v>
      </c>
      <c r="D1537">
        <v>1</v>
      </c>
      <c r="E1537" t="s">
        <v>1159</v>
      </c>
      <c r="J1537" t="s">
        <v>2159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25">
      <c r="A1538" t="s">
        <v>2160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25">
      <c r="A1539" t="s">
        <v>2160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28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25">
      <c r="A1540" t="s">
        <v>2161</v>
      </c>
      <c r="B1540" t="s">
        <v>110</v>
      </c>
      <c r="C1540" t="s">
        <v>117</v>
      </c>
      <c r="D1540">
        <v>1</v>
      </c>
      <c r="E1540" t="s">
        <v>1159</v>
      </c>
      <c r="J1540" t="s">
        <v>2162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25">
      <c r="A1541" t="s">
        <v>2163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25">
      <c r="A1542" t="s">
        <v>2163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28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25">
      <c r="A1543" t="s">
        <v>2167</v>
      </c>
      <c r="D1543">
        <v>2</v>
      </c>
      <c r="E1543" t="s">
        <v>2164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25">
      <c r="A1544" t="s">
        <v>2168</v>
      </c>
      <c r="D1544">
        <v>2</v>
      </c>
      <c r="E1544" t="s">
        <v>2164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25">
      <c r="A1545" t="s">
        <v>2169</v>
      </c>
      <c r="D1545">
        <v>2</v>
      </c>
      <c r="E1545" t="s">
        <v>2164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25">
      <c r="A1546" t="s">
        <v>2170</v>
      </c>
      <c r="D1546">
        <v>2</v>
      </c>
      <c r="E1546" t="s">
        <v>2164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25">
      <c r="A1548" t="s">
        <v>2166</v>
      </c>
    </row>
    <row r="1551" spans="1:31" x14ac:dyDescent="0.25">
      <c r="A1551" s="52" t="s">
        <v>2427</v>
      </c>
    </row>
    <row r="1552" spans="1:31" x14ac:dyDescent="0.25">
      <c r="A1552" t="s">
        <v>2533</v>
      </c>
      <c r="D1552" s="89">
        <f>MAX(F1554:F1589)</f>
        <v>2.8421709430404007E-14</v>
      </c>
      <c r="F1552" t="s">
        <v>2534</v>
      </c>
    </row>
    <row r="1553" spans="1:35" x14ac:dyDescent="0.2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1957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25">
      <c r="A1554" t="s">
        <v>2428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25">
      <c r="A1555" t="s">
        <v>2429</v>
      </c>
      <c r="D1555">
        <v>1</v>
      </c>
      <c r="E1555" t="s">
        <v>2164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25">
      <c r="A1556" t="s">
        <v>2430</v>
      </c>
      <c r="D1556">
        <v>1</v>
      </c>
      <c r="E1556" t="s">
        <v>2164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25">
      <c r="A1557" t="s">
        <v>2431</v>
      </c>
      <c r="D1557">
        <v>1</v>
      </c>
      <c r="E1557" t="s">
        <v>2164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25">
      <c r="A1558" t="s">
        <v>2432</v>
      </c>
      <c r="D1558">
        <v>1</v>
      </c>
      <c r="E1558" t="s">
        <v>2164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25">
      <c r="A1559" t="s">
        <v>2433</v>
      </c>
      <c r="D1559">
        <v>1</v>
      </c>
      <c r="E1559" t="s">
        <v>2164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25">
      <c r="A1560" t="s">
        <v>2434</v>
      </c>
      <c r="D1560">
        <v>1</v>
      </c>
      <c r="E1560" t="s">
        <v>2164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25">
      <c r="A1561" t="s">
        <v>2435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25">
      <c r="A1562" t="s">
        <v>2436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25">
      <c r="A1563" t="s">
        <v>2437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25">
      <c r="A1564" t="s">
        <v>2428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25">
      <c r="A1565" t="s">
        <v>2429</v>
      </c>
      <c r="D1565">
        <v>2</v>
      </c>
      <c r="E1565" t="s">
        <v>2164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25">
      <c r="A1566" t="s">
        <v>2430</v>
      </c>
      <c r="D1566">
        <v>2</v>
      </c>
      <c r="E1566" t="s">
        <v>2164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25">
      <c r="A1567" t="s">
        <v>2431</v>
      </c>
      <c r="D1567">
        <v>2</v>
      </c>
      <c r="E1567" t="s">
        <v>2164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25">
      <c r="A1568" t="s">
        <v>2432</v>
      </c>
      <c r="D1568">
        <v>2</v>
      </c>
      <c r="E1568" t="s">
        <v>2164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25">
      <c r="A1569" t="s">
        <v>2433</v>
      </c>
      <c r="D1569">
        <v>2</v>
      </c>
      <c r="E1569" t="s">
        <v>2164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25">
      <c r="A1570" t="s">
        <v>2434</v>
      </c>
      <c r="D1570">
        <v>2</v>
      </c>
      <c r="E1570" t="s">
        <v>2164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25">
      <c r="A1571" t="s">
        <v>2435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25">
      <c r="A1572" t="s">
        <v>2436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25">
      <c r="A1573" t="s">
        <v>2437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25">
      <c r="A1574" t="s">
        <v>2886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25">
      <c r="A1575" t="s">
        <v>2887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25">
      <c r="A1576" t="s">
        <v>2888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25">
      <c r="A1577" t="s">
        <v>2889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25">
      <c r="A1578" t="s">
        <v>2438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25">
      <c r="A1579" t="s">
        <v>2439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25">
      <c r="A1580" t="s">
        <v>2440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25">
      <c r="A1581" t="s">
        <v>2441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25">
      <c r="A1582" t="s">
        <v>2890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25">
      <c r="A1583" t="s">
        <v>2891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25">
      <c r="A1584" t="s">
        <v>2892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25">
      <c r="A1585" t="s">
        <v>2893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25">
      <c r="A1586" t="s">
        <v>2442</v>
      </c>
      <c r="D1586">
        <v>2</v>
      </c>
      <c r="E1586" t="s">
        <v>2164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25">
      <c r="A1587" t="s">
        <v>2443</v>
      </c>
      <c r="D1587">
        <v>2</v>
      </c>
      <c r="E1587" t="s">
        <v>2164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25">
      <c r="A1588" t="s">
        <v>2444</v>
      </c>
      <c r="D1588">
        <v>2</v>
      </c>
      <c r="E1588" t="s">
        <v>2164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25">
      <c r="A1589" t="s">
        <v>2445</v>
      </c>
      <c r="D1589">
        <v>2</v>
      </c>
      <c r="E1589" t="s">
        <v>2164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25">
      <c r="A1590" t="s">
        <v>2446</v>
      </c>
      <c r="D1590">
        <v>2</v>
      </c>
      <c r="E1590" t="s">
        <v>2447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25">
      <c r="A1591" t="s">
        <v>2448</v>
      </c>
      <c r="D1591">
        <v>2</v>
      </c>
      <c r="E1591" t="s">
        <v>2447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25">
      <c r="A1592" t="s">
        <v>2449</v>
      </c>
      <c r="D1592">
        <v>2</v>
      </c>
      <c r="E1592" t="s">
        <v>2447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25">
      <c r="A1593" t="s">
        <v>2450</v>
      </c>
      <c r="D1593">
        <v>2</v>
      </c>
      <c r="E1593" t="s">
        <v>2447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25">
      <c r="A1594" t="s">
        <v>2451</v>
      </c>
      <c r="D1594">
        <v>2</v>
      </c>
      <c r="E1594" t="s">
        <v>2447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25">
      <c r="A1595" t="s">
        <v>2452</v>
      </c>
      <c r="D1595">
        <v>2</v>
      </c>
      <c r="E1595" t="s">
        <v>2447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25">
      <c r="A1596" t="s">
        <v>2453</v>
      </c>
      <c r="D1596">
        <v>2</v>
      </c>
      <c r="E1596" t="s">
        <v>2447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25">
      <c r="A1597" t="s">
        <v>2454</v>
      </c>
      <c r="D1597">
        <v>2</v>
      </c>
      <c r="E1597" t="s">
        <v>2447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25">
      <c r="A1598" t="s">
        <v>2455</v>
      </c>
      <c r="D1598">
        <v>2</v>
      </c>
      <c r="E1598" t="s">
        <v>2447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25">
      <c r="A1599" t="s">
        <v>2456</v>
      </c>
      <c r="D1599">
        <v>2</v>
      </c>
      <c r="E1599" t="s">
        <v>2447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25">
      <c r="A1601" t="s">
        <v>3102</v>
      </c>
    </row>
    <row r="1603" spans="1:31" x14ac:dyDescent="0.25">
      <c r="A1603" s="52" t="s">
        <v>3101</v>
      </c>
    </row>
    <row r="1604" spans="1:31" x14ac:dyDescent="0.25">
      <c r="A1604" t="s">
        <v>2457</v>
      </c>
      <c r="B1604" t="s">
        <v>110</v>
      </c>
      <c r="C1604" t="s">
        <v>43</v>
      </c>
      <c r="D1604">
        <v>1</v>
      </c>
      <c r="E1604" t="s">
        <v>2458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25">
      <c r="A1605" t="s">
        <v>2459</v>
      </c>
      <c r="B1605" t="s">
        <v>110</v>
      </c>
      <c r="C1605" t="s">
        <v>113</v>
      </c>
      <c r="D1605">
        <v>1</v>
      </c>
      <c r="E1605" t="s">
        <v>2458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25">
      <c r="A1606" t="s">
        <v>2460</v>
      </c>
      <c r="B1606" t="s">
        <v>110</v>
      </c>
      <c r="C1606" t="s">
        <v>115</v>
      </c>
      <c r="D1606">
        <v>1</v>
      </c>
      <c r="E1606" t="s">
        <v>2458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25">
      <c r="A1607" t="s">
        <v>2461</v>
      </c>
      <c r="B1607" t="s">
        <v>110</v>
      </c>
      <c r="C1607" t="s">
        <v>117</v>
      </c>
      <c r="D1607">
        <v>1</v>
      </c>
      <c r="E1607" t="s">
        <v>2458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25">
      <c r="A1608" t="s">
        <v>2462</v>
      </c>
      <c r="B1608" t="s">
        <v>110</v>
      </c>
      <c r="C1608" t="s">
        <v>43</v>
      </c>
      <c r="D1608">
        <v>2</v>
      </c>
      <c r="E1608" t="s">
        <v>2463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25">
      <c r="A1609" t="s">
        <v>2464</v>
      </c>
      <c r="B1609" t="s">
        <v>110</v>
      </c>
      <c r="C1609" t="s">
        <v>113</v>
      </c>
      <c r="D1609">
        <v>2</v>
      </c>
      <c r="E1609" t="s">
        <v>2463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25">
      <c r="A1610" t="s">
        <v>2465</v>
      </c>
      <c r="B1610" t="s">
        <v>110</v>
      </c>
      <c r="C1610" t="s">
        <v>115</v>
      </c>
      <c r="D1610">
        <v>2</v>
      </c>
      <c r="E1610" t="s">
        <v>2463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25">
      <c r="A1611" t="s">
        <v>2466</v>
      </c>
      <c r="B1611" t="s">
        <v>110</v>
      </c>
      <c r="C1611" t="s">
        <v>117</v>
      </c>
      <c r="D1611">
        <v>2</v>
      </c>
      <c r="E1611" t="s">
        <v>2463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25">
      <c r="A1612" t="s">
        <v>2467</v>
      </c>
      <c r="B1612" t="s">
        <v>2468</v>
      </c>
      <c r="C1612" t="s">
        <v>43</v>
      </c>
      <c r="D1612">
        <v>2</v>
      </c>
      <c r="E1612" t="s">
        <v>2469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25">
      <c r="A1613" t="s">
        <v>2470</v>
      </c>
      <c r="B1613" t="s">
        <v>2468</v>
      </c>
      <c r="C1613" t="s">
        <v>113</v>
      </c>
      <c r="D1613">
        <v>2</v>
      </c>
      <c r="E1613" t="s">
        <v>2469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25">
      <c r="A1614" t="s">
        <v>2471</v>
      </c>
      <c r="B1614" t="s">
        <v>2468</v>
      </c>
      <c r="C1614" t="s">
        <v>115</v>
      </c>
      <c r="D1614">
        <v>2</v>
      </c>
      <c r="E1614" t="s">
        <v>2469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25">
      <c r="A1615" t="s">
        <v>2472</v>
      </c>
      <c r="B1615" t="s">
        <v>2468</v>
      </c>
      <c r="C1615" t="s">
        <v>117</v>
      </c>
      <c r="D1615">
        <v>2</v>
      </c>
      <c r="E1615" t="s">
        <v>2469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25">
      <c r="A1616" t="s">
        <v>2473</v>
      </c>
      <c r="B1616" t="s">
        <v>110</v>
      </c>
      <c r="C1616" t="s">
        <v>43</v>
      </c>
      <c r="D1616">
        <v>2</v>
      </c>
      <c r="E1616" t="s">
        <v>2474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25">
      <c r="A1617" t="s">
        <v>2475</v>
      </c>
      <c r="B1617" t="s">
        <v>110</v>
      </c>
      <c r="C1617" t="s">
        <v>113</v>
      </c>
      <c r="D1617">
        <v>2</v>
      </c>
      <c r="E1617" t="s">
        <v>2474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25">
      <c r="A1618" t="s">
        <v>2476</v>
      </c>
      <c r="B1618" t="s">
        <v>110</v>
      </c>
      <c r="C1618" t="s">
        <v>115</v>
      </c>
      <c r="D1618">
        <v>2</v>
      </c>
      <c r="E1618" t="s">
        <v>2474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25">
      <c r="A1619" t="s">
        <v>2477</v>
      </c>
      <c r="B1619" t="s">
        <v>110</v>
      </c>
      <c r="C1619" t="s">
        <v>117</v>
      </c>
      <c r="D1619">
        <v>2</v>
      </c>
      <c r="E1619" t="s">
        <v>2474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25">
      <c r="A1620" t="s">
        <v>2478</v>
      </c>
      <c r="B1620" t="s">
        <v>2468</v>
      </c>
      <c r="C1620" t="s">
        <v>43</v>
      </c>
      <c r="D1620">
        <v>2</v>
      </c>
      <c r="E1620" t="s">
        <v>2479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25">
      <c r="A1621" t="s">
        <v>2480</v>
      </c>
      <c r="B1621" t="s">
        <v>2468</v>
      </c>
      <c r="C1621" t="s">
        <v>113</v>
      </c>
      <c r="D1621">
        <v>2</v>
      </c>
      <c r="E1621" t="s">
        <v>2479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25">
      <c r="A1622" t="s">
        <v>2481</v>
      </c>
      <c r="B1622" t="s">
        <v>2468</v>
      </c>
      <c r="C1622" t="s">
        <v>115</v>
      </c>
      <c r="D1622">
        <v>2</v>
      </c>
      <c r="E1622" t="s">
        <v>2479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25">
      <c r="A1623" t="s">
        <v>2482</v>
      </c>
      <c r="B1623" t="s">
        <v>2468</v>
      </c>
      <c r="C1623" t="s">
        <v>117</v>
      </c>
      <c r="D1623">
        <v>2</v>
      </c>
      <c r="E1623" t="s">
        <v>2479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25">
      <c r="A1624" t="s">
        <v>2483</v>
      </c>
      <c r="B1624" t="s">
        <v>110</v>
      </c>
      <c r="C1624" t="s">
        <v>43</v>
      </c>
      <c r="D1624">
        <v>2</v>
      </c>
      <c r="E1624" t="s">
        <v>2484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25">
      <c r="A1625" t="s">
        <v>2485</v>
      </c>
      <c r="B1625" t="s">
        <v>110</v>
      </c>
      <c r="C1625" t="s">
        <v>113</v>
      </c>
      <c r="D1625">
        <v>2</v>
      </c>
      <c r="E1625" t="s">
        <v>2484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25">
      <c r="A1626" t="s">
        <v>2486</v>
      </c>
      <c r="B1626" t="s">
        <v>110</v>
      </c>
      <c r="C1626" t="s">
        <v>115</v>
      </c>
      <c r="D1626">
        <v>2</v>
      </c>
      <c r="E1626" t="s">
        <v>2484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25">
      <c r="A1627" t="s">
        <v>2487</v>
      </c>
      <c r="B1627" t="s">
        <v>110</v>
      </c>
      <c r="C1627" t="s">
        <v>117</v>
      </c>
      <c r="D1627">
        <v>2</v>
      </c>
      <c r="E1627" t="s">
        <v>2484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25">
      <c r="A1628" t="s">
        <v>2488</v>
      </c>
      <c r="B1628" t="s">
        <v>2468</v>
      </c>
      <c r="C1628" t="s">
        <v>43</v>
      </c>
      <c r="D1628">
        <v>2</v>
      </c>
      <c r="E1628" t="s">
        <v>2489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25">
      <c r="A1629" t="s">
        <v>2490</v>
      </c>
      <c r="B1629" t="s">
        <v>2468</v>
      </c>
      <c r="C1629" t="s">
        <v>113</v>
      </c>
      <c r="D1629">
        <v>2</v>
      </c>
      <c r="E1629" t="s">
        <v>2489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25">
      <c r="A1630" t="s">
        <v>2491</v>
      </c>
      <c r="B1630" t="s">
        <v>2468</v>
      </c>
      <c r="C1630" t="s">
        <v>115</v>
      </c>
      <c r="D1630">
        <v>2</v>
      </c>
      <c r="E1630" t="s">
        <v>2489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25">
      <c r="A1631" t="s">
        <v>2492</v>
      </c>
      <c r="B1631" t="s">
        <v>2468</v>
      </c>
      <c r="C1631" t="s">
        <v>117</v>
      </c>
      <c r="D1631">
        <v>2</v>
      </c>
      <c r="E1631" t="s">
        <v>2489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25">
      <c r="A1632" t="s">
        <v>2493</v>
      </c>
      <c r="B1632" t="s">
        <v>110</v>
      </c>
      <c r="C1632" t="s">
        <v>43</v>
      </c>
      <c r="D1632">
        <v>2</v>
      </c>
      <c r="E1632" t="s">
        <v>2494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25">
      <c r="A1633" t="s">
        <v>2495</v>
      </c>
      <c r="B1633" t="s">
        <v>110</v>
      </c>
      <c r="C1633" t="s">
        <v>113</v>
      </c>
      <c r="D1633">
        <v>2</v>
      </c>
      <c r="E1633" t="s">
        <v>2494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25">
      <c r="A1634" t="s">
        <v>2496</v>
      </c>
      <c r="B1634" t="s">
        <v>110</v>
      </c>
      <c r="C1634" t="s">
        <v>115</v>
      </c>
      <c r="D1634">
        <v>2</v>
      </c>
      <c r="E1634" t="s">
        <v>2494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25">
      <c r="A1635" t="s">
        <v>2497</v>
      </c>
      <c r="B1635" t="s">
        <v>110</v>
      </c>
      <c r="C1635" t="s">
        <v>117</v>
      </c>
      <c r="D1635">
        <v>2</v>
      </c>
      <c r="E1635" t="s">
        <v>2494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25">
      <c r="A1636" t="s">
        <v>2498</v>
      </c>
      <c r="B1636" t="s">
        <v>2468</v>
      </c>
      <c r="C1636" t="s">
        <v>43</v>
      </c>
      <c r="D1636">
        <v>2</v>
      </c>
      <c r="E1636" t="s">
        <v>2499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25">
      <c r="A1637" t="s">
        <v>2500</v>
      </c>
      <c r="B1637" t="s">
        <v>2468</v>
      </c>
      <c r="C1637" t="s">
        <v>113</v>
      </c>
      <c r="D1637">
        <v>2</v>
      </c>
      <c r="E1637" t="s">
        <v>2499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25">
      <c r="A1638" t="s">
        <v>2501</v>
      </c>
      <c r="B1638" t="s">
        <v>2468</v>
      </c>
      <c r="C1638" t="s">
        <v>115</v>
      </c>
      <c r="D1638">
        <v>2</v>
      </c>
      <c r="E1638" t="s">
        <v>2499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25">
      <c r="A1639" t="s">
        <v>2502</v>
      </c>
      <c r="B1639" t="s">
        <v>2468</v>
      </c>
      <c r="C1639" t="s">
        <v>117</v>
      </c>
      <c r="D1639">
        <v>2</v>
      </c>
      <c r="E1639" t="s">
        <v>2499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25">
      <c r="A1640" t="s">
        <v>2503</v>
      </c>
      <c r="B1640" t="s">
        <v>110</v>
      </c>
      <c r="C1640" t="s">
        <v>43</v>
      </c>
      <c r="D1640">
        <v>2</v>
      </c>
      <c r="E1640" t="s">
        <v>2504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25">
      <c r="A1641" t="s">
        <v>2505</v>
      </c>
      <c r="B1641" t="s">
        <v>110</v>
      </c>
      <c r="C1641" t="s">
        <v>113</v>
      </c>
      <c r="D1641">
        <v>2</v>
      </c>
      <c r="E1641" t="s">
        <v>2504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25">
      <c r="A1642" t="s">
        <v>2506</v>
      </c>
      <c r="B1642" t="s">
        <v>110</v>
      </c>
      <c r="C1642" t="s">
        <v>115</v>
      </c>
      <c r="D1642">
        <v>2</v>
      </c>
      <c r="E1642" t="s">
        <v>2504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25">
      <c r="A1643" t="s">
        <v>2507</v>
      </c>
      <c r="B1643" t="s">
        <v>110</v>
      </c>
      <c r="C1643" t="s">
        <v>117</v>
      </c>
      <c r="D1643">
        <v>2</v>
      </c>
      <c r="E1643" t="s">
        <v>2504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25">
      <c r="A1644" t="s">
        <v>2508</v>
      </c>
      <c r="B1644" t="s">
        <v>2468</v>
      </c>
      <c r="C1644" t="s">
        <v>43</v>
      </c>
      <c r="D1644">
        <v>2</v>
      </c>
      <c r="E1644" t="s">
        <v>2509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25">
      <c r="A1645" t="s">
        <v>2510</v>
      </c>
      <c r="B1645" t="s">
        <v>2468</v>
      </c>
      <c r="C1645" t="s">
        <v>113</v>
      </c>
      <c r="D1645">
        <v>2</v>
      </c>
      <c r="E1645" t="s">
        <v>2509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25">
      <c r="A1646" t="s">
        <v>2511</v>
      </c>
      <c r="B1646" t="s">
        <v>2468</v>
      </c>
      <c r="C1646" t="s">
        <v>115</v>
      </c>
      <c r="D1646">
        <v>2</v>
      </c>
      <c r="E1646" t="s">
        <v>2509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25">
      <c r="A1647" t="s">
        <v>2512</v>
      </c>
      <c r="B1647" t="s">
        <v>2468</v>
      </c>
      <c r="C1647" t="s">
        <v>117</v>
      </c>
      <c r="D1647">
        <v>2</v>
      </c>
      <c r="E1647" t="s">
        <v>2509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25">
      <c r="A1648" t="s">
        <v>2513</v>
      </c>
      <c r="B1648" t="s">
        <v>110</v>
      </c>
      <c r="C1648" t="s">
        <v>43</v>
      </c>
      <c r="D1648">
        <v>2</v>
      </c>
      <c r="E1648" t="s">
        <v>2514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25">
      <c r="A1649" t="s">
        <v>2515</v>
      </c>
      <c r="B1649" t="s">
        <v>110</v>
      </c>
      <c r="C1649" t="s">
        <v>113</v>
      </c>
      <c r="D1649">
        <v>2</v>
      </c>
      <c r="E1649" t="s">
        <v>2514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25">
      <c r="A1650" t="s">
        <v>2516</v>
      </c>
      <c r="B1650" t="s">
        <v>110</v>
      </c>
      <c r="C1650" t="s">
        <v>115</v>
      </c>
      <c r="D1650">
        <v>2</v>
      </c>
      <c r="E1650" t="s">
        <v>2514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25">
      <c r="A1651" t="s">
        <v>2517</v>
      </c>
      <c r="B1651" t="s">
        <v>110</v>
      </c>
      <c r="C1651" t="s">
        <v>117</v>
      </c>
      <c r="D1651">
        <v>2</v>
      </c>
      <c r="E1651" t="s">
        <v>2514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25">
      <c r="A1652" t="s">
        <v>2518</v>
      </c>
      <c r="B1652" t="s">
        <v>2468</v>
      </c>
      <c r="C1652" t="s">
        <v>43</v>
      </c>
      <c r="D1652">
        <v>2</v>
      </c>
      <c r="E1652" t="s">
        <v>2519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25">
      <c r="A1653" t="s">
        <v>2520</v>
      </c>
      <c r="B1653" t="s">
        <v>2468</v>
      </c>
      <c r="C1653" t="s">
        <v>113</v>
      </c>
      <c r="D1653">
        <v>2</v>
      </c>
      <c r="E1653" t="s">
        <v>2519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25">
      <c r="A1654" t="s">
        <v>2521</v>
      </c>
      <c r="B1654" t="s">
        <v>2468</v>
      </c>
      <c r="C1654" t="s">
        <v>115</v>
      </c>
      <c r="D1654">
        <v>2</v>
      </c>
      <c r="E1654" t="s">
        <v>2519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25">
      <c r="A1655" t="s">
        <v>2522</v>
      </c>
      <c r="B1655" t="s">
        <v>2468</v>
      </c>
      <c r="C1655" t="s">
        <v>117</v>
      </c>
      <c r="D1655">
        <v>2</v>
      </c>
      <c r="E1655" t="s">
        <v>2519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25">
      <c r="A1656" t="s">
        <v>2523</v>
      </c>
      <c r="B1656" t="s">
        <v>110</v>
      </c>
      <c r="C1656" t="s">
        <v>43</v>
      </c>
      <c r="D1656">
        <v>2</v>
      </c>
      <c r="E1656" t="s">
        <v>2524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25">
      <c r="A1657" t="s">
        <v>2525</v>
      </c>
      <c r="B1657" t="s">
        <v>110</v>
      </c>
      <c r="C1657" t="s">
        <v>113</v>
      </c>
      <c r="D1657">
        <v>2</v>
      </c>
      <c r="E1657" t="s">
        <v>2524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25">
      <c r="A1658" t="s">
        <v>2526</v>
      </c>
      <c r="B1658" t="s">
        <v>110</v>
      </c>
      <c r="C1658" t="s">
        <v>115</v>
      </c>
      <c r="D1658">
        <v>2</v>
      </c>
      <c r="E1658" t="s">
        <v>2524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25">
      <c r="A1659" t="s">
        <v>2527</v>
      </c>
      <c r="B1659" t="s">
        <v>110</v>
      </c>
      <c r="C1659" t="s">
        <v>117</v>
      </c>
      <c r="D1659">
        <v>2</v>
      </c>
      <c r="E1659" t="s">
        <v>2524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25">
      <c r="A1660" t="s">
        <v>2528</v>
      </c>
      <c r="B1660" t="s">
        <v>2468</v>
      </c>
      <c r="C1660" t="s">
        <v>43</v>
      </c>
      <c r="D1660">
        <v>2</v>
      </c>
      <c r="E1660" t="s">
        <v>2529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25">
      <c r="A1661" t="s">
        <v>2530</v>
      </c>
      <c r="B1661" t="s">
        <v>2468</v>
      </c>
      <c r="C1661" t="s">
        <v>113</v>
      </c>
      <c r="D1661">
        <v>2</v>
      </c>
      <c r="E1661" t="s">
        <v>2529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25">
      <c r="A1662" t="s">
        <v>2531</v>
      </c>
      <c r="B1662" t="s">
        <v>2468</v>
      </c>
      <c r="C1662" t="s">
        <v>115</v>
      </c>
      <c r="D1662">
        <v>2</v>
      </c>
      <c r="E1662" t="s">
        <v>2529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25">
      <c r="A1663" t="s">
        <v>2532</v>
      </c>
      <c r="B1663" t="s">
        <v>2468</v>
      </c>
      <c r="C1663" t="s">
        <v>117</v>
      </c>
      <c r="D1663">
        <v>2</v>
      </c>
      <c r="E1663" t="s">
        <v>2529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25">
      <c r="A1666" s="52" t="s">
        <v>2894</v>
      </c>
    </row>
    <row r="1667" spans="1:35" x14ac:dyDescent="0.25">
      <c r="A1667" t="s">
        <v>3099</v>
      </c>
      <c r="D1667" s="89">
        <f>MAX(F1669:F1704)</f>
        <v>0</v>
      </c>
      <c r="F1667" t="s">
        <v>3100</v>
      </c>
    </row>
    <row r="1668" spans="1:35" x14ac:dyDescent="0.2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1957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25">
      <c r="A1669" t="s">
        <v>2895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25">
      <c r="A1670" t="s">
        <v>2896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25">
      <c r="A1671" t="s">
        <v>2897</v>
      </c>
      <c r="D1671">
        <v>1</v>
      </c>
      <c r="E1671" t="s">
        <v>1161</v>
      </c>
      <c r="F1671" s="94">
        <f t="shared" si="363"/>
        <v>0</v>
      </c>
      <c r="I1671">
        <v>0</v>
      </c>
      <c r="L1671" s="94">
        <f>Mitigation_Industry!L360+Mitigation_Industry!L371-Fund_Industry!L123+Fund_Industry!L191</f>
        <v>0</v>
      </c>
      <c r="M1671" s="94">
        <f>Mitigation_Industry!M360+Mitigation_Industry!M371-Fund_Industry!M123+Fund_Industry!M191</f>
        <v>0</v>
      </c>
      <c r="N1671" s="94">
        <f>Mitigation_Industry!N360+Mitigation_Industry!N371-Fund_Industry!N123+Fund_Industry!N191</f>
        <v>0</v>
      </c>
      <c r="O1671" s="94">
        <f>Mitigation_Industry!O360+Mitigation_Industry!O371-Fund_Industry!O123+Fund_Industry!O191</f>
        <v>0</v>
      </c>
      <c r="P1671" s="94">
        <f>Mitigation_Industry!P360+Mitigation_Industry!P371-Fund_Industry!P123+Fund_Industry!P191</f>
        <v>0</v>
      </c>
      <c r="Q1671" s="94">
        <f>Mitigation_Industry!Q360+Mitigation_Industry!Q371-Fund_Industry!Q123+Fund_Industry!Q191</f>
        <v>0</v>
      </c>
      <c r="R1671" s="94">
        <f>Mitigation_Industry!R360+Mitigation_Industry!R371-Fund_Industry!R123+Fund_Industry!R191</f>
        <v>0</v>
      </c>
      <c r="S1671" s="94">
        <f>Mitigation_Industry!S360+Mitigation_Industry!S371-Fund_Industry!S123+Fund_Industry!S191</f>
        <v>0</v>
      </c>
      <c r="T1671" s="94">
        <f>Mitigation_Industry!T360+Mitigation_Industry!T371-Fund_Industry!T123+Fund_Industry!T191</f>
        <v>0</v>
      </c>
      <c r="U1671" s="94">
        <f>Mitigation_Industry!U360+Mitigation_Industry!U371-Fund_Industry!U123+Fund_Industry!U191</f>
        <v>0</v>
      </c>
      <c r="V1671" s="94">
        <f>Mitigation_Industry!V360+Mitigation_Industry!V371-Fund_Industry!V123+Fund_Industry!V191</f>
        <v>0</v>
      </c>
      <c r="W1671" s="94">
        <f>Mitigation_Industry!W360+Mitigation_Industry!W371-Fund_Industry!W123+Fund_Industry!W191</f>
        <v>0</v>
      </c>
      <c r="X1671" s="94">
        <f>Mitigation_Industry!X360+Mitigation_Industry!X371-Fund_Industry!X123+Fund_Industry!X191</f>
        <v>0</v>
      </c>
      <c r="Y1671" s="94">
        <f>Mitigation_Industry!Y360+Mitigation_Industry!Y371-Fund_Industry!Y123+Fund_Industry!Y191</f>
        <v>0</v>
      </c>
      <c r="Z1671" s="94">
        <f>Mitigation_Industry!Z360+Mitigation_Industry!Z371-Fund_Industry!Z123+Fund_Industry!Z191</f>
        <v>0</v>
      </c>
      <c r="AA1671" s="94">
        <f>Mitigation_Industry!AA360+Mitigation_Industry!AA371-Fund_Industry!AA123+Fund_Industry!AA191</f>
        <v>0</v>
      </c>
      <c r="AB1671" s="94">
        <f>Mitigation_Industry!AB360+Mitigation_Industry!AB371-Fund_Industry!AB123+Fund_Industry!AB191</f>
        <v>0</v>
      </c>
      <c r="AC1671" s="94">
        <f>Mitigation_Industry!AC360+Mitigation_Industry!AC371-Fund_Industry!AC123+Fund_Industry!AC191</f>
        <v>0</v>
      </c>
      <c r="AD1671" s="94">
        <f>Mitigation_Industry!AD360+Mitigation_Industry!AD371-Fund_Industry!AD123+Fund_Industry!AD191</f>
        <v>0</v>
      </c>
      <c r="AE1671" s="94">
        <f>Mitigation_Industry!AE360+Mitigation_Industry!AE371-Fund_Industry!AE123+Fund_Industry!AE191</f>
        <v>0</v>
      </c>
    </row>
    <row r="1672" spans="1:35" x14ac:dyDescent="0.25">
      <c r="A1672" t="s">
        <v>2898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25">
      <c r="A1673" t="s">
        <v>2899</v>
      </c>
      <c r="D1673">
        <v>1</v>
      </c>
      <c r="E1673" t="s">
        <v>1161</v>
      </c>
      <c r="F1673" s="130">
        <f t="shared" si="363"/>
        <v>0</v>
      </c>
      <c r="I1673">
        <v>0</v>
      </c>
      <c r="L1673" s="130">
        <f>Mitigation_Industry!L250-Fund_Industry!L122</f>
        <v>0</v>
      </c>
      <c r="M1673" s="130">
        <f>Mitigation_Industry!M250-Fund_Industry!M122</f>
        <v>0</v>
      </c>
      <c r="N1673" s="130">
        <f>Mitigation_Industry!N250-Fund_Industry!N122</f>
        <v>0</v>
      </c>
      <c r="O1673" s="130">
        <f>Mitigation_Industry!O250-Fund_Industry!O122</f>
        <v>0</v>
      </c>
      <c r="P1673" s="130">
        <f>Mitigation_Industry!P250-Fund_Industry!P122</f>
        <v>0</v>
      </c>
      <c r="Q1673" s="130">
        <f>Mitigation_Industry!Q250-Fund_Industry!Q122</f>
        <v>0</v>
      </c>
      <c r="R1673" s="130">
        <f>Mitigation_Industry!R250-Fund_Industry!R122</f>
        <v>0</v>
      </c>
      <c r="S1673" s="130">
        <f>Mitigation_Industry!S250-Fund_Industry!S122</f>
        <v>0</v>
      </c>
      <c r="T1673" s="130">
        <f>Mitigation_Industry!T250-Fund_Industry!T122</f>
        <v>0</v>
      </c>
      <c r="U1673" s="130">
        <f>Mitigation_Industry!U250-Fund_Industry!U122</f>
        <v>0</v>
      </c>
      <c r="V1673" s="130">
        <f>Mitigation_Industry!V250-Fund_Industry!V122</f>
        <v>0</v>
      </c>
      <c r="W1673" s="130">
        <f>Mitigation_Industry!W250-Fund_Industry!W122</f>
        <v>0</v>
      </c>
      <c r="X1673" s="130">
        <f>Mitigation_Industry!X250-Fund_Industry!X122</f>
        <v>0</v>
      </c>
      <c r="Y1673" s="130">
        <f>Mitigation_Industry!Y250-Fund_Industry!Y122</f>
        <v>0</v>
      </c>
      <c r="Z1673" s="130">
        <f>Mitigation_Industry!Z250-Fund_Industry!Z122</f>
        <v>0</v>
      </c>
      <c r="AA1673" s="130">
        <f>Mitigation_Industry!AA250-Fund_Industry!AA122</f>
        <v>0</v>
      </c>
      <c r="AB1673" s="130">
        <f>Mitigation_Industry!AB250-Fund_Industry!AB122</f>
        <v>0</v>
      </c>
      <c r="AC1673" s="130">
        <f>Mitigation_Industry!AC250-Fund_Industry!AC122</f>
        <v>0</v>
      </c>
      <c r="AD1673" s="130">
        <f>Mitigation_Industry!AD250-Fund_Industry!AD122</f>
        <v>0</v>
      </c>
      <c r="AE1673" s="130">
        <f>Mitigation_Industry!AE250-Fund_Industry!AE122</f>
        <v>0</v>
      </c>
    </row>
    <row r="1674" spans="1:35" x14ac:dyDescent="0.25">
      <c r="A1674" t="s">
        <v>2896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25">
      <c r="A1675" t="s">
        <v>2897</v>
      </c>
      <c r="D1675">
        <v>2</v>
      </c>
      <c r="E1675" t="s">
        <v>1161</v>
      </c>
      <c r="F1675" s="94">
        <f t="shared" si="363"/>
        <v>0</v>
      </c>
      <c r="I1675">
        <v>0</v>
      </c>
      <c r="L1675" s="94">
        <f>Mitigation_Industry!L759+Mitigation_Industry!L770-Fund_Industry!L330+Fund_Industry!L398</f>
        <v>0</v>
      </c>
      <c r="M1675" s="94">
        <f>Mitigation_Industry!M759+Mitigation_Industry!M770-Fund_Industry!M330+Fund_Industry!M398</f>
        <v>0</v>
      </c>
      <c r="N1675" s="94">
        <f>Mitigation_Industry!N759+Mitigation_Industry!N770-Fund_Industry!N330+Fund_Industry!N398</f>
        <v>0</v>
      </c>
      <c r="O1675" s="94">
        <f>Mitigation_Industry!O759+Mitigation_Industry!O770-Fund_Industry!O330+Fund_Industry!O398</f>
        <v>0</v>
      </c>
      <c r="P1675" s="94">
        <f>Mitigation_Industry!P759+Mitigation_Industry!P770-Fund_Industry!P330+Fund_Industry!P398</f>
        <v>0</v>
      </c>
      <c r="Q1675" s="94">
        <f>Mitigation_Industry!Q759+Mitigation_Industry!Q770-Fund_Industry!Q330+Fund_Industry!Q398</f>
        <v>0</v>
      </c>
      <c r="R1675" s="94">
        <f>Mitigation_Industry!R759+Mitigation_Industry!R770-Fund_Industry!R330+Fund_Industry!R398</f>
        <v>0</v>
      </c>
      <c r="S1675" s="94">
        <f>Mitigation_Industry!S759+Mitigation_Industry!S770-Fund_Industry!S330+Fund_Industry!S398</f>
        <v>0</v>
      </c>
      <c r="T1675" s="94">
        <f>Mitigation_Industry!T759+Mitigation_Industry!T770-Fund_Industry!T330+Fund_Industry!T398</f>
        <v>0</v>
      </c>
      <c r="U1675" s="94">
        <f>Mitigation_Industry!U759+Mitigation_Industry!U770-Fund_Industry!U330+Fund_Industry!U398</f>
        <v>0</v>
      </c>
      <c r="V1675" s="94">
        <f>Mitigation_Industry!V759+Mitigation_Industry!V770-Fund_Industry!V330+Fund_Industry!V398</f>
        <v>0</v>
      </c>
      <c r="W1675" s="94">
        <f>Mitigation_Industry!W759+Mitigation_Industry!W770-Fund_Industry!W330+Fund_Industry!W398</f>
        <v>0</v>
      </c>
      <c r="X1675" s="94">
        <f>Mitigation_Industry!X759+Mitigation_Industry!X770-Fund_Industry!X330+Fund_Industry!X398</f>
        <v>0</v>
      </c>
      <c r="Y1675" s="94">
        <f>Mitigation_Industry!Y759+Mitigation_Industry!Y770-Fund_Industry!Y330+Fund_Industry!Y398</f>
        <v>0</v>
      </c>
      <c r="Z1675" s="94">
        <f>Mitigation_Industry!Z759+Mitigation_Industry!Z770-Fund_Industry!Z330+Fund_Industry!Z398</f>
        <v>0</v>
      </c>
      <c r="AA1675" s="94">
        <f>Mitigation_Industry!AA759+Mitigation_Industry!AA770-Fund_Industry!AA330+Fund_Industry!AA398</f>
        <v>0</v>
      </c>
      <c r="AB1675" s="94">
        <f>Mitigation_Industry!AB759+Mitigation_Industry!AB770-Fund_Industry!AB330+Fund_Industry!AB398</f>
        <v>0</v>
      </c>
      <c r="AC1675" s="94">
        <f>Mitigation_Industry!AC759+Mitigation_Industry!AC770-Fund_Industry!AC330+Fund_Industry!AC398</f>
        <v>0</v>
      </c>
      <c r="AD1675" s="94">
        <f>Mitigation_Industry!AD759+Mitigation_Industry!AD770-Fund_Industry!AD330+Fund_Industry!AD398</f>
        <v>0</v>
      </c>
      <c r="AE1675" s="94">
        <f>Mitigation_Industry!AE759+Mitigation_Industry!AE770-Fund_Industry!AE330+Fund_Industry!AE398</f>
        <v>0</v>
      </c>
    </row>
    <row r="1676" spans="1:35" x14ac:dyDescent="0.25">
      <c r="A1676" t="s">
        <v>2898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25">
      <c r="A1677" t="s">
        <v>2899</v>
      </c>
      <c r="D1677">
        <v>2</v>
      </c>
      <c r="E1677" t="s">
        <v>1161</v>
      </c>
      <c r="F1677" s="130">
        <f t="shared" si="363"/>
        <v>0</v>
      </c>
      <c r="I1677">
        <v>0</v>
      </c>
      <c r="L1677" s="130">
        <f>Mitigation_Industry!L649-Fund_Industry!L329</f>
        <v>0</v>
      </c>
      <c r="M1677" s="130">
        <f>Mitigation_Industry!M649-Fund_Industry!M329</f>
        <v>0</v>
      </c>
      <c r="N1677" s="130">
        <f>Mitigation_Industry!N649-Fund_Industry!N329</f>
        <v>0</v>
      </c>
      <c r="O1677" s="130">
        <f>Mitigation_Industry!O649-Fund_Industry!O329</f>
        <v>0</v>
      </c>
      <c r="P1677" s="130">
        <f>Mitigation_Industry!P649-Fund_Industry!P329</f>
        <v>0</v>
      </c>
      <c r="Q1677" s="130">
        <f>Mitigation_Industry!Q649-Fund_Industry!Q329</f>
        <v>0</v>
      </c>
      <c r="R1677" s="130">
        <f>Mitigation_Industry!R649-Fund_Industry!R329</f>
        <v>0</v>
      </c>
      <c r="S1677" s="130">
        <f>Mitigation_Industry!S649-Fund_Industry!S329</f>
        <v>0</v>
      </c>
      <c r="T1677" s="130">
        <f>Mitigation_Industry!T649-Fund_Industry!T329</f>
        <v>0</v>
      </c>
      <c r="U1677" s="130">
        <f>Mitigation_Industry!U649-Fund_Industry!U329</f>
        <v>0</v>
      </c>
      <c r="V1677" s="130">
        <f>Mitigation_Industry!V649-Fund_Industry!V329</f>
        <v>0</v>
      </c>
      <c r="W1677" s="130">
        <f>Mitigation_Industry!W649-Fund_Industry!W329</f>
        <v>0</v>
      </c>
      <c r="X1677" s="130">
        <f>Mitigation_Industry!X649-Fund_Industry!X329</f>
        <v>0</v>
      </c>
      <c r="Y1677" s="130">
        <f>Mitigation_Industry!Y649-Fund_Industry!Y329</f>
        <v>0</v>
      </c>
      <c r="Z1677" s="130">
        <f>Mitigation_Industry!Z649-Fund_Industry!Z329</f>
        <v>0</v>
      </c>
      <c r="AA1677" s="130">
        <f>Mitigation_Industry!AA649-Fund_Industry!AA329</f>
        <v>0</v>
      </c>
      <c r="AB1677" s="130">
        <f>Mitigation_Industry!AB649-Fund_Industry!AB329</f>
        <v>0</v>
      </c>
      <c r="AC1677" s="130">
        <f>Mitigation_Industry!AC649-Fund_Industry!AC329</f>
        <v>0</v>
      </c>
      <c r="AD1677" s="130">
        <f>Mitigation_Industry!AD649-Fund_Industry!AD329</f>
        <v>0</v>
      </c>
      <c r="AE1677" s="130">
        <f>Mitigation_Industry!AE649-Fund_Industry!AE329</f>
        <v>0</v>
      </c>
    </row>
    <row r="1678" spans="1:35" x14ac:dyDescent="0.25">
      <c r="A1678" t="s">
        <v>2900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25">
      <c r="A1679" t="s">
        <v>2901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25">
      <c r="A1680" t="s">
        <v>2902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25">
      <c r="A1681" t="s">
        <v>2903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25">
      <c r="A1682" t="s">
        <v>2904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25">
      <c r="A1683" t="s">
        <v>2905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25">
      <c r="A1684" t="s">
        <v>2906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25">
      <c r="A1685" t="s">
        <v>2907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25">
      <c r="A1686" t="s">
        <v>2908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25">
      <c r="A1687" t="s">
        <v>2909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25">
      <c r="A1688" t="s">
        <v>2910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25">
      <c r="A1689" t="s">
        <v>2911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25">
      <c r="A1690" t="s">
        <v>2912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25">
      <c r="A1691" t="s">
        <v>2913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25">
      <c r="A1692" t="s">
        <v>2914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25">
      <c r="A1693" t="s">
        <v>2915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25">
      <c r="A1694" t="s">
        <v>2916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25">
      <c r="A1695" t="s">
        <v>2917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25">
      <c r="A1696" t="s">
        <v>2918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25">
      <c r="A1697" t="s">
        <v>2919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25">
      <c r="A1698" t="s">
        <v>2920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25">
      <c r="A1699" t="s">
        <v>2921</v>
      </c>
      <c r="D1699">
        <v>2</v>
      </c>
      <c r="E1699" t="s">
        <v>2164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25">
      <c r="A1700" t="s">
        <v>2922</v>
      </c>
      <c r="D1700">
        <v>2</v>
      </c>
      <c r="E1700" t="s">
        <v>2164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25">
      <c r="A1701" t="s">
        <v>2923</v>
      </c>
      <c r="D1701">
        <v>2</v>
      </c>
      <c r="E1701" t="s">
        <v>2164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25">
      <c r="A1702" t="s">
        <v>2924</v>
      </c>
      <c r="D1702">
        <v>2</v>
      </c>
      <c r="E1702" t="s">
        <v>2164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25">
      <c r="A1703" t="s">
        <v>2925</v>
      </c>
      <c r="D1703">
        <v>2</v>
      </c>
      <c r="E1703" t="s">
        <v>2164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25">
      <c r="A1704" t="s">
        <v>2926</v>
      </c>
      <c r="D1704">
        <v>2</v>
      </c>
      <c r="E1704" t="s">
        <v>2164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25">
      <c r="A1705" t="s">
        <v>2927</v>
      </c>
      <c r="D1705">
        <v>2</v>
      </c>
      <c r="E1705" t="s">
        <v>2447</v>
      </c>
      <c r="F1705" s="130">
        <f t="shared" ref="F1705:F1721" si="365">MAX(MAX(L1705:AE1705),-MIN(L1705:AE1705))</f>
        <v>0</v>
      </c>
      <c r="L1705" s="130">
        <f>Fund_Industry!L329</f>
        <v>0</v>
      </c>
      <c r="M1705" s="130">
        <f>Fund_Industry!M329</f>
        <v>0</v>
      </c>
      <c r="N1705" s="130">
        <f>Fund_Industry!N329</f>
        <v>0</v>
      </c>
      <c r="O1705" s="130">
        <f>Fund_Industry!O329</f>
        <v>0</v>
      </c>
      <c r="P1705" s="130">
        <f>Fund_Industry!P329</f>
        <v>0</v>
      </c>
      <c r="Q1705" s="130">
        <f>Fund_Industry!Q329</f>
        <v>0</v>
      </c>
      <c r="R1705" s="130">
        <f>Fund_Industry!R329</f>
        <v>0</v>
      </c>
      <c r="S1705" s="130">
        <f>Fund_Industry!S329</f>
        <v>0</v>
      </c>
      <c r="T1705" s="130">
        <f>Fund_Industry!T329</f>
        <v>0</v>
      </c>
      <c r="U1705" s="130">
        <f>Fund_Industry!U329</f>
        <v>0</v>
      </c>
      <c r="V1705" s="130">
        <f>Fund_Industry!V329</f>
        <v>0</v>
      </c>
      <c r="W1705" s="130">
        <f>Fund_Industry!W329</f>
        <v>0</v>
      </c>
      <c r="X1705" s="130">
        <f>Fund_Industry!X329</f>
        <v>0</v>
      </c>
      <c r="Y1705" s="130">
        <f>Fund_Industry!Y329</f>
        <v>0</v>
      </c>
      <c r="Z1705" s="130">
        <f>Fund_Industry!Z329</f>
        <v>0</v>
      </c>
      <c r="AA1705" s="130">
        <f>Fund_Industry!AA329</f>
        <v>0</v>
      </c>
      <c r="AB1705" s="130">
        <f>Fund_Industry!AB329</f>
        <v>0</v>
      </c>
      <c r="AC1705" s="130">
        <f>Fund_Industry!AC329</f>
        <v>0</v>
      </c>
      <c r="AD1705" s="130">
        <f>Fund_Industry!AD329</f>
        <v>0</v>
      </c>
      <c r="AE1705" s="130">
        <f>Fund_Industry!AE329</f>
        <v>0</v>
      </c>
    </row>
    <row r="1706" spans="1:31" x14ac:dyDescent="0.25">
      <c r="A1706" t="s">
        <v>2928</v>
      </c>
      <c r="D1706">
        <v>2</v>
      </c>
      <c r="E1706" t="s">
        <v>2447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25">
      <c r="A1707" t="s">
        <v>2929</v>
      </c>
      <c r="D1707">
        <v>2</v>
      </c>
      <c r="E1707" t="s">
        <v>2447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25">
      <c r="A1708" t="s">
        <v>2930</v>
      </c>
      <c r="D1708">
        <v>2</v>
      </c>
      <c r="E1708" t="s">
        <v>2447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25">
      <c r="A1709" t="s">
        <v>2931</v>
      </c>
      <c r="D1709">
        <v>2</v>
      </c>
      <c r="E1709" t="s">
        <v>2447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25">
      <c r="A1710" t="s">
        <v>2932</v>
      </c>
      <c r="D1710">
        <v>2</v>
      </c>
      <c r="E1710" t="s">
        <v>2447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25">
      <c r="A1711" t="s">
        <v>2933</v>
      </c>
      <c r="D1711">
        <v>2</v>
      </c>
      <c r="E1711" t="s">
        <v>2447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25">
      <c r="A1712" t="s">
        <v>2934</v>
      </c>
      <c r="D1712">
        <v>2</v>
      </c>
      <c r="E1712" t="s">
        <v>2447</v>
      </c>
      <c r="F1712" s="131">
        <f t="shared" si="365"/>
        <v>0</v>
      </c>
      <c r="L1712" s="131">
        <f>Fund_Industry!L404</f>
        <v>0</v>
      </c>
      <c r="M1712" s="131">
        <f>Fund_Industry!M404</f>
        <v>0</v>
      </c>
      <c r="N1712" s="131">
        <f>Fund_Industry!N404</f>
        <v>0</v>
      </c>
      <c r="O1712" s="131">
        <f>Fund_Industry!O404</f>
        <v>0</v>
      </c>
      <c r="P1712" s="131">
        <f>Fund_Industry!P404</f>
        <v>0</v>
      </c>
      <c r="Q1712" s="131">
        <f>Fund_Industry!Q404</f>
        <v>0</v>
      </c>
      <c r="R1712" s="131">
        <f>Fund_Industry!R404</f>
        <v>0</v>
      </c>
      <c r="S1712" s="131">
        <f>Fund_Industry!S404</f>
        <v>0</v>
      </c>
      <c r="T1712" s="131">
        <f>Fund_Industry!T404</f>
        <v>0</v>
      </c>
      <c r="U1712" s="131">
        <f>Fund_Industry!U404</f>
        <v>0</v>
      </c>
      <c r="V1712" s="131">
        <f>Fund_Industry!V404</f>
        <v>0</v>
      </c>
      <c r="W1712" s="131">
        <f>Fund_Industry!W404</f>
        <v>0</v>
      </c>
      <c r="X1712" s="131">
        <f>Fund_Industry!X404</f>
        <v>0</v>
      </c>
      <c r="Y1712" s="131">
        <f>Fund_Industry!Y404</f>
        <v>0</v>
      </c>
      <c r="Z1712" s="131">
        <f>Fund_Industry!Z404</f>
        <v>0</v>
      </c>
      <c r="AA1712" s="131">
        <f>Fund_Industry!AA404</f>
        <v>0</v>
      </c>
      <c r="AB1712" s="131">
        <f>Fund_Industry!AB404</f>
        <v>0</v>
      </c>
      <c r="AC1712" s="131">
        <f>Fund_Industry!AC404</f>
        <v>0</v>
      </c>
      <c r="AD1712" s="131">
        <f>Fund_Industry!AD404</f>
        <v>0</v>
      </c>
      <c r="AE1712" s="131">
        <f>Fund_Industry!AE404</f>
        <v>0</v>
      </c>
    </row>
    <row r="1713" spans="1:31" x14ac:dyDescent="0.25">
      <c r="A1713" t="s">
        <v>2935</v>
      </c>
      <c r="D1713">
        <v>2</v>
      </c>
      <c r="E1713" t="s">
        <v>2447</v>
      </c>
      <c r="F1713" s="130">
        <f t="shared" si="365"/>
        <v>0</v>
      </c>
      <c r="L1713" s="130">
        <f>Fund_Industry!L407</f>
        <v>0</v>
      </c>
      <c r="M1713" s="130">
        <f>Fund_Industry!M407</f>
        <v>0</v>
      </c>
      <c r="N1713" s="130">
        <f>Fund_Industry!N407</f>
        <v>0</v>
      </c>
      <c r="O1713" s="130">
        <f>Fund_Industry!O407</f>
        <v>0</v>
      </c>
      <c r="P1713" s="130">
        <f>Fund_Industry!P407</f>
        <v>0</v>
      </c>
      <c r="Q1713" s="130">
        <f>Fund_Industry!Q407</f>
        <v>0</v>
      </c>
      <c r="R1713" s="130">
        <f>Fund_Industry!R407</f>
        <v>0</v>
      </c>
      <c r="S1713" s="130">
        <f>Fund_Industry!S407</f>
        <v>0</v>
      </c>
      <c r="T1713" s="130">
        <f>Fund_Industry!T407</f>
        <v>0</v>
      </c>
      <c r="U1713" s="130">
        <f>Fund_Industry!U407</f>
        <v>0</v>
      </c>
      <c r="V1713" s="130">
        <f>Fund_Industry!V407</f>
        <v>0</v>
      </c>
      <c r="W1713" s="130">
        <f>Fund_Industry!W407</f>
        <v>0</v>
      </c>
      <c r="X1713" s="130">
        <f>Fund_Industry!X407</f>
        <v>0</v>
      </c>
      <c r="Y1713" s="130">
        <f>Fund_Industry!Y407</f>
        <v>0</v>
      </c>
      <c r="Z1713" s="130">
        <f>Fund_Industry!Z407</f>
        <v>0</v>
      </c>
      <c r="AA1713" s="130">
        <f>Fund_Industry!AA407</f>
        <v>0</v>
      </c>
      <c r="AB1713" s="130">
        <f>Fund_Industry!AB407</f>
        <v>0</v>
      </c>
      <c r="AC1713" s="130">
        <f>Fund_Industry!AC407</f>
        <v>0</v>
      </c>
      <c r="AD1713" s="130">
        <f>Fund_Industry!AD407</f>
        <v>0</v>
      </c>
      <c r="AE1713" s="130">
        <f>Fund_Industry!AE407</f>
        <v>0</v>
      </c>
    </row>
    <row r="1714" spans="1:31" x14ac:dyDescent="0.25">
      <c r="A1714" t="s">
        <v>2936</v>
      </c>
      <c r="D1714">
        <v>2</v>
      </c>
      <c r="E1714" t="s">
        <v>2447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25">
      <c r="A1715" t="s">
        <v>2937</v>
      </c>
      <c r="D1715">
        <v>2</v>
      </c>
      <c r="E1715" t="s">
        <v>2447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25">
      <c r="A1716" t="s">
        <v>2938</v>
      </c>
      <c r="D1716">
        <v>2</v>
      </c>
      <c r="E1716" t="s">
        <v>2447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25">
      <c r="A1717" t="s">
        <v>2939</v>
      </c>
      <c r="D1717">
        <v>2</v>
      </c>
      <c r="E1717" t="s">
        <v>2447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25">
      <c r="A1718" t="s">
        <v>2940</v>
      </c>
      <c r="D1718">
        <v>2</v>
      </c>
      <c r="E1718" t="s">
        <v>2447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25">
      <c r="A1719" t="s">
        <v>2941</v>
      </c>
      <c r="D1719">
        <v>2</v>
      </c>
      <c r="E1719" t="s">
        <v>2447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25">
      <c r="A1720" t="s">
        <v>2942</v>
      </c>
      <c r="D1720">
        <v>2</v>
      </c>
      <c r="E1720" t="s">
        <v>2447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25">
      <c r="A1721" t="s">
        <v>2943</v>
      </c>
      <c r="D1721">
        <v>2</v>
      </c>
      <c r="E1721" t="s">
        <v>2447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25">
      <c r="A1723" t="s">
        <v>2944</v>
      </c>
    </row>
    <row r="1725" spans="1:31" x14ac:dyDescent="0.25">
      <c r="A1725" s="52" t="s">
        <v>3870</v>
      </c>
    </row>
    <row r="1726" spans="1:31" x14ac:dyDescent="0.25">
      <c r="A1726" t="s">
        <v>2945</v>
      </c>
      <c r="B1726" t="s">
        <v>110</v>
      </c>
      <c r="C1726" t="s">
        <v>43</v>
      </c>
      <c r="D1726">
        <v>1</v>
      </c>
      <c r="E1726" t="s">
        <v>2946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25">
      <c r="A1727" t="s">
        <v>2947</v>
      </c>
      <c r="B1727" t="s">
        <v>110</v>
      </c>
      <c r="C1727" t="s">
        <v>113</v>
      </c>
      <c r="D1727">
        <v>1</v>
      </c>
      <c r="E1727" t="s">
        <v>2946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25">
      <c r="A1728" t="s">
        <v>2948</v>
      </c>
      <c r="B1728" t="s">
        <v>110</v>
      </c>
      <c r="C1728" t="s">
        <v>115</v>
      </c>
      <c r="D1728">
        <v>1</v>
      </c>
      <c r="E1728" t="s">
        <v>2946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25">
      <c r="A1729" t="s">
        <v>2949</v>
      </c>
      <c r="B1729" t="s">
        <v>110</v>
      </c>
      <c r="C1729" t="s">
        <v>117</v>
      </c>
      <c r="D1729">
        <v>1</v>
      </c>
      <c r="E1729" t="s">
        <v>2946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25">
      <c r="A1730" t="s">
        <v>2950</v>
      </c>
      <c r="B1730" t="s">
        <v>110</v>
      </c>
      <c r="C1730" t="s">
        <v>43</v>
      </c>
      <c r="D1730">
        <v>2</v>
      </c>
      <c r="E1730" t="s">
        <v>2951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25">
      <c r="A1731" t="s">
        <v>2952</v>
      </c>
      <c r="B1731" t="s">
        <v>110</v>
      </c>
      <c r="C1731" t="s">
        <v>113</v>
      </c>
      <c r="D1731">
        <v>2</v>
      </c>
      <c r="E1731" t="s">
        <v>2951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25">
      <c r="A1732" t="s">
        <v>2953</v>
      </c>
      <c r="B1732" t="s">
        <v>110</v>
      </c>
      <c r="C1732" t="s">
        <v>115</v>
      </c>
      <c r="D1732">
        <v>2</v>
      </c>
      <c r="E1732" t="s">
        <v>2951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25">
      <c r="A1733" t="s">
        <v>2954</v>
      </c>
      <c r="B1733" t="s">
        <v>110</v>
      </c>
      <c r="C1733" t="s">
        <v>117</v>
      </c>
      <c r="D1733">
        <v>2</v>
      </c>
      <c r="E1733" t="s">
        <v>2951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25">
      <c r="A1734" t="s">
        <v>2955</v>
      </c>
      <c r="B1734" t="s">
        <v>2468</v>
      </c>
      <c r="C1734" t="s">
        <v>43</v>
      </c>
      <c r="D1734">
        <v>2</v>
      </c>
      <c r="E1734" t="s">
        <v>2956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25">
      <c r="A1735" t="s">
        <v>2957</v>
      </c>
      <c r="B1735" t="s">
        <v>2468</v>
      </c>
      <c r="C1735" t="s">
        <v>113</v>
      </c>
      <c r="D1735">
        <v>2</v>
      </c>
      <c r="E1735" t="s">
        <v>2956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25">
      <c r="A1736" t="s">
        <v>2958</v>
      </c>
      <c r="B1736" t="s">
        <v>2468</v>
      </c>
      <c r="C1736" t="s">
        <v>115</v>
      </c>
      <c r="D1736">
        <v>2</v>
      </c>
      <c r="E1736" t="s">
        <v>2956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25">
      <c r="A1737" t="s">
        <v>2959</v>
      </c>
      <c r="B1737" t="s">
        <v>2468</v>
      </c>
      <c r="C1737" t="s">
        <v>117</v>
      </c>
      <c r="D1737">
        <v>2</v>
      </c>
      <c r="E1737" t="s">
        <v>2956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25">
      <c r="A1738" t="s">
        <v>2960</v>
      </c>
      <c r="B1738" t="s">
        <v>110</v>
      </c>
      <c r="C1738" t="s">
        <v>2672</v>
      </c>
      <c r="D1738">
        <v>2</v>
      </c>
      <c r="E1738" t="s">
        <v>2961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25">
      <c r="A1739" t="s">
        <v>2962</v>
      </c>
      <c r="B1739" t="s">
        <v>110</v>
      </c>
      <c r="C1739" t="s">
        <v>2672</v>
      </c>
      <c r="D1739">
        <v>2</v>
      </c>
      <c r="E1739" t="s">
        <v>2963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25">
      <c r="A1740" t="s">
        <v>2964</v>
      </c>
      <c r="B1740" t="s">
        <v>110</v>
      </c>
      <c r="C1740" t="s">
        <v>2672</v>
      </c>
      <c r="D1740">
        <v>2</v>
      </c>
      <c r="E1740" t="s">
        <v>2965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25">
      <c r="A1741" t="s">
        <v>2966</v>
      </c>
      <c r="B1741" t="s">
        <v>110</v>
      </c>
      <c r="C1741" t="s">
        <v>2672</v>
      </c>
      <c r="D1741">
        <v>2</v>
      </c>
      <c r="E1741" t="s">
        <v>2967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25">
      <c r="A1742" t="s">
        <v>2968</v>
      </c>
      <c r="B1742" t="s">
        <v>110</v>
      </c>
      <c r="C1742" t="s">
        <v>2672</v>
      </c>
      <c r="D1742">
        <v>2</v>
      </c>
      <c r="E1742" t="s">
        <v>2969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25">
      <c r="A1743" t="s">
        <v>2970</v>
      </c>
      <c r="B1743" t="s">
        <v>2971</v>
      </c>
      <c r="C1743" t="s">
        <v>2672</v>
      </c>
      <c r="D1743">
        <v>2</v>
      </c>
      <c r="E1743" t="s">
        <v>2972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25">
      <c r="A1744" t="s">
        <v>2973</v>
      </c>
      <c r="B1744" t="s">
        <v>110</v>
      </c>
      <c r="C1744" t="s">
        <v>43</v>
      </c>
      <c r="D1744">
        <v>2</v>
      </c>
      <c r="E1744" t="s">
        <v>2974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25">
      <c r="A1745" t="s">
        <v>2975</v>
      </c>
      <c r="B1745" t="s">
        <v>110</v>
      </c>
      <c r="C1745" t="s">
        <v>113</v>
      </c>
      <c r="D1745">
        <v>2</v>
      </c>
      <c r="E1745" t="s">
        <v>2974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25">
      <c r="A1746" t="s">
        <v>2976</v>
      </c>
      <c r="B1746" t="s">
        <v>110</v>
      </c>
      <c r="C1746" t="s">
        <v>115</v>
      </c>
      <c r="D1746">
        <v>2</v>
      </c>
      <c r="E1746" t="s">
        <v>2974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25">
      <c r="A1747" t="s">
        <v>2977</v>
      </c>
      <c r="B1747" t="s">
        <v>110</v>
      </c>
      <c r="C1747" t="s">
        <v>117</v>
      </c>
      <c r="D1747">
        <v>2</v>
      </c>
      <c r="E1747" t="s">
        <v>2974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25">
      <c r="A1748" t="s">
        <v>2978</v>
      </c>
      <c r="B1748" t="s">
        <v>2468</v>
      </c>
      <c r="C1748" t="s">
        <v>43</v>
      </c>
      <c r="D1748">
        <v>2</v>
      </c>
      <c r="E1748" t="s">
        <v>2979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25">
      <c r="A1749" t="s">
        <v>2980</v>
      </c>
      <c r="B1749" t="s">
        <v>2468</v>
      </c>
      <c r="C1749" t="s">
        <v>113</v>
      </c>
      <c r="D1749">
        <v>2</v>
      </c>
      <c r="E1749" t="s">
        <v>2979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25">
      <c r="A1750" t="s">
        <v>2981</v>
      </c>
      <c r="B1750" t="s">
        <v>2468</v>
      </c>
      <c r="C1750" t="s">
        <v>115</v>
      </c>
      <c r="D1750">
        <v>2</v>
      </c>
      <c r="E1750" t="s">
        <v>2979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25">
      <c r="A1751" t="s">
        <v>2982</v>
      </c>
      <c r="B1751" t="s">
        <v>2468</v>
      </c>
      <c r="C1751" t="s">
        <v>117</v>
      </c>
      <c r="D1751">
        <v>2</v>
      </c>
      <c r="E1751" t="s">
        <v>2979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25">
      <c r="A1752" t="s">
        <v>2983</v>
      </c>
      <c r="B1752" t="s">
        <v>110</v>
      </c>
      <c r="C1752" t="s">
        <v>2672</v>
      </c>
      <c r="D1752">
        <v>2</v>
      </c>
      <c r="E1752" t="s">
        <v>2984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55.498966627980217</v>
      </c>
      <c r="S1752" s="43">
        <v>57.344299622000342</v>
      </c>
      <c r="T1752" s="43">
        <v>59.252485618337971</v>
      </c>
      <c r="U1752" s="43">
        <v>61.225721634284064</v>
      </c>
      <c r="V1752" s="43">
        <v>63.266283795690093</v>
      </c>
      <c r="W1752" s="43">
        <v>65.376530286239756</v>
      </c>
      <c r="X1752" s="43">
        <v>67.558904411190497</v>
      </c>
      <c r="Y1752" s="43">
        <v>69.815937780231337</v>
      </c>
      <c r="Z1752" s="43">
        <v>72.150253614301036</v>
      </c>
      <c r="AA1752" s="43">
        <v>74.564570181417395</v>
      </c>
      <c r="AB1752" s="43">
        <v>77.061704366783189</v>
      </c>
      <c r="AC1752" s="43">
        <v>79.644575382661259</v>
      </c>
      <c r="AD1752" s="43">
        <v>82.316208623745041</v>
      </c>
      <c r="AE1752" s="43">
        <v>85.07973967399748</v>
      </c>
    </row>
    <row r="1753" spans="1:31" x14ac:dyDescent="0.25">
      <c r="A1753" t="s">
        <v>2985</v>
      </c>
      <c r="B1753" t="s">
        <v>110</v>
      </c>
      <c r="C1753" t="s">
        <v>2672</v>
      </c>
      <c r="D1753">
        <v>2</v>
      </c>
      <c r="E1753" t="s">
        <v>2986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1109.9793325596045</v>
      </c>
      <c r="S1753" s="43">
        <v>1146.8859924400067</v>
      </c>
      <c r="T1753" s="43">
        <v>1185.0497123667594</v>
      </c>
      <c r="U1753" s="43">
        <v>1224.5144326856812</v>
      </c>
      <c r="V1753" s="43">
        <v>1265.3256759138019</v>
      </c>
      <c r="W1753" s="43">
        <v>1307.5306057247954</v>
      </c>
      <c r="X1753" s="43">
        <v>1351.1780882238097</v>
      </c>
      <c r="Y1753" s="43">
        <v>1396.3187556046269</v>
      </c>
      <c r="Z1753" s="43">
        <v>1443.0050722860208</v>
      </c>
      <c r="AA1753" s="43">
        <v>1491.291403628348</v>
      </c>
      <c r="AB1753" s="43">
        <v>1541.2340873356634</v>
      </c>
      <c r="AC1753" s="43">
        <v>1592.8915076532251</v>
      </c>
      <c r="AD1753" s="43">
        <v>1646.3241724749007</v>
      </c>
      <c r="AE1753" s="43">
        <v>1701.5947934799499</v>
      </c>
    </row>
    <row r="1754" spans="1:31" x14ac:dyDescent="0.25">
      <c r="A1754" t="s">
        <v>2987</v>
      </c>
      <c r="B1754" t="s">
        <v>110</v>
      </c>
      <c r="C1754" t="s">
        <v>2672</v>
      </c>
      <c r="D1754">
        <v>2</v>
      </c>
      <c r="E1754" t="s">
        <v>2988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25">
      <c r="A1755" t="s">
        <v>2989</v>
      </c>
      <c r="B1755" t="s">
        <v>110</v>
      </c>
      <c r="C1755" t="s">
        <v>2672</v>
      </c>
      <c r="D1755">
        <v>2</v>
      </c>
      <c r="E1755" t="s">
        <v>2990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1109.9793325596045</v>
      </c>
      <c r="S1755" s="43">
        <v>1146.8859924400067</v>
      </c>
      <c r="T1755" s="43">
        <v>1185.0497123667594</v>
      </c>
      <c r="U1755" s="43">
        <v>1224.5144326856812</v>
      </c>
      <c r="V1755" s="43">
        <v>1265.3256759138019</v>
      </c>
      <c r="W1755" s="43">
        <v>1307.5306057247954</v>
      </c>
      <c r="X1755" s="43">
        <v>1351.1780882238097</v>
      </c>
      <c r="Y1755" s="43">
        <v>1396.3187556046269</v>
      </c>
      <c r="Z1755" s="43">
        <v>1443.0050722860208</v>
      </c>
      <c r="AA1755" s="43">
        <v>1491.291403628348</v>
      </c>
      <c r="AB1755" s="43">
        <v>1541.2340873356634</v>
      </c>
      <c r="AC1755" s="43">
        <v>1592.8915076532251</v>
      </c>
      <c r="AD1755" s="43">
        <v>1646.3241724749007</v>
      </c>
      <c r="AE1755" s="43">
        <v>1701.5947934799499</v>
      </c>
    </row>
    <row r="1756" spans="1:31" x14ac:dyDescent="0.25">
      <c r="A1756" t="s">
        <v>2991</v>
      </c>
      <c r="B1756" t="s">
        <v>110</v>
      </c>
      <c r="C1756" t="s">
        <v>2672</v>
      </c>
      <c r="D1756">
        <v>2</v>
      </c>
      <c r="E1756" t="s">
        <v>2992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25">
      <c r="A1757" t="s">
        <v>2993</v>
      </c>
      <c r="B1757" t="s">
        <v>2971</v>
      </c>
      <c r="C1757" t="s">
        <v>2672</v>
      </c>
      <c r="D1757">
        <v>2</v>
      </c>
      <c r="E1757" t="s">
        <v>2972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25">
      <c r="A1758" t="s">
        <v>2994</v>
      </c>
      <c r="B1758" t="s">
        <v>110</v>
      </c>
      <c r="C1758" t="s">
        <v>43</v>
      </c>
      <c r="D1758">
        <v>2</v>
      </c>
      <c r="E1758" t="s">
        <v>2995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25">
      <c r="A1759" t="s">
        <v>2996</v>
      </c>
      <c r="B1759" t="s">
        <v>110</v>
      </c>
      <c r="C1759" t="s">
        <v>113</v>
      </c>
      <c r="D1759">
        <v>2</v>
      </c>
      <c r="E1759" t="s">
        <v>2995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25">
      <c r="A1760" t="s">
        <v>2997</v>
      </c>
      <c r="B1760" t="s">
        <v>110</v>
      </c>
      <c r="C1760" t="s">
        <v>115</v>
      </c>
      <c r="D1760">
        <v>2</v>
      </c>
      <c r="E1760" t="s">
        <v>2995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25">
      <c r="A1761" t="s">
        <v>2998</v>
      </c>
      <c r="B1761" t="s">
        <v>110</v>
      </c>
      <c r="C1761" t="s">
        <v>117</v>
      </c>
      <c r="D1761">
        <v>2</v>
      </c>
      <c r="E1761" t="s">
        <v>2995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25">
      <c r="A1762" t="s">
        <v>2999</v>
      </c>
      <c r="B1762" t="s">
        <v>2468</v>
      </c>
      <c r="C1762" t="s">
        <v>43</v>
      </c>
      <c r="D1762">
        <v>2</v>
      </c>
      <c r="E1762" t="s">
        <v>3000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25">
      <c r="A1763" t="s">
        <v>3001</v>
      </c>
      <c r="B1763" t="s">
        <v>2468</v>
      </c>
      <c r="C1763" t="s">
        <v>113</v>
      </c>
      <c r="D1763">
        <v>2</v>
      </c>
      <c r="E1763" t="s">
        <v>3000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25">
      <c r="A1764" t="s">
        <v>3002</v>
      </c>
      <c r="B1764" t="s">
        <v>2468</v>
      </c>
      <c r="C1764" t="s">
        <v>115</v>
      </c>
      <c r="D1764">
        <v>2</v>
      </c>
      <c r="E1764" t="s">
        <v>3000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25">
      <c r="A1765" t="s">
        <v>3003</v>
      </c>
      <c r="B1765" t="s">
        <v>2468</v>
      </c>
      <c r="C1765" t="s">
        <v>117</v>
      </c>
      <c r="D1765">
        <v>2</v>
      </c>
      <c r="E1765" t="s">
        <v>3000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25">
      <c r="A1766" t="s">
        <v>3004</v>
      </c>
      <c r="B1766" t="s">
        <v>110</v>
      </c>
      <c r="C1766" t="s">
        <v>2672</v>
      </c>
      <c r="D1766">
        <v>2</v>
      </c>
      <c r="E1766" t="s">
        <v>3005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58.052046804412399</v>
      </c>
      <c r="S1766" s="43">
        <v>59.981663886418374</v>
      </c>
      <c r="T1766" s="43">
        <v>61.976953878451894</v>
      </c>
      <c r="U1766" s="43">
        <v>64.040209716013848</v>
      </c>
      <c r="V1766" s="43">
        <v>66.173806779231825</v>
      </c>
      <c r="W1766" s="43">
        <v>68.380205961780092</v>
      </c>
      <c r="X1766" s="43">
        <v>70.661956858741362</v>
      </c>
      <c r="Y1766" s="43">
        <v>73.021701078233178</v>
      </c>
      <c r="Z1766" s="43">
        <v>75.462175681825926</v>
      </c>
      <c r="AA1766" s="43">
        <v>77.986216758995084</v>
      </c>
      <c r="AB1766" s="43">
        <v>80.596763141071733</v>
      </c>
      <c r="AC1766" s="43">
        <v>83.296860260391952</v>
      </c>
      <c r="AD1766" s="43">
        <v>86.089664160587077</v>
      </c>
      <c r="AE1766" s="43">
        <v>88.978445664214178</v>
      </c>
    </row>
    <row r="1767" spans="1:31" x14ac:dyDescent="0.25">
      <c r="A1767" t="s">
        <v>3006</v>
      </c>
      <c r="B1767" t="s">
        <v>110</v>
      </c>
      <c r="C1767" t="s">
        <v>2672</v>
      </c>
      <c r="D1767">
        <v>2</v>
      </c>
      <c r="E1767" t="s">
        <v>3007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512.55055938369424</v>
      </c>
      <c r="S1767" s="43">
        <v>529.38831283210675</v>
      </c>
      <c r="T1767" s="43">
        <v>546.79857727259889</v>
      </c>
      <c r="U1767" s="43">
        <v>564.80143995849437</v>
      </c>
      <c r="V1767" s="43">
        <v>583.41771392954251</v>
      </c>
      <c r="W1767" s="43">
        <v>602.6689649807164</v>
      </c>
      <c r="X1767" s="43">
        <v>622.57753966048381</v>
      </c>
      <c r="Y1767" s="43">
        <v>643.16659433887753</v>
      </c>
      <c r="Z1767" s="43">
        <v>664.46012538730315</v>
      </c>
      <c r="AA1767" s="43">
        <v>686.48300051372462</v>
      </c>
      <c r="AB1767" s="43">
        <v>709.26099129859881</v>
      </c>
      <c r="AC1767" s="43">
        <v>732.82080697878018</v>
      </c>
      <c r="AD1767" s="43">
        <v>757.19012952849937</v>
      </c>
      <c r="AE1767" s="43">
        <v>782.39765008851248</v>
      </c>
    </row>
    <row r="1768" spans="1:31" x14ac:dyDescent="0.25">
      <c r="A1768" t="s">
        <v>3008</v>
      </c>
      <c r="B1768" t="s">
        <v>110</v>
      </c>
      <c r="C1768" t="s">
        <v>2672</v>
      </c>
      <c r="D1768">
        <v>2</v>
      </c>
      <c r="E1768" t="s">
        <v>3009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25">
      <c r="A1769" t="s">
        <v>3010</v>
      </c>
      <c r="B1769" t="s">
        <v>110</v>
      </c>
      <c r="C1769" t="s">
        <v>2672</v>
      </c>
      <c r="D1769">
        <v>2</v>
      </c>
      <c r="E1769" t="s">
        <v>3011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512.55055938369424</v>
      </c>
      <c r="S1769" s="43">
        <v>529.38831283210675</v>
      </c>
      <c r="T1769" s="43">
        <v>546.79857727259889</v>
      </c>
      <c r="U1769" s="43">
        <v>564.80143995849437</v>
      </c>
      <c r="V1769" s="43">
        <v>583.41771392954251</v>
      </c>
      <c r="W1769" s="43">
        <v>602.6689649807164</v>
      </c>
      <c r="X1769" s="43">
        <v>622.57753966048381</v>
      </c>
      <c r="Y1769" s="43">
        <v>643.16659433887753</v>
      </c>
      <c r="Z1769" s="43">
        <v>664.46012538730315</v>
      </c>
      <c r="AA1769" s="43">
        <v>686.48300051372462</v>
      </c>
      <c r="AB1769" s="43">
        <v>709.26099129859881</v>
      </c>
      <c r="AC1769" s="43">
        <v>732.82080697878018</v>
      </c>
      <c r="AD1769" s="43">
        <v>757.19012952849937</v>
      </c>
      <c r="AE1769" s="43">
        <v>782.39765008851248</v>
      </c>
    </row>
    <row r="1770" spans="1:31" x14ac:dyDescent="0.25">
      <c r="A1770" t="s">
        <v>3012</v>
      </c>
      <c r="B1770" t="s">
        <v>110</v>
      </c>
      <c r="C1770" t="s">
        <v>2672</v>
      </c>
      <c r="D1770">
        <v>2</v>
      </c>
      <c r="E1770" t="s">
        <v>3013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25">
      <c r="A1771" t="s">
        <v>3014</v>
      </c>
      <c r="B1771" t="s">
        <v>2971</v>
      </c>
      <c r="C1771" t="s">
        <v>2672</v>
      </c>
      <c r="D1771">
        <v>2</v>
      </c>
      <c r="E1771" t="s">
        <v>2972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25">
      <c r="A1772" t="s">
        <v>3015</v>
      </c>
      <c r="B1772" t="s">
        <v>110</v>
      </c>
      <c r="C1772" t="s">
        <v>43</v>
      </c>
      <c r="D1772">
        <v>2</v>
      </c>
      <c r="E1772" t="s">
        <v>3016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25">
      <c r="A1773" t="s">
        <v>3017</v>
      </c>
      <c r="B1773" t="s">
        <v>110</v>
      </c>
      <c r="C1773" t="s">
        <v>113</v>
      </c>
      <c r="D1773">
        <v>2</v>
      </c>
      <c r="E1773" t="s">
        <v>3016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25">
      <c r="A1774" t="s">
        <v>3018</v>
      </c>
      <c r="B1774" t="s">
        <v>110</v>
      </c>
      <c r="C1774" t="s">
        <v>115</v>
      </c>
      <c r="D1774">
        <v>2</v>
      </c>
      <c r="E1774" t="s">
        <v>3016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25">
      <c r="A1775" t="s">
        <v>3019</v>
      </c>
      <c r="B1775" t="s">
        <v>110</v>
      </c>
      <c r="C1775" t="s">
        <v>117</v>
      </c>
      <c r="D1775">
        <v>2</v>
      </c>
      <c r="E1775" t="s">
        <v>3016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25">
      <c r="A1776" t="s">
        <v>3020</v>
      </c>
      <c r="B1776" t="s">
        <v>2468</v>
      </c>
      <c r="C1776" t="s">
        <v>43</v>
      </c>
      <c r="D1776">
        <v>2</v>
      </c>
      <c r="E1776" t="s">
        <v>3021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25">
      <c r="A1777" t="s">
        <v>3022</v>
      </c>
      <c r="B1777" t="s">
        <v>2468</v>
      </c>
      <c r="C1777" t="s">
        <v>113</v>
      </c>
      <c r="D1777">
        <v>2</v>
      </c>
      <c r="E1777" t="s">
        <v>3021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25">
      <c r="A1778" t="s">
        <v>3023</v>
      </c>
      <c r="B1778" t="s">
        <v>2468</v>
      </c>
      <c r="C1778" t="s">
        <v>115</v>
      </c>
      <c r="D1778">
        <v>2</v>
      </c>
      <c r="E1778" t="s">
        <v>3021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25">
      <c r="A1779" t="s">
        <v>3024</v>
      </c>
      <c r="B1779" t="s">
        <v>2468</v>
      </c>
      <c r="C1779" t="s">
        <v>117</v>
      </c>
      <c r="D1779">
        <v>2</v>
      </c>
      <c r="E1779" t="s">
        <v>3021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25">
      <c r="A1780" t="s">
        <v>3025</v>
      </c>
      <c r="B1780" t="s">
        <v>110</v>
      </c>
      <c r="C1780" t="s">
        <v>2672</v>
      </c>
      <c r="D1780">
        <v>2</v>
      </c>
      <c r="E1780" t="s">
        <v>3026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58.052046804412399</v>
      </c>
      <c r="S1780" s="43">
        <v>59.981663886418374</v>
      </c>
      <c r="T1780" s="43">
        <v>61.976953878451894</v>
      </c>
      <c r="U1780" s="43">
        <v>64.040209716013848</v>
      </c>
      <c r="V1780" s="43">
        <v>66.173806779231825</v>
      </c>
      <c r="W1780" s="43">
        <v>68.380205961780092</v>
      </c>
      <c r="X1780" s="43">
        <v>70.661956858741362</v>
      </c>
      <c r="Y1780" s="43">
        <v>73.021701078233178</v>
      </c>
      <c r="Z1780" s="43">
        <v>75.462175681825926</v>
      </c>
      <c r="AA1780" s="43">
        <v>77.986216758995084</v>
      </c>
      <c r="AB1780" s="43">
        <v>80.596763141071733</v>
      </c>
      <c r="AC1780" s="43">
        <v>83.296860260391952</v>
      </c>
      <c r="AD1780" s="43">
        <v>86.089664160587077</v>
      </c>
      <c r="AE1780" s="43">
        <v>88.978445664214178</v>
      </c>
    </row>
    <row r="1781" spans="1:31" x14ac:dyDescent="0.25">
      <c r="A1781" t="s">
        <v>3027</v>
      </c>
      <c r="B1781" t="s">
        <v>110</v>
      </c>
      <c r="C1781" t="s">
        <v>2672</v>
      </c>
      <c r="D1781">
        <v>2</v>
      </c>
      <c r="E1781" t="s">
        <v>3028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512.55055938369424</v>
      </c>
      <c r="S1781" s="43">
        <v>529.38831283210675</v>
      </c>
      <c r="T1781" s="43">
        <v>546.79857727259889</v>
      </c>
      <c r="U1781" s="43">
        <v>564.80143995849437</v>
      </c>
      <c r="V1781" s="43">
        <v>583.41771392954251</v>
      </c>
      <c r="W1781" s="43">
        <v>602.6689649807164</v>
      </c>
      <c r="X1781" s="43">
        <v>622.57753966048381</v>
      </c>
      <c r="Y1781" s="43">
        <v>643.16659433887753</v>
      </c>
      <c r="Z1781" s="43">
        <v>664.46012538730315</v>
      </c>
      <c r="AA1781" s="43">
        <v>686.48300051372462</v>
      </c>
      <c r="AB1781" s="43">
        <v>709.26099129859881</v>
      </c>
      <c r="AC1781" s="43">
        <v>732.82080697878018</v>
      </c>
      <c r="AD1781" s="43">
        <v>757.19012952849937</v>
      </c>
      <c r="AE1781" s="43">
        <v>782.39765008851248</v>
      </c>
    </row>
    <row r="1782" spans="1:31" x14ac:dyDescent="0.25">
      <c r="A1782" t="s">
        <v>3029</v>
      </c>
      <c r="B1782" t="s">
        <v>110</v>
      </c>
      <c r="C1782" t="s">
        <v>2672</v>
      </c>
      <c r="D1782">
        <v>2</v>
      </c>
      <c r="E1782" t="s">
        <v>3030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25">
      <c r="A1783" t="s">
        <v>3031</v>
      </c>
      <c r="B1783" t="s">
        <v>110</v>
      </c>
      <c r="C1783" t="s">
        <v>2672</v>
      </c>
      <c r="D1783">
        <v>2</v>
      </c>
      <c r="E1783" t="s">
        <v>3032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512.55055938369424</v>
      </c>
      <c r="S1783" s="43">
        <v>529.38831283210675</v>
      </c>
      <c r="T1783" s="43">
        <v>546.79857727259889</v>
      </c>
      <c r="U1783" s="43">
        <v>564.80143995849437</v>
      </c>
      <c r="V1783" s="43">
        <v>583.41771392954251</v>
      </c>
      <c r="W1783" s="43">
        <v>602.6689649807164</v>
      </c>
      <c r="X1783" s="43">
        <v>622.57753966048381</v>
      </c>
      <c r="Y1783" s="43">
        <v>643.16659433887753</v>
      </c>
      <c r="Z1783" s="43">
        <v>664.46012538730315</v>
      </c>
      <c r="AA1783" s="43">
        <v>686.48300051372462</v>
      </c>
      <c r="AB1783" s="43">
        <v>709.26099129859881</v>
      </c>
      <c r="AC1783" s="43">
        <v>732.82080697878018</v>
      </c>
      <c r="AD1783" s="43">
        <v>757.19012952849937</v>
      </c>
      <c r="AE1783" s="43">
        <v>782.39765008851248</v>
      </c>
    </row>
    <row r="1784" spans="1:31" x14ac:dyDescent="0.25">
      <c r="A1784" t="s">
        <v>3033</v>
      </c>
      <c r="B1784" t="s">
        <v>110</v>
      </c>
      <c r="C1784" t="s">
        <v>2672</v>
      </c>
      <c r="D1784">
        <v>2</v>
      </c>
      <c r="E1784" t="s">
        <v>3034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25">
      <c r="A1785" t="s">
        <v>3035</v>
      </c>
      <c r="B1785" t="s">
        <v>2971</v>
      </c>
      <c r="C1785" t="s">
        <v>2672</v>
      </c>
      <c r="D1785">
        <v>2</v>
      </c>
      <c r="E1785" t="s">
        <v>2972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25">
      <c r="A1786" t="s">
        <v>3036</v>
      </c>
      <c r="B1786" t="s">
        <v>110</v>
      </c>
      <c r="C1786" t="s">
        <v>43</v>
      </c>
      <c r="D1786">
        <v>2</v>
      </c>
      <c r="E1786" t="s">
        <v>3037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25">
      <c r="A1787" t="s">
        <v>3038</v>
      </c>
      <c r="B1787" t="s">
        <v>110</v>
      </c>
      <c r="C1787" t="s">
        <v>113</v>
      </c>
      <c r="D1787">
        <v>2</v>
      </c>
      <c r="E1787" t="s">
        <v>3037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25">
      <c r="A1788" t="s">
        <v>3039</v>
      </c>
      <c r="B1788" t="s">
        <v>110</v>
      </c>
      <c r="C1788" t="s">
        <v>115</v>
      </c>
      <c r="D1788">
        <v>2</v>
      </c>
      <c r="E1788" t="s">
        <v>3037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25">
      <c r="A1789" t="s">
        <v>3040</v>
      </c>
      <c r="B1789" t="s">
        <v>110</v>
      </c>
      <c r="C1789" t="s">
        <v>117</v>
      </c>
      <c r="D1789">
        <v>2</v>
      </c>
      <c r="E1789" t="s">
        <v>3037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25">
      <c r="A1790" t="s">
        <v>3041</v>
      </c>
      <c r="B1790" t="s">
        <v>2468</v>
      </c>
      <c r="C1790" t="s">
        <v>43</v>
      </c>
      <c r="D1790">
        <v>2</v>
      </c>
      <c r="E1790" t="s">
        <v>3042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25">
      <c r="A1791" t="s">
        <v>3043</v>
      </c>
      <c r="B1791" t="s">
        <v>2468</v>
      </c>
      <c r="C1791" t="s">
        <v>113</v>
      </c>
      <c r="D1791">
        <v>2</v>
      </c>
      <c r="E1791" t="s">
        <v>3042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25">
      <c r="A1792" t="s">
        <v>3044</v>
      </c>
      <c r="B1792" t="s">
        <v>2468</v>
      </c>
      <c r="C1792" t="s">
        <v>115</v>
      </c>
      <c r="D1792">
        <v>2</v>
      </c>
      <c r="E1792" t="s">
        <v>3042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25">
      <c r="A1793" t="s">
        <v>3045</v>
      </c>
      <c r="B1793" t="s">
        <v>2468</v>
      </c>
      <c r="C1793" t="s">
        <v>117</v>
      </c>
      <c r="D1793">
        <v>2</v>
      </c>
      <c r="E1793" t="s">
        <v>3042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25">
      <c r="A1794" t="s">
        <v>3046</v>
      </c>
      <c r="B1794" t="s">
        <v>110</v>
      </c>
      <c r="C1794" t="s">
        <v>2672</v>
      </c>
      <c r="D1794">
        <v>2</v>
      </c>
      <c r="E1794" t="s">
        <v>3047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57.697358687569228</v>
      </c>
      <c r="S1794" s="43">
        <v>58.455597364265138</v>
      </c>
      <c r="T1794" s="43">
        <v>59.252485618337971</v>
      </c>
      <c r="U1794" s="43">
        <v>60.087724169632672</v>
      </c>
      <c r="V1794" s="43">
        <v>60.961211000820349</v>
      </c>
      <c r="W1794" s="43">
        <v>61.873012702917251</v>
      </c>
      <c r="X1794" s="43">
        <v>62.8233422862113</v>
      </c>
      <c r="Y1794" s="43">
        <v>63.812541861591825</v>
      </c>
      <c r="Z1794" s="43">
        <v>64.841069042315567</v>
      </c>
      <c r="AA1794" s="43">
        <v>65.909486224959466</v>
      </c>
      <c r="AB1794" s="43">
        <v>67.018452125950432</v>
      </c>
      <c r="AC1794" s="43">
        <v>68.168715105788337</v>
      </c>
      <c r="AD1794" s="43">
        <v>69.361107926029234</v>
      </c>
      <c r="AE1794" s="43">
        <v>70.596543667064509</v>
      </c>
    </row>
    <row r="1795" spans="1:31" x14ac:dyDescent="0.25">
      <c r="A1795" t="s">
        <v>3048</v>
      </c>
      <c r="B1795" t="s">
        <v>110</v>
      </c>
      <c r="C1795" t="s">
        <v>2672</v>
      </c>
      <c r="D1795">
        <v>2</v>
      </c>
      <c r="E1795" t="s">
        <v>3049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288.48679343784619</v>
      </c>
      <c r="S1795" s="43">
        <v>730.69496705331414</v>
      </c>
      <c r="T1795" s="43">
        <v>1185.0497123667594</v>
      </c>
      <c r="U1795" s="43">
        <v>1652.4124146648985</v>
      </c>
      <c r="V1795" s="43">
        <v>2133.6423850287119</v>
      </c>
      <c r="W1795" s="43">
        <v>2629.6030398739831</v>
      </c>
      <c r="X1795" s="43">
        <v>3141.167114310565</v>
      </c>
      <c r="Y1795" s="43">
        <v>3669.2211570415298</v>
      </c>
      <c r="Z1795" s="43">
        <v>4214.6694877505106</v>
      </c>
      <c r="AA1795" s="43">
        <v>4778.4377513095606</v>
      </c>
      <c r="AB1795" s="43">
        <v>5361.4761700760346</v>
      </c>
      <c r="AC1795" s="43">
        <v>5964.7625717564788</v>
      </c>
      <c r="AD1795" s="43">
        <v>6589.3052529727775</v>
      </c>
      <c r="AE1795" s="43">
        <v>7236.145725874112</v>
      </c>
    </row>
    <row r="1796" spans="1:31" x14ac:dyDescent="0.25">
      <c r="A1796" t="s">
        <v>3050</v>
      </c>
      <c r="B1796" t="s">
        <v>110</v>
      </c>
      <c r="C1796" t="s">
        <v>2672</v>
      </c>
      <c r="D1796">
        <v>2</v>
      </c>
      <c r="E1796" t="s">
        <v>3051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25">
      <c r="A1797" t="s">
        <v>3052</v>
      </c>
      <c r="B1797" t="s">
        <v>110</v>
      </c>
      <c r="C1797" t="s">
        <v>2672</v>
      </c>
      <c r="D1797">
        <v>2</v>
      </c>
      <c r="E1797" t="s">
        <v>3053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288.48679343784619</v>
      </c>
      <c r="S1797" s="43">
        <v>730.69496705331414</v>
      </c>
      <c r="T1797" s="43">
        <v>1185.0497123667594</v>
      </c>
      <c r="U1797" s="43">
        <v>1652.4124146648985</v>
      </c>
      <c r="V1797" s="43">
        <v>2133.6423850287119</v>
      </c>
      <c r="W1797" s="43">
        <v>2629.6030398739831</v>
      </c>
      <c r="X1797" s="43">
        <v>3141.167114310565</v>
      </c>
      <c r="Y1797" s="43">
        <v>3669.2211570415298</v>
      </c>
      <c r="Z1797" s="43">
        <v>4214.6694877505106</v>
      </c>
      <c r="AA1797" s="43">
        <v>4778.4377513095606</v>
      </c>
      <c r="AB1797" s="43">
        <v>5361.4761700760346</v>
      </c>
      <c r="AC1797" s="43">
        <v>5964.7625717564788</v>
      </c>
      <c r="AD1797" s="43">
        <v>6589.3052529727775</v>
      </c>
      <c r="AE1797" s="43">
        <v>7236.145725874112</v>
      </c>
    </row>
    <row r="1798" spans="1:31" x14ac:dyDescent="0.25">
      <c r="A1798" t="s">
        <v>3054</v>
      </c>
      <c r="B1798" t="s">
        <v>110</v>
      </c>
      <c r="C1798" t="s">
        <v>2672</v>
      </c>
      <c r="D1798">
        <v>2</v>
      </c>
      <c r="E1798" t="s">
        <v>3055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25">
      <c r="A1799" t="s">
        <v>3056</v>
      </c>
      <c r="B1799" t="s">
        <v>2971</v>
      </c>
      <c r="C1799" t="s">
        <v>2672</v>
      </c>
      <c r="D1799">
        <v>2</v>
      </c>
      <c r="E1799" t="s">
        <v>2972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25">
      <c r="A1800" t="s">
        <v>3057</v>
      </c>
      <c r="B1800" t="s">
        <v>110</v>
      </c>
      <c r="C1800" t="s">
        <v>43</v>
      </c>
      <c r="D1800">
        <v>2</v>
      </c>
      <c r="E1800" t="s">
        <v>3058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25">
      <c r="A1801" t="s">
        <v>3059</v>
      </c>
      <c r="B1801" t="s">
        <v>110</v>
      </c>
      <c r="C1801" t="s">
        <v>113</v>
      </c>
      <c r="D1801">
        <v>2</v>
      </c>
      <c r="E1801" t="s">
        <v>3058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25">
      <c r="A1802" t="s">
        <v>3060</v>
      </c>
      <c r="B1802" t="s">
        <v>110</v>
      </c>
      <c r="C1802" t="s">
        <v>115</v>
      </c>
      <c r="D1802">
        <v>2</v>
      </c>
      <c r="E1802" t="s">
        <v>3058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25">
      <c r="A1803" t="s">
        <v>3061</v>
      </c>
      <c r="B1803" t="s">
        <v>110</v>
      </c>
      <c r="C1803" t="s">
        <v>117</v>
      </c>
      <c r="D1803">
        <v>2</v>
      </c>
      <c r="E1803" t="s">
        <v>3058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25">
      <c r="A1804" t="s">
        <v>3062</v>
      </c>
      <c r="B1804" t="s">
        <v>2468</v>
      </c>
      <c r="C1804" t="s">
        <v>43</v>
      </c>
      <c r="D1804">
        <v>2</v>
      </c>
      <c r="E1804" t="s">
        <v>3063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25">
      <c r="A1805" t="s">
        <v>3064</v>
      </c>
      <c r="B1805" t="s">
        <v>2468</v>
      </c>
      <c r="C1805" t="s">
        <v>113</v>
      </c>
      <c r="D1805">
        <v>2</v>
      </c>
      <c r="E1805" t="s">
        <v>3063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25">
      <c r="A1806" t="s">
        <v>3065</v>
      </c>
      <c r="B1806" t="s">
        <v>2468</v>
      </c>
      <c r="C1806" t="s">
        <v>115</v>
      </c>
      <c r="D1806">
        <v>2</v>
      </c>
      <c r="E1806" t="s">
        <v>3063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25">
      <c r="A1807" t="s">
        <v>3066</v>
      </c>
      <c r="B1807" t="s">
        <v>2468</v>
      </c>
      <c r="C1807" t="s">
        <v>117</v>
      </c>
      <c r="D1807">
        <v>2</v>
      </c>
      <c r="E1807" t="s">
        <v>3063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25">
      <c r="A1808" t="s">
        <v>3067</v>
      </c>
      <c r="B1808" t="s">
        <v>110</v>
      </c>
      <c r="C1808" t="s">
        <v>2672</v>
      </c>
      <c r="D1808">
        <v>2</v>
      </c>
      <c r="E1808" t="s">
        <v>3068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25">
      <c r="A1809" t="s">
        <v>3069</v>
      </c>
      <c r="B1809" t="s">
        <v>110</v>
      </c>
      <c r="C1809" t="s">
        <v>2672</v>
      </c>
      <c r="D1809">
        <v>2</v>
      </c>
      <c r="E1809" t="s">
        <v>3070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25">
      <c r="A1810" t="s">
        <v>3071</v>
      </c>
      <c r="B1810" t="s">
        <v>110</v>
      </c>
      <c r="C1810" t="s">
        <v>2672</v>
      </c>
      <c r="D1810">
        <v>2</v>
      </c>
      <c r="E1810" t="s">
        <v>3072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25">
      <c r="A1811" t="s">
        <v>3073</v>
      </c>
      <c r="B1811" t="s">
        <v>110</v>
      </c>
      <c r="C1811" t="s">
        <v>2672</v>
      </c>
      <c r="D1811">
        <v>2</v>
      </c>
      <c r="E1811" t="s">
        <v>3074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25">
      <c r="A1812" t="s">
        <v>3075</v>
      </c>
      <c r="B1812" t="s">
        <v>110</v>
      </c>
      <c r="C1812" t="s">
        <v>2672</v>
      </c>
      <c r="D1812">
        <v>2</v>
      </c>
      <c r="E1812" t="s">
        <v>3076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25">
      <c r="A1813" t="s">
        <v>3077</v>
      </c>
      <c r="B1813" t="s">
        <v>2971</v>
      </c>
      <c r="C1813" t="s">
        <v>2672</v>
      </c>
      <c r="D1813">
        <v>2</v>
      </c>
      <c r="E1813" t="s">
        <v>2972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25">
      <c r="A1814" t="s">
        <v>3078</v>
      </c>
      <c r="B1814" t="s">
        <v>110</v>
      </c>
      <c r="C1814" t="s">
        <v>43</v>
      </c>
      <c r="D1814">
        <v>2</v>
      </c>
      <c r="E1814" t="s">
        <v>3079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25">
      <c r="A1815" t="s">
        <v>3080</v>
      </c>
      <c r="B1815" t="s">
        <v>110</v>
      </c>
      <c r="C1815" t="s">
        <v>113</v>
      </c>
      <c r="D1815">
        <v>2</v>
      </c>
      <c r="E1815" t="s">
        <v>3079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25">
      <c r="A1816" t="s">
        <v>3081</v>
      </c>
      <c r="B1816" t="s">
        <v>110</v>
      </c>
      <c r="C1816" t="s">
        <v>115</v>
      </c>
      <c r="D1816">
        <v>2</v>
      </c>
      <c r="E1816" t="s">
        <v>3079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25">
      <c r="A1817" t="s">
        <v>3082</v>
      </c>
      <c r="B1817" t="s">
        <v>110</v>
      </c>
      <c r="C1817" t="s">
        <v>117</v>
      </c>
      <c r="D1817">
        <v>2</v>
      </c>
      <c r="E1817" t="s">
        <v>3079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25">
      <c r="A1818" t="s">
        <v>3083</v>
      </c>
      <c r="B1818" t="s">
        <v>2468</v>
      </c>
      <c r="C1818" t="s">
        <v>43</v>
      </c>
      <c r="D1818">
        <v>2</v>
      </c>
      <c r="E1818" t="s">
        <v>3084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25">
      <c r="A1819" t="s">
        <v>3085</v>
      </c>
      <c r="B1819" t="s">
        <v>2468</v>
      </c>
      <c r="C1819" t="s">
        <v>113</v>
      </c>
      <c r="D1819">
        <v>2</v>
      </c>
      <c r="E1819" t="s">
        <v>3084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25">
      <c r="A1820" t="s">
        <v>3086</v>
      </c>
      <c r="B1820" t="s">
        <v>2468</v>
      </c>
      <c r="C1820" t="s">
        <v>115</v>
      </c>
      <c r="D1820">
        <v>2</v>
      </c>
      <c r="E1820" t="s">
        <v>3084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25">
      <c r="A1821" t="s">
        <v>3087</v>
      </c>
      <c r="B1821" t="s">
        <v>2468</v>
      </c>
      <c r="C1821" t="s">
        <v>117</v>
      </c>
      <c r="D1821">
        <v>2</v>
      </c>
      <c r="E1821" t="s">
        <v>3084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25">
      <c r="A1822" t="s">
        <v>3088</v>
      </c>
      <c r="B1822" t="s">
        <v>110</v>
      </c>
      <c r="C1822" t="s">
        <v>2672</v>
      </c>
      <c r="D1822">
        <v>2</v>
      </c>
      <c r="E1822" t="s">
        <v>3089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57.697358687569228</v>
      </c>
      <c r="S1822" s="43">
        <v>58.455597364265138</v>
      </c>
      <c r="T1822" s="43">
        <v>59.252485618337971</v>
      </c>
      <c r="U1822" s="43">
        <v>60.087724169632672</v>
      </c>
      <c r="V1822" s="43">
        <v>60.961211000820349</v>
      </c>
      <c r="W1822" s="43">
        <v>61.873012702917251</v>
      </c>
      <c r="X1822" s="43">
        <v>62.8233422862113</v>
      </c>
      <c r="Y1822" s="43">
        <v>63.812541861591825</v>
      </c>
      <c r="Z1822" s="43">
        <v>64.841069042315567</v>
      </c>
      <c r="AA1822" s="43">
        <v>65.909486224959466</v>
      </c>
      <c r="AB1822" s="43">
        <v>67.018452125950432</v>
      </c>
      <c r="AC1822" s="43">
        <v>68.168715105788337</v>
      </c>
      <c r="AD1822" s="43">
        <v>69.361107926029234</v>
      </c>
      <c r="AE1822" s="43">
        <v>70.596543667064509</v>
      </c>
    </row>
    <row r="1823" spans="1:31" x14ac:dyDescent="0.25">
      <c r="A1823" t="s">
        <v>3090</v>
      </c>
      <c r="B1823" t="s">
        <v>110</v>
      </c>
      <c r="C1823" t="s">
        <v>2672</v>
      </c>
      <c r="D1823">
        <v>2</v>
      </c>
      <c r="E1823" t="s">
        <v>3091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288.48679343784619</v>
      </c>
      <c r="S1823" s="43">
        <v>730.69496705331414</v>
      </c>
      <c r="T1823" s="43">
        <v>1185.0497123667594</v>
      </c>
      <c r="U1823" s="43">
        <v>1652.4124146648985</v>
      </c>
      <c r="V1823" s="43">
        <v>2133.6423850287119</v>
      </c>
      <c r="W1823" s="43">
        <v>2629.6030398739831</v>
      </c>
      <c r="X1823" s="43">
        <v>3141.167114310565</v>
      </c>
      <c r="Y1823" s="43">
        <v>3669.2211570415298</v>
      </c>
      <c r="Z1823" s="43">
        <v>4214.6694877505106</v>
      </c>
      <c r="AA1823" s="43">
        <v>4778.4377513095606</v>
      </c>
      <c r="AB1823" s="43">
        <v>5361.4761700760346</v>
      </c>
      <c r="AC1823" s="43">
        <v>5964.7625717564788</v>
      </c>
      <c r="AD1823" s="43">
        <v>6589.3052529727775</v>
      </c>
      <c r="AE1823" s="43">
        <v>7236.145725874112</v>
      </c>
    </row>
    <row r="1824" spans="1:31" x14ac:dyDescent="0.25">
      <c r="A1824" t="s">
        <v>3092</v>
      </c>
      <c r="B1824" t="s">
        <v>110</v>
      </c>
      <c r="C1824" t="s">
        <v>2672</v>
      </c>
      <c r="D1824">
        <v>2</v>
      </c>
      <c r="E1824" t="s">
        <v>3093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25">
      <c r="A1825" t="s">
        <v>3094</v>
      </c>
      <c r="B1825" t="s">
        <v>110</v>
      </c>
      <c r="C1825" t="s">
        <v>2672</v>
      </c>
      <c r="D1825">
        <v>2</v>
      </c>
      <c r="E1825" t="s">
        <v>3095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288.48679343784619</v>
      </c>
      <c r="S1825" s="43">
        <v>730.69496705331414</v>
      </c>
      <c r="T1825" s="43">
        <v>1185.0497123667594</v>
      </c>
      <c r="U1825" s="43">
        <v>1652.4124146648985</v>
      </c>
      <c r="V1825" s="43">
        <v>2133.6423850287119</v>
      </c>
      <c r="W1825" s="43">
        <v>2629.6030398739831</v>
      </c>
      <c r="X1825" s="43">
        <v>3141.167114310565</v>
      </c>
      <c r="Y1825" s="43">
        <v>3669.2211570415298</v>
      </c>
      <c r="Z1825" s="43">
        <v>4214.6694877505106</v>
      </c>
      <c r="AA1825" s="43">
        <v>4778.4377513095606</v>
      </c>
      <c r="AB1825" s="43">
        <v>5361.4761700760346</v>
      </c>
      <c r="AC1825" s="43">
        <v>5964.7625717564788</v>
      </c>
      <c r="AD1825" s="43">
        <v>6589.3052529727775</v>
      </c>
      <c r="AE1825" s="43">
        <v>7236.145725874112</v>
      </c>
    </row>
    <row r="1826" spans="1:35" x14ac:dyDescent="0.25">
      <c r="A1826" t="s">
        <v>3096</v>
      </c>
      <c r="B1826" t="s">
        <v>110</v>
      </c>
      <c r="C1826" t="s">
        <v>2672</v>
      </c>
      <c r="D1826">
        <v>2</v>
      </c>
      <c r="E1826" t="s">
        <v>3097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25">
      <c r="A1827" t="s">
        <v>3098</v>
      </c>
      <c r="B1827" t="s">
        <v>2971</v>
      </c>
      <c r="C1827" t="s">
        <v>2672</v>
      </c>
      <c r="D1827">
        <v>2</v>
      </c>
      <c r="E1827" t="s">
        <v>2972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25">
      <c r="A1830" s="52" t="s">
        <v>3231</v>
      </c>
    </row>
    <row r="1831" spans="1:35" x14ac:dyDescent="0.25">
      <c r="A1831" t="s">
        <v>3240</v>
      </c>
      <c r="D1831" s="89">
        <f>MAX(F1834:F1844)</f>
        <v>0</v>
      </c>
    </row>
    <row r="1833" spans="1:35" x14ac:dyDescent="0.2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1957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25">
      <c r="A1834" t="s">
        <v>3232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25">
      <c r="A1835" t="s">
        <v>3233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25">
      <c r="A1836" t="s">
        <v>3234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25">
      <c r="A1837" t="s">
        <v>3235</v>
      </c>
      <c r="D1837">
        <v>1</v>
      </c>
      <c r="E1837" t="s">
        <v>2164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25">
      <c r="A1838" t="s">
        <v>3236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25">
      <c r="A1839" t="s">
        <v>3234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25">
      <c r="A1840" t="s">
        <v>3235</v>
      </c>
      <c r="D1840">
        <v>2</v>
      </c>
      <c r="E1840" t="s">
        <v>2164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25">
      <c r="A1841" t="s">
        <v>3236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25">
      <c r="A1842" t="s">
        <v>3237</v>
      </c>
      <c r="D1842">
        <v>1</v>
      </c>
      <c r="E1842" t="s">
        <v>2164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25">
      <c r="A1843" t="s">
        <v>3238</v>
      </c>
      <c r="D1843">
        <v>1</v>
      </c>
      <c r="E1843" t="s">
        <v>2164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25">
      <c r="A1844" t="s">
        <v>3239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25">
      <c r="A1846" s="52" t="s">
        <v>3241</v>
      </c>
    </row>
    <row r="1847" spans="1:31" x14ac:dyDescent="0.25">
      <c r="A1847" t="s">
        <v>3242</v>
      </c>
      <c r="D1847">
        <v>1</v>
      </c>
      <c r="E1847" t="s">
        <v>2164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25">
      <c r="A1848" t="s">
        <v>3243</v>
      </c>
      <c r="D1848">
        <v>1</v>
      </c>
      <c r="E1848" t="s">
        <v>2164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25">
      <c r="A1849" t="s">
        <v>3244</v>
      </c>
      <c r="D1849">
        <v>1</v>
      </c>
      <c r="E1849" t="s">
        <v>2164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25">
      <c r="A1850" t="s">
        <v>3245</v>
      </c>
      <c r="D1850">
        <v>1</v>
      </c>
      <c r="E1850" t="s">
        <v>2164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25">
      <c r="A1851" t="s">
        <v>3242</v>
      </c>
      <c r="D1851">
        <v>2</v>
      </c>
      <c r="E1851" t="s">
        <v>2164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25">
      <c r="A1852" t="s">
        <v>3243</v>
      </c>
      <c r="D1852">
        <v>2</v>
      </c>
      <c r="E1852" t="s">
        <v>2164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25">
      <c r="A1853" t="s">
        <v>3244</v>
      </c>
      <c r="D1853">
        <v>2</v>
      </c>
      <c r="E1853" t="s">
        <v>2164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25">
      <c r="A1854" t="s">
        <v>3245</v>
      </c>
      <c r="D1854">
        <v>2</v>
      </c>
      <c r="E1854" t="s">
        <v>2164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25">
      <c r="A1855" t="s">
        <v>3246</v>
      </c>
      <c r="D1855">
        <v>2</v>
      </c>
      <c r="E1855" t="s">
        <v>3247</v>
      </c>
      <c r="F1855">
        <f>MAX(MAX(L1855:AE1855),-MIN(L1855:AE1855))</f>
        <v>13.613511081620189</v>
      </c>
      <c r="L1855" s="145">
        <f>IPPU_Industry!L44</f>
        <v>0</v>
      </c>
      <c r="M1855" s="145">
        <f>IPPU_Industry!M44</f>
        <v>0</v>
      </c>
      <c r="N1855" s="145">
        <f>IPPU_Industry!N44</f>
        <v>0</v>
      </c>
      <c r="O1855" s="145">
        <f>IPPU_Industry!O44</f>
        <v>0</v>
      </c>
      <c r="P1855" s="145">
        <f>IPPU_Industry!P44</f>
        <v>0</v>
      </c>
      <c r="Q1855" s="145">
        <f>IPPU_Industry!Q44</f>
        <v>1.4090398681312308</v>
      </c>
      <c r="R1855" s="145">
        <f>IPPU_Industry!R44</f>
        <v>2.6673965235448378</v>
      </c>
      <c r="S1855" s="145">
        <f>IPPU_Industry!S44</f>
        <v>3.8181630055287599</v>
      </c>
      <c r="T1855" s="145">
        <f>IPPU_Industry!T44</f>
        <v>4.8795095359972152</v>
      </c>
      <c r="U1855" s="145">
        <f>IPPU_Industry!U44</f>
        <v>5.8802184098541375</v>
      </c>
      <c r="V1855" s="145">
        <f>IPPU_Industry!V44</f>
        <v>6.80772680646227</v>
      </c>
      <c r="W1855" s="145">
        <f>IPPU_Industry!W44</f>
        <v>7.6897753620378069</v>
      </c>
      <c r="X1855" s="145">
        <f>IPPU_Industry!X44</f>
        <v>8.5333569344649902</v>
      </c>
      <c r="Y1855" s="145">
        <f>IPPU_Industry!Y44</f>
        <v>9.3427525163357785</v>
      </c>
      <c r="Z1855" s="145">
        <f>IPPU_Industry!Z44</f>
        <v>10.11919326251622</v>
      </c>
      <c r="AA1855" s="145">
        <f>IPPU_Industry!AA44</f>
        <v>10.865381102071524</v>
      </c>
      <c r="AB1855" s="145">
        <f>IPPU_Industry!AB44</f>
        <v>11.584058705353883</v>
      </c>
      <c r="AC1855" s="145">
        <f>IPPU_Industry!AC44</f>
        <v>12.27945098871038</v>
      </c>
      <c r="AD1855" s="145">
        <f>IPPU_Industry!AD44</f>
        <v>12.955061337753065</v>
      </c>
      <c r="AE1855" s="145">
        <f>IPPU_Industry!AE44</f>
        <v>13.613511081620189</v>
      </c>
    </row>
    <row r="1857" spans="1:35" x14ac:dyDescent="0.25">
      <c r="A1857" t="s">
        <v>3248</v>
      </c>
    </row>
    <row r="1860" spans="1:35" x14ac:dyDescent="0.25">
      <c r="A1860" s="52" t="s">
        <v>3577</v>
      </c>
    </row>
    <row r="1861" spans="1:35" x14ac:dyDescent="0.25">
      <c r="A1861" t="s">
        <v>3583</v>
      </c>
      <c r="D1861" s="89">
        <f>MAX(F1864:F1869)</f>
        <v>4.2000000000001592E-2</v>
      </c>
    </row>
    <row r="1863" spans="1:35" x14ac:dyDescent="0.2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1957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25">
      <c r="A1864" t="s">
        <v>3578</v>
      </c>
      <c r="D1864" t="s">
        <v>77</v>
      </c>
      <c r="E1864" t="s">
        <v>1161</v>
      </c>
      <c r="F1864">
        <f>MAX(MAX(L1864:AE1864),-MIN(L1864:AE1864))</f>
        <v>4.2000000000001592E-2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1.300000000000523E-2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1.2000000000000455E-2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1.2000000000000455E-2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3.7000000000034561E-2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4.2000000000001592E-2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3.3000000000015461E-2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3.3000000000015461E-2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3.2000000000039108E-2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3.3000000000015461E-2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3.2000000000039108E-2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3.2000000000039108E-2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3.1000000000062755E-2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3.0999999999991701E-2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2.9999999999972715E-2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2.8999999999996362E-2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2.9000000000010573E-2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2.8999999999996362E-2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2.9000000000053205E-2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2.8999999999996362E-2</v>
      </c>
    </row>
    <row r="1865" spans="1:35" x14ac:dyDescent="0.25">
      <c r="A1865" t="s">
        <v>3579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25">
      <c r="A1866" t="s">
        <v>3661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25">
      <c r="A1867" t="s">
        <v>3580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25">
      <c r="A1868" t="s">
        <v>3581</v>
      </c>
      <c r="D1868">
        <v>2</v>
      </c>
      <c r="E1868" t="s">
        <v>2164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25">
      <c r="A1869" t="s">
        <v>3582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25">
      <c r="A1871" s="52" t="s">
        <v>3667</v>
      </c>
    </row>
    <row r="1872" spans="1:35" x14ac:dyDescent="0.25">
      <c r="A1872" t="s">
        <v>3584</v>
      </c>
      <c r="D1872">
        <v>2</v>
      </c>
      <c r="E1872" t="s">
        <v>3247</v>
      </c>
      <c r="F1872" s="130">
        <f>Table2_Industry!S103</f>
        <v>4.0667011444571344</v>
      </c>
    </row>
    <row r="1873" spans="1:35" x14ac:dyDescent="0.25">
      <c r="A1873" t="s">
        <v>3585</v>
      </c>
      <c r="D1873">
        <v>2</v>
      </c>
      <c r="E1873" t="s">
        <v>3247</v>
      </c>
      <c r="F1873" s="130">
        <f>Table2_Industry!S104</f>
        <v>3.0928842913409156</v>
      </c>
    </row>
    <row r="1874" spans="1:35" x14ac:dyDescent="0.25">
      <c r="A1874" t="s">
        <v>3586</v>
      </c>
      <c r="D1874">
        <v>2</v>
      </c>
      <c r="E1874" t="s">
        <v>3247</v>
      </c>
      <c r="F1874" s="130">
        <f>Table2_Industry!S105</f>
        <v>3.3789777764650957</v>
      </c>
    </row>
    <row r="1875" spans="1:35" x14ac:dyDescent="0.25">
      <c r="A1875" t="s">
        <v>3587</v>
      </c>
      <c r="D1875">
        <v>2</v>
      </c>
      <c r="E1875" t="s">
        <v>3247</v>
      </c>
      <c r="F1875" s="130">
        <f>Table2_Industry!S106</f>
        <v>5.6601570678840218</v>
      </c>
    </row>
    <row r="1876" spans="1:35" x14ac:dyDescent="0.25">
      <c r="A1876" t="s">
        <v>3588</v>
      </c>
      <c r="D1876">
        <v>2</v>
      </c>
      <c r="E1876" t="s">
        <v>3247</v>
      </c>
      <c r="F1876" s="130">
        <f>Table2_Industry!S107</f>
        <v>2.1819899396107978</v>
      </c>
    </row>
    <row r="1877" spans="1:35" x14ac:dyDescent="0.25">
      <c r="A1877" t="s">
        <v>3589</v>
      </c>
      <c r="D1877">
        <v>2</v>
      </c>
      <c r="E1877" t="s">
        <v>3247</v>
      </c>
      <c r="F1877" s="130">
        <f>Table2_Industry!S108</f>
        <v>-0.99994087058449566</v>
      </c>
    </row>
    <row r="1880" spans="1:35" x14ac:dyDescent="0.25">
      <c r="A1880" s="52" t="s">
        <v>3616</v>
      </c>
    </row>
    <row r="1881" spans="1:35" x14ac:dyDescent="0.25">
      <c r="A1881" t="s">
        <v>3629</v>
      </c>
      <c r="D1881" s="89">
        <f>IF(MAX(F1884:F1903)&lt;0.000000001,0,MAX(F1884:F1903))</f>
        <v>0</v>
      </c>
    </row>
    <row r="1883" spans="1:35" x14ac:dyDescent="0.25">
      <c r="A1883" s="50" t="s">
        <v>1488</v>
      </c>
      <c r="B1883" s="50"/>
      <c r="C1883" s="50"/>
      <c r="D1883" s="50"/>
      <c r="E1883" s="50" t="s">
        <v>1111</v>
      </c>
      <c r="F1883" s="50" t="s">
        <v>3617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25">
      <c r="A1884" t="s">
        <v>3618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25">
      <c r="A1885" t="s">
        <v>3619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25">
      <c r="A1886" t="s">
        <v>3620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25">
      <c r="A1887" t="s">
        <v>3621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25">
      <c r="A1888" t="s">
        <v>3622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25">
      <c r="A1889" t="s">
        <v>3623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25">
      <c r="A1890" t="s">
        <v>3624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25">
      <c r="A1891" t="s">
        <v>3625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25">
      <c r="A1892" t="s">
        <v>3626</v>
      </c>
      <c r="E1892" t="s">
        <v>1161</v>
      </c>
      <c r="F1892">
        <f>ABS('Manual inputs'!M35-1.1255904)</f>
        <v>0</v>
      </c>
      <c r="I1892">
        <v>0</v>
      </c>
    </row>
    <row r="1893" spans="1:9" x14ac:dyDescent="0.25">
      <c r="A1893" t="s">
        <v>3627</v>
      </c>
      <c r="E1893" t="s">
        <v>1161</v>
      </c>
      <c r="F1893">
        <f>ABS('Manual inputs'!M36-0.8462122)</f>
        <v>0</v>
      </c>
      <c r="I1893">
        <v>0</v>
      </c>
    </row>
    <row r="1894" spans="1:9" x14ac:dyDescent="0.25">
      <c r="A1894" t="s">
        <v>3628</v>
      </c>
      <c r="E1894" t="s">
        <v>1161</v>
      </c>
      <c r="F1894">
        <f>IF('Manual inputs'!E50="IPCC",0,1)</f>
        <v>0</v>
      </c>
      <c r="I1894">
        <v>0</v>
      </c>
    </row>
    <row r="1895" spans="1:9" x14ac:dyDescent="0.25">
      <c r="A1895" t="s">
        <v>3640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25">
      <c r="A1896" t="s">
        <v>3641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25">
      <c r="A1897" t="s">
        <v>3642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25">
      <c r="A1898" t="s">
        <v>3643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25">
      <c r="A1899" t="s">
        <v>3644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25">
      <c r="A1900" t="s">
        <v>3645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25">
      <c r="A1901" t="s">
        <v>3646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25">
      <c r="A1902" t="s">
        <v>3647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25">
      <c r="A1903" t="s">
        <v>3648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25">
      <c r="A1906" s="52" t="s">
        <v>3668</v>
      </c>
    </row>
    <row r="1907" spans="1:35" x14ac:dyDescent="0.25">
      <c r="A1907" t="s">
        <v>3675</v>
      </c>
      <c r="D1907" s="89">
        <f>IF(MAX(F1910:F1915)&lt;0.000001,0,MAX(F1910:F1915))</f>
        <v>0</v>
      </c>
    </row>
    <row r="1909" spans="1:35" x14ac:dyDescent="0.25">
      <c r="A1909" s="50" t="s">
        <v>1488</v>
      </c>
      <c r="B1909" s="50"/>
      <c r="C1909" s="50"/>
      <c r="D1909" s="50"/>
      <c r="E1909" s="50" t="s">
        <v>1111</v>
      </c>
      <c r="F1909" s="50" t="s">
        <v>3617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25">
      <c r="A1910" t="s">
        <v>3669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25">
      <c r="A1911" t="s">
        <v>3670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25">
      <c r="A1912" t="s">
        <v>3671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25">
      <c r="A1913" t="s">
        <v>3672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25">
      <c r="A1914" t="s">
        <v>3673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25">
      <c r="A1915" t="s">
        <v>3674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  <row r="1918" spans="1:35" x14ac:dyDescent="0.25">
      <c r="A1918" s="52" t="s">
        <v>3771</v>
      </c>
    </row>
    <row r="1919" spans="1:35" x14ac:dyDescent="0.25">
      <c r="A1919" t="s">
        <v>3772</v>
      </c>
      <c r="D1919" s="89" t="str">
        <f>CarveOut_Table2!D88</f>
        <v>n/a</v>
      </c>
    </row>
    <row r="1920" spans="1:35" x14ac:dyDescent="0.25">
      <c r="A1920" t="s">
        <v>3773</v>
      </c>
      <c r="D1920">
        <f>IFERROR(CarveOut_Table2!D52,"n/a")</f>
        <v>0</v>
      </c>
    </row>
    <row r="1923" spans="1:4" x14ac:dyDescent="0.25">
      <c r="A1923" s="52" t="s">
        <v>3800</v>
      </c>
    </row>
    <row r="1924" spans="1:4" x14ac:dyDescent="0.25">
      <c r="A1924" t="s">
        <v>3801</v>
      </c>
      <c r="D1924" s="89">
        <f>SUMPRODUCT(--NOT(_xlfn.ISFORMULA(Mitigation_Industry!F276:G283)))+SUMPRODUCT(--NOT(_xlfn.ISFORMULA(Mitigation_Industry!I276:I283)))+SUMPRODUCT(--NOT(_xlfn.ISFORMULA(Mitigation_Industry!G288:G295)))+SUMPRODUCT(--NOT(_xlfn.ISFORMULA(Mitigation_Industry!F675:G682)))+SUMPRODUCT(--NOT(_xlfn.ISFORMULA(Mitigation_Industry!I675:I682)))+SUMPRODUCT(--NOT(_xlfn.ISFORMULA(Mitigation_Industry!G687:G694)))</f>
        <v>0</v>
      </c>
    </row>
    <row r="1927" spans="1:4" x14ac:dyDescent="0.25">
      <c r="A1927" s="52" t="s">
        <v>3857</v>
      </c>
    </row>
    <row r="1928" spans="1:4" x14ac:dyDescent="0.25">
      <c r="A1928" t="s">
        <v>3858</v>
      </c>
      <c r="D1928" s="89">
        <f>Table2_Final!D42</f>
        <v>0</v>
      </c>
    </row>
    <row r="1929" spans="1:4" x14ac:dyDescent="0.25">
      <c r="A1929" t="s">
        <v>3859</v>
      </c>
      <c r="D1929" s="89" t="str">
        <f>Table2_Final!D65</f>
        <v>n/a</v>
      </c>
    </row>
    <row r="1930" spans="1:4" x14ac:dyDescent="0.25">
      <c r="A1930" t="s">
        <v>3860</v>
      </c>
      <c r="D1930" s="89" t="str">
        <f>CarveOut_Table2!D88</f>
        <v>n/a</v>
      </c>
    </row>
    <row r="1931" spans="1:4" x14ac:dyDescent="0.25">
      <c r="A1931" t="s">
        <v>3861</v>
      </c>
      <c r="D1931" s="89">
        <f>'Manual inputs'!E112</f>
        <v>1</v>
      </c>
    </row>
    <row r="1934" spans="1:4" x14ac:dyDescent="0.25">
      <c r="A1934" s="52" t="s">
        <v>3875</v>
      </c>
    </row>
    <row r="1935" spans="1:4" x14ac:dyDescent="0.25">
      <c r="A1935" t="s">
        <v>3858</v>
      </c>
      <c r="D1935" s="89">
        <f>Table2_Final!D42</f>
        <v>0</v>
      </c>
    </row>
    <row r="1936" spans="1:4" x14ac:dyDescent="0.25">
      <c r="A1936" t="s">
        <v>3876</v>
      </c>
      <c r="D1936" s="185">
        <f>'Manual inputs'!E69</f>
        <v>-0.1</v>
      </c>
    </row>
    <row r="1937" spans="1:4" x14ac:dyDescent="0.25">
      <c r="A1937" t="s">
        <v>3877</v>
      </c>
      <c r="D1937" s="185">
        <f>SUM('Manual inputs'!E66:E68)+SUM('Manual inputs'!E70:E73)</f>
        <v>-2.9000000000000004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Settings</vt:lpstr>
      <vt:lpstr>Manual inputs</vt:lpstr>
      <vt:lpstr>CPAT_National</vt:lpstr>
      <vt:lpstr>CPAT_Results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Table2_Industry</vt:lpstr>
      <vt:lpstr>CarveOut_Table2</vt:lpstr>
      <vt:lpstr>Table2_Final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Stretton</dc:creator>
  <dc:description/>
  <cp:lastModifiedBy>Stephen John Stretton</cp:lastModifiedBy>
  <cp:revision>0</cp:revision>
  <dcterms:created xsi:type="dcterms:W3CDTF">2026-10-01T19:36:19Z</dcterms:created>
  <dcterms:modified xsi:type="dcterms:W3CDTF">2026-10-05T18:27:19Z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